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-120" yWindow="-120" windowWidth="23280" windowHeight="12600" tabRatio="601" activeTab="1"/>
  </bookViews>
  <sheets>
    <sheet name="Functional Assignment" sheetId="1" r:id="rId1"/>
    <sheet name="Allocation Proforma" sheetId="2" r:id="rId2"/>
    <sheet name="Summary of Returns" sheetId="4" state="hidden" r:id="rId3"/>
    <sheet name="Billing Det" sheetId="5" state="hidden" r:id="rId4"/>
    <sheet name="RS" sheetId="14" r:id="rId5"/>
    <sheet name="GS" sheetId="24" r:id="rId6"/>
    <sheet name="PS Sec" sheetId="26" r:id="rId7"/>
    <sheet name="PS Pri" sheetId="34" r:id="rId8"/>
    <sheet name="TOD Sec" sheetId="28" r:id="rId9"/>
    <sheet name="TOD Pri" sheetId="32" r:id="rId10"/>
    <sheet name="RTS" sheetId="31" r:id="rId11"/>
    <sheet name="Special Contract" sheetId="27" r:id="rId12"/>
    <sheet name="Meters" sheetId="7" state="hidden" r:id="rId13"/>
    <sheet name="Services" sheetId="8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\" localSheetId="7" hidden="1">#REF!</definedName>
    <definedName name="\\" localSheetId="9" hidden="1">#REF!</definedName>
    <definedName name="\\" hidden="1">#REF!</definedName>
    <definedName name="\\\" localSheetId="7" hidden="1">#REF!</definedName>
    <definedName name="\\\" localSheetId="9" hidden="1">#REF!</definedName>
    <definedName name="\\\" hidden="1">#REF!</definedName>
    <definedName name="\\\\" localSheetId="7" hidden="1">#REF!</definedName>
    <definedName name="\\\\" localSheetId="9" hidden="1">#REF!</definedName>
    <definedName name="\\\\" hidden="1">#REF!</definedName>
    <definedName name="\C" localSheetId="7">#REF!</definedName>
    <definedName name="\C" localSheetId="4">#REF!</definedName>
    <definedName name="\C" localSheetId="9">#REF!</definedName>
    <definedName name="\C">#REF!</definedName>
    <definedName name="\D" localSheetId="7">#REF!</definedName>
    <definedName name="\D" localSheetId="9">#REF!</definedName>
    <definedName name="\D">#REF!</definedName>
    <definedName name="\E" localSheetId="7">#REF!</definedName>
    <definedName name="\E" localSheetId="4">#REF!</definedName>
    <definedName name="\E" localSheetId="9">#REF!</definedName>
    <definedName name="\E">#REF!</definedName>
    <definedName name="\M" localSheetId="7">#REF!</definedName>
    <definedName name="\M" localSheetId="9">#REF!</definedName>
    <definedName name="\M">#REF!</definedName>
    <definedName name="\P" localSheetId="7">[1]dbase!#REF!</definedName>
    <definedName name="\P" localSheetId="9">[1]dbase!#REF!</definedName>
    <definedName name="\P">[1]dbase!#REF!</definedName>
    <definedName name="\R" localSheetId="7">#REF!</definedName>
    <definedName name="\R" localSheetId="4">#REF!</definedName>
    <definedName name="\R" localSheetId="9">#REF!</definedName>
    <definedName name="\R">#REF!</definedName>
    <definedName name="\S" localSheetId="7">[1]dbase!#REF!</definedName>
    <definedName name="\S" localSheetId="9">[1]dbase!#REF!</definedName>
    <definedName name="\S">[1]dbase!#REF!</definedName>
    <definedName name="\T" localSheetId="7">#REF!</definedName>
    <definedName name="\T" localSheetId="9">#REF!</definedName>
    <definedName name="\T">#REF!</definedName>
    <definedName name="\Y" localSheetId="7">[2]d20!#REF!</definedName>
    <definedName name="\Y" localSheetId="9">[2]d20!#REF!</definedName>
    <definedName name="\Y">[2]d20!#REF!</definedName>
    <definedName name="__123Graph_A" localSheetId="7" hidden="1">#REF!</definedName>
    <definedName name="__123Graph_A" localSheetId="9" hidden="1">#REF!</definedName>
    <definedName name="__123Graph_A" hidden="1">#REF!</definedName>
    <definedName name="__123Graph_B" localSheetId="7" hidden="1">#REF!</definedName>
    <definedName name="__123Graph_B" localSheetId="9" hidden="1">#REF!</definedName>
    <definedName name="__123Graph_B" hidden="1">#REF!</definedName>
    <definedName name="__123Graph_C" localSheetId="7" hidden="1">#REF!</definedName>
    <definedName name="__123Graph_C" localSheetId="9" hidden="1">#REF!</definedName>
    <definedName name="__123Graph_C" hidden="1">#REF!</definedName>
    <definedName name="__123Graph_D" localSheetId="7" hidden="1">#REF!</definedName>
    <definedName name="__123Graph_D" localSheetId="9" hidden="1">#REF!</definedName>
    <definedName name="__123Graph_D" hidden="1">#REF!</definedName>
    <definedName name="__123Graph_E" localSheetId="7" hidden="1">#REF!</definedName>
    <definedName name="__123Graph_E" localSheetId="9" hidden="1">#REF!</definedName>
    <definedName name="__123Graph_E" hidden="1">#REF!</definedName>
    <definedName name="__123Graph_F" localSheetId="7" hidden="1">#REF!</definedName>
    <definedName name="__123Graph_F" localSheetId="9" hidden="1">#REF!</definedName>
    <definedName name="__123Graph_F" hidden="1">#REF!</definedName>
    <definedName name="__123Graph_X" localSheetId="7" hidden="1">#REF!</definedName>
    <definedName name="__123Graph_X" localSheetId="9" hidden="1">#REF!</definedName>
    <definedName name="__123Graph_X" hidden="1">#REF!</definedName>
    <definedName name="_10NON_UTILITY" localSheetId="7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7">#REF!</definedName>
    <definedName name="_1GAS_FINANCING" localSheetId="9">#REF!</definedName>
    <definedName name="_1GAS_FINANCING">#REF!</definedName>
    <definedName name="_xlnm._FilterDatabase" localSheetId="1" hidden="1">'Allocation Proforma'!$D$2:$E$1257</definedName>
    <definedName name="_xlnm._FilterDatabase" localSheetId="0" hidden="1">'Functional Assignment'!$C$2:$D$669</definedName>
    <definedName name="_may1" localSheetId="7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7">#REF!</definedName>
    <definedName name="_P" localSheetId="4">#REF!</definedName>
    <definedName name="_P" localSheetId="9">#REF!</definedName>
    <definedName name="_P">#REF!</definedName>
    <definedName name="_PG1" localSheetId="7">#REF!</definedName>
    <definedName name="_PG1" localSheetId="9">#REF!</definedName>
    <definedName name="_PG1">#REF!</definedName>
    <definedName name="_PG2" localSheetId="7">#REF!</definedName>
    <definedName name="_PG2" localSheetId="9">#REF!</definedName>
    <definedName name="_PG2">#REF!</definedName>
    <definedName name="A" localSheetId="7">#REF!</definedName>
    <definedName name="A" localSheetId="9">#REF!</definedName>
    <definedName name="A">#REF!</definedName>
    <definedName name="ACTUAL">"'Vol_Revs'!R5C3:R5C14"</definedName>
    <definedName name="ADJSUTW3" localSheetId="7">#REF!</definedName>
    <definedName name="ADJSUTW3" localSheetId="9">#REF!</definedName>
    <definedName name="ADJSUTW3">#REF!</definedName>
    <definedName name="ADJUSRN" localSheetId="7">#REF!</definedName>
    <definedName name="ADJUSRN" localSheetId="9">#REF!</definedName>
    <definedName name="ADJUSRN">#REF!</definedName>
    <definedName name="Adjust2" localSheetId="7">#REF!</definedName>
    <definedName name="Adjust2" localSheetId="9">#REF!</definedName>
    <definedName name="Adjust2">#REF!</definedName>
    <definedName name="ADJUSTA" localSheetId="7">#REF!</definedName>
    <definedName name="ADJUSTA" localSheetId="9">#REF!</definedName>
    <definedName name="ADJUSTA">#REF!</definedName>
    <definedName name="ADJUSTAA" localSheetId="7">#REF!</definedName>
    <definedName name="ADJUSTAA" localSheetId="4">#REF!</definedName>
    <definedName name="ADJUSTAA" localSheetId="9">#REF!</definedName>
    <definedName name="ADJUSTAA">#REF!</definedName>
    <definedName name="ADJUSTB" localSheetId="7">#REF!</definedName>
    <definedName name="ADJUSTB" localSheetId="9">#REF!</definedName>
    <definedName name="ADJUSTB">#REF!</definedName>
    <definedName name="ADJUSTC" localSheetId="7">#REF!</definedName>
    <definedName name="ADJUSTC" localSheetId="9">#REF!</definedName>
    <definedName name="ADJUSTC">#REF!</definedName>
    <definedName name="ADJUSTD1" localSheetId="7">#REF!</definedName>
    <definedName name="ADJUSTD1" localSheetId="9">#REF!</definedName>
    <definedName name="ADJUSTD1">#REF!</definedName>
    <definedName name="ADJUSTD2" localSheetId="7">#REF!</definedName>
    <definedName name="ADJUSTD2" localSheetId="9">#REF!</definedName>
    <definedName name="ADJUSTD2">#REF!</definedName>
    <definedName name="ADJUSTD3" localSheetId="7">#REF!</definedName>
    <definedName name="ADJUSTD3" localSheetId="9">#REF!</definedName>
    <definedName name="ADJUSTD3">#REF!</definedName>
    <definedName name="ADJUSTD4" localSheetId="7">#REF!</definedName>
    <definedName name="ADJUSTD4" localSheetId="9">#REF!</definedName>
    <definedName name="ADJUSTD4">#REF!</definedName>
    <definedName name="ADJUSTG1" localSheetId="7">#REF!</definedName>
    <definedName name="ADJUSTG1" localSheetId="9">#REF!</definedName>
    <definedName name="ADJUSTG1">#REF!</definedName>
    <definedName name="ADJUSTG2" localSheetId="7">#REF!</definedName>
    <definedName name="ADJUSTG2" localSheetId="9">#REF!</definedName>
    <definedName name="ADJUSTG2">#REF!</definedName>
    <definedName name="ADJUSTG3" localSheetId="7">#REF!</definedName>
    <definedName name="ADJUSTG3" localSheetId="9">#REF!</definedName>
    <definedName name="ADJUSTG3">#REF!</definedName>
    <definedName name="ADJUSTG4" localSheetId="7">#REF!</definedName>
    <definedName name="ADJUSTG4" localSheetId="9">#REF!</definedName>
    <definedName name="ADJUSTG4">#REF!</definedName>
    <definedName name="ADJUSTH" localSheetId="7">#REF!</definedName>
    <definedName name="ADJUSTH" localSheetId="9">#REF!</definedName>
    <definedName name="ADJUSTH">#REF!</definedName>
    <definedName name="ADJUSTI" localSheetId="7">#REF!</definedName>
    <definedName name="ADJUSTI" localSheetId="9">#REF!</definedName>
    <definedName name="ADJUSTI">#REF!</definedName>
    <definedName name="ADJUSTK" localSheetId="7">#REF!</definedName>
    <definedName name="ADJUSTK" localSheetId="9">#REF!</definedName>
    <definedName name="ADJUSTK">#REF!</definedName>
    <definedName name="ADJUSTM" localSheetId="7">#REF!</definedName>
    <definedName name="ADJUSTM" localSheetId="9">#REF!</definedName>
    <definedName name="ADJUSTM">#REF!</definedName>
    <definedName name="ADJUSTN" localSheetId="7">#REF!</definedName>
    <definedName name="ADJUSTN" localSheetId="9">#REF!</definedName>
    <definedName name="ADJUSTN">#REF!</definedName>
    <definedName name="ADJUSTO" localSheetId="7">#REF!</definedName>
    <definedName name="ADJUSTO" localSheetId="9">#REF!</definedName>
    <definedName name="ADJUSTO">#REF!</definedName>
    <definedName name="ADJUSTP" localSheetId="7">#REF!</definedName>
    <definedName name="ADJUSTP" localSheetId="9">#REF!</definedName>
    <definedName name="ADJUSTP">#REF!</definedName>
    <definedName name="ADJUSTQ" localSheetId="7">#REF!</definedName>
    <definedName name="ADJUSTQ" localSheetId="9">#REF!</definedName>
    <definedName name="ADJUSTQ">#REF!</definedName>
    <definedName name="ADJUSTR" localSheetId="7">#REF!</definedName>
    <definedName name="ADJUSTR" localSheetId="9">#REF!</definedName>
    <definedName name="ADJUSTR">#REF!</definedName>
    <definedName name="ADJUSTS" localSheetId="7">#REF!</definedName>
    <definedName name="ADJUSTS" localSheetId="4">#REF!</definedName>
    <definedName name="ADJUSTS" localSheetId="9">#REF!</definedName>
    <definedName name="ADJUSTS">#REF!</definedName>
    <definedName name="ADJUSTT" localSheetId="7">#REF!</definedName>
    <definedName name="ADJUSTT" localSheetId="9">#REF!</definedName>
    <definedName name="ADJUSTT">#REF!</definedName>
    <definedName name="ADJUSTW1" localSheetId="7">#REF!</definedName>
    <definedName name="ADJUSTW1" localSheetId="9">#REF!</definedName>
    <definedName name="ADJUSTW1">#REF!</definedName>
    <definedName name="ADJUSTW2" localSheetId="7">#REF!</definedName>
    <definedName name="ADJUSTW2" localSheetId="9">#REF!</definedName>
    <definedName name="ADJUSTW2">#REF!</definedName>
    <definedName name="ADJUSTX" localSheetId="7">#REF!</definedName>
    <definedName name="ADJUSTX" localSheetId="9">#REF!</definedName>
    <definedName name="ADJUSTX">#REF!</definedName>
    <definedName name="ADJUSTY" localSheetId="7">#REF!</definedName>
    <definedName name="ADJUSTY" localSheetId="9">#REF!</definedName>
    <definedName name="ADJUSTY">#REF!</definedName>
    <definedName name="ALERT2" localSheetId="7">#REF!</definedName>
    <definedName name="ALERT2" localSheetId="9">#REF!</definedName>
    <definedName name="ALERT2">#REF!</definedName>
    <definedName name="Annual_Sales_KU" localSheetId="7">'[4]LGE Sales'!#REF!</definedName>
    <definedName name="Annual_Sales_KU" localSheetId="9">'[4]LGE Sales'!#REF!</definedName>
    <definedName name="Annual_Sales_KU">'[4]LGE Sales'!#REF!</definedName>
    <definedName name="assets" localSheetId="7">#REF!</definedName>
    <definedName name="assets" localSheetId="4">#REF!</definedName>
    <definedName name="assets" localSheetId="9">#REF!</definedName>
    <definedName name="assets">#REF!</definedName>
    <definedName name="B" localSheetId="7">#REF!</definedName>
    <definedName name="B" localSheetId="9">#REF!</definedName>
    <definedName name="B">#REF!</definedName>
    <definedName name="Billed_Revenues_Dollars" localSheetId="7">#REF!</definedName>
    <definedName name="Billed_Revenues_Dollars" localSheetId="9">#REF!</definedName>
    <definedName name="Billed_Revenues_Dollars">#REF!</definedName>
    <definedName name="Billed_Sales__KWh" localSheetId="7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7">#REF!</definedName>
    <definedName name="C_" localSheetId="9">#REF!</definedName>
    <definedName name="C_">#REF!</definedName>
    <definedName name="Choices_Wrapper" localSheetId="4">RS!Choices_Wrapper</definedName>
    <definedName name="Choices_Wrapper">[0]!Choices_Wrapper</definedName>
    <definedName name="CM" localSheetId="7">#REF!</definedName>
    <definedName name="CM" localSheetId="4">#REF!</definedName>
    <definedName name="CM" localSheetId="9">#REF!</definedName>
    <definedName name="CM">#REF!</definedName>
    <definedName name="Coal_Annual_KU" localSheetId="7">'[4]LGE Coal'!#REF!</definedName>
    <definedName name="Coal_Annual_KU" localSheetId="9">'[4]LGE Coal'!#REF!</definedName>
    <definedName name="Coal_Annual_KU">'[4]LGE Coal'!#REF!</definedName>
    <definedName name="coal_hide_ku_01" localSheetId="7">'[4]LGE Coal'!#REF!</definedName>
    <definedName name="coal_hide_ku_01" localSheetId="9">'[4]LGE Coal'!#REF!</definedName>
    <definedName name="coal_hide_ku_01">'[4]LGE Coal'!#REF!</definedName>
    <definedName name="coal_hide_lge_01" localSheetId="7">'[4]LGE Coal'!#REF!</definedName>
    <definedName name="coal_hide_lge_01" localSheetId="9">'[4]LGE Coal'!#REF!</definedName>
    <definedName name="coal_hide_lge_01">'[4]LGE Coal'!#REF!</definedName>
    <definedName name="coal_ku_01" localSheetId="7">'[4]LGE Coal'!#REF!</definedName>
    <definedName name="coal_ku_01" localSheetId="9">'[4]LGE Coal'!#REF!</definedName>
    <definedName name="coal_ku_01">'[4]LGE Coal'!#REF!</definedName>
    <definedName name="ColumnAttributes1" localSheetId="7">#REF!</definedName>
    <definedName name="ColumnAttributes1" localSheetId="9">#REF!</definedName>
    <definedName name="ColumnAttributes1">#REF!</definedName>
    <definedName name="ColumnHeadings1" localSheetId="7">#REF!</definedName>
    <definedName name="ColumnHeadings1" localSheetId="9">#REF!</definedName>
    <definedName name="ColumnHeadings1">#REF!</definedName>
    <definedName name="Comp" localSheetId="4">RS!Comp</definedName>
    <definedName name="Comp">[0]!Comp</definedName>
    <definedName name="ConsEarnings" localSheetId="7">#REF!</definedName>
    <definedName name="ConsEarnings" localSheetId="9">#REF!</definedName>
    <definedName name="ConsEarnings">#REF!</definedName>
    <definedName name="CONSOLIDATED" localSheetId="7">#REF!</definedName>
    <definedName name="CONSOLIDATED" localSheetId="9">#REF!</definedName>
    <definedName name="CONSOLIDATED">#REF!</definedName>
    <definedName name="CORPORATE" localSheetId="7">#REF!</definedName>
    <definedName name="CORPORATE" localSheetId="9">#REF!</definedName>
    <definedName name="CORPORATE">#REF!</definedName>
    <definedName name="counter" localSheetId="7">#REF!</definedName>
    <definedName name="counter" localSheetId="9">#REF!</definedName>
    <definedName name="counter">#REF!</definedName>
    <definedName name="CREDIT" localSheetId="7">#REF!</definedName>
    <definedName name="CREDIT" localSheetId="4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7">#REF!</definedName>
    <definedName name="D" localSheetId="9">#REF!</definedName>
    <definedName name="D">#REF!</definedName>
    <definedName name="data" localSheetId="7">#REF!</definedName>
    <definedName name="data" localSheetId="9">#REF!</definedName>
    <definedName name="data">#REF!</definedName>
    <definedName name="data1" localSheetId="7">'[6]1'!#REF!</definedName>
    <definedName name="data1" localSheetId="9">'[6]1'!#REF!</definedName>
    <definedName name="data1">'[6]1'!#REF!</definedName>
    <definedName name="DateTimeNow">[5]Input!$AE$12</definedName>
    <definedName name="DEBIT" localSheetId="7">#REF!</definedName>
    <definedName name="DEBIT" localSheetId="4">#REF!</definedName>
    <definedName name="DEBIT" localSheetId="9">#REF!</definedName>
    <definedName name="DEBIT">#REF!</definedName>
    <definedName name="Detail" localSheetId="7">#REF!</definedName>
    <definedName name="Detail" localSheetId="9">#REF!</definedName>
    <definedName name="Detail">#REF!</definedName>
    <definedName name="ELEC_NET_OP_INC" localSheetId="7">#REF!</definedName>
    <definedName name="ELEC_NET_OP_INC" localSheetId="9">#REF!</definedName>
    <definedName name="ELEC_NET_OP_INC">#REF!</definedName>
    <definedName name="ELIMS" localSheetId="7">#REF!</definedName>
    <definedName name="ELIMS" localSheetId="9">#REF!</definedName>
    <definedName name="ELIMS">#REF!</definedName>
    <definedName name="EXHIB1A" localSheetId="7">'[7]#REF'!#REF!</definedName>
    <definedName name="EXHIB1A" localSheetId="9">'[7]#REF'!#REF!</definedName>
    <definedName name="EXHIB1A">'[7]#REF'!#REF!</definedName>
    <definedName name="EXHIB1B" localSheetId="7">#REF!</definedName>
    <definedName name="EXHIB1B" localSheetId="9">#REF!</definedName>
    <definedName name="EXHIB1B">#REF!</definedName>
    <definedName name="EXHIB1C" localSheetId="7">#REF!</definedName>
    <definedName name="EXHIB1C" localSheetId="9">#REF!</definedName>
    <definedName name="EXHIB1C">#REF!</definedName>
    <definedName name="EXHIB2B" localSheetId="7">'[8]Ex 2'!#REF!</definedName>
    <definedName name="EXHIB2B" localSheetId="9">'[8]Ex 2'!#REF!</definedName>
    <definedName name="EXHIB2B">'[8]Ex 2'!#REF!</definedName>
    <definedName name="EXHIB3" localSheetId="7">#REF!</definedName>
    <definedName name="EXHIB3" localSheetId="4">#REF!</definedName>
    <definedName name="EXHIB3" localSheetId="9">#REF!</definedName>
    <definedName name="EXHIB3">#REF!</definedName>
    <definedName name="EXHIB6" localSheetId="7">'[8]not used Ex 4'!#REF!</definedName>
    <definedName name="EXHIB6" localSheetId="9">'[8]not used Ex 4'!#REF!</definedName>
    <definedName name="EXHIB6">'[8]not used Ex 4'!#REF!</definedName>
    <definedName name="F" localSheetId="7">#REF!</definedName>
    <definedName name="F" localSheetId="9">#REF!</definedName>
    <definedName name="F">#REF!</definedName>
    <definedName name="Fac_2000" localSheetId="7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7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7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7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7">'[4]LGE Base Fuel &amp; FAC'!#REF!</definedName>
    <definedName name="fac_ku_01" localSheetId="9">'[4]LGE Base Fuel &amp; FAC'!#REF!</definedName>
    <definedName name="fac_ku_01">'[4]LGE Base Fuel &amp; FAC'!#REF!</definedName>
    <definedName name="FOOTER" localSheetId="7">#REF!</definedName>
    <definedName name="FOOTER" localSheetId="9">#REF!</definedName>
    <definedName name="FOOTER">#REF!</definedName>
    <definedName name="FORECAST">"'IFPSReport'!R5C3:R5C14"</definedName>
    <definedName name="fuelcost" localSheetId="7">#REF!</definedName>
    <definedName name="fuelcost" localSheetId="4">#REF!</definedName>
    <definedName name="fuelcost" localSheetId="9">#REF!</definedName>
    <definedName name="fuelcost">#REF!</definedName>
    <definedName name="Gas_Annual_NetRev" localSheetId="7">#REF!</definedName>
    <definedName name="Gas_Annual_NetRev" localSheetId="9">#REF!</definedName>
    <definedName name="Gas_Annual_NetRev">#REF!</definedName>
    <definedName name="Gas_Annual_Revenue" localSheetId="7">#REF!</definedName>
    <definedName name="Gas_Annual_Revenue" localSheetId="9">#REF!</definedName>
    <definedName name="Gas_Annual_Revenue">#REF!</definedName>
    <definedName name="gas_data" localSheetId="7">#REF!</definedName>
    <definedName name="gas_data" localSheetId="9">#REF!</definedName>
    <definedName name="gas_data">#REF!</definedName>
    <definedName name="Gas_Monthly_NetRevenue" localSheetId="7">#REF!</definedName>
    <definedName name="Gas_Monthly_NetRevenue" localSheetId="9">#REF!</definedName>
    <definedName name="Gas_Monthly_NetRevenue">#REF!</definedName>
    <definedName name="GAS_NET_OP_INC" localSheetId="7">#REF!</definedName>
    <definedName name="GAS_NET_OP_INC" localSheetId="9">#REF!</definedName>
    <definedName name="GAS_NET_OP_INC">#REF!</definedName>
    <definedName name="Gas_Sales_Revenues" localSheetId="7">#REF!</definedName>
    <definedName name="Gas_Sales_Revenues" localSheetId="9">#REF!</definedName>
    <definedName name="Gas_Sales_Revenues">#REF!</definedName>
    <definedName name="GenEx_Annual_KU" localSheetId="7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7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7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7">'[4]LGE Cost of Sales'!#REF!</definedName>
    <definedName name="genex_ku_01" localSheetId="9">'[4]LGE Cost of Sales'!#REF!</definedName>
    <definedName name="genex_ku_01">'[4]LGE Cost of Sales'!#REF!</definedName>
    <definedName name="H" localSheetId="7">#REF!</definedName>
    <definedName name="H" localSheetId="9">#REF!</definedName>
    <definedName name="H">#REF!</definedName>
    <definedName name="Home_KU" localSheetId="7">#REF!</definedName>
    <definedName name="Home_KU" localSheetId="9">#REF!</definedName>
    <definedName name="Home_KU">#REF!</definedName>
    <definedName name="INPUT1" localSheetId="7">#REF!</definedName>
    <definedName name="INPUT1" localSheetId="9">#REF!</definedName>
    <definedName name="INPUT1">#REF!</definedName>
    <definedName name="INPUT2" localSheetId="7">#REF!</definedName>
    <definedName name="INPUT2" localSheetId="9">#REF!</definedName>
    <definedName name="INPUT2">#REF!</definedName>
    <definedName name="INPUTCOL" localSheetId="7">#REF!</definedName>
    <definedName name="INPUTCOL" localSheetId="9">#REF!</definedName>
    <definedName name="INPUTCOL">#REF!</definedName>
    <definedName name="INPUTROW" localSheetId="7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7">#REF!</definedName>
    <definedName name="KUELIMBAL" localSheetId="9">#REF!</definedName>
    <definedName name="KUELIMBAL">#REF!</definedName>
    <definedName name="KUELIMCASH" localSheetId="7">#REF!</definedName>
    <definedName name="KUELIMCASH" localSheetId="9">#REF!</definedName>
    <definedName name="KUELIMCASH">#REF!</definedName>
    <definedName name="KUPWRGENIS" localSheetId="7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7">#REF!</definedName>
    <definedName name="LEC" localSheetId="9">#REF!</definedName>
    <definedName name="LEC">#REF!</definedName>
    <definedName name="LECBAL" localSheetId="7">#REF!</definedName>
    <definedName name="LECBAL" localSheetId="9">#REF!</definedName>
    <definedName name="LECBAL">#REF!</definedName>
    <definedName name="LECCASH" localSheetId="7">#REF!</definedName>
    <definedName name="LECCASH" localSheetId="9">#REF!</definedName>
    <definedName name="LECCASH">#REF!</definedName>
    <definedName name="LES" localSheetId="7">#REF!</definedName>
    <definedName name="LES" localSheetId="9">#REF!</definedName>
    <definedName name="LES">#REF!</definedName>
    <definedName name="LGE" localSheetId="7">#REF!</definedName>
    <definedName name="LGE" localSheetId="9">#REF!</definedName>
    <definedName name="LGE">#REF!</definedName>
    <definedName name="LNGCL" localSheetId="7">#REF!</definedName>
    <definedName name="LNGCL" localSheetId="9">#REF!</definedName>
    <definedName name="LNGCL">#REF!</definedName>
    <definedName name="Losses_by_State" localSheetId="7">#REF!</definedName>
    <definedName name="Losses_by_State" localSheetId="9">#REF!</definedName>
    <definedName name="Losses_by_State">#REF!</definedName>
    <definedName name="LOUPHONECOBAL" localSheetId="7">#REF!</definedName>
    <definedName name="LOUPHONECOBAL" localSheetId="9">#REF!</definedName>
    <definedName name="LOUPHONECOBAL">#REF!</definedName>
    <definedName name="LOUPHONECOCASH" localSheetId="7">#REF!</definedName>
    <definedName name="LOUPHONECOCASH" localSheetId="9">#REF!</definedName>
    <definedName name="LOUPHONECOCASH">#REF!</definedName>
    <definedName name="LOUPHONECOIS" localSheetId="7">#REF!</definedName>
    <definedName name="LOUPHONECOIS" localSheetId="9">#REF!</definedName>
    <definedName name="LOUPHONECOIS">#REF!</definedName>
    <definedName name="LPI" localSheetId="7">#REF!</definedName>
    <definedName name="LPI" localSheetId="9">#REF!</definedName>
    <definedName name="LPI">#REF!</definedName>
    <definedName name="MAIN" localSheetId="7">#REF!</definedName>
    <definedName name="MAIN" localSheetId="9">#REF!</definedName>
    <definedName name="MAIN">#REF!</definedName>
    <definedName name="MESG1" localSheetId="7">#REF!</definedName>
    <definedName name="MESG1" localSheetId="9">#REF!</definedName>
    <definedName name="MESG1">#REF!</definedName>
    <definedName name="MESG2" localSheetId="7">#REF!</definedName>
    <definedName name="MESG2" localSheetId="9">#REF!</definedName>
    <definedName name="MESG2">#REF!</definedName>
    <definedName name="MONTH_NAME" localSheetId="7">#REF!</definedName>
    <definedName name="MONTH_NAME" localSheetId="9">#REF!</definedName>
    <definedName name="MONTH_NAME">#REF!</definedName>
    <definedName name="MONTHCOUNT" localSheetId="7">#REF!</definedName>
    <definedName name="MONTHCOUNT" localSheetId="9">#REF!</definedName>
    <definedName name="MONTHCOUNT">#REF!</definedName>
    <definedName name="NATURAL" localSheetId="7">#REF!</definedName>
    <definedName name="NATURAL" localSheetId="9">#REF!</definedName>
    <definedName name="NATURAL">#REF!</definedName>
    <definedName name="NET_OP_INC" localSheetId="7">#REF!</definedName>
    <definedName name="NET_OP_INC" localSheetId="9">#REF!</definedName>
    <definedName name="NET_OP_INC">#REF!</definedName>
    <definedName name="Net_Revenues" localSheetId="7">#REF!</definedName>
    <definedName name="Net_Revenues" localSheetId="9">#REF!</definedName>
    <definedName name="Net_Revenues">#REF!</definedName>
    <definedName name="Net_Unbilled_KWh" localSheetId="7">#REF!</definedName>
    <definedName name="Net_Unbilled_KWh" localSheetId="9">#REF!</definedName>
    <definedName name="Net_Unbilled_KWh">#REF!</definedName>
    <definedName name="Net_Unbilled_Revenue_Dollars" localSheetId="7">#REF!</definedName>
    <definedName name="Net_Unbilled_Revenue_Dollars" localSheetId="9">#REF!</definedName>
    <definedName name="Net_Unbilled_Revenue_Dollars">#REF!</definedName>
    <definedName name="netrev_hide_ku_01" localSheetId="7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7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7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7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7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7">#REF!</definedName>
    <definedName name="Operating_Revenue_Dollars" localSheetId="9">#REF!</definedName>
    <definedName name="Operating_Revenue_Dollars">#REF!</definedName>
    <definedName name="Operating_Sales__KWh" localSheetId="7">#REF!</definedName>
    <definedName name="Operating_Sales__KWh" localSheetId="9">#REF!</definedName>
    <definedName name="Operating_Sales__KWh">#REF!</definedName>
    <definedName name="PAGE" localSheetId="7">#REF!</definedName>
    <definedName name="PAGE" localSheetId="4">#REF!</definedName>
    <definedName name="PAGE" localSheetId="9">#REF!</definedName>
    <definedName name="PAGE">#REF!</definedName>
    <definedName name="PAGE10" localSheetId="7">#REF!</definedName>
    <definedName name="PAGE10" localSheetId="4">#REF!</definedName>
    <definedName name="PAGE10" localSheetId="9">#REF!</definedName>
    <definedName name="PAGE10">#REF!</definedName>
    <definedName name="PAGE1B" localSheetId="7">[2]d20!#REF!</definedName>
    <definedName name="PAGE1B" localSheetId="9">[2]d20!#REF!</definedName>
    <definedName name="PAGE1B">[2]d20!#REF!</definedName>
    <definedName name="PAGE7" localSheetId="7">#REF!</definedName>
    <definedName name="PAGE7" localSheetId="4">#REF!</definedName>
    <definedName name="PAGE7" localSheetId="9">#REF!</definedName>
    <definedName name="PAGE7">#REF!</definedName>
    <definedName name="page8" localSheetId="7">#REF!</definedName>
    <definedName name="page8" localSheetId="4">#REF!</definedName>
    <definedName name="page8" localSheetId="9">#REF!</definedName>
    <definedName name="page8">#REF!</definedName>
    <definedName name="PAGE9" localSheetId="7">#REF!</definedName>
    <definedName name="PAGE9" localSheetId="4">#REF!</definedName>
    <definedName name="PAGE9" localSheetId="9">#REF!</definedName>
    <definedName name="PAGE9">#REF!</definedName>
    <definedName name="PgFERC_449" localSheetId="7">#REF!</definedName>
    <definedName name="PgFERC_449" localSheetId="9">#REF!</definedName>
    <definedName name="PgFERC_449">#REF!</definedName>
    <definedName name="Plan" localSheetId="7">#REF!</definedName>
    <definedName name="Plan" localSheetId="9">#REF!</definedName>
    <definedName name="Plan">#REF!</definedName>
    <definedName name="_xlnm.Print_Area" localSheetId="1">'Allocation Proforma'!$A$1:$U$1119</definedName>
    <definedName name="_xlnm.Print_Area" localSheetId="3">'Billing Det'!$A$1:$C$38</definedName>
    <definedName name="_xlnm.Print_Area" localSheetId="0">'Functional Assignment'!$A$1:$AE$669</definedName>
    <definedName name="_xlnm.Print_Area" localSheetId="5">GS!$A$1:$K$57</definedName>
    <definedName name="_xlnm.Print_Area" localSheetId="7">'PS Pri'!$A$1:$K$57</definedName>
    <definedName name="_xlnm.Print_Area" localSheetId="6">'PS Sec'!$A$1:$K$57</definedName>
    <definedName name="_xlnm.Print_Area" localSheetId="4">RS!$A$1:$K$57</definedName>
    <definedName name="_xlnm.Print_Area" localSheetId="10">RTS!$A$1:$K$57</definedName>
    <definedName name="_xlnm.Print_Area" localSheetId="11">'Special Contract'!$A$1:$K$57</definedName>
    <definedName name="_xlnm.Print_Area" localSheetId="2">'Summary of Returns'!$A$1:$I$76</definedName>
    <definedName name="_xlnm.Print_Area" localSheetId="9">'TOD Pri'!$A$1:$K$57</definedName>
    <definedName name="_xlnm.Print_Area" localSheetId="8">'TOD Sec'!$A$1:$K$57</definedName>
    <definedName name="_xlnm.Print_Titles" localSheetId="1">'Allocation Proforma'!$A:$E,'Allocation Proforma'!$2:$4</definedName>
    <definedName name="_xlnm.Print_Titles" localSheetId="3">'Billing Det'!$A:$A,'Billing Det'!$37:$38</definedName>
    <definedName name="_xlnm.Print_Titles" localSheetId="0">'Functional Assignment'!$A:$E,'Functional Assignment'!$2:$4</definedName>
    <definedName name="PRINT1" localSheetId="7">#REF!</definedName>
    <definedName name="PRINT1" localSheetId="9">#REF!</definedName>
    <definedName name="PRINT1">#REF!</definedName>
    <definedName name="PWRGENBAL" localSheetId="7">#REF!</definedName>
    <definedName name="PWRGENBAL" localSheetId="9">#REF!</definedName>
    <definedName name="PWRGENBAL">#REF!</definedName>
    <definedName name="PWRGENCASH" localSheetId="7">#REF!</definedName>
    <definedName name="PWRGENCASH" localSheetId="9">#REF!</definedName>
    <definedName name="PWRGENCASH">#REF!</definedName>
    <definedName name="QtrbyMonth" localSheetId="7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7">#REF!</definedName>
    <definedName name="REPORT" localSheetId="4">#REF!</definedName>
    <definedName name="REPORT" localSheetId="9">#REF!</definedName>
    <definedName name="REPORT">#REF!</definedName>
    <definedName name="ReportTitle1" localSheetId="7">#REF!</definedName>
    <definedName name="ReportTitle1" localSheetId="9">#REF!</definedName>
    <definedName name="ReportTitle1">#REF!</definedName>
    <definedName name="require_hide_ku_01" localSheetId="7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7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7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7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7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7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7">#REF!</definedName>
    <definedName name="RevCol01" localSheetId="9">#REF!</definedName>
    <definedName name="RevCol01">#REF!</definedName>
    <definedName name="RevCol01A" localSheetId="7">#REF!</definedName>
    <definedName name="RevCol01A" localSheetId="9">#REF!</definedName>
    <definedName name="RevCol01A">#REF!</definedName>
    <definedName name="RevCol01B" localSheetId="7">[12]RevDatabase!#REF!</definedName>
    <definedName name="RevCol01B" localSheetId="4">#REF!</definedName>
    <definedName name="RevCol01B" localSheetId="9">[12]RevDatabase!#REF!</definedName>
    <definedName name="RevCol01B">[12]RevDatabase!#REF!</definedName>
    <definedName name="RevCol02" localSheetId="7">#REF!</definedName>
    <definedName name="RevCol02" localSheetId="9">#REF!</definedName>
    <definedName name="RevCol02">#REF!</definedName>
    <definedName name="RevCol02A" localSheetId="7">#REF!</definedName>
    <definedName name="RevCol02A" localSheetId="9">#REF!</definedName>
    <definedName name="RevCol02A">#REF!</definedName>
    <definedName name="RevCol02B" localSheetId="7">[12]RevDatabase!#REF!</definedName>
    <definedName name="RevCol02B" localSheetId="4">#REF!</definedName>
    <definedName name="RevCol02B" localSheetId="9">[12]RevDatabase!#REF!</definedName>
    <definedName name="RevCol02B">[12]RevDatabase!#REF!</definedName>
    <definedName name="RevCol03" localSheetId="7">#REF!</definedName>
    <definedName name="RevCol03" localSheetId="9">#REF!</definedName>
    <definedName name="RevCol03">#REF!</definedName>
    <definedName name="RevCol04" localSheetId="7">#REF!</definedName>
    <definedName name="RevCol04" localSheetId="9">#REF!</definedName>
    <definedName name="RevCol04">#REF!</definedName>
    <definedName name="RevCol05" localSheetId="7">#REF!</definedName>
    <definedName name="RevCol05" localSheetId="9">#REF!</definedName>
    <definedName name="RevCol05">#REF!</definedName>
    <definedName name="RevCol06" localSheetId="7">#REF!</definedName>
    <definedName name="RevCol06" localSheetId="9">#REF!</definedName>
    <definedName name="RevCol06">#REF!</definedName>
    <definedName name="RevCol07" localSheetId="7">#REF!</definedName>
    <definedName name="RevCol07" localSheetId="9">#REF!</definedName>
    <definedName name="RevCol07">#REF!</definedName>
    <definedName name="RevCol08" localSheetId="7">#REF!</definedName>
    <definedName name="RevCol08" localSheetId="9">#REF!</definedName>
    <definedName name="RevCol08">#REF!</definedName>
    <definedName name="RevCol09" localSheetId="7">#REF!</definedName>
    <definedName name="RevCol09" localSheetId="9">#REF!</definedName>
    <definedName name="RevCol09">#REF!</definedName>
    <definedName name="RevCol10" localSheetId="7">#REF!</definedName>
    <definedName name="RevCol10" localSheetId="9">#REF!</definedName>
    <definedName name="RevCol10">#REF!</definedName>
    <definedName name="RevCol11" localSheetId="7">#REF!</definedName>
    <definedName name="RevCol11" localSheetId="9">#REF!</definedName>
    <definedName name="RevCol11">#REF!</definedName>
    <definedName name="RevCol12" localSheetId="7">#REF!</definedName>
    <definedName name="RevCol12" localSheetId="9">#REF!</definedName>
    <definedName name="RevCol12">#REF!</definedName>
    <definedName name="RevCol13" localSheetId="7">#REF!</definedName>
    <definedName name="RevCol13" localSheetId="9">#REF!</definedName>
    <definedName name="RevCol13">#REF!</definedName>
    <definedName name="RevCol14" localSheetId="7">#REF!</definedName>
    <definedName name="RevCol14" localSheetId="9">#REF!</definedName>
    <definedName name="RevCol14">#REF!</definedName>
    <definedName name="RevCol15" localSheetId="7">#REF!</definedName>
    <definedName name="RevCol15" localSheetId="9">#REF!</definedName>
    <definedName name="RevCol15">#REF!</definedName>
    <definedName name="RevCol16" localSheetId="7">#REF!</definedName>
    <definedName name="RevCol16" localSheetId="9">#REF!</definedName>
    <definedName name="RevCol16">#REF!</definedName>
    <definedName name="RevCol17" localSheetId="7">#REF!</definedName>
    <definedName name="RevCol17" localSheetId="9">#REF!</definedName>
    <definedName name="RevCol17">#REF!</definedName>
    <definedName name="RevCol18" localSheetId="7">#REF!</definedName>
    <definedName name="RevCol18" localSheetId="9">#REF!</definedName>
    <definedName name="RevCol18">#REF!</definedName>
    <definedName name="RevCol19" localSheetId="7">#REF!</definedName>
    <definedName name="RevCol19" localSheetId="9">#REF!</definedName>
    <definedName name="RevCol19">#REF!</definedName>
    <definedName name="RevCol20" localSheetId="7">#REF!</definedName>
    <definedName name="RevCol20" localSheetId="9">#REF!</definedName>
    <definedName name="RevCol20">#REF!</definedName>
    <definedName name="RevCol21" localSheetId="7">#REF!</definedName>
    <definedName name="RevCol21" localSheetId="9">#REF!</definedName>
    <definedName name="RevCol21">#REF!</definedName>
    <definedName name="RevCol22" localSheetId="7">#REF!</definedName>
    <definedName name="RevCol22" localSheetId="9">#REF!</definedName>
    <definedName name="RevCol22">#REF!</definedName>
    <definedName name="RevCol23" localSheetId="7">#REF!</definedName>
    <definedName name="RevCol23" localSheetId="9">#REF!</definedName>
    <definedName name="RevCol23">#REF!</definedName>
    <definedName name="RevCol24" localSheetId="7">#REF!</definedName>
    <definedName name="RevCol24" localSheetId="9">#REF!</definedName>
    <definedName name="RevCol24">#REF!</definedName>
    <definedName name="RevCol25" localSheetId="7">#REF!</definedName>
    <definedName name="RevCol25" localSheetId="9">#REF!</definedName>
    <definedName name="RevCol25">#REF!</definedName>
    <definedName name="RevCol26" localSheetId="7">#REF!</definedName>
    <definedName name="RevCol26" localSheetId="9">#REF!</definedName>
    <definedName name="RevCol26">#REF!</definedName>
    <definedName name="RevCol27" localSheetId="7">#REF!</definedName>
    <definedName name="RevCol27" localSheetId="9">#REF!</definedName>
    <definedName name="RevCol27">#REF!</definedName>
    <definedName name="RevCol28" localSheetId="7">#REF!</definedName>
    <definedName name="RevCol28" localSheetId="9">#REF!</definedName>
    <definedName name="RevCol28">#REF!</definedName>
    <definedName name="RevCol29" localSheetId="7">#REF!</definedName>
    <definedName name="RevCol29" localSheetId="9">#REF!</definedName>
    <definedName name="RevCol29">#REF!</definedName>
    <definedName name="RevCol30" localSheetId="7">#REF!</definedName>
    <definedName name="RevCol30" localSheetId="9">#REF!</definedName>
    <definedName name="RevCol30">#REF!</definedName>
    <definedName name="RevCol31" localSheetId="7">#REF!</definedName>
    <definedName name="RevCol31" localSheetId="9">#REF!</definedName>
    <definedName name="RevCol31">#REF!</definedName>
    <definedName name="RevCol32" localSheetId="7">#REF!</definedName>
    <definedName name="RevCol32" localSheetId="9">#REF!</definedName>
    <definedName name="RevCol32">#REF!</definedName>
    <definedName name="RevCol33" localSheetId="7">#REF!</definedName>
    <definedName name="RevCol33" localSheetId="9">#REF!</definedName>
    <definedName name="RevCol33">#REF!</definedName>
    <definedName name="RevCol34" localSheetId="7">#REF!</definedName>
    <definedName name="RevCol34" localSheetId="9">#REF!</definedName>
    <definedName name="RevCol34">#REF!</definedName>
    <definedName name="RevCol35" localSheetId="7">#REF!</definedName>
    <definedName name="RevCol35" localSheetId="9">#REF!</definedName>
    <definedName name="RevCol35">#REF!</definedName>
    <definedName name="RevCol36" localSheetId="7">#REF!</definedName>
    <definedName name="RevCol36" localSheetId="9">#REF!</definedName>
    <definedName name="RevCol36">#REF!</definedName>
    <definedName name="RevCol37" localSheetId="7">#REF!</definedName>
    <definedName name="RevCol37" localSheetId="9">#REF!</definedName>
    <definedName name="RevCol37">#REF!</definedName>
    <definedName name="RevColTmp" localSheetId="7">[12]RevDatabase!#REF!</definedName>
    <definedName name="RevColTmp" localSheetId="4">#REF!</definedName>
    <definedName name="RevColTmp" localSheetId="9">[12]RevDatabase!#REF!</definedName>
    <definedName name="RevColTmp">[12]RevDatabase!#REF!</definedName>
    <definedName name="RevColTmpA" localSheetId="7">[12]RevDatabase!#REF!</definedName>
    <definedName name="RevColTmpA" localSheetId="4">#REF!</definedName>
    <definedName name="RevColTmpA" localSheetId="9">[12]RevDatabase!#REF!</definedName>
    <definedName name="RevColTmpA">[12]RevDatabase!#REF!</definedName>
    <definedName name="RevColTmpB" localSheetId="7">[12]RevDatabase!#REF!</definedName>
    <definedName name="RevColTmpB" localSheetId="4">#REF!</definedName>
    <definedName name="RevColTmpB" localSheetId="9">[12]RevDatabase!#REF!</definedName>
    <definedName name="RevColTmpB">[12]RevDatabase!#REF!</definedName>
    <definedName name="revenues_hide_ku_01" localSheetId="7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7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7">#REF!</definedName>
    <definedName name="RowDetails1" localSheetId="9">#REF!</definedName>
    <definedName name="RowDetails1">#REF!</definedName>
    <definedName name="RPTCOL" localSheetId="7">#REF!</definedName>
    <definedName name="RPTCOL" localSheetId="9">#REF!</definedName>
    <definedName name="RPTCOL">#REF!</definedName>
    <definedName name="RPTROW" localSheetId="7">#REF!</definedName>
    <definedName name="RPTROW" localSheetId="9">#REF!</definedName>
    <definedName name="RPTROW">#REF!</definedName>
    <definedName name="Sales" localSheetId="7">'[4]LGE Sales'!#REF!</definedName>
    <definedName name="Sales" localSheetId="9">'[4]LGE Sales'!#REF!</definedName>
    <definedName name="Sales">'[4]LGE Sales'!#REF!</definedName>
    <definedName name="sales_hide_ku_01" localSheetId="7">'[4]LGE Sales'!#REF!</definedName>
    <definedName name="sales_hide_ku_01" localSheetId="9">'[4]LGE Sales'!#REF!</definedName>
    <definedName name="sales_hide_ku_01">'[4]LGE Sales'!#REF!</definedName>
    <definedName name="sales_ku_01" localSheetId="7">'[4]LGE Sales'!#REF!</definedName>
    <definedName name="sales_ku_01" localSheetId="9">'[4]LGE Sales'!#REF!</definedName>
    <definedName name="sales_ku_01">'[4]LGE Sales'!#REF!</definedName>
    <definedName name="sales_title_ku" localSheetId="7">'[4]LGE Sales'!#REF!</definedName>
    <definedName name="sales_title_ku" localSheetId="9">'[4]LGE Sales'!#REF!</definedName>
    <definedName name="sales_title_ku">'[4]LGE Sales'!#REF!</definedName>
    <definedName name="SCHEDZ" localSheetId="7">#REF!</definedName>
    <definedName name="SCHEDZ" localSheetId="4">#REF!</definedName>
    <definedName name="SCHEDZ" localSheetId="9">#REF!</definedName>
    <definedName name="SCHEDZ">#REF!</definedName>
    <definedName name="shoot" localSheetId="7">#REF!</definedName>
    <definedName name="shoot" localSheetId="9">#REF!</definedName>
    <definedName name="shoot">#REF!</definedName>
    <definedName name="START" localSheetId="7">#REF!</definedName>
    <definedName name="START" localSheetId="9">#REF!</definedName>
    <definedName name="START">#REF!</definedName>
    <definedName name="START2" localSheetId="7">#REF!</definedName>
    <definedName name="START2" localSheetId="9">#REF!</definedName>
    <definedName name="START2">#REF!</definedName>
    <definedName name="START3" localSheetId="7">#REF!</definedName>
    <definedName name="START3" localSheetId="9">#REF!</definedName>
    <definedName name="START3">#REF!</definedName>
    <definedName name="Support" localSheetId="7">#REF!</definedName>
    <definedName name="Support" localSheetId="4">#REF!</definedName>
    <definedName name="Support" localSheetId="9">#REF!</definedName>
    <definedName name="Support">#REF!</definedName>
    <definedName name="SUPPORT5" localSheetId="7">#REF!</definedName>
    <definedName name="SUPPORT5" localSheetId="4">#REF!</definedName>
    <definedName name="SUPPORT5" localSheetId="9">#REF!</definedName>
    <definedName name="SUPPORT5">#REF!</definedName>
    <definedName name="SUPPORT6" localSheetId="7">#REF!</definedName>
    <definedName name="SUPPORT6" localSheetId="4">#REF!</definedName>
    <definedName name="SUPPORT6" localSheetId="9">#REF!</definedName>
    <definedName name="SUPPORT6">#REF!</definedName>
    <definedName name="TAX_RATE" localSheetId="7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7">#REF!</definedName>
    <definedName name="TenyrNIAC" localSheetId="9">#REF!</definedName>
    <definedName name="TenyrNIAC">#REF!</definedName>
    <definedName name="TenyrRev" localSheetId="7">#REF!</definedName>
    <definedName name="TenyrRev" localSheetId="9">#REF!</definedName>
    <definedName name="TenyrRev">#REF!</definedName>
    <definedName name="test" localSheetId="4">RS!test</definedName>
    <definedName name="test">[0]!test</definedName>
    <definedName name="Title" localSheetId="7">#REF!</definedName>
    <definedName name="Title" localSheetId="9">#REF!</definedName>
    <definedName name="Title">#REF!</definedName>
    <definedName name="Title_Choice" localSheetId="7">#REF!</definedName>
    <definedName name="Title_Choice" localSheetId="9">#REF!</definedName>
    <definedName name="Title_Choice">#REF!</definedName>
    <definedName name="Titles" localSheetId="7">#REF!</definedName>
    <definedName name="Titles" localSheetId="9">#REF!</definedName>
    <definedName name="Titles">#REF!</definedName>
    <definedName name="Titles_KU" localSheetId="7">#REF!</definedName>
    <definedName name="Titles_KU" localSheetId="9">#REF!</definedName>
    <definedName name="Titles_KU">#REF!</definedName>
    <definedName name="ttt" localSheetId="7">#REF!</definedName>
    <definedName name="ttt" localSheetId="4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7">#REF!</definedName>
    <definedName name="Variance" localSheetId="9">#REF!</definedName>
    <definedName name="Variance">#REF!</definedName>
    <definedName name="VIEW1" localSheetId="7">#REF!</definedName>
    <definedName name="VIEW1" localSheetId="9">#REF!</definedName>
    <definedName name="VIEW1">#REF!</definedName>
    <definedName name="vol_rev_annual_ku" localSheetId="7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7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7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7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7">'[4]LGE Retail Margin'!#REF!</definedName>
    <definedName name="volrev_data" localSheetId="9">'[4]LGE Retail Margin'!#REF!</definedName>
    <definedName name="volrev_data">'[4]LGE Retail Margin'!#REF!</definedName>
    <definedName name="YTD" localSheetId="7">#REF!</definedName>
    <definedName name="YTD" localSheetId="4">#REF!</definedName>
    <definedName name="YTD" localSheetId="9">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95" i="2" l="1"/>
  <c r="AB995" i="2" s="1"/>
  <c r="R917" i="2" l="1"/>
  <c r="G917" i="2" l="1"/>
  <c r="F922" i="2"/>
  <c r="AA1093" i="2" l="1"/>
  <c r="AB1093" i="2" s="1"/>
  <c r="S1093" i="2" l="1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AA1095" i="2" l="1"/>
  <c r="AB1095" i="2" s="1"/>
  <c r="D37" i="32" l="1"/>
  <c r="D37" i="31"/>
  <c r="U1044" i="2" l="1"/>
  <c r="T1044" i="2"/>
  <c r="D32" i="5"/>
  <c r="F698" i="2" l="1"/>
  <c r="F104" i="1"/>
  <c r="F705" i="2" l="1"/>
  <c r="F704" i="2"/>
  <c r="U1030" i="2" l="1"/>
  <c r="T1016" i="2" l="1"/>
  <c r="U1016" i="2" l="1"/>
  <c r="S1080" i="2" l="1"/>
  <c r="S1059" i="2"/>
  <c r="T1002" i="2" l="1"/>
  <c r="T1009" i="2" s="1"/>
  <c r="U1009" i="2" l="1"/>
  <c r="F327" i="1" l="1"/>
  <c r="F577" i="1" l="1"/>
  <c r="F573" i="1"/>
  <c r="F101" i="1" l="1"/>
  <c r="F598" i="1"/>
  <c r="F296" i="1" l="1"/>
  <c r="F231" i="1"/>
  <c r="F219" i="1"/>
  <c r="F214" i="1"/>
  <c r="F161" i="1"/>
  <c r="F149" i="1"/>
  <c r="F148" i="1"/>
  <c r="F64" i="1" l="1"/>
  <c r="D8" i="5" l="1"/>
  <c r="M978" i="2" l="1"/>
  <c r="L978" i="2"/>
  <c r="K978" i="2"/>
  <c r="H978" i="2"/>
  <c r="G978" i="2"/>
  <c r="F77" i="1" l="1"/>
  <c r="D12" i="7" l="1"/>
  <c r="C12" i="7"/>
  <c r="B24" i="5"/>
  <c r="B30" i="5"/>
  <c r="B28" i="5"/>
  <c r="B26" i="5"/>
  <c r="B20" i="5"/>
  <c r="C16" i="5"/>
  <c r="B16" i="5"/>
  <c r="C18" i="5"/>
  <c r="B18" i="5"/>
  <c r="B12" i="5"/>
  <c r="C14" i="5"/>
  <c r="B14" i="5"/>
  <c r="C10" i="5"/>
  <c r="B10" i="5"/>
  <c r="C8" i="5"/>
  <c r="B8" i="5"/>
  <c r="H1103" i="2" l="1"/>
  <c r="G1103" i="2"/>
  <c r="W617" i="1" l="1"/>
  <c r="V617" i="1"/>
  <c r="T617" i="1"/>
  <c r="U617" i="1"/>
  <c r="W619" i="1"/>
  <c r="V619" i="1"/>
  <c r="U619" i="1"/>
  <c r="T619" i="1"/>
  <c r="G32" i="5" l="1"/>
  <c r="G30" i="5"/>
  <c r="G28" i="5"/>
  <c r="G26" i="5"/>
  <c r="G24" i="5"/>
  <c r="G989" i="2"/>
  <c r="H989" i="2"/>
  <c r="L989" i="2"/>
  <c r="H50" i="4" l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 l="1"/>
  <c r="H35" i="4"/>
  <c r="S920" i="2"/>
  <c r="AA920" i="2" s="1"/>
  <c r="AB920" i="2" s="1"/>
  <c r="F935" i="2"/>
  <c r="F932" i="2" l="1"/>
  <c r="F933" i="2"/>
  <c r="H51" i="34"/>
  <c r="G51" i="34"/>
  <c r="E37" i="34"/>
  <c r="K37" i="34" s="1"/>
  <c r="L37" i="34" s="1"/>
  <c r="G34" i="34"/>
  <c r="K34" i="34" s="1"/>
  <c r="L34" i="34" s="1"/>
  <c r="F33" i="34"/>
  <c r="K33" i="34" s="1"/>
  <c r="L33" i="34" s="1"/>
  <c r="E32" i="34"/>
  <c r="K32" i="34" s="1"/>
  <c r="L32" i="34" s="1"/>
  <c r="H51" i="31" l="1"/>
  <c r="E37" i="31"/>
  <c r="K37" i="31" s="1"/>
  <c r="L37" i="31" s="1"/>
  <c r="G34" i="31"/>
  <c r="K34" i="31" s="1"/>
  <c r="L34" i="31" s="1"/>
  <c r="F33" i="31"/>
  <c r="K33" i="31" s="1"/>
  <c r="L33" i="31" s="1"/>
  <c r="E32" i="31"/>
  <c r="K32" i="31" s="1"/>
  <c r="L32" i="31" s="1"/>
  <c r="H51" i="32"/>
  <c r="E37" i="32"/>
  <c r="K37" i="32" s="1"/>
  <c r="L37" i="32" s="1"/>
  <c r="G34" i="32"/>
  <c r="F33" i="32"/>
  <c r="K33" i="32" s="1"/>
  <c r="L33" i="32" s="1"/>
  <c r="E32" i="32"/>
  <c r="K32" i="32" s="1"/>
  <c r="L32" i="32" s="1"/>
  <c r="H51" i="28"/>
  <c r="E37" i="28"/>
  <c r="K37" i="28" s="1"/>
  <c r="L37" i="28" s="1"/>
  <c r="G34" i="28"/>
  <c r="F33" i="28"/>
  <c r="K33" i="28" s="1"/>
  <c r="L33" i="28" s="1"/>
  <c r="E32" i="28"/>
  <c r="K32" i="28" s="1"/>
  <c r="L32" i="28" s="1"/>
  <c r="H51" i="27"/>
  <c r="G51" i="27"/>
  <c r="E37" i="27"/>
  <c r="K37" i="27" s="1"/>
  <c r="L37" i="27" s="1"/>
  <c r="G34" i="27"/>
  <c r="K34" i="27" s="1"/>
  <c r="L34" i="27" s="1"/>
  <c r="F33" i="27"/>
  <c r="K33" i="27" s="1"/>
  <c r="L33" i="27" s="1"/>
  <c r="E32" i="27"/>
  <c r="K32" i="27" s="1"/>
  <c r="L32" i="27" s="1"/>
  <c r="H51" i="26"/>
  <c r="G51" i="26"/>
  <c r="K34" i="32" l="1"/>
  <c r="L34" i="32" s="1"/>
  <c r="K34" i="28"/>
  <c r="L34" i="28" s="1"/>
  <c r="E37" i="26" l="1"/>
  <c r="K37" i="26" s="1"/>
  <c r="L37" i="26" s="1"/>
  <c r="G34" i="26"/>
  <c r="K34" i="26" s="1"/>
  <c r="L34" i="26" s="1"/>
  <c r="F33" i="26"/>
  <c r="E32" i="26"/>
  <c r="K32" i="26" s="1"/>
  <c r="L32" i="26" s="1"/>
  <c r="K33" i="26" l="1"/>
  <c r="L33" i="26" s="1"/>
  <c r="F799" i="2" l="1"/>
  <c r="E821" i="2"/>
  <c r="S1066" i="2" l="1"/>
  <c r="M701" i="2" l="1"/>
  <c r="L701" i="2"/>
  <c r="K701" i="2"/>
  <c r="AA701" i="2" s="1"/>
  <c r="J51" i="32" l="1"/>
  <c r="I51" i="32"/>
  <c r="J51" i="26"/>
  <c r="I51" i="26"/>
  <c r="I51" i="28"/>
  <c r="J51" i="28"/>
  <c r="J51" i="34"/>
  <c r="I51" i="34"/>
  <c r="J51" i="31"/>
  <c r="I51" i="31"/>
  <c r="D38" i="8"/>
  <c r="D36" i="8"/>
  <c r="D34" i="8"/>
  <c r="D32" i="8"/>
  <c r="C32" i="8"/>
  <c r="AA1066" i="2" l="1"/>
  <c r="AB1066" i="2" s="1"/>
  <c r="A36" i="4" l="1"/>
  <c r="A62" i="4" s="1"/>
  <c r="A37" i="4"/>
  <c r="A63" i="4" s="1"/>
  <c r="A38" i="4"/>
  <c r="A64" i="4" s="1"/>
  <c r="A39" i="4"/>
  <c r="A65" i="4" s="1"/>
  <c r="A40" i="4"/>
  <c r="A66" i="4" s="1"/>
  <c r="A41" i="4"/>
  <c r="A67" i="4" s="1"/>
  <c r="A42" i="4"/>
  <c r="A68" i="4" s="1"/>
  <c r="A43" i="4"/>
  <c r="A69" i="4" s="1"/>
  <c r="A44" i="4"/>
  <c r="A70" i="4" s="1"/>
  <c r="A45" i="4"/>
  <c r="A71" i="4" s="1"/>
  <c r="A46" i="4"/>
  <c r="A72" i="4" s="1"/>
  <c r="A47" i="4"/>
  <c r="A73" i="4" s="1"/>
  <c r="A48" i="4"/>
  <c r="A74" i="4" s="1"/>
  <c r="A49" i="4"/>
  <c r="A75" i="4" s="1"/>
  <c r="AA918" i="2" l="1"/>
  <c r="AA1044" i="2" l="1"/>
  <c r="AB1044" i="2" s="1"/>
  <c r="Z1042" i="2"/>
  <c r="Y1042" i="2"/>
  <c r="X1042" i="2"/>
  <c r="W1042" i="2"/>
  <c r="V1042" i="2"/>
  <c r="D26" i="8" l="1"/>
  <c r="AA1016" i="2" l="1"/>
  <c r="AB1016" i="2" s="1"/>
  <c r="S706" i="2"/>
  <c r="AA706" i="2" s="1"/>
  <c r="F1028" i="2"/>
  <c r="T1114" i="2" l="1"/>
  <c r="S1114" i="2"/>
  <c r="R1114" i="2"/>
  <c r="Q1114" i="2"/>
  <c r="P1114" i="2"/>
  <c r="O1114" i="2"/>
  <c r="N1114" i="2"/>
  <c r="M1114" i="2"/>
  <c r="L1114" i="2"/>
  <c r="K1114" i="2"/>
  <c r="J1114" i="2"/>
  <c r="I1114" i="2"/>
  <c r="K768" i="2" l="1"/>
  <c r="K1118" i="2"/>
  <c r="M1117" i="2" l="1"/>
  <c r="E26" i="8" l="1"/>
  <c r="U966" i="2" l="1"/>
  <c r="T966" i="2"/>
  <c r="S966" i="2"/>
  <c r="R966" i="2"/>
  <c r="O966" i="2"/>
  <c r="U962" i="2"/>
  <c r="T962" i="2"/>
  <c r="S962" i="2"/>
  <c r="R962" i="2"/>
  <c r="Q962" i="2"/>
  <c r="P962" i="2"/>
  <c r="O962" i="2"/>
  <c r="N962" i="2"/>
  <c r="M962" i="2"/>
  <c r="L962" i="2"/>
  <c r="K962" i="2"/>
  <c r="J962" i="2"/>
  <c r="G962" i="2"/>
  <c r="I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D30" i="8"/>
  <c r="E30" i="8" s="1"/>
  <c r="R963" i="2" l="1"/>
  <c r="S963" i="2"/>
  <c r="F51" i="34"/>
  <c r="P963" i="2"/>
  <c r="Q963" i="2"/>
  <c r="Q966" i="2"/>
  <c r="N963" i="2"/>
  <c r="F51" i="27"/>
  <c r="M963" i="2"/>
  <c r="F51" i="31"/>
  <c r="J963" i="2"/>
  <c r="F51" i="26"/>
  <c r="I963" i="2"/>
  <c r="K963" i="2"/>
  <c r="F51" i="32"/>
  <c r="L963" i="2"/>
  <c r="F51" i="28"/>
  <c r="G966" i="2"/>
  <c r="F40" i="7"/>
  <c r="E38" i="7"/>
  <c r="G38" i="7" s="1"/>
  <c r="U1050" i="2" s="1"/>
  <c r="U1085" i="2" s="1"/>
  <c r="E36" i="7"/>
  <c r="G36" i="7" s="1"/>
  <c r="T1050" i="2" s="1"/>
  <c r="T1085" i="2" s="1"/>
  <c r="E34" i="7"/>
  <c r="G34" i="7" s="1"/>
  <c r="S1050" i="2" s="1"/>
  <c r="S1085" i="2" s="1"/>
  <c r="E32" i="7"/>
  <c r="E30" i="7"/>
  <c r="E26" i="7"/>
  <c r="G26" i="7" s="1"/>
  <c r="O1050" i="2" s="1"/>
  <c r="O1078" i="2" s="1"/>
  <c r="E24" i="7"/>
  <c r="E20" i="7"/>
  <c r="G20" i="7" s="1"/>
  <c r="L1050" i="2" s="1"/>
  <c r="L1085" i="2" s="1"/>
  <c r="D32" i="7"/>
  <c r="D24" i="7"/>
  <c r="D30" i="7"/>
  <c r="E10" i="7" l="1"/>
  <c r="G10" i="7" s="1"/>
  <c r="G1050" i="2" s="1"/>
  <c r="G1085" i="2" s="1"/>
  <c r="L1071" i="2"/>
  <c r="D18" i="8"/>
  <c r="K966" i="2"/>
  <c r="S1071" i="2"/>
  <c r="E18" i="7"/>
  <c r="G18" i="7" s="1"/>
  <c r="K1050" i="2" s="1"/>
  <c r="D22" i="8"/>
  <c r="M966" i="2"/>
  <c r="T1057" i="2"/>
  <c r="T1064" i="2" s="1"/>
  <c r="E14" i="7"/>
  <c r="G14" i="7" s="1"/>
  <c r="I1050" i="2" s="1"/>
  <c r="I1085" i="2" s="1"/>
  <c r="D14" i="8"/>
  <c r="I966" i="2"/>
  <c r="D24" i="8"/>
  <c r="E24" i="8" s="1"/>
  <c r="N966" i="2"/>
  <c r="S1057" i="2"/>
  <c r="S1064" i="2" s="1"/>
  <c r="L1078" i="2"/>
  <c r="L1057" i="2"/>
  <c r="L1064" i="2" s="1"/>
  <c r="E16" i="7"/>
  <c r="G16" i="7" s="1"/>
  <c r="J1050" i="2" s="1"/>
  <c r="J1057" i="2" s="1"/>
  <c r="J1064" i="2" s="1"/>
  <c r="D16" i="8"/>
  <c r="J966" i="2"/>
  <c r="T1078" i="2"/>
  <c r="E22" i="7"/>
  <c r="G22" i="7" s="1"/>
  <c r="M1050" i="2" s="1"/>
  <c r="D20" i="8"/>
  <c r="L966" i="2"/>
  <c r="E28" i="7"/>
  <c r="D28" i="8"/>
  <c r="E28" i="8" s="1"/>
  <c r="P966" i="2"/>
  <c r="T1071" i="2"/>
  <c r="S1078" i="2"/>
  <c r="O1057" i="2"/>
  <c r="O1064" i="2" s="1"/>
  <c r="O1085" i="2"/>
  <c r="O1071" i="2"/>
  <c r="U1078" i="2"/>
  <c r="U1071" i="2"/>
  <c r="U1057" i="2"/>
  <c r="U1064" i="2" s="1"/>
  <c r="D28" i="7"/>
  <c r="K1103" i="2" l="1"/>
  <c r="I1103" i="2"/>
  <c r="J1103" i="2"/>
  <c r="M1103" i="2"/>
  <c r="L1103" i="2"/>
  <c r="K1102" i="2"/>
  <c r="M1102" i="2"/>
  <c r="L1102" i="2"/>
  <c r="J1102" i="2"/>
  <c r="I1102" i="2"/>
  <c r="J1085" i="2"/>
  <c r="J1078" i="2"/>
  <c r="G1078" i="2"/>
  <c r="J1071" i="2"/>
  <c r="I1078" i="2"/>
  <c r="I1071" i="2"/>
  <c r="K1085" i="2"/>
  <c r="K1078" i="2"/>
  <c r="K1057" i="2"/>
  <c r="K1064" i="2" s="1"/>
  <c r="K1071" i="2"/>
  <c r="G1057" i="2"/>
  <c r="G1064" i="2" s="1"/>
  <c r="M1085" i="2"/>
  <c r="M1071" i="2"/>
  <c r="M1078" i="2"/>
  <c r="M1057" i="2"/>
  <c r="M1064" i="2" s="1"/>
  <c r="G1071" i="2"/>
  <c r="I1057" i="2"/>
  <c r="I1064" i="2" s="1"/>
  <c r="C32" i="7"/>
  <c r="G32" i="7" s="1"/>
  <c r="R1050" i="2" s="1"/>
  <c r="C28" i="7"/>
  <c r="G28" i="7" s="1"/>
  <c r="P1050" i="2" s="1"/>
  <c r="AA1087" i="2"/>
  <c r="AB1087" i="2" s="1"/>
  <c r="Z1085" i="2"/>
  <c r="Y1085" i="2"/>
  <c r="X1085" i="2"/>
  <c r="W1085" i="2"/>
  <c r="V1085" i="2"/>
  <c r="AA1080" i="2"/>
  <c r="AB1080" i="2" s="1"/>
  <c r="Z1078" i="2"/>
  <c r="Y1078" i="2"/>
  <c r="X1078" i="2"/>
  <c r="W1078" i="2"/>
  <c r="V1078" i="2"/>
  <c r="AA1073" i="2"/>
  <c r="AB1073" i="2" s="1"/>
  <c r="Z1071" i="2"/>
  <c r="Y1071" i="2"/>
  <c r="X1071" i="2"/>
  <c r="W1071" i="2"/>
  <c r="V1071" i="2"/>
  <c r="AA1059" i="2"/>
  <c r="AB1059" i="2" s="1"/>
  <c r="Z1057" i="2"/>
  <c r="Y1057" i="2"/>
  <c r="X1057" i="2"/>
  <c r="W1057" i="2"/>
  <c r="V1057" i="2"/>
  <c r="F1104" i="2"/>
  <c r="AA1107" i="2"/>
  <c r="AB1107" i="2" s="1"/>
  <c r="AA1108" i="2"/>
  <c r="AB1108" i="2" s="1"/>
  <c r="AA1052" i="2"/>
  <c r="AB1052" i="2" s="1"/>
  <c r="Z1050" i="2"/>
  <c r="Z1064" i="2" s="1"/>
  <c r="Y1050" i="2"/>
  <c r="Y1064" i="2" s="1"/>
  <c r="X1050" i="2"/>
  <c r="X1064" i="2" s="1"/>
  <c r="W1050" i="2"/>
  <c r="W1064" i="2" s="1"/>
  <c r="V1050" i="2"/>
  <c r="V1064" i="2" s="1"/>
  <c r="F1035" i="2"/>
  <c r="AA1037" i="2"/>
  <c r="AB1037" i="2" s="1"/>
  <c r="Z1035" i="2"/>
  <c r="Y1035" i="2"/>
  <c r="X1035" i="2"/>
  <c r="W1035" i="2"/>
  <c r="V1035" i="2"/>
  <c r="AA1023" i="2"/>
  <c r="AB1023" i="2" s="1"/>
  <c r="Z1021" i="2"/>
  <c r="Y1021" i="2"/>
  <c r="X1021" i="2"/>
  <c r="W1021" i="2"/>
  <c r="V1021" i="2"/>
  <c r="AA1102" i="2" l="1"/>
  <c r="AB1102" i="2" s="1"/>
  <c r="P1085" i="2"/>
  <c r="P1071" i="2"/>
  <c r="P1057" i="2"/>
  <c r="P1064" i="2" s="1"/>
  <c r="P1078" i="2"/>
  <c r="R1085" i="2"/>
  <c r="R1071" i="2"/>
  <c r="R1078" i="2"/>
  <c r="R1057" i="2"/>
  <c r="R1064" i="2" s="1"/>
  <c r="F1042" i="2"/>
  <c r="F1000" i="2"/>
  <c r="D12" i="8" l="1"/>
  <c r="H966" i="2"/>
  <c r="E12" i="7"/>
  <c r="G12" i="7" s="1"/>
  <c r="H1050" i="2" s="1"/>
  <c r="U992" i="2"/>
  <c r="T992" i="2"/>
  <c r="J992" i="2"/>
  <c r="H992" i="2"/>
  <c r="U991" i="2"/>
  <c r="T991" i="2"/>
  <c r="L991" i="2"/>
  <c r="J991" i="2"/>
  <c r="H991" i="2"/>
  <c r="G991" i="2"/>
  <c r="H1085" i="2" l="1"/>
  <c r="H1057" i="2"/>
  <c r="H1078" i="2"/>
  <c r="H1071" i="2"/>
  <c r="U990" i="2"/>
  <c r="T990" i="2"/>
  <c r="S990" i="2"/>
  <c r="R990" i="2"/>
  <c r="Q990" i="2"/>
  <c r="P990" i="2"/>
  <c r="O990" i="2"/>
  <c r="N990" i="2"/>
  <c r="L990" i="2"/>
  <c r="K990" i="2"/>
  <c r="J990" i="2"/>
  <c r="I990" i="2"/>
  <c r="U989" i="2"/>
  <c r="T989" i="2"/>
  <c r="S989" i="2"/>
  <c r="R989" i="2"/>
  <c r="Q989" i="2"/>
  <c r="P989" i="2"/>
  <c r="O989" i="2"/>
  <c r="N989" i="2"/>
  <c r="M989" i="2"/>
  <c r="K989" i="2"/>
  <c r="J989" i="2"/>
  <c r="I989" i="2"/>
  <c r="U994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U993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4" i="2"/>
  <c r="AB994" i="2" s="1"/>
  <c r="F993" i="2"/>
  <c r="AB993" i="2" s="1"/>
  <c r="H1064" i="2" l="1"/>
  <c r="R992" i="2"/>
  <c r="R991" i="2"/>
  <c r="Q991" i="2"/>
  <c r="Q992" i="2"/>
  <c r="P992" i="2"/>
  <c r="P991" i="2"/>
  <c r="O992" i="2"/>
  <c r="O991" i="2"/>
  <c r="S992" i="2"/>
  <c r="S991" i="2"/>
  <c r="F165" i="1" l="1"/>
  <c r="E846" i="2" l="1"/>
  <c r="H632" i="1" l="1"/>
  <c r="G992" i="2" l="1"/>
  <c r="C24" i="7"/>
  <c r="G24" i="7" s="1"/>
  <c r="N1050" i="2" s="1"/>
  <c r="H962" i="2"/>
  <c r="H961" i="2"/>
  <c r="H990" i="2"/>
  <c r="N1085" i="2" l="1"/>
  <c r="N1078" i="2"/>
  <c r="N1071" i="2"/>
  <c r="N1057" i="2"/>
  <c r="E51" i="24"/>
  <c r="G51" i="24"/>
  <c r="H51" i="24"/>
  <c r="F51" i="24"/>
  <c r="H963" i="2"/>
  <c r="AA989" i="2"/>
  <c r="AB989" i="2" s="1"/>
  <c r="F465" i="1"/>
  <c r="N1064" i="2" l="1"/>
  <c r="F108" i="1"/>
  <c r="F48" i="1"/>
  <c r="F35" i="1"/>
  <c r="F29" i="1"/>
  <c r="F50" i="1" l="1"/>
  <c r="F117" i="1" l="1"/>
  <c r="N1007" i="2" l="1"/>
  <c r="N1014" i="2" s="1"/>
  <c r="E888" i="2"/>
  <c r="M986" i="2"/>
  <c r="N986" i="2"/>
  <c r="A35" i="4"/>
  <c r="A61" i="4" s="1"/>
  <c r="AA752" i="2"/>
  <c r="AB752" i="2" s="1"/>
  <c r="V618" i="1"/>
  <c r="U618" i="1"/>
  <c r="F1119" i="2"/>
  <c r="F768" i="2" s="1"/>
  <c r="S967" i="2"/>
  <c r="E38" i="8"/>
  <c r="Q967" i="2"/>
  <c r="E22" i="8"/>
  <c r="E20" i="8"/>
  <c r="O1000" i="2"/>
  <c r="L967" i="2"/>
  <c r="I967" i="2"/>
  <c r="U961" i="2"/>
  <c r="G967" i="2"/>
  <c r="T1000" i="2"/>
  <c r="N1000" i="2"/>
  <c r="L1000" i="2"/>
  <c r="T1007" i="2"/>
  <c r="T1014" i="2" s="1"/>
  <c r="I1007" i="2"/>
  <c r="I1014" i="2" s="1"/>
  <c r="H1007" i="2"/>
  <c r="H1014" i="2" s="1"/>
  <c r="G1000" i="2"/>
  <c r="G1007" i="2"/>
  <c r="G1014" i="2" s="1"/>
  <c r="G990" i="2"/>
  <c r="J1000" i="2"/>
  <c r="J1007" i="2"/>
  <c r="J1014" i="2" s="1"/>
  <c r="V907" i="2"/>
  <c r="Z819" i="2"/>
  <c r="Y819" i="2"/>
  <c r="X819" i="2"/>
  <c r="W819" i="2"/>
  <c r="V819" i="2"/>
  <c r="U819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M768" i="2"/>
  <c r="V963" i="2"/>
  <c r="V1028" i="2" s="1"/>
  <c r="W963" i="2"/>
  <c r="W1028" i="2" s="1"/>
  <c r="M1000" i="2"/>
  <c r="M1007" i="2"/>
  <c r="M1014" i="2" s="1"/>
  <c r="C30" i="7"/>
  <c r="G30" i="7" s="1"/>
  <c r="Q1050" i="2" s="1"/>
  <c r="F131" i="1"/>
  <c r="U1000" i="2"/>
  <c r="S1000" i="2"/>
  <c r="R1000" i="2"/>
  <c r="Q1000" i="2"/>
  <c r="P1000" i="2"/>
  <c r="U1007" i="2"/>
  <c r="U1014" i="2" s="1"/>
  <c r="S1007" i="2"/>
  <c r="S1014" i="2" s="1"/>
  <c r="R1007" i="2"/>
  <c r="R1014" i="2" s="1"/>
  <c r="Q1007" i="2"/>
  <c r="Q1014" i="2" s="1"/>
  <c r="P1007" i="2"/>
  <c r="P1014" i="2" s="1"/>
  <c r="G43" i="7"/>
  <c r="E18" i="8"/>
  <c r="E16" i="8"/>
  <c r="D10" i="8"/>
  <c r="E10" i="8" s="1"/>
  <c r="E43" i="8"/>
  <c r="F767" i="2"/>
  <c r="I632" i="1"/>
  <c r="J632" i="1"/>
  <c r="F643" i="1"/>
  <c r="W618" i="1"/>
  <c r="AF617" i="1"/>
  <c r="AG617" i="1" s="1"/>
  <c r="O1007" i="2"/>
  <c r="O1014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F855" i="2" s="1"/>
  <c r="AA844" i="2"/>
  <c r="AB844" i="2" s="1"/>
  <c r="Z901" i="2"/>
  <c r="U963" i="2"/>
  <c r="V967" i="2"/>
  <c r="V968" i="2" s="1"/>
  <c r="V969" i="2" s="1"/>
  <c r="W967" i="2"/>
  <c r="W968" i="2" s="1"/>
  <c r="W971" i="2" s="1"/>
  <c r="X967" i="2"/>
  <c r="X968" i="2" s="1"/>
  <c r="X969" i="2" s="1"/>
  <c r="X971" i="2" s="1"/>
  <c r="Y967" i="2"/>
  <c r="Y968" i="2" s="1"/>
  <c r="Y969" i="2" s="1"/>
  <c r="Y971" i="2" s="1"/>
  <c r="Z967" i="2"/>
  <c r="Z968" i="2" s="1"/>
  <c r="Z969" i="2" s="1"/>
  <c r="Z971" i="2" s="1"/>
  <c r="X974" i="2"/>
  <c r="Y974" i="2"/>
  <c r="Z974" i="2"/>
  <c r="V979" i="2"/>
  <c r="V980" i="2" s="1"/>
  <c r="W979" i="2"/>
  <c r="W980" i="2" s="1"/>
  <c r="X979" i="2"/>
  <c r="X980" i="2" s="1"/>
  <c r="X982" i="2" s="1"/>
  <c r="Y979" i="2"/>
  <c r="Y980" i="2" s="1"/>
  <c r="Y982" i="2" s="1"/>
  <c r="Z979" i="2"/>
  <c r="Z980" i="2" s="1"/>
  <c r="Z982" i="2" s="1"/>
  <c r="V985" i="2"/>
  <c r="W985" i="2"/>
  <c r="X985" i="2"/>
  <c r="Y985" i="2"/>
  <c r="Z985" i="2"/>
  <c r="V1000" i="2"/>
  <c r="V1014" i="2" s="1"/>
  <c r="W1000" i="2"/>
  <c r="W1014" i="2" s="1"/>
  <c r="X1000" i="2"/>
  <c r="X1014" i="2" s="1"/>
  <c r="Y1000" i="2"/>
  <c r="Y1014" i="2" s="1"/>
  <c r="Z1000" i="2"/>
  <c r="Z1014" i="2" s="1"/>
  <c r="AA1002" i="2"/>
  <c r="AB1002" i="2" s="1"/>
  <c r="F1007" i="2"/>
  <c r="V1007" i="2"/>
  <c r="W1007" i="2"/>
  <c r="X1007" i="2"/>
  <c r="Y1007" i="2"/>
  <c r="Z1007" i="2"/>
  <c r="AA1009" i="2"/>
  <c r="AB1009" i="2" s="1"/>
  <c r="X1028" i="2"/>
  <c r="Y1028" i="2"/>
  <c r="Z1028" i="2"/>
  <c r="AA1030" i="2"/>
  <c r="AB1030" i="2" s="1"/>
  <c r="H1114" i="2"/>
  <c r="U1114" i="2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37" i="5"/>
  <c r="G37" i="5"/>
  <c r="F15" i="1"/>
  <c r="B37" i="5"/>
  <c r="M967" i="2"/>
  <c r="T618" i="1"/>
  <c r="H967" i="2"/>
  <c r="E34" i="8"/>
  <c r="R967" i="2"/>
  <c r="U967" i="2"/>
  <c r="U978" i="2" s="1"/>
  <c r="H1000" i="2"/>
  <c r="E36" i="8"/>
  <c r="G1114" i="2"/>
  <c r="T967" i="2"/>
  <c r="G961" i="2"/>
  <c r="L1007" i="2"/>
  <c r="L1014" i="2" s="1"/>
  <c r="I1000" i="2"/>
  <c r="G919" i="2" l="1"/>
  <c r="H968" i="2"/>
  <c r="H971" i="2" s="1"/>
  <c r="S978" i="2"/>
  <c r="S985" i="2" s="1"/>
  <c r="R978" i="2"/>
  <c r="R985" i="2" s="1"/>
  <c r="M968" i="2"/>
  <c r="M971" i="2" s="1"/>
  <c r="L968" i="2"/>
  <c r="I985" i="2"/>
  <c r="Q1085" i="2"/>
  <c r="AA1085" i="2" s="1"/>
  <c r="Q1057" i="2"/>
  <c r="Q1078" i="2"/>
  <c r="AA1078" i="2" s="1"/>
  <c r="Q1071" i="2"/>
  <c r="AA1071" i="2" s="1"/>
  <c r="AA1050" i="2"/>
  <c r="F1021" i="2"/>
  <c r="F1014" i="2"/>
  <c r="F769" i="2"/>
  <c r="V971" i="2"/>
  <c r="V972" i="2" s="1"/>
  <c r="L969" i="2"/>
  <c r="L971" i="2"/>
  <c r="F96" i="1"/>
  <c r="R1028" i="2"/>
  <c r="R1035" i="2" s="1"/>
  <c r="R1042" i="2" s="1"/>
  <c r="R1021" i="2"/>
  <c r="M1028" i="2"/>
  <c r="M1035" i="2" s="1"/>
  <c r="M1042" i="2" s="1"/>
  <c r="M1021" i="2"/>
  <c r="H1028" i="2"/>
  <c r="H1035" i="2" s="1"/>
  <c r="H1042" i="2" s="1"/>
  <c r="H1021" i="2"/>
  <c r="O1028" i="2"/>
  <c r="O1035" i="2" s="1"/>
  <c r="O1042" i="2" s="1"/>
  <c r="O1021" i="2"/>
  <c r="S1028" i="2"/>
  <c r="S1035" i="2" s="1"/>
  <c r="S1042" i="2" s="1"/>
  <c r="S1021" i="2"/>
  <c r="I1028" i="2"/>
  <c r="I1035" i="2" s="1"/>
  <c r="I1042" i="2" s="1"/>
  <c r="I1021" i="2"/>
  <c r="Q1028" i="2"/>
  <c r="Q1035" i="2" s="1"/>
  <c r="Q1042" i="2" s="1"/>
  <c r="Q1021" i="2"/>
  <c r="J1028" i="2"/>
  <c r="J1035" i="2" s="1"/>
  <c r="J1042" i="2" s="1"/>
  <c r="J1021" i="2"/>
  <c r="L1028" i="2"/>
  <c r="L1035" i="2" s="1"/>
  <c r="L1042" i="2" s="1"/>
  <c r="L1021" i="2"/>
  <c r="P1028" i="2"/>
  <c r="P1035" i="2" s="1"/>
  <c r="P1042" i="2" s="1"/>
  <c r="P1021" i="2"/>
  <c r="U1028" i="2"/>
  <c r="U1035" i="2" s="1"/>
  <c r="U1042" i="2" s="1"/>
  <c r="U1021" i="2"/>
  <c r="G1028" i="2"/>
  <c r="G1035" i="2" s="1"/>
  <c r="G1042" i="2" s="1"/>
  <c r="G1021" i="2"/>
  <c r="T1028" i="2"/>
  <c r="T1035" i="2" s="1"/>
  <c r="T1042" i="2" s="1"/>
  <c r="T1021" i="2"/>
  <c r="N1028" i="2"/>
  <c r="N1035" i="2" s="1"/>
  <c r="N1042" i="2" s="1"/>
  <c r="N1021" i="2"/>
  <c r="F425" i="1"/>
  <c r="T963" i="2"/>
  <c r="P967" i="2"/>
  <c r="K967" i="2"/>
  <c r="O967" i="2"/>
  <c r="G957" i="2"/>
  <c r="W974" i="2"/>
  <c r="W972" i="2"/>
  <c r="W973" i="2" s="1"/>
  <c r="L979" i="2"/>
  <c r="L982" i="2" s="1"/>
  <c r="W982" i="2"/>
  <c r="W983" i="2" s="1"/>
  <c r="W984" i="2" s="1"/>
  <c r="F1117" i="2"/>
  <c r="W969" i="2"/>
  <c r="F608" i="1"/>
  <c r="G276" i="1"/>
  <c r="G278" i="1" s="1"/>
  <c r="G308" i="1" s="1"/>
  <c r="G703" i="2"/>
  <c r="AA819" i="2"/>
  <c r="AB819" i="2" s="1"/>
  <c r="G702" i="2"/>
  <c r="L972" i="2"/>
  <c r="L974" i="2" s="1"/>
  <c r="L975" i="2" s="1"/>
  <c r="H2" i="2"/>
  <c r="AA768" i="2"/>
  <c r="G963" i="2"/>
  <c r="G51" i="14"/>
  <c r="AF632" i="1"/>
  <c r="AG632" i="1" s="1"/>
  <c r="AA992" i="2"/>
  <c r="AB992" i="2" s="1"/>
  <c r="I968" i="2"/>
  <c r="AA990" i="2"/>
  <c r="AB990" i="2" s="1"/>
  <c r="S979" i="2"/>
  <c r="S980" i="2" s="1"/>
  <c r="E37" i="5"/>
  <c r="R968" i="2"/>
  <c r="E51" i="14"/>
  <c r="S968" i="2"/>
  <c r="S969" i="2" s="1"/>
  <c r="AA962" i="2"/>
  <c r="G968" i="2"/>
  <c r="G969" i="2" s="1"/>
  <c r="G958" i="2" s="1"/>
  <c r="F51" i="14"/>
  <c r="H51" i="14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1007" i="2"/>
  <c r="F404" i="1"/>
  <c r="V974" i="2"/>
  <c r="V982" i="2"/>
  <c r="V983" i="2" s="1"/>
  <c r="F886" i="2"/>
  <c r="T978" i="2"/>
  <c r="T968" i="2"/>
  <c r="R979" i="2"/>
  <c r="I979" i="2"/>
  <c r="I980" i="2" s="1"/>
  <c r="F188" i="1"/>
  <c r="F167" i="1"/>
  <c r="M972" i="2"/>
  <c r="M969" i="2"/>
  <c r="Q968" i="2"/>
  <c r="Q972" i="2" s="1"/>
  <c r="Q978" i="2"/>
  <c r="D37" i="5"/>
  <c r="F383" i="1"/>
  <c r="F276" i="1"/>
  <c r="F278" i="1" s="1"/>
  <c r="E32" i="8"/>
  <c r="AF626" i="1"/>
  <c r="AG626" i="1" s="1"/>
  <c r="AF618" i="1"/>
  <c r="AG618" i="1" s="1"/>
  <c r="AF619" i="1"/>
  <c r="AG619" i="1" s="1"/>
  <c r="G486" i="1"/>
  <c r="G488" i="1" s="1"/>
  <c r="G490" i="1" s="1"/>
  <c r="F209" i="1"/>
  <c r="N967" i="2"/>
  <c r="K1000" i="2"/>
  <c r="AA1000" i="2" s="1"/>
  <c r="AB1000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C37" i="5"/>
  <c r="F962" i="2" s="1"/>
  <c r="E12" i="8"/>
  <c r="E14" i="8"/>
  <c r="O963" i="2"/>
  <c r="AA991" i="2"/>
  <c r="AB991" i="2" s="1"/>
  <c r="U985" i="2"/>
  <c r="U979" i="2"/>
  <c r="U980" i="2" s="1"/>
  <c r="G979" i="2"/>
  <c r="G980" i="2" s="1"/>
  <c r="J51" i="14"/>
  <c r="G982" i="2"/>
  <c r="I51" i="14"/>
  <c r="U968" i="2"/>
  <c r="H972" i="2"/>
  <c r="H974" i="2" s="1"/>
  <c r="H975" i="2" s="1"/>
  <c r="H969" i="2"/>
  <c r="P978" i="2" l="1"/>
  <c r="K968" i="2"/>
  <c r="F961" i="2"/>
  <c r="G707" i="2" s="1"/>
  <c r="F697" i="2"/>
  <c r="Q1064" i="2"/>
  <c r="AA1064" i="2" s="1"/>
  <c r="AA1057" i="2"/>
  <c r="H703" i="2"/>
  <c r="H919" i="2"/>
  <c r="F98" i="1"/>
  <c r="F110" i="1" s="1"/>
  <c r="F141" i="1" s="1"/>
  <c r="K1021" i="2"/>
  <c r="AA1021" i="2" s="1"/>
  <c r="AB1021" i="2" s="1"/>
  <c r="K1014" i="2"/>
  <c r="Q982" i="2"/>
  <c r="Q979" i="2"/>
  <c r="Q974" i="2"/>
  <c r="Q975" i="2" s="1"/>
  <c r="Q973" i="2"/>
  <c r="P982" i="2"/>
  <c r="P979" i="2"/>
  <c r="O978" i="2"/>
  <c r="O970" i="2"/>
  <c r="AA970" i="2" s="1"/>
  <c r="AB970" i="2" s="1"/>
  <c r="AB962" i="2"/>
  <c r="O968" i="2"/>
  <c r="O969" i="2" s="1"/>
  <c r="R971" i="2"/>
  <c r="R972" i="2"/>
  <c r="R974" i="2" s="1"/>
  <c r="R975" i="2" s="1"/>
  <c r="R986" i="2" s="1"/>
  <c r="I972" i="2"/>
  <c r="I974" i="2" s="1"/>
  <c r="I971" i="2"/>
  <c r="I969" i="2"/>
  <c r="U969" i="2"/>
  <c r="U971" i="2"/>
  <c r="U973" i="2" s="1"/>
  <c r="U972" i="2"/>
  <c r="U974" i="2" s="1"/>
  <c r="U975" i="2" s="1"/>
  <c r="Q969" i="2"/>
  <c r="Q971" i="2"/>
  <c r="T969" i="2"/>
  <c r="T971" i="2"/>
  <c r="T973" i="2" s="1"/>
  <c r="T972" i="2"/>
  <c r="T974" i="2" s="1"/>
  <c r="T975" i="2" s="1"/>
  <c r="S972" i="2"/>
  <c r="S974" i="2" s="1"/>
  <c r="S975" i="2" s="1"/>
  <c r="S986" i="2" s="1"/>
  <c r="S971" i="2"/>
  <c r="S973" i="2" s="1"/>
  <c r="K971" i="2"/>
  <c r="K969" i="2"/>
  <c r="AA1103" i="2"/>
  <c r="AB1103" i="2" s="1"/>
  <c r="L983" i="2"/>
  <c r="AA1007" i="2"/>
  <c r="AB1007" i="2" s="1"/>
  <c r="K1028" i="2"/>
  <c r="K1035" i="2" s="1"/>
  <c r="K1042" i="2" s="1"/>
  <c r="AA1042" i="2" s="1"/>
  <c r="AB1042" i="2" s="1"/>
  <c r="J51" i="24"/>
  <c r="I51" i="24"/>
  <c r="K985" i="2"/>
  <c r="P968" i="2"/>
  <c r="H985" i="2"/>
  <c r="H986" i="2" s="1"/>
  <c r="L980" i="2"/>
  <c r="L985" i="2"/>
  <c r="L986" i="2" s="1"/>
  <c r="H957" i="2"/>
  <c r="AB768" i="2"/>
  <c r="I2" i="2"/>
  <c r="I986" i="2"/>
  <c r="H702" i="2"/>
  <c r="R969" i="2"/>
  <c r="F427" i="1"/>
  <c r="F490" i="1" s="1"/>
  <c r="F540" i="1" s="1"/>
  <c r="F542" i="1" s="1"/>
  <c r="H442" i="1"/>
  <c r="H480" i="1"/>
  <c r="S982" i="2"/>
  <c r="S983" i="2" s="1"/>
  <c r="G972" i="2"/>
  <c r="F33" i="24"/>
  <c r="H951" i="2"/>
  <c r="G971" i="2"/>
  <c r="H979" i="2"/>
  <c r="G951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G40" i="7"/>
  <c r="F1050" i="2" s="1"/>
  <c r="E40" i="8"/>
  <c r="H640" i="1"/>
  <c r="H124" i="1" s="1"/>
  <c r="H267" i="1"/>
  <c r="R980" i="2"/>
  <c r="R982" i="2"/>
  <c r="R983" i="2" s="1"/>
  <c r="I983" i="2"/>
  <c r="I984" i="2" s="1"/>
  <c r="I982" i="2"/>
  <c r="M979" i="2"/>
  <c r="M985" i="2"/>
  <c r="T985" i="2"/>
  <c r="T979" i="2"/>
  <c r="T980" i="2" s="1"/>
  <c r="H233" i="1"/>
  <c r="H441" i="1"/>
  <c r="H697" i="2"/>
  <c r="H575" i="1"/>
  <c r="AA961" i="2"/>
  <c r="H707" i="2"/>
  <c r="AA963" i="2"/>
  <c r="J967" i="2"/>
  <c r="AA966" i="2"/>
  <c r="AB966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D40" i="8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968" i="2"/>
  <c r="AA1114" i="2"/>
  <c r="AB1114" i="2" s="1"/>
  <c r="H102" i="1"/>
  <c r="H447" i="1"/>
  <c r="H584" i="1"/>
  <c r="H592" i="1"/>
  <c r="E40" i="7"/>
  <c r="K972" i="2"/>
  <c r="K974" i="2" s="1"/>
  <c r="G983" i="2"/>
  <c r="U982" i="2"/>
  <c r="H958" i="2"/>
  <c r="H973" i="2"/>
  <c r="H959" i="2"/>
  <c r="H954" i="2"/>
  <c r="I919" i="2" l="1"/>
  <c r="H751" i="2"/>
  <c r="G751" i="2"/>
  <c r="J51" i="27"/>
  <c r="I51" i="27"/>
  <c r="AA1014" i="2"/>
  <c r="AB1014" i="2" s="1"/>
  <c r="O972" i="2"/>
  <c r="O974" i="2" s="1"/>
  <c r="O975" i="2" s="1"/>
  <c r="O971" i="2"/>
  <c r="O979" i="2"/>
  <c r="O982" i="2"/>
  <c r="P972" i="2"/>
  <c r="P971" i="2"/>
  <c r="P986" i="2"/>
  <c r="P985" i="2"/>
  <c r="P983" i="2"/>
  <c r="P984" i="2" s="1"/>
  <c r="P980" i="2"/>
  <c r="Q985" i="2"/>
  <c r="Q983" i="2"/>
  <c r="Q984" i="2" s="1"/>
  <c r="Q986" i="2"/>
  <c r="Q980" i="2"/>
  <c r="F1085" i="2"/>
  <c r="AB1085" i="2" s="1"/>
  <c r="F1071" i="2"/>
  <c r="AB1071" i="2" s="1"/>
  <c r="F1057" i="2"/>
  <c r="F1078" i="2"/>
  <c r="AB1078" i="2" s="1"/>
  <c r="AB1050" i="2"/>
  <c r="K979" i="2"/>
  <c r="K980" i="2" s="1"/>
  <c r="N971" i="2"/>
  <c r="N969" i="2"/>
  <c r="G959" i="2"/>
  <c r="G974" i="2"/>
  <c r="G975" i="2" s="1"/>
  <c r="P969" i="2"/>
  <c r="F14" i="8"/>
  <c r="I955" i="2" s="1"/>
  <c r="F24" i="8"/>
  <c r="N955" i="2" s="1"/>
  <c r="F30" i="8"/>
  <c r="Q955" i="2" s="1"/>
  <c r="F28" i="8"/>
  <c r="P955" i="2" s="1"/>
  <c r="F26" i="8"/>
  <c r="O955" i="2" s="1"/>
  <c r="H34" i="7"/>
  <c r="S956" i="2" s="1"/>
  <c r="H36" i="7"/>
  <c r="T956" i="2" s="1"/>
  <c r="H18" i="7"/>
  <c r="K956" i="2" s="1"/>
  <c r="H32" i="7"/>
  <c r="R956" i="2" s="1"/>
  <c r="AA1035" i="2"/>
  <c r="AB1035" i="2" s="1"/>
  <c r="I584" i="1"/>
  <c r="I250" i="1"/>
  <c r="K33" i="24"/>
  <c r="L33" i="24" s="1"/>
  <c r="I957" i="2"/>
  <c r="I703" i="2"/>
  <c r="I702" i="2"/>
  <c r="J2" i="2"/>
  <c r="I951" i="2"/>
  <c r="I751" i="2"/>
  <c r="I707" i="2"/>
  <c r="I958" i="2"/>
  <c r="I959" i="2"/>
  <c r="I954" i="2"/>
  <c r="S984" i="2"/>
  <c r="F516" i="1"/>
  <c r="F308" i="1"/>
  <c r="H50" i="1"/>
  <c r="I653" i="1"/>
  <c r="H12" i="7"/>
  <c r="H956" i="2" s="1"/>
  <c r="H26" i="7"/>
  <c r="O956" i="2" s="1"/>
  <c r="G973" i="2"/>
  <c r="H14" i="7"/>
  <c r="I956" i="2" s="1"/>
  <c r="H38" i="7"/>
  <c r="U956" i="2" s="1"/>
  <c r="F33" i="14"/>
  <c r="H28" i="7"/>
  <c r="P956" i="2" s="1"/>
  <c r="H22" i="7"/>
  <c r="M956" i="2" s="1"/>
  <c r="H980" i="2"/>
  <c r="H983" i="2"/>
  <c r="H984" i="2" s="1"/>
  <c r="H982" i="2"/>
  <c r="H24" i="7"/>
  <c r="N956" i="2" s="1"/>
  <c r="F18" i="8"/>
  <c r="K955" i="2" s="1"/>
  <c r="H10" i="7"/>
  <c r="H20" i="7"/>
  <c r="L956" i="2" s="1"/>
  <c r="H30" i="7"/>
  <c r="Q956" i="2" s="1"/>
  <c r="H16" i="7"/>
  <c r="J956" i="2" s="1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F12" i="8"/>
  <c r="H955" i="2" s="1"/>
  <c r="F20" i="8"/>
  <c r="L955" i="2" s="1"/>
  <c r="F32" i="8"/>
  <c r="R955" i="2" s="1"/>
  <c r="I268" i="1"/>
  <c r="I455" i="1"/>
  <c r="I643" i="1"/>
  <c r="F16" i="8"/>
  <c r="J955" i="2" s="1"/>
  <c r="I457" i="1"/>
  <c r="I265" i="1"/>
  <c r="F10" i="8"/>
  <c r="I249" i="1"/>
  <c r="I475" i="1"/>
  <c r="F38" i="8"/>
  <c r="U955" i="2" s="1"/>
  <c r="F34" i="8"/>
  <c r="S955" i="2" s="1"/>
  <c r="F22" i="8"/>
  <c r="M955" i="2" s="1"/>
  <c r="I266" i="1"/>
  <c r="I270" i="1"/>
  <c r="F36" i="8"/>
  <c r="T955" i="2" s="1"/>
  <c r="T986" i="2"/>
  <c r="T982" i="2"/>
  <c r="T983" i="2" s="1"/>
  <c r="M980" i="2"/>
  <c r="M983" i="2"/>
  <c r="M982" i="2"/>
  <c r="I633" i="1"/>
  <c r="I375" i="1" s="1"/>
  <c r="I381" i="1" s="1"/>
  <c r="G697" i="2"/>
  <c r="F709" i="2"/>
  <c r="I697" i="2"/>
  <c r="I458" i="1"/>
  <c r="N972" i="2"/>
  <c r="N974" i="2" s="1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963" i="2"/>
  <c r="AC963" i="2"/>
  <c r="H772" i="2"/>
  <c r="I306" i="1"/>
  <c r="I48" i="1"/>
  <c r="H450" i="1"/>
  <c r="N985" i="2"/>
  <c r="N979" i="2"/>
  <c r="N980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968" i="2"/>
  <c r="J971" i="2" s="1"/>
  <c r="AA967" i="2"/>
  <c r="AB967" i="2" s="1"/>
  <c r="AC961" i="2"/>
  <c r="AB961" i="2"/>
  <c r="I480" i="1"/>
  <c r="I461" i="1"/>
  <c r="U983" i="2"/>
  <c r="U984" i="2"/>
  <c r="G984" i="2"/>
  <c r="G985" i="2"/>
  <c r="G986" i="2" s="1"/>
  <c r="J919" i="2" l="1"/>
  <c r="O973" i="2"/>
  <c r="K983" i="2"/>
  <c r="K984" i="2" s="1"/>
  <c r="K982" i="2"/>
  <c r="AB1057" i="2"/>
  <c r="F1064" i="2"/>
  <c r="AB1064" i="2" s="1"/>
  <c r="P974" i="2"/>
  <c r="P975" i="2" s="1"/>
  <c r="P973" i="2"/>
  <c r="AA973" i="2" s="1"/>
  <c r="AB973" i="2" s="1"/>
  <c r="O985" i="2"/>
  <c r="O983" i="2"/>
  <c r="O984" i="2" s="1"/>
  <c r="O986" i="2"/>
  <c r="O980" i="2"/>
  <c r="H105" i="1"/>
  <c r="H77" i="1"/>
  <c r="J697" i="2"/>
  <c r="K2" i="2"/>
  <c r="K959" i="2" s="1"/>
  <c r="K33" i="14"/>
  <c r="L33" i="14" s="1"/>
  <c r="J702" i="2"/>
  <c r="K957" i="2"/>
  <c r="J751" i="2"/>
  <c r="J951" i="2"/>
  <c r="J707" i="2"/>
  <c r="J703" i="2"/>
  <c r="J957" i="2"/>
  <c r="G954" i="2"/>
  <c r="K958" i="2"/>
  <c r="I573" i="1"/>
  <c r="I50" i="1"/>
  <c r="J574" i="1"/>
  <c r="H40" i="7"/>
  <c r="G956" i="2"/>
  <c r="AA956" i="2" s="1"/>
  <c r="AB956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F40" i="8"/>
  <c r="G955" i="2"/>
  <c r="AA955" i="2" s="1"/>
  <c r="AB955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984" i="2"/>
  <c r="I659" i="1"/>
  <c r="I159" i="1"/>
  <c r="I165" i="1" s="1"/>
  <c r="H636" i="1"/>
  <c r="H453" i="1" s="1"/>
  <c r="F748" i="2"/>
  <c r="F754" i="2" s="1"/>
  <c r="F734" i="2"/>
  <c r="I772" i="2"/>
  <c r="G772" i="2"/>
  <c r="J643" i="1"/>
  <c r="H474" i="1"/>
  <c r="AA1028" i="2"/>
  <c r="AB1028" i="2" s="1"/>
  <c r="J972" i="2"/>
  <c r="J969" i="2"/>
  <c r="AA968" i="2"/>
  <c r="AB968" i="2" s="1"/>
  <c r="N982" i="2"/>
  <c r="N983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985" i="2"/>
  <c r="J979" i="2"/>
  <c r="AA978" i="2"/>
  <c r="AB978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954" i="2"/>
  <c r="K707" i="2" l="1"/>
  <c r="K697" i="2"/>
  <c r="K772" i="2" s="1"/>
  <c r="K951" i="2"/>
  <c r="K919" i="2"/>
  <c r="K751" i="2"/>
  <c r="K702" i="2"/>
  <c r="J772" i="2"/>
  <c r="AA985" i="2"/>
  <c r="AB985" i="2" s="1"/>
  <c r="J986" i="2"/>
  <c r="AA984" i="2"/>
  <c r="AB984" i="2" s="1"/>
  <c r="H79" i="1"/>
  <c r="H96" i="1" s="1"/>
  <c r="J959" i="2"/>
  <c r="J974" i="2"/>
  <c r="J975" i="2" s="1"/>
  <c r="I105" i="1"/>
  <c r="I77" i="1"/>
  <c r="K703" i="2"/>
  <c r="L2" i="2"/>
  <c r="J668" i="1"/>
  <c r="J50" i="1"/>
  <c r="J77" i="1" s="1"/>
  <c r="K653" i="1"/>
  <c r="K479" i="1"/>
  <c r="AA972" i="2"/>
  <c r="AB972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841" i="2"/>
  <c r="F793" i="2"/>
  <c r="F808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958" i="2"/>
  <c r="AA969" i="2"/>
  <c r="AB969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980" i="2"/>
  <c r="AA980" i="2" s="1"/>
  <c r="AB980" i="2" s="1"/>
  <c r="J982" i="2"/>
  <c r="AA982" i="2" s="1"/>
  <c r="AB982" i="2" s="1"/>
  <c r="J983" i="2"/>
  <c r="AA983" i="2" s="1"/>
  <c r="AB983" i="2" s="1"/>
  <c r="AA979" i="2"/>
  <c r="AB979" i="2" s="1"/>
  <c r="J396" i="1"/>
  <c r="AA971" i="2"/>
  <c r="AB971" i="2" s="1"/>
  <c r="K574" i="1"/>
  <c r="K584" i="1"/>
  <c r="K232" i="1"/>
  <c r="K443" i="1"/>
  <c r="K499" i="1"/>
  <c r="K455" i="1"/>
  <c r="H139" i="1"/>
  <c r="H108" i="1"/>
  <c r="K986" i="2"/>
  <c r="U986" i="2"/>
  <c r="L919" i="2" l="1"/>
  <c r="I79" i="1"/>
  <c r="I96" i="1" s="1"/>
  <c r="AA975" i="2"/>
  <c r="AB975" i="2" s="1"/>
  <c r="J13" i="1"/>
  <c r="J105" i="1"/>
  <c r="L954" i="2"/>
  <c r="L958" i="2"/>
  <c r="L951" i="2"/>
  <c r="L751" i="2"/>
  <c r="L703" i="2"/>
  <c r="L702" i="2"/>
  <c r="L957" i="2"/>
  <c r="L707" i="2"/>
  <c r="M2" i="2"/>
  <c r="L697" i="2"/>
  <c r="L959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F914" i="2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954" i="2"/>
  <c r="AA974" i="2"/>
  <c r="AB974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986" i="2"/>
  <c r="AB986" i="2" s="1"/>
  <c r="M919" i="2" l="1"/>
  <c r="L772" i="2"/>
  <c r="K105" i="1"/>
  <c r="K77" i="1"/>
  <c r="K79" i="1" s="1"/>
  <c r="M957" i="2"/>
  <c r="M697" i="2"/>
  <c r="M703" i="2"/>
  <c r="M959" i="2"/>
  <c r="N2" i="2"/>
  <c r="M707" i="2"/>
  <c r="M951" i="2"/>
  <c r="M751" i="2"/>
  <c r="M954" i="2"/>
  <c r="M702" i="2"/>
  <c r="M958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919" i="2" l="1"/>
  <c r="M772" i="2"/>
  <c r="L105" i="1"/>
  <c r="L77" i="1"/>
  <c r="L79" i="1" s="1"/>
  <c r="N954" i="2"/>
  <c r="N951" i="2"/>
  <c r="N697" i="2"/>
  <c r="O2" i="2"/>
  <c r="N957" i="2"/>
  <c r="N959" i="2"/>
  <c r="N707" i="2"/>
  <c r="N958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1001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919" i="2" l="1"/>
  <c r="N772" i="2"/>
  <c r="M105" i="1"/>
  <c r="M77" i="1"/>
  <c r="M79" i="1" s="1"/>
  <c r="M96" i="1" s="1"/>
  <c r="O959" i="2"/>
  <c r="O954" i="2"/>
  <c r="O951" i="2"/>
  <c r="O707" i="2"/>
  <c r="O697" i="2"/>
  <c r="O703" i="2"/>
  <c r="O751" i="2"/>
  <c r="O702" i="2"/>
  <c r="O957" i="2"/>
  <c r="P2" i="2"/>
  <c r="O958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1043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919" i="2" l="1"/>
  <c r="O772" i="2"/>
  <c r="AA1043" i="2"/>
  <c r="AB1043" i="2" s="1"/>
  <c r="F1045" i="2"/>
  <c r="P1045" i="2" s="1"/>
  <c r="P1046" i="2" s="1"/>
  <c r="N105" i="1"/>
  <c r="N77" i="1"/>
  <c r="N137" i="1"/>
  <c r="F11" i="2"/>
  <c r="P697" i="2"/>
  <c r="P958" i="2"/>
  <c r="P703" i="2"/>
  <c r="P707" i="2"/>
  <c r="P957" i="2"/>
  <c r="P954" i="2"/>
  <c r="P751" i="2"/>
  <c r="P951" i="2"/>
  <c r="P702" i="2"/>
  <c r="P959" i="2"/>
  <c r="Q2" i="2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1036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1008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P772" i="2" l="1"/>
  <c r="Q1045" i="2"/>
  <c r="Q1046" i="2" s="1"/>
  <c r="Q919" i="2"/>
  <c r="N79" i="1"/>
  <c r="N96" i="1" s="1"/>
  <c r="F1046" i="2"/>
  <c r="G1045" i="2"/>
  <c r="G1046" i="2" s="1"/>
  <c r="H1045" i="2"/>
  <c r="H1046" i="2" s="1"/>
  <c r="I1045" i="2"/>
  <c r="I1046" i="2" s="1"/>
  <c r="J1045" i="2"/>
  <c r="J1046" i="2" s="1"/>
  <c r="K1045" i="2"/>
  <c r="K1046" i="2" s="1"/>
  <c r="L1045" i="2"/>
  <c r="L1046" i="2" s="1"/>
  <c r="M1045" i="2"/>
  <c r="M1046" i="2" s="1"/>
  <c r="N1045" i="2"/>
  <c r="N1046" i="2" s="1"/>
  <c r="O1045" i="2"/>
  <c r="O1046" i="2" s="1"/>
  <c r="P415" i="2"/>
  <c r="O105" i="1"/>
  <c r="O77" i="1"/>
  <c r="F1038" i="2"/>
  <c r="AA1036" i="2"/>
  <c r="AB1036" i="2" s="1"/>
  <c r="P357" i="2"/>
  <c r="Q703" i="2"/>
  <c r="R2" i="2"/>
  <c r="Q751" i="2"/>
  <c r="Q957" i="2"/>
  <c r="Q951" i="2"/>
  <c r="Q299" i="2" s="1"/>
  <c r="Q702" i="2"/>
  <c r="Q959" i="2"/>
  <c r="Q958" i="2"/>
  <c r="Q707" i="2"/>
  <c r="Q954" i="2"/>
  <c r="Q697" i="2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Q772" i="2" l="1"/>
  <c r="R1045" i="2"/>
  <c r="R1046" i="2" s="1"/>
  <c r="R919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1039" i="2"/>
  <c r="O1038" i="2"/>
  <c r="O1039" i="2" s="1"/>
  <c r="O1047" i="2" s="1"/>
  <c r="P1038" i="2"/>
  <c r="P1039" i="2" s="1"/>
  <c r="P1047" i="2" s="1"/>
  <c r="M1038" i="2"/>
  <c r="M1039" i="2" s="1"/>
  <c r="M1047" i="2" s="1"/>
  <c r="H1038" i="2"/>
  <c r="H1039" i="2" s="1"/>
  <c r="H1047" i="2" s="1"/>
  <c r="G1038" i="2"/>
  <c r="Q1038" i="2"/>
  <c r="Q1039" i="2" s="1"/>
  <c r="Q1047" i="2" s="1"/>
  <c r="N1038" i="2"/>
  <c r="N1039" i="2" s="1"/>
  <c r="N1047" i="2" s="1"/>
  <c r="J1038" i="2"/>
  <c r="J1039" i="2" s="1"/>
  <c r="J1047" i="2" s="1"/>
  <c r="L1038" i="2"/>
  <c r="L1039" i="2" s="1"/>
  <c r="L1047" i="2" s="1"/>
  <c r="R1038" i="2"/>
  <c r="R1039" i="2" s="1"/>
  <c r="I1038" i="2"/>
  <c r="I1039" i="2" s="1"/>
  <c r="I1047" i="2" s="1"/>
  <c r="K1038" i="2"/>
  <c r="K1039" i="2" s="1"/>
  <c r="K1047" i="2" s="1"/>
  <c r="Q12" i="2"/>
  <c r="P60" i="1"/>
  <c r="P667" i="1" s="1"/>
  <c r="P105" i="1"/>
  <c r="Q357" i="2"/>
  <c r="Q415" i="2"/>
  <c r="R959" i="2"/>
  <c r="R751" i="2"/>
  <c r="R958" i="2"/>
  <c r="S2" i="2"/>
  <c r="R697" i="2"/>
  <c r="R957" i="2"/>
  <c r="R954" i="2"/>
  <c r="R707" i="2"/>
  <c r="R951" i="2"/>
  <c r="R13" i="2" s="1"/>
  <c r="R703" i="2"/>
  <c r="R702" i="2"/>
  <c r="Q13" i="2"/>
  <c r="F15" i="2"/>
  <c r="F1003" i="2" s="1"/>
  <c r="F1004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1001" i="2"/>
  <c r="AB1001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772" i="2" l="1"/>
  <c r="R1047" i="2"/>
  <c r="S921" i="2"/>
  <c r="S919" i="2"/>
  <c r="S1038" i="2"/>
  <c r="S1039" i="2" s="1"/>
  <c r="S1045" i="2"/>
  <c r="S1046" i="2" s="1"/>
  <c r="P594" i="1"/>
  <c r="P596" i="1" s="1"/>
  <c r="F422" i="2" s="1"/>
  <c r="P536" i="1"/>
  <c r="P328" i="1"/>
  <c r="P329" i="1"/>
  <c r="P535" i="1"/>
  <c r="P577" i="1"/>
  <c r="Q105" i="1"/>
  <c r="Q77" i="1"/>
  <c r="G1039" i="2"/>
  <c r="G1047" i="2" s="1"/>
  <c r="R14" i="2"/>
  <c r="R415" i="2"/>
  <c r="R358" i="2"/>
  <c r="R414" i="2"/>
  <c r="R300" i="2"/>
  <c r="R299" i="2"/>
  <c r="R357" i="2"/>
  <c r="R12" i="2"/>
  <c r="R356" i="2"/>
  <c r="S951" i="2"/>
  <c r="S72" i="2" s="1"/>
  <c r="S702" i="2"/>
  <c r="S954" i="2"/>
  <c r="S707" i="2"/>
  <c r="S958" i="2"/>
  <c r="S703" i="2"/>
  <c r="S751" i="2"/>
  <c r="T2" i="2"/>
  <c r="S959" i="2"/>
  <c r="S697" i="2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1029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1022" i="2" s="1"/>
  <c r="R396" i="1"/>
  <c r="R393" i="1"/>
  <c r="I1003" i="2"/>
  <c r="I1004" i="2" s="1"/>
  <c r="M1003" i="2"/>
  <c r="M1004" i="2" s="1"/>
  <c r="O1003" i="2"/>
  <c r="O1004" i="2" s="1"/>
  <c r="S1003" i="2"/>
  <c r="S1004" i="2" s="1"/>
  <c r="R1003" i="2"/>
  <c r="R1004" i="2" s="1"/>
  <c r="G1003" i="2"/>
  <c r="J1003" i="2"/>
  <c r="J1004" i="2" s="1"/>
  <c r="H1003" i="2"/>
  <c r="H1004" i="2" s="1"/>
  <c r="L1003" i="2"/>
  <c r="L1004" i="2" s="1"/>
  <c r="N1003" i="2"/>
  <c r="N1004" i="2" s="1"/>
  <c r="Q1003" i="2"/>
  <c r="Q1004" i="2" s="1"/>
  <c r="P1003" i="2"/>
  <c r="P1004" i="2" s="1"/>
  <c r="T1003" i="2"/>
  <c r="T1004" i="2" s="1"/>
  <c r="K1003" i="2"/>
  <c r="K1004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S772" i="2" l="1"/>
  <c r="T921" i="2"/>
  <c r="T919" i="2"/>
  <c r="P580" i="1"/>
  <c r="F307" i="2" s="1"/>
  <c r="Q79" i="1"/>
  <c r="Q96" i="1" s="1"/>
  <c r="S1047" i="2"/>
  <c r="T1038" i="2"/>
  <c r="T1039" i="2" s="1"/>
  <c r="T1045" i="2"/>
  <c r="T1046" i="2" s="1"/>
  <c r="S73" i="2"/>
  <c r="S588" i="2"/>
  <c r="S530" i="2"/>
  <c r="S416" i="2"/>
  <c r="S645" i="2"/>
  <c r="S301" i="2"/>
  <c r="S529" i="2"/>
  <c r="S473" i="2"/>
  <c r="S472" i="2"/>
  <c r="S644" i="2"/>
  <c r="AA1022" i="2"/>
  <c r="AB1022" i="2" s="1"/>
  <c r="F1024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959" i="2"/>
  <c r="T958" i="2"/>
  <c r="U2" i="2"/>
  <c r="T703" i="2"/>
  <c r="T951" i="2"/>
  <c r="T471" i="2" s="1"/>
  <c r="T697" i="2"/>
  <c r="T772" i="2" s="1"/>
  <c r="T954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1005" i="2"/>
  <c r="T458" i="1"/>
  <c r="P1005" i="2"/>
  <c r="R1005" i="2"/>
  <c r="T445" i="1"/>
  <c r="T444" i="1"/>
  <c r="J1005" i="2"/>
  <c r="P278" i="1"/>
  <c r="Q1005" i="2"/>
  <c r="S1005" i="2"/>
  <c r="T239" i="1"/>
  <c r="T232" i="1"/>
  <c r="S660" i="1"/>
  <c r="N1005" i="2"/>
  <c r="O1005" i="2"/>
  <c r="T575" i="1"/>
  <c r="T480" i="1"/>
  <c r="T135" i="1"/>
  <c r="L1005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1005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1004" i="2"/>
  <c r="K1005" i="2"/>
  <c r="H1005" i="2"/>
  <c r="I1005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921" i="2" l="1"/>
  <c r="U919" i="2"/>
  <c r="F30" i="34"/>
  <c r="F30" i="27"/>
  <c r="F30" i="31"/>
  <c r="F30" i="26"/>
  <c r="F30" i="28"/>
  <c r="F30" i="32"/>
  <c r="T1047" i="2"/>
  <c r="U1038" i="2"/>
  <c r="U1039" i="2" s="1"/>
  <c r="U1045" i="2"/>
  <c r="U1046" i="2" s="1"/>
  <c r="T71" i="2"/>
  <c r="G1005" i="2"/>
  <c r="F1025" i="2"/>
  <c r="J1024" i="2"/>
  <c r="J1025" i="2" s="1"/>
  <c r="T1024" i="2"/>
  <c r="T1025" i="2" s="1"/>
  <c r="S1024" i="2"/>
  <c r="S1025" i="2" s="1"/>
  <c r="O1024" i="2"/>
  <c r="O1025" i="2" s="1"/>
  <c r="K1024" i="2"/>
  <c r="K1025" i="2" s="1"/>
  <c r="M1024" i="2"/>
  <c r="M1025" i="2" s="1"/>
  <c r="U1024" i="2"/>
  <c r="U1025" i="2" s="1"/>
  <c r="H1024" i="2"/>
  <c r="H1025" i="2" s="1"/>
  <c r="G1024" i="2"/>
  <c r="Q1024" i="2"/>
  <c r="Q1025" i="2" s="1"/>
  <c r="P1024" i="2"/>
  <c r="P1025" i="2" s="1"/>
  <c r="L1024" i="2"/>
  <c r="L1025" i="2" s="1"/>
  <c r="R1024" i="2"/>
  <c r="R1025" i="2" s="1"/>
  <c r="I1024" i="2"/>
  <c r="I1025" i="2" s="1"/>
  <c r="N1024" i="2"/>
  <c r="N1025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954" i="2"/>
  <c r="U703" i="2"/>
  <c r="U959" i="2"/>
  <c r="U702" i="2"/>
  <c r="U958" i="2"/>
  <c r="U697" i="2"/>
  <c r="U772" i="2" s="1"/>
  <c r="U1003" i="2"/>
  <c r="U1004" i="2" s="1"/>
  <c r="U951" i="2"/>
  <c r="U242" i="2" s="1"/>
  <c r="U707" i="2"/>
  <c r="V2" i="2"/>
  <c r="U751" i="2"/>
  <c r="F30" i="24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F28" i="26" s="1"/>
  <c r="K185" i="2"/>
  <c r="F28" i="32" s="1"/>
  <c r="L185" i="2"/>
  <c r="F28" i="28" s="1"/>
  <c r="R185" i="2"/>
  <c r="Q185" i="2"/>
  <c r="H185" i="2"/>
  <c r="F28" i="24" s="1"/>
  <c r="P185" i="2"/>
  <c r="T185" i="2"/>
  <c r="S185" i="2"/>
  <c r="O185" i="2"/>
  <c r="N185" i="2"/>
  <c r="F28" i="27" s="1"/>
  <c r="R306" i="2"/>
  <c r="I185" i="2"/>
  <c r="F28" i="34" s="1"/>
  <c r="M185" i="2"/>
  <c r="F28" i="31" s="1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1029" i="2"/>
  <c r="AB1029" i="2" s="1"/>
  <c r="F1031" i="2"/>
  <c r="F28" i="14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F14" i="24" s="1"/>
  <c r="L128" i="2"/>
  <c r="F14" i="28" s="1"/>
  <c r="G128" i="2"/>
  <c r="K128" i="2"/>
  <c r="F14" i="32" s="1"/>
  <c r="S128" i="2"/>
  <c r="M128" i="2"/>
  <c r="F14" i="31" s="1"/>
  <c r="R128" i="2"/>
  <c r="I128" i="2"/>
  <c r="F14" i="34" s="1"/>
  <c r="N128" i="2"/>
  <c r="F14" i="27" s="1"/>
  <c r="Q128" i="2"/>
  <c r="T128" i="2"/>
  <c r="J128" i="2"/>
  <c r="F14" i="26" s="1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30" i="14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921" i="2"/>
  <c r="V919" i="2"/>
  <c r="U1047" i="2"/>
  <c r="V1038" i="2"/>
  <c r="V1039" i="2" s="1"/>
  <c r="V1045" i="2"/>
  <c r="V1046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1024" i="2"/>
  <c r="V1025" i="2" s="1"/>
  <c r="U1005" i="2"/>
  <c r="G1025" i="2"/>
  <c r="U128" i="2"/>
  <c r="U185" i="2"/>
  <c r="U19" i="2"/>
  <c r="V951" i="2"/>
  <c r="V697" i="2"/>
  <c r="V772" i="2" s="1"/>
  <c r="V707" i="2"/>
  <c r="V957" i="2"/>
  <c r="V958" i="2"/>
  <c r="V959" i="2"/>
  <c r="V751" i="2"/>
  <c r="V1003" i="2"/>
  <c r="V1004" i="2" s="1"/>
  <c r="V954" i="2"/>
  <c r="W2" i="2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1031" i="2"/>
  <c r="K1031" i="2"/>
  <c r="G1031" i="2"/>
  <c r="M1031" i="2"/>
  <c r="T1031" i="2"/>
  <c r="S1031" i="2"/>
  <c r="F1032" i="2"/>
  <c r="N1031" i="2"/>
  <c r="L1031" i="2"/>
  <c r="Q1031" i="2"/>
  <c r="V1031" i="2"/>
  <c r="R1031" i="2"/>
  <c r="U1031" i="2"/>
  <c r="W1031" i="2"/>
  <c r="I1031" i="2"/>
  <c r="O1031" i="2"/>
  <c r="P1031" i="2"/>
  <c r="J1031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F14" i="14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1045" i="2" l="1"/>
  <c r="W1046" i="2" s="1"/>
  <c r="W919" i="2"/>
  <c r="W921" i="2"/>
  <c r="V1047" i="2"/>
  <c r="U105" i="1"/>
  <c r="U77" i="1"/>
  <c r="W1038" i="2"/>
  <c r="W1024" i="2"/>
  <c r="V1005" i="2"/>
  <c r="J1032" i="2"/>
  <c r="J1040" i="2" s="1"/>
  <c r="I1032" i="2"/>
  <c r="I1040" i="2" s="1"/>
  <c r="V1032" i="2"/>
  <c r="V1040" i="2" s="1"/>
  <c r="S1032" i="2"/>
  <c r="S1040" i="2" s="1"/>
  <c r="Q1032" i="2"/>
  <c r="Q1040" i="2" s="1"/>
  <c r="P1032" i="2"/>
  <c r="P1040" i="2" s="1"/>
  <c r="U1032" i="2"/>
  <c r="U1040" i="2" s="1"/>
  <c r="L1032" i="2"/>
  <c r="L1040" i="2" s="1"/>
  <c r="T1032" i="2"/>
  <c r="T1040" i="2" s="1"/>
  <c r="H1032" i="2"/>
  <c r="H1040" i="2" s="1"/>
  <c r="W1032" i="2"/>
  <c r="K1032" i="2"/>
  <c r="K1040" i="2" s="1"/>
  <c r="O1032" i="2"/>
  <c r="O1040" i="2" s="1"/>
  <c r="R1032" i="2"/>
  <c r="R1040" i="2" s="1"/>
  <c r="N1032" i="2"/>
  <c r="N1040" i="2" s="1"/>
  <c r="M1032" i="2"/>
  <c r="M1040" i="2" s="1"/>
  <c r="V19" i="2"/>
  <c r="V421" i="2"/>
  <c r="V363" i="2"/>
  <c r="V306" i="2"/>
  <c r="W703" i="2"/>
  <c r="W707" i="2"/>
  <c r="W697" i="2"/>
  <c r="W772" i="2" s="1"/>
  <c r="W954" i="2"/>
  <c r="W751" i="2"/>
  <c r="W959" i="2"/>
  <c r="W426" i="2"/>
  <c r="W957" i="2"/>
  <c r="W958" i="2"/>
  <c r="X2" i="2"/>
  <c r="W368" i="2"/>
  <c r="W702" i="2"/>
  <c r="W951" i="2"/>
  <c r="W244" i="2" s="1"/>
  <c r="W1003" i="2"/>
  <c r="W1004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1015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1032" i="2"/>
  <c r="G1040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1045" i="2" l="1"/>
  <c r="X1046" i="2" s="1"/>
  <c r="X921" i="2"/>
  <c r="X919" i="2"/>
  <c r="AA1015" i="2"/>
  <c r="AB1015" i="2" s="1"/>
  <c r="F1017" i="2"/>
  <c r="X1038" i="2"/>
  <c r="X1039" i="2" s="1"/>
  <c r="X1024" i="2"/>
  <c r="X1025" i="2" s="1"/>
  <c r="W1025" i="2"/>
  <c r="W1039" i="2"/>
  <c r="W1005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957" i="2"/>
  <c r="X371" i="2"/>
  <c r="X959" i="2"/>
  <c r="X703" i="2"/>
  <c r="X429" i="2"/>
  <c r="X958" i="2"/>
  <c r="Y2" i="2"/>
  <c r="Y362" i="2" s="1"/>
  <c r="X707" i="2"/>
  <c r="X1031" i="2"/>
  <c r="X951" i="2"/>
  <c r="X187" i="2" s="1"/>
  <c r="X1003" i="2"/>
  <c r="X1004" i="2" s="1"/>
  <c r="X426" i="2"/>
  <c r="X751" i="2"/>
  <c r="X368" i="2"/>
  <c r="X697" i="2"/>
  <c r="X772" i="2" s="1"/>
  <c r="X954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1112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1112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1112" i="2" s="1"/>
  <c r="V104" i="1"/>
  <c r="V60" i="1"/>
  <c r="V586" i="1" s="1"/>
  <c r="V588" i="1" s="1"/>
  <c r="F377" i="2" s="1"/>
  <c r="Q649" i="2"/>
  <c r="V11" i="1"/>
  <c r="X270" i="1"/>
  <c r="W662" i="1"/>
  <c r="L9" i="2"/>
  <c r="L1112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W585" i="1"/>
  <c r="L305" i="2"/>
  <c r="L468" i="2"/>
  <c r="V420" i="2"/>
  <c r="V534" i="2"/>
  <c r="V411" i="2"/>
  <c r="W272" i="1"/>
  <c r="X252" i="1"/>
  <c r="X250" i="1"/>
  <c r="X635" i="1"/>
  <c r="X396" i="1" s="1"/>
  <c r="X402" i="1" s="1"/>
  <c r="X661" i="1" s="1"/>
  <c r="L534" i="2"/>
  <c r="L18" i="2"/>
  <c r="L420" i="2"/>
  <c r="V362" i="2"/>
  <c r="V525" i="2"/>
  <c r="V649" i="2"/>
  <c r="X267" i="1"/>
  <c r="W209" i="1"/>
  <c r="X102" i="1"/>
  <c r="X447" i="1"/>
  <c r="L649" i="2"/>
  <c r="V59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1112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1112" i="2" s="1"/>
  <c r="K353" i="2"/>
  <c r="K583" i="2"/>
  <c r="K18" i="2"/>
  <c r="K362" i="2"/>
  <c r="P77" i="2"/>
  <c r="P9" i="2"/>
  <c r="P1112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H433" i="2"/>
  <c r="L433" i="2"/>
  <c r="N433" i="2"/>
  <c r="T433" i="2"/>
  <c r="V433" i="2"/>
  <c r="X433" i="2"/>
  <c r="I433" i="2"/>
  <c r="P433" i="2"/>
  <c r="R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1112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1112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1112" i="2" s="1"/>
  <c r="J649" i="2"/>
  <c r="J592" i="2"/>
  <c r="M525" i="2"/>
  <c r="M305" i="2"/>
  <c r="M468" i="2"/>
  <c r="M477" i="2"/>
  <c r="M583" i="2"/>
  <c r="M640" i="2"/>
  <c r="M77" i="2"/>
  <c r="M9" i="2"/>
  <c r="M1112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W584" i="2" l="1"/>
  <c r="Y658" i="2"/>
  <c r="Y77" i="2"/>
  <c r="Y375" i="2"/>
  <c r="W526" i="2"/>
  <c r="Y543" i="2"/>
  <c r="Y601" i="2"/>
  <c r="Y540" i="2"/>
  <c r="Y598" i="2"/>
  <c r="Y420" i="2"/>
  <c r="Y477" i="2"/>
  <c r="Y592" i="2"/>
  <c r="Y305" i="2"/>
  <c r="Y83" i="2"/>
  <c r="Y655" i="2"/>
  <c r="Y86" i="2"/>
  <c r="Y433" i="2"/>
  <c r="X1047" i="2"/>
  <c r="Y921" i="2"/>
  <c r="Y919" i="2"/>
  <c r="F1018" i="2"/>
  <c r="W1017" i="2"/>
  <c r="W1018" i="2" s="1"/>
  <c r="X1017" i="2"/>
  <c r="X1018" i="2" s="1"/>
  <c r="Y1017" i="2"/>
  <c r="Y1018" i="2" s="1"/>
  <c r="V1017" i="2"/>
  <c r="V1018" i="2" s="1"/>
  <c r="G1017" i="2"/>
  <c r="J1017" i="2"/>
  <c r="J1018" i="2" s="1"/>
  <c r="R1017" i="2"/>
  <c r="R1018" i="2" s="1"/>
  <c r="N1017" i="2"/>
  <c r="N1018" i="2" s="1"/>
  <c r="S1017" i="2"/>
  <c r="S1018" i="2" s="1"/>
  <c r="O1017" i="2"/>
  <c r="O1018" i="2" s="1"/>
  <c r="Q1017" i="2"/>
  <c r="Q1018" i="2" s="1"/>
  <c r="H1017" i="2"/>
  <c r="H1018" i="2" s="1"/>
  <c r="P1017" i="2"/>
  <c r="P1018" i="2" s="1"/>
  <c r="I1017" i="2"/>
  <c r="I1018" i="2" s="1"/>
  <c r="U1017" i="2"/>
  <c r="U1018" i="2" s="1"/>
  <c r="L1017" i="2"/>
  <c r="L1018" i="2" s="1"/>
  <c r="T1017" i="2"/>
  <c r="T1018" i="2" s="1"/>
  <c r="M1017" i="2"/>
  <c r="M1018" i="2" s="1"/>
  <c r="K1017" i="2"/>
  <c r="K1018" i="2" s="1"/>
  <c r="Y534" i="2"/>
  <c r="Y1045" i="2"/>
  <c r="Y1046" i="2" s="1"/>
  <c r="W1040" i="2"/>
  <c r="W468" i="2" s="1"/>
  <c r="W1047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1038" i="2"/>
  <c r="Y1024" i="2"/>
  <c r="Y1025" i="2" s="1"/>
  <c r="X1005" i="2"/>
  <c r="X478" i="2" s="1"/>
  <c r="G469" i="2"/>
  <c r="G641" i="2"/>
  <c r="G526" i="2"/>
  <c r="G412" i="2"/>
  <c r="G354" i="2"/>
  <c r="G10" i="2"/>
  <c r="G584" i="2"/>
  <c r="X1032" i="2"/>
  <c r="X1040" i="2" s="1"/>
  <c r="X535" i="2"/>
  <c r="X650" i="2"/>
  <c r="W60" i="1"/>
  <c r="W536" i="1" s="1"/>
  <c r="W105" i="1"/>
  <c r="Y374" i="2"/>
  <c r="Y1031" i="2"/>
  <c r="Y703" i="2"/>
  <c r="Y314" i="2"/>
  <c r="Y951" i="2"/>
  <c r="Y186" i="2" s="1"/>
  <c r="Y958" i="2"/>
  <c r="Y1003" i="2"/>
  <c r="Y1004" i="2" s="1"/>
  <c r="Y751" i="2"/>
  <c r="Y371" i="2"/>
  <c r="Y432" i="2"/>
  <c r="Y957" i="2"/>
  <c r="Y697" i="2"/>
  <c r="Y772" i="2" s="1"/>
  <c r="Y426" i="2"/>
  <c r="Y24" i="2"/>
  <c r="Y311" i="2"/>
  <c r="Y959" i="2"/>
  <c r="Y954" i="2"/>
  <c r="Z2" i="2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X430" i="1"/>
  <c r="X434" i="1" s="1"/>
  <c r="X50" i="1"/>
  <c r="Y653" i="1"/>
  <c r="S602" i="1"/>
  <c r="F604" i="2" s="1"/>
  <c r="V108" i="1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1112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W586" i="1" l="1"/>
  <c r="W588" i="1" s="1"/>
  <c r="F378" i="2" s="1"/>
  <c r="Z30" i="2"/>
  <c r="T30" i="2"/>
  <c r="L30" i="2"/>
  <c r="Q30" i="2"/>
  <c r="W30" i="2"/>
  <c r="X30" i="2"/>
  <c r="H30" i="2"/>
  <c r="J30" i="2"/>
  <c r="N30" i="2"/>
  <c r="R30" i="2"/>
  <c r="U30" i="2"/>
  <c r="K30" i="2"/>
  <c r="O30" i="2"/>
  <c r="G30" i="2"/>
  <c r="V30" i="2"/>
  <c r="S30" i="2"/>
  <c r="I30" i="2"/>
  <c r="P30" i="2"/>
  <c r="Y30" i="2"/>
  <c r="Z1045" i="2"/>
  <c r="Z1046" i="2" s="1"/>
  <c r="AA1046" i="2" s="1"/>
  <c r="AB1046" i="2" s="1"/>
  <c r="Z919" i="2"/>
  <c r="AA919" i="2" s="1"/>
  <c r="AB919" i="2" s="1"/>
  <c r="Z921" i="2"/>
  <c r="W667" i="1"/>
  <c r="Z1017" i="2"/>
  <c r="Z1018" i="2" s="1"/>
  <c r="Y243" i="2"/>
  <c r="W329" i="1"/>
  <c r="W577" i="1"/>
  <c r="W594" i="1"/>
  <c r="W596" i="1" s="1"/>
  <c r="F436" i="2" s="1"/>
  <c r="F437" i="2" s="1"/>
  <c r="W328" i="1"/>
  <c r="W535" i="1"/>
  <c r="Y130" i="2"/>
  <c r="G1018" i="2"/>
  <c r="X105" i="1"/>
  <c r="X77" i="1"/>
  <c r="X79" i="1" s="1"/>
  <c r="X96" i="1" s="1"/>
  <c r="F31" i="2"/>
  <c r="H31" i="2" s="1"/>
  <c r="Z1038" i="2"/>
  <c r="Z1039" i="2" s="1"/>
  <c r="Z1024" i="2"/>
  <c r="Z1025" i="2" s="1"/>
  <c r="AA1025" i="2" s="1"/>
  <c r="AB1025" i="2" s="1"/>
  <c r="Y1039" i="2"/>
  <c r="Y1047" i="2" s="1"/>
  <c r="Y1005" i="2"/>
  <c r="V239" i="2"/>
  <c r="O1033" i="2"/>
  <c r="O1026" i="2"/>
  <c r="H1033" i="2"/>
  <c r="H1026" i="2"/>
  <c r="Q1033" i="2"/>
  <c r="Q1026" i="2"/>
  <c r="N1033" i="2"/>
  <c r="N1026" i="2"/>
  <c r="P1033" i="2"/>
  <c r="P1026" i="2"/>
  <c r="T1033" i="2"/>
  <c r="T1026" i="2"/>
  <c r="J1033" i="2"/>
  <c r="J1026" i="2"/>
  <c r="U1033" i="2"/>
  <c r="U1026" i="2"/>
  <c r="M1033" i="2"/>
  <c r="M1026" i="2"/>
  <c r="R1033" i="2"/>
  <c r="R1026" i="2"/>
  <c r="K1033" i="2"/>
  <c r="K1026" i="2"/>
  <c r="S1033" i="2"/>
  <c r="S1026" i="2"/>
  <c r="I1033" i="2"/>
  <c r="I1026" i="2"/>
  <c r="W1033" i="2"/>
  <c r="W297" i="2" s="1"/>
  <c r="W1026" i="2"/>
  <c r="L1033" i="2"/>
  <c r="L1026" i="2"/>
  <c r="V1033" i="2"/>
  <c r="V297" i="2" s="1"/>
  <c r="V20" i="2"/>
  <c r="V21" i="2" s="1"/>
  <c r="V698" i="2" s="1"/>
  <c r="Y1032" i="2"/>
  <c r="X1033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54" i="2"/>
  <c r="AA954" i="2" s="1"/>
  <c r="AB954" i="2" s="1"/>
  <c r="Z1031" i="2"/>
  <c r="Z375" i="2"/>
  <c r="AA375" i="2" s="1"/>
  <c r="AB375" i="2" s="1"/>
  <c r="Z702" i="2"/>
  <c r="AA702" i="2" s="1"/>
  <c r="AB702" i="2" s="1"/>
  <c r="Z707" i="2"/>
  <c r="AA707" i="2" s="1"/>
  <c r="AB707" i="2" s="1"/>
  <c r="Z1003" i="2"/>
  <c r="Z86" i="2"/>
  <c r="AA86" i="2" s="1"/>
  <c r="AB86" i="2" s="1"/>
  <c r="Z655" i="2"/>
  <c r="AA655" i="2" s="1"/>
  <c r="AB655" i="2" s="1"/>
  <c r="Z601" i="2"/>
  <c r="AA601" i="2" s="1"/>
  <c r="AB601" i="2" s="1"/>
  <c r="Z958" i="2"/>
  <c r="AA958" i="2" s="1"/>
  <c r="AB958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959" i="2"/>
  <c r="AA959" i="2" s="1"/>
  <c r="AB959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957" i="2"/>
  <c r="AA957" i="2" s="1"/>
  <c r="AB957" i="2" s="1"/>
  <c r="Z951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N436" i="2" l="1"/>
  <c r="N437" i="2" s="1"/>
  <c r="AA1017" i="2"/>
  <c r="AB1017" i="2" s="1"/>
  <c r="H436" i="2"/>
  <c r="H437" i="2" s="1"/>
  <c r="J31" i="2"/>
  <c r="K436" i="2"/>
  <c r="K437" i="2" s="1"/>
  <c r="W436" i="2"/>
  <c r="W437" i="2" s="1"/>
  <c r="T31" i="2"/>
  <c r="Q31" i="2"/>
  <c r="J436" i="2"/>
  <c r="J437" i="2" s="1"/>
  <c r="K31" i="2"/>
  <c r="Z31" i="2"/>
  <c r="AA30" i="2"/>
  <c r="AB30" i="2" s="1"/>
  <c r="AA1045" i="2"/>
  <c r="AB1045" i="2" s="1"/>
  <c r="AA1018" i="2"/>
  <c r="AB1018" i="2" s="1"/>
  <c r="S436" i="2"/>
  <c r="S437" i="2" s="1"/>
  <c r="V436" i="2"/>
  <c r="V437" i="2" s="1"/>
  <c r="G436" i="2"/>
  <c r="P436" i="2"/>
  <c r="P437" i="2" s="1"/>
  <c r="Z436" i="2"/>
  <c r="Z437" i="2" s="1"/>
  <c r="M436" i="2"/>
  <c r="M437" i="2" s="1"/>
  <c r="R436" i="2"/>
  <c r="R437" i="2" s="1"/>
  <c r="Y436" i="2"/>
  <c r="Y437" i="2" s="1"/>
  <c r="I436" i="2"/>
  <c r="I437" i="2" s="1"/>
  <c r="O436" i="2"/>
  <c r="O437" i="2" s="1"/>
  <c r="U436" i="2"/>
  <c r="X436" i="2"/>
  <c r="X437" i="2" s="1"/>
  <c r="L436" i="2"/>
  <c r="L437" i="2" s="1"/>
  <c r="Q436" i="2"/>
  <c r="Q437" i="2" s="1"/>
  <c r="T436" i="2"/>
  <c r="T437" i="2" s="1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1047" i="2"/>
  <c r="AA1047" i="2" s="1"/>
  <c r="AB1047" i="2" s="1"/>
  <c r="Y105" i="1"/>
  <c r="Y77" i="1"/>
  <c r="Y79" i="1" s="1"/>
  <c r="Y96" i="1" s="1"/>
  <c r="V298" i="2"/>
  <c r="Z379" i="2"/>
  <c r="Y1040" i="2"/>
  <c r="F32" i="2"/>
  <c r="X32" i="2" s="1"/>
  <c r="AA1024" i="2"/>
  <c r="AB1024" i="2" s="1"/>
  <c r="AA1038" i="2"/>
  <c r="AB1038" i="2" s="1"/>
  <c r="AA1039" i="2"/>
  <c r="AB1039" i="2" s="1"/>
  <c r="Z1026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1033" i="2"/>
  <c r="G1026" i="2"/>
  <c r="G240" i="2" s="1"/>
  <c r="W20" i="2"/>
  <c r="W21" i="2" s="1"/>
  <c r="W698" i="2" s="1"/>
  <c r="J20" i="2"/>
  <c r="J21" i="2" s="1"/>
  <c r="J698" i="2" s="1"/>
  <c r="D44" i="26" s="1"/>
  <c r="F44" i="26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D44" i="28" s="1"/>
  <c r="F44" i="28" s="1"/>
  <c r="T20" i="2"/>
  <c r="T21" i="2" s="1"/>
  <c r="T698" i="2" s="1"/>
  <c r="N20" i="2"/>
  <c r="N21" i="2" s="1"/>
  <c r="N698" i="2" s="1"/>
  <c r="D44" i="27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1033" i="2"/>
  <c r="Y298" i="2" s="1"/>
  <c r="Z1032" i="2"/>
  <c r="Z1040" i="2" s="1"/>
  <c r="AA1031" i="2"/>
  <c r="AB1031" i="2" s="1"/>
  <c r="Z772" i="2"/>
  <c r="AA772" i="2" s="1"/>
  <c r="AB772" i="2" s="1"/>
  <c r="AA697" i="2"/>
  <c r="AB697" i="2" s="1"/>
  <c r="Z1004" i="2"/>
  <c r="AA1003" i="2"/>
  <c r="AB1003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51" i="2"/>
  <c r="AB951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I662" i="2"/>
  <c r="Q140" i="2"/>
  <c r="R90" i="2"/>
  <c r="Z90" i="2"/>
  <c r="L140" i="2"/>
  <c r="Y662" i="2"/>
  <c r="Y228" i="1"/>
  <c r="Z307" i="2"/>
  <c r="V547" i="2"/>
  <c r="S547" i="2"/>
  <c r="Y605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G29" i="3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S184" i="2"/>
  <c r="G605" i="2"/>
  <c r="U325" i="1"/>
  <c r="U324" i="1"/>
  <c r="X605" i="2"/>
  <c r="T331" i="1"/>
  <c r="T333" i="1" s="1"/>
  <c r="T335" i="1" s="1"/>
  <c r="P605" i="2"/>
  <c r="J605" i="2"/>
  <c r="H479" i="2"/>
  <c r="H480" i="2" s="1"/>
  <c r="U598" i="1"/>
  <c r="F491" i="2" s="1"/>
  <c r="O605" i="2"/>
  <c r="R605" i="2"/>
  <c r="N605" i="2"/>
  <c r="U529" i="1"/>
  <c r="T605" i="2"/>
  <c r="U604" i="1"/>
  <c r="F663" i="2" s="1"/>
  <c r="O663" i="2" s="1"/>
  <c r="K605" i="2"/>
  <c r="W605" i="2"/>
  <c r="H605" i="2"/>
  <c r="I605" i="2"/>
  <c r="Z605" i="2"/>
  <c r="U606" i="1"/>
  <c r="T608" i="1"/>
  <c r="U131" i="1"/>
  <c r="V605" i="2"/>
  <c r="S605" i="2"/>
  <c r="U605" i="2"/>
  <c r="U321" i="1"/>
  <c r="U532" i="1"/>
  <c r="Q605" i="2"/>
  <c r="M605" i="2"/>
  <c r="U602" i="1"/>
  <c r="F606" i="2" s="1"/>
  <c r="W606" i="2" s="1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I184" i="2"/>
  <c r="W140" i="2"/>
  <c r="G140" i="2"/>
  <c r="N140" i="2"/>
  <c r="R662" i="2"/>
  <c r="M662" i="2"/>
  <c r="L662" i="2"/>
  <c r="I136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U437" i="2"/>
  <c r="I642" i="2"/>
  <c r="I646" i="2" s="1"/>
  <c r="O140" i="2"/>
  <c r="P662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K422" i="2"/>
  <c r="K423" i="2" s="1"/>
  <c r="I413" i="2"/>
  <c r="I417" i="2" s="1"/>
  <c r="Y188" i="1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W280" i="1"/>
  <c r="W308" i="1" s="1"/>
  <c r="H355" i="2"/>
  <c r="H359" i="2" s="1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G29" i="34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50" i="2"/>
  <c r="Y427" i="1"/>
  <c r="H527" i="2"/>
  <c r="H531" i="2" s="1"/>
  <c r="H11" i="2"/>
  <c r="H136" i="2"/>
  <c r="M307" i="2"/>
  <c r="M308" i="2" s="1"/>
  <c r="G29" i="31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G29" i="26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G29" i="28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G29" i="27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1112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G437" i="2"/>
  <c r="Y665" i="1"/>
  <c r="Y264" i="1"/>
  <c r="Y274" i="1" s="1"/>
  <c r="Y651" i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AA379" i="2" s="1"/>
  <c r="AB379" i="2" s="1"/>
  <c r="N245" i="2" l="1"/>
  <c r="J32" i="2"/>
  <c r="N302" i="2"/>
  <c r="E29" i="27" s="1"/>
  <c r="W302" i="2"/>
  <c r="S141" i="1"/>
  <c r="F146" i="2" s="1"/>
  <c r="J146" i="2" s="1"/>
  <c r="S654" i="1"/>
  <c r="S245" i="2"/>
  <c r="M245" i="2"/>
  <c r="H32" i="2"/>
  <c r="AA436" i="2"/>
  <c r="AB436" i="2" s="1"/>
  <c r="L32" i="2"/>
  <c r="AA31" i="2"/>
  <c r="AB31" i="2" s="1"/>
  <c r="G32" i="2"/>
  <c r="O32" i="2"/>
  <c r="U32" i="2"/>
  <c r="S32" i="2"/>
  <c r="K32" i="2"/>
  <c r="P32" i="2"/>
  <c r="Q32" i="2"/>
  <c r="N32" i="2"/>
  <c r="M32" i="2"/>
  <c r="W32" i="2"/>
  <c r="R32" i="2"/>
  <c r="Z32" i="2"/>
  <c r="V32" i="2"/>
  <c r="I32" i="2"/>
  <c r="Y32" i="2"/>
  <c r="T32" i="2"/>
  <c r="E28" i="27"/>
  <c r="E30" i="27"/>
  <c r="G30" i="34"/>
  <c r="E28" i="34"/>
  <c r="G30" i="27"/>
  <c r="E30" i="34"/>
  <c r="G30" i="26"/>
  <c r="K44" i="28"/>
  <c r="L44" i="28" s="1"/>
  <c r="K44" i="26"/>
  <c r="L44" i="26" s="1"/>
  <c r="E30" i="28"/>
  <c r="E30" i="26"/>
  <c r="G30" i="31"/>
  <c r="G30" i="32"/>
  <c r="E28" i="31"/>
  <c r="G30" i="28"/>
  <c r="E30" i="31"/>
  <c r="E30" i="32"/>
  <c r="E28" i="26"/>
  <c r="E28" i="32"/>
  <c r="E28" i="28"/>
  <c r="P700" i="2"/>
  <c r="Q245" i="2"/>
  <c r="H302" i="2"/>
  <c r="E29" i="24" s="1"/>
  <c r="M188" i="2"/>
  <c r="T245" i="2"/>
  <c r="Q302" i="2"/>
  <c r="R245" i="2"/>
  <c r="J302" i="2"/>
  <c r="E29" i="26" s="1"/>
  <c r="S698" i="2"/>
  <c r="X698" i="2"/>
  <c r="M698" i="2"/>
  <c r="D44" i="31" s="1"/>
  <c r="F44" i="31" s="1"/>
  <c r="O698" i="2"/>
  <c r="U698" i="2"/>
  <c r="K698" i="2"/>
  <c r="D44" i="32" s="1"/>
  <c r="F44" i="32" s="1"/>
  <c r="I698" i="2"/>
  <c r="P698" i="2"/>
  <c r="H698" i="2"/>
  <c r="D44" i="24" s="1"/>
  <c r="X417" i="2"/>
  <c r="X646" i="2"/>
  <c r="V302" i="2"/>
  <c r="J245" i="2"/>
  <c r="G34" i="24"/>
  <c r="K34" i="24" s="1"/>
  <c r="L34" i="24" s="1"/>
  <c r="U188" i="2"/>
  <c r="X531" i="2"/>
  <c r="S188" i="2"/>
  <c r="O245" i="2"/>
  <c r="P302" i="2"/>
  <c r="P245" i="2"/>
  <c r="E28" i="24"/>
  <c r="I245" i="2"/>
  <c r="I188" i="2"/>
  <c r="T302" i="2"/>
  <c r="W308" i="2"/>
  <c r="M302" i="2"/>
  <c r="E29" i="31" s="1"/>
  <c r="U245" i="2"/>
  <c r="X589" i="2"/>
  <c r="AA1040" i="2"/>
  <c r="AB1040" i="2" s="1"/>
  <c r="R302" i="2"/>
  <c r="W188" i="2"/>
  <c r="AA305" i="2"/>
  <c r="AB305" i="2" s="1"/>
  <c r="X302" i="2"/>
  <c r="O302" i="2"/>
  <c r="I302" i="2"/>
  <c r="E29" i="34" s="1"/>
  <c r="X359" i="2"/>
  <c r="L302" i="2"/>
  <c r="E29" i="28" s="1"/>
  <c r="U302" i="2"/>
  <c r="H245" i="2"/>
  <c r="X1112" i="2"/>
  <c r="K302" i="2"/>
  <c r="E29" i="32" s="1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1112" i="2" s="1"/>
  <c r="Y584" i="2"/>
  <c r="Y297" i="2"/>
  <c r="Y469" i="2"/>
  <c r="Y354" i="2"/>
  <c r="Y641" i="2"/>
  <c r="Y412" i="2"/>
  <c r="Y526" i="2"/>
  <c r="Y239" i="2"/>
  <c r="Y296" i="2"/>
  <c r="Y411" i="2"/>
  <c r="Y468" i="2"/>
  <c r="Y474" i="2" s="1"/>
  <c r="Y525" i="2"/>
  <c r="Y583" i="2"/>
  <c r="Y640" i="2"/>
  <c r="Y353" i="2"/>
  <c r="Y9" i="2"/>
  <c r="Z62" i="1"/>
  <c r="Z105" i="1"/>
  <c r="Z1005" i="2"/>
  <c r="AA1004" i="2"/>
  <c r="AB1004" i="2" s="1"/>
  <c r="Z1033" i="2"/>
  <c r="AA1032" i="2"/>
  <c r="AB1032" i="2" s="1"/>
  <c r="K845" i="2"/>
  <c r="H845" i="2"/>
  <c r="O845" i="2"/>
  <c r="I845" i="2"/>
  <c r="V845" i="2"/>
  <c r="M845" i="2"/>
  <c r="S845" i="2"/>
  <c r="U845" i="2"/>
  <c r="E30" i="24"/>
  <c r="G30" i="24"/>
  <c r="O188" i="2"/>
  <c r="H188" i="2"/>
  <c r="Z137" i="1"/>
  <c r="Z139" i="1" s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M321" i="2"/>
  <c r="S321" i="2"/>
  <c r="S322" i="2" s="1"/>
  <c r="Z222" i="1"/>
  <c r="Z663" i="1"/>
  <c r="X280" i="1"/>
  <c r="X308" i="1" s="1"/>
  <c r="X657" i="1" s="1"/>
  <c r="M15" i="2"/>
  <c r="Z167" i="1"/>
  <c r="V324" i="1"/>
  <c r="V490" i="2"/>
  <c r="T490" i="2"/>
  <c r="AA547" i="2"/>
  <c r="AB547" i="2" s="1"/>
  <c r="Y242" i="1"/>
  <c r="Z229" i="1"/>
  <c r="Z240" i="1"/>
  <c r="Z235" i="1"/>
  <c r="Z227" i="1"/>
  <c r="W251" i="2"/>
  <c r="U331" i="1"/>
  <c r="U333" i="1" s="1"/>
  <c r="U335" i="1" s="1"/>
  <c r="U113" i="1" s="1"/>
  <c r="U117" i="1" s="1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G322" i="2" s="1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G28" i="26" s="1"/>
  <c r="O194" i="2"/>
  <c r="P194" i="2"/>
  <c r="M194" i="2"/>
  <c r="G28" i="31" s="1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D31" i="24" s="1"/>
  <c r="N15" i="2"/>
  <c r="N194" i="2"/>
  <c r="G28" i="27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D31" i="34" s="1"/>
  <c r="K769" i="2"/>
  <c r="D31" i="32" s="1"/>
  <c r="N117" i="1"/>
  <c r="W1112" i="2"/>
  <c r="W15" i="2"/>
  <c r="W700" i="2" s="1"/>
  <c r="L188" i="2"/>
  <c r="L15" i="2"/>
  <c r="J188" i="2"/>
  <c r="J15" i="2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D31" i="31" s="1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G28" i="34" s="1"/>
  <c r="K194" i="2"/>
  <c r="G28" i="32" s="1"/>
  <c r="H194" i="2"/>
  <c r="G28" i="24" s="1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G28" i="28" s="1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H146" i="2" l="1"/>
  <c r="U146" i="2"/>
  <c r="R146" i="2"/>
  <c r="I146" i="2"/>
  <c r="Q146" i="2"/>
  <c r="Z594" i="1"/>
  <c r="Z596" i="1" s="1"/>
  <c r="F445" i="2" s="1"/>
  <c r="V445" i="2" s="1"/>
  <c r="K146" i="2"/>
  <c r="X146" i="2"/>
  <c r="S146" i="2"/>
  <c r="V146" i="2"/>
  <c r="P146" i="2"/>
  <c r="Z667" i="1"/>
  <c r="Y146" i="2"/>
  <c r="N146" i="2"/>
  <c r="M146" i="2"/>
  <c r="G146" i="2"/>
  <c r="O146" i="2"/>
  <c r="L146" i="2"/>
  <c r="T146" i="2"/>
  <c r="W146" i="2"/>
  <c r="Z146" i="2"/>
  <c r="M34" i="2"/>
  <c r="AA32" i="2"/>
  <c r="AB32" i="2" s="1"/>
  <c r="P33" i="2"/>
  <c r="Q33" i="2"/>
  <c r="I33" i="2"/>
  <c r="J33" i="2"/>
  <c r="S33" i="2"/>
  <c r="Z33" i="2"/>
  <c r="Z35" i="2" s="1"/>
  <c r="W33" i="2"/>
  <c r="O33" i="2"/>
  <c r="G33" i="2"/>
  <c r="R33" i="2"/>
  <c r="M33" i="2"/>
  <c r="K33" i="2"/>
  <c r="Y33" i="2"/>
  <c r="H33" i="2"/>
  <c r="N33" i="2"/>
  <c r="U33" i="2"/>
  <c r="T33" i="2"/>
  <c r="V33" i="2"/>
  <c r="X33" i="2"/>
  <c r="F44" i="27"/>
  <c r="K44" i="27" s="1"/>
  <c r="L44" i="27" s="1"/>
  <c r="D44" i="34"/>
  <c r="F44" i="34" s="1"/>
  <c r="G34" i="2"/>
  <c r="P34" i="2"/>
  <c r="F35" i="2"/>
  <c r="J34" i="2"/>
  <c r="L322" i="2"/>
  <c r="I322" i="2"/>
  <c r="M322" i="2"/>
  <c r="K44" i="31"/>
  <c r="L44" i="31" s="1"/>
  <c r="K44" i="32"/>
  <c r="L44" i="32" s="1"/>
  <c r="Q700" i="2"/>
  <c r="L700" i="2"/>
  <c r="D43" i="28" s="1"/>
  <c r="N700" i="2"/>
  <c r="D43" i="27" s="1"/>
  <c r="I700" i="2"/>
  <c r="D43" i="34" s="1"/>
  <c r="H700" i="2"/>
  <c r="D43" i="24" s="1"/>
  <c r="E43" i="24" s="1"/>
  <c r="K43" i="24" s="1"/>
  <c r="L43" i="24" s="1"/>
  <c r="M700" i="2"/>
  <c r="D43" i="31" s="1"/>
  <c r="J700" i="2"/>
  <c r="D43" i="26" s="1"/>
  <c r="R700" i="2"/>
  <c r="O700" i="2"/>
  <c r="K700" i="2"/>
  <c r="D43" i="32" s="1"/>
  <c r="X845" i="2"/>
  <c r="Y531" i="2"/>
  <c r="Y359" i="2"/>
  <c r="Q34" i="2"/>
  <c r="I34" i="2"/>
  <c r="N34" i="2"/>
  <c r="R34" i="2"/>
  <c r="W34" i="2"/>
  <c r="L34" i="2"/>
  <c r="L35" i="2" s="1"/>
  <c r="X34" i="2"/>
  <c r="S34" i="2"/>
  <c r="K34" i="2"/>
  <c r="K35" i="2" s="1"/>
  <c r="H34" i="2"/>
  <c r="T34" i="2"/>
  <c r="U34" i="2"/>
  <c r="O34" i="2"/>
  <c r="O35" i="2" s="1"/>
  <c r="V34" i="2"/>
  <c r="Y34" i="2"/>
  <c r="X769" i="2"/>
  <c r="Y15" i="2"/>
  <c r="Y700" i="2" s="1"/>
  <c r="AA105" i="1"/>
  <c r="AA77" i="1"/>
  <c r="AA79" i="1" s="1"/>
  <c r="AA96" i="1" s="1"/>
  <c r="Y302" i="2"/>
  <c r="Y646" i="2"/>
  <c r="Y417" i="2"/>
  <c r="G21" i="2"/>
  <c r="G698" i="2" s="1"/>
  <c r="D44" i="14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1033" i="2"/>
  <c r="AB1033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05" i="2"/>
  <c r="AB1005" i="2" s="1"/>
  <c r="P845" i="2"/>
  <c r="T845" i="2"/>
  <c r="R845" i="2"/>
  <c r="J845" i="2"/>
  <c r="N845" i="2"/>
  <c r="W845" i="2"/>
  <c r="Y845" i="2"/>
  <c r="L845" i="2"/>
  <c r="Q845" i="2"/>
  <c r="E32" i="24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G28" i="14"/>
  <c r="I445" i="2"/>
  <c r="L445" i="2"/>
  <c r="R445" i="2"/>
  <c r="T445" i="2"/>
  <c r="O445" i="2"/>
  <c r="AB658" i="1"/>
  <c r="AB383" i="1"/>
  <c r="AB147" i="1"/>
  <c r="AB156" i="1" s="1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845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D31" i="26" s="1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E28" i="14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D31" i="28" s="1"/>
  <c r="W769" i="2"/>
  <c r="N141" i="1"/>
  <c r="N769" i="2"/>
  <c r="D31" i="27" s="1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Y445" i="2" l="1"/>
  <c r="U445" i="2"/>
  <c r="S445" i="2"/>
  <c r="H445" i="2"/>
  <c r="K445" i="2"/>
  <c r="Q445" i="2"/>
  <c r="X445" i="2"/>
  <c r="W445" i="2"/>
  <c r="N445" i="2"/>
  <c r="P445" i="2"/>
  <c r="G445" i="2"/>
  <c r="M445" i="2"/>
  <c r="J445" i="2"/>
  <c r="Z445" i="2"/>
  <c r="Q387" i="2"/>
  <c r="AA146" i="2"/>
  <c r="AB146" i="2" s="1"/>
  <c r="M35" i="2"/>
  <c r="S35" i="2"/>
  <c r="P35" i="2"/>
  <c r="V35" i="2"/>
  <c r="H35" i="2"/>
  <c r="Q35" i="2"/>
  <c r="W35" i="2"/>
  <c r="N35" i="2"/>
  <c r="I35" i="2"/>
  <c r="Y35" i="2"/>
  <c r="T35" i="2"/>
  <c r="G35" i="2"/>
  <c r="AA33" i="2"/>
  <c r="AB33" i="2" s="1"/>
  <c r="J35" i="2"/>
  <c r="X35" i="2"/>
  <c r="U35" i="2"/>
  <c r="E43" i="34"/>
  <c r="K44" i="34"/>
  <c r="L44" i="34" s="1"/>
  <c r="E43" i="26"/>
  <c r="L384" i="2"/>
  <c r="E43" i="32"/>
  <c r="E43" i="27"/>
  <c r="E43" i="28"/>
  <c r="I384" i="2"/>
  <c r="E43" i="31"/>
  <c r="Z669" i="1"/>
  <c r="G700" i="2"/>
  <c r="D43" i="14" s="1"/>
  <c r="E43" i="14" s="1"/>
  <c r="K43" i="14" s="1"/>
  <c r="L43" i="14" s="1"/>
  <c r="AA1008" i="2"/>
  <c r="AB1008" i="2" s="1"/>
  <c r="F1010" i="2"/>
  <c r="P205" i="2"/>
  <c r="AA34" i="2"/>
  <c r="AB34" i="2" s="1"/>
  <c r="R35" i="2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1112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K32" i="24"/>
  <c r="L32" i="24" s="1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G30" i="14"/>
  <c r="G29" i="14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E29" i="14"/>
  <c r="G769" i="2"/>
  <c r="D31" i="14" s="1"/>
  <c r="E30" i="14"/>
  <c r="G494" i="2"/>
  <c r="AA493" i="2"/>
  <c r="AB493" i="2" s="1"/>
  <c r="H325" i="2"/>
  <c r="H29" i="24" s="1"/>
  <c r="O325" i="2"/>
  <c r="V325" i="2"/>
  <c r="I325" i="2"/>
  <c r="H29" i="34" s="1"/>
  <c r="R325" i="2"/>
  <c r="J325" i="2"/>
  <c r="H29" i="26" s="1"/>
  <c r="Q325" i="2"/>
  <c r="X325" i="2"/>
  <c r="K325" i="2"/>
  <c r="H29" i="32" s="1"/>
  <c r="U325" i="2"/>
  <c r="L325" i="2"/>
  <c r="H29" i="28" s="1"/>
  <c r="S325" i="2"/>
  <c r="Y325" i="2"/>
  <c r="M325" i="2"/>
  <c r="H29" i="31" s="1"/>
  <c r="W325" i="2"/>
  <c r="N325" i="2"/>
  <c r="H29" i="27" s="1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AA445" i="2" l="1"/>
  <c r="AB445" i="2" s="1"/>
  <c r="Z604" i="1"/>
  <c r="F674" i="2" s="1"/>
  <c r="Z321" i="1"/>
  <c r="Z324" i="1"/>
  <c r="Z598" i="1"/>
  <c r="F502" i="2" s="1"/>
  <c r="Z529" i="1"/>
  <c r="V330" i="2"/>
  <c r="Z602" i="1"/>
  <c r="F617" i="2" s="1"/>
  <c r="Z606" i="1"/>
  <c r="Z532" i="1"/>
  <c r="Z600" i="1"/>
  <c r="F559" i="2" s="1"/>
  <c r="V559" i="2" s="1"/>
  <c r="Z325" i="1"/>
  <c r="Z110" i="1"/>
  <c r="F102" i="2" s="1"/>
  <c r="Y102" i="2" s="1"/>
  <c r="H330" i="2"/>
  <c r="AA35" i="2"/>
  <c r="AB35" i="2" s="1"/>
  <c r="U330" i="2"/>
  <c r="R330" i="2"/>
  <c r="X330" i="2"/>
  <c r="K43" i="34"/>
  <c r="L43" i="34" s="1"/>
  <c r="N330" i="2"/>
  <c r="M330" i="2"/>
  <c r="Z330" i="2"/>
  <c r="G330" i="2"/>
  <c r="P330" i="2"/>
  <c r="W330" i="2"/>
  <c r="K43" i="27"/>
  <c r="L43" i="27" s="1"/>
  <c r="K43" i="26"/>
  <c r="L43" i="26" s="1"/>
  <c r="K43" i="31"/>
  <c r="L43" i="31" s="1"/>
  <c r="K43" i="28"/>
  <c r="L43" i="28" s="1"/>
  <c r="K43" i="32"/>
  <c r="L43" i="32" s="1"/>
  <c r="N1010" i="2"/>
  <c r="N1011" i="2" s="1"/>
  <c r="N1019" i="2" s="1"/>
  <c r="Q1010" i="2"/>
  <c r="Q1011" i="2" s="1"/>
  <c r="Q1019" i="2" s="1"/>
  <c r="H1010" i="2"/>
  <c r="H1011" i="2" s="1"/>
  <c r="H1019" i="2" s="1"/>
  <c r="O1010" i="2"/>
  <c r="O1011" i="2" s="1"/>
  <c r="O1019" i="2" s="1"/>
  <c r="X1010" i="2"/>
  <c r="X1011" i="2" s="1"/>
  <c r="G1010" i="2"/>
  <c r="L1010" i="2"/>
  <c r="L1011" i="2" s="1"/>
  <c r="L1019" i="2" s="1"/>
  <c r="W1010" i="2"/>
  <c r="W1011" i="2" s="1"/>
  <c r="W1019" i="2" s="1"/>
  <c r="I1010" i="2"/>
  <c r="I1011" i="2" s="1"/>
  <c r="I1019" i="2" s="1"/>
  <c r="S1010" i="2"/>
  <c r="S1011" i="2" s="1"/>
  <c r="S1019" i="2" s="1"/>
  <c r="Z1010" i="2"/>
  <c r="Z1011" i="2" s="1"/>
  <c r="Z1019" i="2" s="1"/>
  <c r="K1010" i="2"/>
  <c r="K1011" i="2" s="1"/>
  <c r="K1019" i="2" s="1"/>
  <c r="R1010" i="2"/>
  <c r="R1011" i="2" s="1"/>
  <c r="R1019" i="2" s="1"/>
  <c r="Y1010" i="2"/>
  <c r="Y1011" i="2" s="1"/>
  <c r="M1010" i="2"/>
  <c r="M1011" i="2" s="1"/>
  <c r="M1019" i="2" s="1"/>
  <c r="U1010" i="2"/>
  <c r="U1011" i="2" s="1"/>
  <c r="U1019" i="2" s="1"/>
  <c r="J1010" i="2"/>
  <c r="J1011" i="2" s="1"/>
  <c r="J1019" i="2" s="1"/>
  <c r="T1010" i="2"/>
  <c r="T1011" i="2" s="1"/>
  <c r="T1019" i="2" s="1"/>
  <c r="F1011" i="2"/>
  <c r="P1010" i="2"/>
  <c r="P1011" i="2" s="1"/>
  <c r="P1019" i="2" s="1"/>
  <c r="V1010" i="2"/>
  <c r="V1011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AC79" i="1" s="1"/>
  <c r="AC96" i="1" s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918" i="2"/>
  <c r="Z845" i="2"/>
  <c r="AA845" i="2" s="1"/>
  <c r="AB845" i="2" s="1"/>
  <c r="AA1112" i="2"/>
  <c r="AB1112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G34" i="14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H29" i="14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S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X102" i="2" l="1"/>
  <c r="L102" i="2"/>
  <c r="R102" i="2"/>
  <c r="P102" i="2"/>
  <c r="U102" i="2"/>
  <c r="J102" i="2"/>
  <c r="V102" i="2"/>
  <c r="N102" i="2"/>
  <c r="T102" i="2"/>
  <c r="M102" i="2"/>
  <c r="I102" i="2"/>
  <c r="H102" i="2"/>
  <c r="O102" i="2"/>
  <c r="S102" i="2"/>
  <c r="W102" i="2"/>
  <c r="G102" i="2"/>
  <c r="K102" i="2"/>
  <c r="Q102" i="2"/>
  <c r="Z102" i="2"/>
  <c r="L559" i="2"/>
  <c r="I559" i="2"/>
  <c r="O559" i="2"/>
  <c r="Q559" i="2"/>
  <c r="N559" i="2"/>
  <c r="J559" i="2"/>
  <c r="R559" i="2"/>
  <c r="T559" i="2"/>
  <c r="Z559" i="2"/>
  <c r="G559" i="2"/>
  <c r="M559" i="2"/>
  <c r="U559" i="2"/>
  <c r="W559" i="2"/>
  <c r="Y559" i="2"/>
  <c r="Z608" i="1"/>
  <c r="H559" i="2"/>
  <c r="P559" i="2"/>
  <c r="K559" i="2"/>
  <c r="X559" i="2"/>
  <c r="I327" i="2"/>
  <c r="M327" i="2"/>
  <c r="Y1026" i="2"/>
  <c r="Y183" i="2" s="1"/>
  <c r="Y1019" i="2"/>
  <c r="V1026" i="2"/>
  <c r="V184" i="2" s="1"/>
  <c r="V1019" i="2"/>
  <c r="X1026" i="2"/>
  <c r="X1019" i="2"/>
  <c r="S1012" i="2"/>
  <c r="K1012" i="2"/>
  <c r="H1012" i="2"/>
  <c r="Q1012" i="2"/>
  <c r="T1012" i="2"/>
  <c r="V1012" i="2"/>
  <c r="P1012" i="2"/>
  <c r="R1012" i="2"/>
  <c r="L1012" i="2"/>
  <c r="I1012" i="2"/>
  <c r="X1012" i="2"/>
  <c r="O1012" i="2"/>
  <c r="N1012" i="2"/>
  <c r="J1012" i="2"/>
  <c r="U1012" i="2"/>
  <c r="M1012" i="2"/>
  <c r="Y1012" i="2"/>
  <c r="W1012" i="2"/>
  <c r="Z1012" i="2"/>
  <c r="AA1010" i="2"/>
  <c r="AB1010" i="2" s="1"/>
  <c r="G1011" i="2"/>
  <c r="AA43" i="2"/>
  <c r="AB43" i="2" s="1"/>
  <c r="AD105" i="1"/>
  <c r="AD77" i="1"/>
  <c r="AD79" i="1" s="1"/>
  <c r="AD96" i="1" s="1"/>
  <c r="AA330" i="2"/>
  <c r="AB330" i="2" s="1"/>
  <c r="K34" i="14"/>
  <c r="L34" i="14" s="1"/>
  <c r="E32" i="14"/>
  <c r="K32" i="14" s="1"/>
  <c r="L32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C486" i="1"/>
  <c r="AC488" i="1" s="1"/>
  <c r="AC490" i="1" s="1"/>
  <c r="AC516" i="1" s="1"/>
  <c r="T699" i="2"/>
  <c r="S699" i="2"/>
  <c r="H699" i="2"/>
  <c r="D45" i="24" s="1"/>
  <c r="G45" i="24" s="1"/>
  <c r="K45" i="24" s="1"/>
  <c r="L45" i="24" s="1"/>
  <c r="K699" i="2"/>
  <c r="D45" i="32" s="1"/>
  <c r="R699" i="2"/>
  <c r="U699" i="2"/>
  <c r="I699" i="2"/>
  <c r="D45" i="34" s="1"/>
  <c r="F333" i="2"/>
  <c r="F1079" i="2" s="1"/>
  <c r="J699" i="2"/>
  <c r="D45" i="26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H30" i="28" s="1"/>
  <c r="V497" i="2"/>
  <c r="G497" i="2"/>
  <c r="O497" i="2"/>
  <c r="X497" i="2"/>
  <c r="M497" i="2"/>
  <c r="H30" i="31" s="1"/>
  <c r="S497" i="2"/>
  <c r="H497" i="2"/>
  <c r="H30" i="24" s="1"/>
  <c r="R497" i="2"/>
  <c r="Z497" i="2"/>
  <c r="I497" i="2"/>
  <c r="H30" i="34" s="1"/>
  <c r="Q497" i="2"/>
  <c r="Y497" i="2"/>
  <c r="K497" i="2"/>
  <c r="H30" i="32" s="1"/>
  <c r="U497" i="2"/>
  <c r="J497" i="2"/>
  <c r="H30" i="26" s="1"/>
  <c r="T497" i="2"/>
  <c r="W497" i="2"/>
  <c r="N497" i="2"/>
  <c r="H30" i="27" s="1"/>
  <c r="P497" i="2"/>
  <c r="F150" i="2"/>
  <c r="AA655" i="1"/>
  <c r="AA95" i="1"/>
  <c r="AA98" i="1" s="1"/>
  <c r="F46" i="2" s="1"/>
  <c r="F1051" i="2" s="1"/>
  <c r="AA81" i="1"/>
  <c r="AA115" i="1"/>
  <c r="AA126" i="1"/>
  <c r="AA114" i="1"/>
  <c r="AA128" i="1"/>
  <c r="AA127" i="1"/>
  <c r="AA129" i="1"/>
  <c r="AD651" i="1"/>
  <c r="AD9" i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G14" i="31" s="1"/>
  <c r="S137" i="2"/>
  <c r="K137" i="2"/>
  <c r="G14" i="32" s="1"/>
  <c r="T137" i="2"/>
  <c r="U137" i="2"/>
  <c r="Q137" i="2"/>
  <c r="U327" i="2"/>
  <c r="AB280" i="1"/>
  <c r="Z538" i="1"/>
  <c r="Z540" i="1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981" i="2" s="1"/>
  <c r="AA981" i="2" s="1"/>
  <c r="AB981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D45" i="27" s="1"/>
  <c r="X699" i="2"/>
  <c r="Z699" i="2"/>
  <c r="M699" i="2"/>
  <c r="D45" i="31" s="1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6" s="1"/>
  <c r="I137" i="2"/>
  <c r="G14" i="34" s="1"/>
  <c r="H137" i="2"/>
  <c r="G14" i="24" s="1"/>
  <c r="P137" i="2"/>
  <c r="L137" i="2"/>
  <c r="G14" i="28" s="1"/>
  <c r="N137" i="2"/>
  <c r="G14" i="27" s="1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102" i="2" l="1"/>
  <c r="AB102" i="2" s="1"/>
  <c r="AA559" i="2"/>
  <c r="AB559" i="2" s="1"/>
  <c r="V240" i="2"/>
  <c r="Y182" i="2"/>
  <c r="Y240" i="2"/>
  <c r="Y241" i="2"/>
  <c r="G45" i="34"/>
  <c r="K45" i="34" s="1"/>
  <c r="L45" i="34" s="1"/>
  <c r="G45" i="31"/>
  <c r="G45" i="26"/>
  <c r="G45" i="32"/>
  <c r="G45" i="27"/>
  <c r="AA1026" i="2"/>
  <c r="AB1026" i="2" s="1"/>
  <c r="Y184" i="2"/>
  <c r="X240" i="2"/>
  <c r="V182" i="2"/>
  <c r="X184" i="2"/>
  <c r="V241" i="2"/>
  <c r="X182" i="2"/>
  <c r="X241" i="2"/>
  <c r="V183" i="2"/>
  <c r="X183" i="2"/>
  <c r="AA1011" i="2"/>
  <c r="AB1011" i="2" s="1"/>
  <c r="G1019" i="2"/>
  <c r="AA1019" i="2" s="1"/>
  <c r="AB1019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G1012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AE105" i="1"/>
  <c r="AF105" i="1" s="1"/>
  <c r="AG105" i="1" s="1"/>
  <c r="AE77" i="1"/>
  <c r="AF77" i="1" s="1"/>
  <c r="AG77" i="1" s="1"/>
  <c r="F1081" i="2"/>
  <c r="AA1079" i="2"/>
  <c r="AB1079" i="2" s="1"/>
  <c r="AA1051" i="2"/>
  <c r="AB1051" i="2" s="1"/>
  <c r="F1053" i="2"/>
  <c r="F44" i="24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30" i="14"/>
  <c r="AA497" i="2"/>
  <c r="AB497" i="2" s="1"/>
  <c r="J211" i="2"/>
  <c r="H28" i="26" s="1"/>
  <c r="S211" i="2"/>
  <c r="Z211" i="2"/>
  <c r="M211" i="2"/>
  <c r="H28" i="31" s="1"/>
  <c r="T211" i="2"/>
  <c r="H211" i="2"/>
  <c r="H28" i="24" s="1"/>
  <c r="P211" i="2"/>
  <c r="Y211" i="2"/>
  <c r="K211" i="2"/>
  <c r="H28" i="32" s="1"/>
  <c r="U211" i="2"/>
  <c r="N211" i="2"/>
  <c r="H28" i="27" s="1"/>
  <c r="V211" i="2"/>
  <c r="I211" i="2"/>
  <c r="H28" i="34" s="1"/>
  <c r="Q211" i="2"/>
  <c r="W211" i="2"/>
  <c r="L211" i="2"/>
  <c r="H28" i="28" s="1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D45" i="28" s="1"/>
  <c r="G14" i="14"/>
  <c r="AA137" i="2"/>
  <c r="AB137" i="2" s="1"/>
  <c r="AA110" i="1"/>
  <c r="F105" i="2" s="1"/>
  <c r="F1058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5" i="14" s="1"/>
  <c r="G45" i="14" s="1"/>
  <c r="K45" i="14" s="1"/>
  <c r="L45" i="14" s="1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V245" i="2" l="1"/>
  <c r="Y188" i="2"/>
  <c r="Y245" i="2"/>
  <c r="AA241" i="2"/>
  <c r="AB241" i="2" s="1"/>
  <c r="AA240" i="2"/>
  <c r="AB240" i="2" s="1"/>
  <c r="AA184" i="2"/>
  <c r="AB184" i="2" s="1"/>
  <c r="AA183" i="2"/>
  <c r="AB183" i="2" s="1"/>
  <c r="E14" i="34"/>
  <c r="E14" i="27"/>
  <c r="E14" i="28"/>
  <c r="M499" i="2"/>
  <c r="L499" i="2"/>
  <c r="E14" i="32"/>
  <c r="E14" i="26"/>
  <c r="E14" i="31"/>
  <c r="K45" i="27"/>
  <c r="L45" i="27" s="1"/>
  <c r="K45" i="26"/>
  <c r="L45" i="26" s="1"/>
  <c r="K45" i="32"/>
  <c r="L45" i="32" s="1"/>
  <c r="G45" i="28"/>
  <c r="K45" i="31"/>
  <c r="L45" i="31" s="1"/>
  <c r="V188" i="2"/>
  <c r="X245" i="2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AA125" i="2" s="1"/>
  <c r="AB125" i="2" s="1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1012" i="2"/>
  <c r="AB1012" i="2" s="1"/>
  <c r="S131" i="2"/>
  <c r="W131" i="2"/>
  <c r="E14" i="24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1053" i="2"/>
  <c r="Q1054" i="2" s="1"/>
  <c r="T1053" i="2"/>
  <c r="T1054" i="2" s="1"/>
  <c r="J1053" i="2"/>
  <c r="J1054" i="2" s="1"/>
  <c r="K1053" i="2"/>
  <c r="K1054" i="2" s="1"/>
  <c r="R1053" i="2"/>
  <c r="R1054" i="2" s="1"/>
  <c r="H1053" i="2"/>
  <c r="H1054" i="2" s="1"/>
  <c r="V1053" i="2"/>
  <c r="V1054" i="2" s="1"/>
  <c r="M1053" i="2"/>
  <c r="M1054" i="2" s="1"/>
  <c r="P1053" i="2"/>
  <c r="P1054" i="2" s="1"/>
  <c r="W1053" i="2"/>
  <c r="W1054" i="2" s="1"/>
  <c r="G1053" i="2"/>
  <c r="N1053" i="2"/>
  <c r="N1054" i="2" s="1"/>
  <c r="X1053" i="2"/>
  <c r="X1054" i="2" s="1"/>
  <c r="Y1053" i="2"/>
  <c r="Y1054" i="2" s="1"/>
  <c r="I1053" i="2"/>
  <c r="I1054" i="2" s="1"/>
  <c r="L1053" i="2"/>
  <c r="L1054" i="2" s="1"/>
  <c r="S1053" i="2"/>
  <c r="S1054" i="2" s="1"/>
  <c r="Z1053" i="2"/>
  <c r="Z1054" i="2" s="1"/>
  <c r="U1053" i="2"/>
  <c r="U1054" i="2" s="1"/>
  <c r="O1053" i="2"/>
  <c r="O1054" i="2" s="1"/>
  <c r="Y1081" i="2"/>
  <c r="Y1082" i="2" s="1"/>
  <c r="U1081" i="2"/>
  <c r="U1082" i="2" s="1"/>
  <c r="Q1081" i="2"/>
  <c r="Q1082" i="2" s="1"/>
  <c r="M1081" i="2"/>
  <c r="M1082" i="2" s="1"/>
  <c r="I1081" i="2"/>
  <c r="I1082" i="2" s="1"/>
  <c r="G1081" i="2"/>
  <c r="Z1081" i="2"/>
  <c r="Z1082" i="2" s="1"/>
  <c r="N1081" i="2"/>
  <c r="N1082" i="2" s="1"/>
  <c r="X1081" i="2"/>
  <c r="X1082" i="2" s="1"/>
  <c r="T1081" i="2"/>
  <c r="T1082" i="2" s="1"/>
  <c r="P1081" i="2"/>
  <c r="P1082" i="2" s="1"/>
  <c r="L1081" i="2"/>
  <c r="L1082" i="2" s="1"/>
  <c r="H1081" i="2"/>
  <c r="H1082" i="2" s="1"/>
  <c r="K1081" i="2"/>
  <c r="K1082" i="2" s="1"/>
  <c r="R1081" i="2"/>
  <c r="R1082" i="2" s="1"/>
  <c r="W1081" i="2"/>
  <c r="W1082" i="2" s="1"/>
  <c r="S1081" i="2"/>
  <c r="S1082" i="2" s="1"/>
  <c r="O1081" i="2"/>
  <c r="O1082" i="2" s="1"/>
  <c r="V1081" i="2"/>
  <c r="V1082" i="2" s="1"/>
  <c r="J1081" i="2"/>
  <c r="J1082" i="2" s="1"/>
  <c r="F1082" i="2"/>
  <c r="AA1058" i="2"/>
  <c r="AB1058" i="2" s="1"/>
  <c r="F1060" i="2"/>
  <c r="F1054" i="2"/>
  <c r="K44" i="24"/>
  <c r="L44" i="24" s="1"/>
  <c r="F44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X154" i="2"/>
  <c r="L154" i="2"/>
  <c r="H14" i="28" s="1"/>
  <c r="S154" i="2"/>
  <c r="I154" i="2"/>
  <c r="H14" i="34" s="1"/>
  <c r="P154" i="2"/>
  <c r="W154" i="2"/>
  <c r="N154" i="2"/>
  <c r="H14" i="27" s="1"/>
  <c r="V154" i="2"/>
  <c r="K154" i="2"/>
  <c r="H14" i="32" s="1"/>
  <c r="R154" i="2"/>
  <c r="G154" i="2"/>
  <c r="T154" i="2"/>
  <c r="Y154" i="2"/>
  <c r="M154" i="2"/>
  <c r="H14" i="31" s="1"/>
  <c r="U154" i="2"/>
  <c r="J154" i="2"/>
  <c r="H14" i="26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1086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H28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245" i="2" l="1"/>
  <c r="AB245" i="2" s="1"/>
  <c r="L213" i="2"/>
  <c r="K45" i="28"/>
  <c r="L45" i="28" s="1"/>
  <c r="I213" i="2"/>
  <c r="M213" i="2"/>
  <c r="AA188" i="2"/>
  <c r="AB188" i="2" s="1"/>
  <c r="E14" i="14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I29" i="26" s="1"/>
  <c r="K29" i="26" s="1"/>
  <c r="V333" i="2"/>
  <c r="W333" i="2"/>
  <c r="L333" i="2"/>
  <c r="I29" i="28" s="1"/>
  <c r="K29" i="28" s="1"/>
  <c r="N333" i="2"/>
  <c r="I29" i="27" s="1"/>
  <c r="M333" i="2"/>
  <c r="I29" i="31" s="1"/>
  <c r="K29" i="31" s="1"/>
  <c r="Q1060" i="2"/>
  <c r="Q1061" i="2" s="1"/>
  <c r="J1060" i="2"/>
  <c r="J1061" i="2" s="1"/>
  <c r="L1060" i="2"/>
  <c r="L1061" i="2" s="1"/>
  <c r="W1060" i="2"/>
  <c r="W1061" i="2" s="1"/>
  <c r="G1060" i="2"/>
  <c r="M1060" i="2"/>
  <c r="M1061" i="2" s="1"/>
  <c r="X1060" i="2"/>
  <c r="X1061" i="2" s="1"/>
  <c r="H1060" i="2"/>
  <c r="H1061" i="2" s="1"/>
  <c r="S1060" i="2"/>
  <c r="S1061" i="2" s="1"/>
  <c r="R1060" i="2"/>
  <c r="R1061" i="2" s="1"/>
  <c r="K1060" i="2"/>
  <c r="K1061" i="2" s="1"/>
  <c r="Y1060" i="2"/>
  <c r="Y1061" i="2" s="1"/>
  <c r="I1060" i="2"/>
  <c r="I1061" i="2" s="1"/>
  <c r="T1060" i="2"/>
  <c r="T1061" i="2" s="1"/>
  <c r="Z1060" i="2"/>
  <c r="Z1061" i="2" s="1"/>
  <c r="O1060" i="2"/>
  <c r="O1061" i="2" s="1"/>
  <c r="U1060" i="2"/>
  <c r="U1061" i="2" s="1"/>
  <c r="V1060" i="2"/>
  <c r="V1061" i="2" s="1"/>
  <c r="P1060" i="2"/>
  <c r="P1061" i="2" s="1"/>
  <c r="N1060" i="2"/>
  <c r="N1061" i="2" s="1"/>
  <c r="R333" i="2"/>
  <c r="P333" i="2"/>
  <c r="Z333" i="2"/>
  <c r="Q333" i="2"/>
  <c r="AA1053" i="2"/>
  <c r="AB1053" i="2" s="1"/>
  <c r="G1054" i="2"/>
  <c r="AA1054" i="2" s="1"/>
  <c r="AB1054" i="2" s="1"/>
  <c r="O333" i="2"/>
  <c r="K333" i="2"/>
  <c r="I29" i="32" s="1"/>
  <c r="K29" i="32" s="1"/>
  <c r="T333" i="2"/>
  <c r="U333" i="2"/>
  <c r="S333" i="2"/>
  <c r="H333" i="2"/>
  <c r="I29" i="24" s="1"/>
  <c r="K29" i="24" s="1"/>
  <c r="X333" i="2"/>
  <c r="I333" i="2"/>
  <c r="Y333" i="2"/>
  <c r="AA1081" i="2"/>
  <c r="AB1081" i="2" s="1"/>
  <c r="G1082" i="2"/>
  <c r="F52" i="2"/>
  <c r="S52" i="2" s="1"/>
  <c r="F1061" i="2"/>
  <c r="T1055" i="2"/>
  <c r="T46" i="2" s="1"/>
  <c r="P1055" i="2"/>
  <c r="P46" i="2" s="1"/>
  <c r="J1055" i="2"/>
  <c r="J46" i="2" s="1"/>
  <c r="N1055" i="2"/>
  <c r="N46" i="2" s="1"/>
  <c r="L1055" i="2"/>
  <c r="L46" i="2" s="1"/>
  <c r="H1055" i="2"/>
  <c r="H46" i="2" s="1"/>
  <c r="O1055" i="2"/>
  <c r="O46" i="2" s="1"/>
  <c r="M1055" i="2"/>
  <c r="M46" i="2" s="1"/>
  <c r="R1055" i="2"/>
  <c r="R46" i="2" s="1"/>
  <c r="S1055" i="2"/>
  <c r="S46" i="2" s="1"/>
  <c r="I1055" i="2"/>
  <c r="I46" i="2" s="1"/>
  <c r="Q1055" i="2"/>
  <c r="Q46" i="2" s="1"/>
  <c r="K1055" i="2"/>
  <c r="K46" i="2" s="1"/>
  <c r="U1055" i="2"/>
  <c r="U46" i="2" s="1"/>
  <c r="V1055" i="2"/>
  <c r="V46" i="2" s="1"/>
  <c r="W1055" i="2"/>
  <c r="W46" i="2" s="1"/>
  <c r="X1055" i="2"/>
  <c r="X46" i="2" s="1"/>
  <c r="Y1055" i="2"/>
  <c r="Y46" i="2" s="1"/>
  <c r="Z1055" i="2"/>
  <c r="Z46" i="2" s="1"/>
  <c r="K44" i="14"/>
  <c r="L44" i="14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H14" i="14"/>
  <c r="AC657" i="1"/>
  <c r="AC121" i="1"/>
  <c r="AA108" i="2"/>
  <c r="AB108" i="2" s="1"/>
  <c r="AA680" i="2"/>
  <c r="AB680" i="2" s="1"/>
  <c r="AA400" i="2"/>
  <c r="AB400" i="2" s="1"/>
  <c r="AA270" i="2"/>
  <c r="AB270" i="2" s="1"/>
  <c r="M52" i="2" l="1"/>
  <c r="K29" i="27"/>
  <c r="I29" i="34"/>
  <c r="K29" i="34" s="1"/>
  <c r="M156" i="2"/>
  <c r="L156" i="2"/>
  <c r="J52" i="2"/>
  <c r="Z52" i="2"/>
  <c r="W52" i="2"/>
  <c r="G1055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1061" i="2"/>
  <c r="AA1061" i="2" s="1"/>
  <c r="AB1061" i="2" s="1"/>
  <c r="AA1060" i="2"/>
  <c r="AB1060" i="2" s="1"/>
  <c r="AA1082" i="2"/>
  <c r="AB1082" i="2" s="1"/>
  <c r="G333" i="2"/>
  <c r="F1072" i="2"/>
  <c r="N1062" i="2"/>
  <c r="N105" i="2" s="1"/>
  <c r="P1062" i="2"/>
  <c r="P105" i="2" s="1"/>
  <c r="R1062" i="2"/>
  <c r="R105" i="2" s="1"/>
  <c r="J1062" i="2"/>
  <c r="J105" i="2" s="1"/>
  <c r="Q1062" i="2"/>
  <c r="Q105" i="2" s="1"/>
  <c r="O1062" i="2"/>
  <c r="O105" i="2" s="1"/>
  <c r="X1062" i="2"/>
  <c r="X105" i="2" s="1"/>
  <c r="Z1062" i="2"/>
  <c r="Z105" i="2" s="1"/>
  <c r="L1062" i="2"/>
  <c r="L105" i="2" s="1"/>
  <c r="Y1062" i="2"/>
  <c r="Y105" i="2" s="1"/>
  <c r="W1062" i="2"/>
  <c r="W105" i="2" s="1"/>
  <c r="M1062" i="2"/>
  <c r="M105" i="2" s="1"/>
  <c r="K1062" i="2"/>
  <c r="K105" i="2" s="1"/>
  <c r="T1062" i="2"/>
  <c r="T105" i="2" s="1"/>
  <c r="V1062" i="2"/>
  <c r="V105" i="2" s="1"/>
  <c r="H1062" i="2"/>
  <c r="H105" i="2" s="1"/>
  <c r="U1062" i="2"/>
  <c r="U105" i="2" s="1"/>
  <c r="S1062" i="2"/>
  <c r="S105" i="2" s="1"/>
  <c r="I1062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1065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1065" i="2" l="1"/>
  <c r="AB1065" i="2" s="1"/>
  <c r="F1067" i="2"/>
  <c r="AA1055" i="2"/>
  <c r="AB1055" i="2" s="1"/>
  <c r="AA52" i="2"/>
  <c r="AB52" i="2" s="1"/>
  <c r="G1062" i="2"/>
  <c r="G105" i="2" s="1"/>
  <c r="AA105" i="2" s="1"/>
  <c r="AB105" i="2" s="1"/>
  <c r="AC610" i="1"/>
  <c r="AA333" i="2"/>
  <c r="AB333" i="2" s="1"/>
  <c r="I29" i="14"/>
  <c r="K29" i="14" s="1"/>
  <c r="F1074" i="2"/>
  <c r="AA1072" i="2"/>
  <c r="AB1072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1067" i="2" l="1"/>
  <c r="X1068" i="2" s="1"/>
  <c r="Y1067" i="2"/>
  <c r="Y1068" i="2" s="1"/>
  <c r="W1067" i="2"/>
  <c r="W1068" i="2" s="1"/>
  <c r="Z1067" i="2"/>
  <c r="Z1068" i="2" s="1"/>
  <c r="F1068" i="2"/>
  <c r="V1067" i="2"/>
  <c r="V1068" i="2" s="1"/>
  <c r="S1067" i="2"/>
  <c r="S1068" i="2" s="1"/>
  <c r="Q1067" i="2"/>
  <c r="Q1068" i="2" s="1"/>
  <c r="P1067" i="2"/>
  <c r="P1068" i="2" s="1"/>
  <c r="I1067" i="2"/>
  <c r="I1068" i="2" s="1"/>
  <c r="T1067" i="2"/>
  <c r="T1068" i="2" s="1"/>
  <c r="M1067" i="2"/>
  <c r="M1068" i="2" s="1"/>
  <c r="J1067" i="2"/>
  <c r="J1068" i="2" s="1"/>
  <c r="N1067" i="2"/>
  <c r="N1068" i="2" s="1"/>
  <c r="U1067" i="2"/>
  <c r="U1068" i="2" s="1"/>
  <c r="R1067" i="2"/>
  <c r="R1068" i="2" s="1"/>
  <c r="O1067" i="2"/>
  <c r="O1068" i="2" s="1"/>
  <c r="H1067" i="2"/>
  <c r="H1068" i="2" s="1"/>
  <c r="L1067" i="2"/>
  <c r="L1068" i="2" s="1"/>
  <c r="G1067" i="2"/>
  <c r="K1067" i="2"/>
  <c r="K1068" i="2" s="1"/>
  <c r="AA1062" i="2"/>
  <c r="AB1062" i="2" s="1"/>
  <c r="M1074" i="2"/>
  <c r="M1075" i="2" s="1"/>
  <c r="N1074" i="2"/>
  <c r="N1075" i="2" s="1"/>
  <c r="G1074" i="2"/>
  <c r="Y1074" i="2"/>
  <c r="Y1075" i="2" s="1"/>
  <c r="V1074" i="2"/>
  <c r="V1075" i="2" s="1"/>
  <c r="S1074" i="2"/>
  <c r="S1075" i="2" s="1"/>
  <c r="K1074" i="2"/>
  <c r="K1075" i="2" s="1"/>
  <c r="J1074" i="2"/>
  <c r="J1075" i="2" s="1"/>
  <c r="X1074" i="2"/>
  <c r="X1075" i="2" s="1"/>
  <c r="U1074" i="2"/>
  <c r="U1075" i="2" s="1"/>
  <c r="R1074" i="2"/>
  <c r="R1075" i="2" s="1"/>
  <c r="Z1074" i="2"/>
  <c r="Z1075" i="2" s="1"/>
  <c r="I1074" i="2"/>
  <c r="I1075" i="2" s="1"/>
  <c r="H1074" i="2"/>
  <c r="H1075" i="2" s="1"/>
  <c r="T1074" i="2"/>
  <c r="T1075" i="2" s="1"/>
  <c r="Q1074" i="2"/>
  <c r="Q1075" i="2" s="1"/>
  <c r="L1074" i="2"/>
  <c r="L1075" i="2" s="1"/>
  <c r="W1074" i="2"/>
  <c r="W1075" i="2" s="1"/>
  <c r="O1074" i="2"/>
  <c r="O1075" i="2" s="1"/>
  <c r="P1074" i="2"/>
  <c r="P1075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1075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D29" i="27" s="1"/>
  <c r="N713" i="2"/>
  <c r="K759" i="2"/>
  <c r="D29" i="32" s="1"/>
  <c r="L29" i="32" s="1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D29" i="14" s="1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D29" i="26" s="1"/>
  <c r="L29" i="26" s="1"/>
  <c r="J713" i="2"/>
  <c r="H713" i="2"/>
  <c r="H759" i="2"/>
  <c r="D29" i="24" s="1"/>
  <c r="L29" i="24" s="1"/>
  <c r="Q713" i="2"/>
  <c r="Q759" i="2"/>
  <c r="W713" i="2"/>
  <c r="W759" i="2"/>
  <c r="S759" i="2"/>
  <c r="S713" i="2"/>
  <c r="M759" i="2"/>
  <c r="D29" i="31" s="1"/>
  <c r="L29" i="31" s="1"/>
  <c r="M713" i="2"/>
  <c r="Z713" i="2"/>
  <c r="Z759" i="2"/>
  <c r="R713" i="2"/>
  <c r="R759" i="2"/>
  <c r="L713" i="2"/>
  <c r="L759" i="2"/>
  <c r="D29" i="28" s="1"/>
  <c r="L29" i="28" s="1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F1094" i="2" l="1"/>
  <c r="L29" i="27"/>
  <c r="D29" i="34"/>
  <c r="L29" i="34" s="1"/>
  <c r="G1068" i="2"/>
  <c r="AA1068" i="2" s="1"/>
  <c r="AB1068" i="2" s="1"/>
  <c r="AA1067" i="2"/>
  <c r="AB1067" i="2" s="1"/>
  <c r="P1069" i="2"/>
  <c r="P162" i="2" s="1"/>
  <c r="S1069" i="2"/>
  <c r="S162" i="2" s="1"/>
  <c r="Z1069" i="2"/>
  <c r="Z162" i="2" s="1"/>
  <c r="J1069" i="2"/>
  <c r="J162" i="2" s="1"/>
  <c r="I14" i="26" s="1"/>
  <c r="M1069" i="2"/>
  <c r="M162" i="2" s="1"/>
  <c r="I14" i="31" s="1"/>
  <c r="L1069" i="2"/>
  <c r="L162" i="2" s="1"/>
  <c r="I14" i="28" s="1"/>
  <c r="O1069" i="2"/>
  <c r="O162" i="2" s="1"/>
  <c r="V1069" i="2"/>
  <c r="V162" i="2" s="1"/>
  <c r="Y1069" i="2"/>
  <c r="Y162" i="2" s="1"/>
  <c r="I1069" i="2"/>
  <c r="I162" i="2" s="1"/>
  <c r="I14" i="34" s="1"/>
  <c r="X1069" i="2"/>
  <c r="X162" i="2" s="1"/>
  <c r="H1069" i="2"/>
  <c r="H162" i="2" s="1"/>
  <c r="I14" i="24" s="1"/>
  <c r="K1069" i="2"/>
  <c r="K162" i="2" s="1"/>
  <c r="I14" i="32" s="1"/>
  <c r="R1069" i="2"/>
  <c r="R162" i="2" s="1"/>
  <c r="U1069" i="2"/>
  <c r="U162" i="2" s="1"/>
  <c r="T1069" i="2"/>
  <c r="T162" i="2" s="1"/>
  <c r="W1069" i="2"/>
  <c r="W162" i="2" s="1"/>
  <c r="N1069" i="2"/>
  <c r="N162" i="2" s="1"/>
  <c r="I14" i="27" s="1"/>
  <c r="Q1069" i="2"/>
  <c r="Q162" i="2" s="1"/>
  <c r="G1075" i="2"/>
  <c r="AA1075" i="2" s="1"/>
  <c r="AB1075" i="2" s="1"/>
  <c r="AA1074" i="2"/>
  <c r="AB1074" i="2" s="1"/>
  <c r="AA60" i="2"/>
  <c r="AB60" i="2" s="1"/>
  <c r="AA58" i="2"/>
  <c r="AB58" i="2" s="1"/>
  <c r="T1076" i="2"/>
  <c r="T219" i="2" s="1"/>
  <c r="U1076" i="2"/>
  <c r="U219" i="2" s="1"/>
  <c r="N1076" i="2"/>
  <c r="N219" i="2" s="1"/>
  <c r="P1076" i="2"/>
  <c r="P219" i="2" s="1"/>
  <c r="R1076" i="2"/>
  <c r="R219" i="2" s="1"/>
  <c r="J1076" i="2"/>
  <c r="J219" i="2" s="1"/>
  <c r="Q1076" i="2"/>
  <c r="Q219" i="2" s="1"/>
  <c r="O1076" i="2"/>
  <c r="O219" i="2" s="1"/>
  <c r="X1076" i="2"/>
  <c r="X219" i="2" s="1"/>
  <c r="Z1076" i="2"/>
  <c r="Z219" i="2" s="1"/>
  <c r="L1076" i="2"/>
  <c r="L219" i="2" s="1"/>
  <c r="Y1076" i="2"/>
  <c r="Y219" i="2" s="1"/>
  <c r="M1076" i="2"/>
  <c r="M219" i="2" s="1"/>
  <c r="V1076" i="2"/>
  <c r="V219" i="2" s="1"/>
  <c r="S1076" i="2"/>
  <c r="S219" i="2" s="1"/>
  <c r="W1076" i="2"/>
  <c r="W219" i="2" s="1"/>
  <c r="K1076" i="2"/>
  <c r="K219" i="2" s="1"/>
  <c r="H1076" i="2"/>
  <c r="H219" i="2" s="1"/>
  <c r="I1076" i="2"/>
  <c r="I219" i="2" s="1"/>
  <c r="T762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9" i="14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AA1094" i="2" l="1"/>
  <c r="AB1094" i="2" s="1"/>
  <c r="F1096" i="2"/>
  <c r="I35" i="24"/>
  <c r="I28" i="32"/>
  <c r="I28" i="31"/>
  <c r="I28" i="34"/>
  <c r="I28" i="28"/>
  <c r="I28" i="27"/>
  <c r="I28" i="24"/>
  <c r="I28" i="26"/>
  <c r="H35" i="24"/>
  <c r="K35" i="24" s="1"/>
  <c r="L35" i="24" s="1"/>
  <c r="I35" i="34"/>
  <c r="H35" i="34"/>
  <c r="I35" i="32"/>
  <c r="H35" i="32"/>
  <c r="I35" i="31"/>
  <c r="H35" i="31"/>
  <c r="I35" i="26"/>
  <c r="H35" i="26"/>
  <c r="I35" i="27"/>
  <c r="H35" i="27"/>
  <c r="I35" i="28"/>
  <c r="H35" i="28"/>
  <c r="G1069" i="2"/>
  <c r="G162" i="2" s="1"/>
  <c r="G1076" i="2"/>
  <c r="G219" i="2" s="1"/>
  <c r="AA760" i="2"/>
  <c r="AB760" i="2" s="1"/>
  <c r="U171" i="2"/>
  <c r="V171" i="2"/>
  <c r="T171" i="2"/>
  <c r="J171" i="2"/>
  <c r="J14" i="26" s="1"/>
  <c r="S171" i="2"/>
  <c r="P171" i="2"/>
  <c r="N171" i="2"/>
  <c r="J14" i="27" s="1"/>
  <c r="R171" i="2"/>
  <c r="O171" i="2"/>
  <c r="K171" i="2"/>
  <c r="J14" i="32" s="1"/>
  <c r="M171" i="2"/>
  <c r="J14" i="31" s="1"/>
  <c r="K14" i="31" s="1"/>
  <c r="I171" i="2"/>
  <c r="H171" i="2"/>
  <c r="J14" i="24" s="1"/>
  <c r="L171" i="2"/>
  <c r="J14" i="28" s="1"/>
  <c r="Q171" i="2"/>
  <c r="G171" i="2"/>
  <c r="J14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Y1096" i="2" l="1"/>
  <c r="Y1097" i="2" s="1"/>
  <c r="Y1098" i="2" s="1"/>
  <c r="Y228" i="2" s="1"/>
  <c r="F1097" i="2"/>
  <c r="G1096" i="2"/>
  <c r="G1097" i="2" s="1"/>
  <c r="H1096" i="2"/>
  <c r="H1097" i="2" s="1"/>
  <c r="H1098" i="2" s="1"/>
  <c r="H228" i="2" s="1"/>
  <c r="J28" i="24" s="1"/>
  <c r="K28" i="24" s="1"/>
  <c r="I1096" i="2"/>
  <c r="I1097" i="2" s="1"/>
  <c r="J1096" i="2"/>
  <c r="J1097" i="2" s="1"/>
  <c r="J1098" i="2" s="1"/>
  <c r="J228" i="2" s="1"/>
  <c r="J28" i="26" s="1"/>
  <c r="K28" i="26" s="1"/>
  <c r="K1096" i="2"/>
  <c r="K1097" i="2" s="1"/>
  <c r="K1098" i="2" s="1"/>
  <c r="K228" i="2" s="1"/>
  <c r="J28" i="32" s="1"/>
  <c r="K28" i="32" s="1"/>
  <c r="L1096" i="2"/>
  <c r="L1097" i="2" s="1"/>
  <c r="M1096" i="2"/>
  <c r="M1097" i="2" s="1"/>
  <c r="M1098" i="2" s="1"/>
  <c r="M228" i="2" s="1"/>
  <c r="J28" i="31" s="1"/>
  <c r="K28" i="31" s="1"/>
  <c r="N1096" i="2"/>
  <c r="N1097" i="2" s="1"/>
  <c r="O1096" i="2"/>
  <c r="O1097" i="2" s="1"/>
  <c r="O1098" i="2" s="1"/>
  <c r="O228" i="2" s="1"/>
  <c r="P1096" i="2"/>
  <c r="P1097" i="2" s="1"/>
  <c r="Q1096" i="2"/>
  <c r="Q1097" i="2" s="1"/>
  <c r="Q1098" i="2" s="1"/>
  <c r="Q228" i="2" s="1"/>
  <c r="R1096" i="2"/>
  <c r="R1097" i="2" s="1"/>
  <c r="R1098" i="2" s="1"/>
  <c r="R228" i="2" s="1"/>
  <c r="S1096" i="2"/>
  <c r="S1097" i="2" s="1"/>
  <c r="S1098" i="2" s="1"/>
  <c r="S228" i="2" s="1"/>
  <c r="T1096" i="2"/>
  <c r="T1097" i="2" s="1"/>
  <c r="T1098" i="2" s="1"/>
  <c r="T228" i="2" s="1"/>
  <c r="U1096" i="2"/>
  <c r="U1097" i="2" s="1"/>
  <c r="U1098" i="2" s="1"/>
  <c r="U228" i="2" s="1"/>
  <c r="V1096" i="2"/>
  <c r="V1097" i="2" s="1"/>
  <c r="V1098" i="2" s="1"/>
  <c r="V228" i="2" s="1"/>
  <c r="W1096" i="2"/>
  <c r="W1097" i="2" s="1"/>
  <c r="W1098" i="2" s="1"/>
  <c r="W228" i="2" s="1"/>
  <c r="X1096" i="2"/>
  <c r="X1097" i="2" s="1"/>
  <c r="X1098" i="2" s="1"/>
  <c r="X228" i="2" s="1"/>
  <c r="Z1096" i="2"/>
  <c r="AA219" i="2"/>
  <c r="AB219" i="2" s="1"/>
  <c r="K14" i="27"/>
  <c r="F31" i="27" s="1"/>
  <c r="J14" i="34"/>
  <c r="K35" i="34"/>
  <c r="L35" i="34" s="1"/>
  <c r="K35" i="32"/>
  <c r="L35" i="32" s="1"/>
  <c r="F31" i="31"/>
  <c r="G31" i="31"/>
  <c r="E31" i="31"/>
  <c r="H31" i="31"/>
  <c r="I31" i="31"/>
  <c r="K35" i="28"/>
  <c r="L35" i="28" s="1"/>
  <c r="K35" i="26"/>
  <c r="L35" i="26" s="1"/>
  <c r="K14" i="28"/>
  <c r="K35" i="31"/>
  <c r="L35" i="31" s="1"/>
  <c r="K35" i="27"/>
  <c r="L35" i="27" s="1"/>
  <c r="J31" i="31"/>
  <c r="K14" i="26"/>
  <c r="K14" i="32"/>
  <c r="AA1069" i="2"/>
  <c r="AB1069" i="2" s="1"/>
  <c r="AA162" i="2"/>
  <c r="AB162" i="2" s="1"/>
  <c r="I14" i="14"/>
  <c r="I28" i="14"/>
  <c r="AA1076" i="2"/>
  <c r="AB1076" i="2" s="1"/>
  <c r="K14" i="24"/>
  <c r="J31" i="24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7" i="2"/>
  <c r="J738" i="2"/>
  <c r="D22" i="26" s="1"/>
  <c r="N738" i="2"/>
  <c r="D22" i="27" s="1"/>
  <c r="N797" i="2"/>
  <c r="K797" i="2"/>
  <c r="K738" i="2"/>
  <c r="D22" i="32" s="1"/>
  <c r="V738" i="2"/>
  <c r="V797" i="2"/>
  <c r="W797" i="2"/>
  <c r="W738" i="2"/>
  <c r="P797" i="2"/>
  <c r="P738" i="2"/>
  <c r="M738" i="2"/>
  <c r="D22" i="31" s="1"/>
  <c r="M797" i="2"/>
  <c r="X797" i="2"/>
  <c r="X738" i="2"/>
  <c r="R797" i="2"/>
  <c r="R738" i="2"/>
  <c r="I738" i="2"/>
  <c r="D22" i="34" s="1"/>
  <c r="I797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7" i="2"/>
  <c r="AA689" i="2"/>
  <c r="AB689" i="2" s="1"/>
  <c r="U691" i="2"/>
  <c r="AA691" i="2" s="1"/>
  <c r="AB691" i="2" s="1"/>
  <c r="H797" i="2"/>
  <c r="H738" i="2"/>
  <c r="D22" i="24" s="1"/>
  <c r="Q797" i="2"/>
  <c r="Q738" i="2"/>
  <c r="Y738" i="2"/>
  <c r="Y799" i="2" s="1"/>
  <c r="Y797" i="2"/>
  <c r="S797" i="2"/>
  <c r="S738" i="2"/>
  <c r="O797" i="2"/>
  <c r="O738" i="2"/>
  <c r="Z738" i="2"/>
  <c r="Z797" i="2"/>
  <c r="T738" i="2"/>
  <c r="T797" i="2"/>
  <c r="L797" i="2"/>
  <c r="L738" i="2"/>
  <c r="D22" i="28" s="1"/>
  <c r="G797" i="2"/>
  <c r="G738" i="2"/>
  <c r="AA1096" i="2" l="1"/>
  <c r="AB1096" i="2" s="1"/>
  <c r="Z1097" i="2"/>
  <c r="AA1097" i="2" s="1"/>
  <c r="AB1097" i="2" s="1"/>
  <c r="G1098" i="2"/>
  <c r="I1098" i="2"/>
  <c r="I228" i="2" s="1"/>
  <c r="J28" i="34" s="1"/>
  <c r="K28" i="34" s="1"/>
  <c r="L1098" i="2"/>
  <c r="L228" i="2" s="1"/>
  <c r="J28" i="28" s="1"/>
  <c r="K28" i="28" s="1"/>
  <c r="N1098" i="2"/>
  <c r="N228" i="2" s="1"/>
  <c r="J28" i="27" s="1"/>
  <c r="K28" i="27" s="1"/>
  <c r="P1098" i="2"/>
  <c r="P228" i="2" s="1"/>
  <c r="K14" i="14"/>
  <c r="J31" i="14" s="1"/>
  <c r="I31" i="27"/>
  <c r="E31" i="27"/>
  <c r="H31" i="27"/>
  <c r="J31" i="27"/>
  <c r="G31" i="27"/>
  <c r="K14" i="34"/>
  <c r="G31" i="32"/>
  <c r="F31" i="32"/>
  <c r="E31" i="32"/>
  <c r="H31" i="32"/>
  <c r="I31" i="32"/>
  <c r="J31" i="28"/>
  <c r="F31" i="28"/>
  <c r="G31" i="28"/>
  <c r="E31" i="28"/>
  <c r="H31" i="28"/>
  <c r="I31" i="28"/>
  <c r="J31" i="32"/>
  <c r="K31" i="31"/>
  <c r="L31" i="31" s="1"/>
  <c r="E31" i="26"/>
  <c r="F31" i="26"/>
  <c r="G31" i="26"/>
  <c r="H31" i="26"/>
  <c r="I31" i="26"/>
  <c r="J31" i="26"/>
  <c r="I35" i="14"/>
  <c r="H35" i="14"/>
  <c r="E31" i="24"/>
  <c r="H31" i="24"/>
  <c r="F31" i="24"/>
  <c r="I31" i="24"/>
  <c r="G31" i="24"/>
  <c r="T799" i="2"/>
  <c r="AA634" i="2"/>
  <c r="AB634" i="2" s="1"/>
  <c r="AA119" i="2"/>
  <c r="AB119" i="2" s="1"/>
  <c r="Z799" i="2"/>
  <c r="S799" i="2"/>
  <c r="D22" i="14"/>
  <c r="U738" i="2"/>
  <c r="U799" i="2" s="1"/>
  <c r="U797" i="2"/>
  <c r="AA797" i="2" s="1"/>
  <c r="AB797" i="2" s="1"/>
  <c r="AF331" i="1"/>
  <c r="AG331" i="1" s="1"/>
  <c r="AE333" i="1"/>
  <c r="AF538" i="1"/>
  <c r="AG538" i="1" s="1"/>
  <c r="AE540" i="1"/>
  <c r="R799" i="2"/>
  <c r="X799" i="2"/>
  <c r="W799" i="2"/>
  <c r="O799" i="2"/>
  <c r="L799" i="2"/>
  <c r="M799" i="2"/>
  <c r="J799" i="2"/>
  <c r="P799" i="2"/>
  <c r="N799" i="2"/>
  <c r="Q799" i="2"/>
  <c r="G799" i="2"/>
  <c r="H799" i="2"/>
  <c r="K799" i="2"/>
  <c r="I799" i="2"/>
  <c r="AA720" i="2"/>
  <c r="AA766" i="2" s="1"/>
  <c r="AB766" i="2" s="1"/>
  <c r="I31" i="14"/>
  <c r="U719" i="2"/>
  <c r="U765" i="2"/>
  <c r="AA765" i="2" s="1"/>
  <c r="AB765" i="2" s="1"/>
  <c r="V799" i="2"/>
  <c r="H31" i="14" l="1"/>
  <c r="Z1098" i="2"/>
  <c r="Z228" i="2" s="1"/>
  <c r="G228" i="2"/>
  <c r="F31" i="14"/>
  <c r="G31" i="14"/>
  <c r="E31" i="14"/>
  <c r="K31" i="27"/>
  <c r="L31" i="27" s="1"/>
  <c r="I31" i="34"/>
  <c r="F31" i="34"/>
  <c r="G31" i="34"/>
  <c r="H31" i="34"/>
  <c r="E31" i="34"/>
  <c r="J31" i="34"/>
  <c r="K31" i="32"/>
  <c r="L31" i="32" s="1"/>
  <c r="K31" i="26"/>
  <c r="L31" i="26" s="1"/>
  <c r="K31" i="28"/>
  <c r="L31" i="28" s="1"/>
  <c r="K35" i="14"/>
  <c r="L35" i="14" s="1"/>
  <c r="K31" i="24"/>
  <c r="L31" i="24" s="1"/>
  <c r="AA738" i="2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799" i="2"/>
  <c r="AB799" i="2" s="1"/>
  <c r="AA719" i="2"/>
  <c r="AB719" i="2" s="1"/>
  <c r="AA1098" i="2" l="1"/>
  <c r="AB1098" i="2" s="1"/>
  <c r="J28" i="14"/>
  <c r="K28" i="14" s="1"/>
  <c r="AA228" i="2"/>
  <c r="AB228" i="2" s="1"/>
  <c r="K31" i="14"/>
  <c r="L31" i="14" s="1"/>
  <c r="K31" i="34"/>
  <c r="L31" i="34" s="1"/>
  <c r="AE123" i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1088" i="2" l="1"/>
  <c r="AA1086" i="2"/>
  <c r="AB1086" i="2" s="1"/>
  <c r="F758" i="2"/>
  <c r="F795" i="2" s="1"/>
  <c r="F712" i="2"/>
  <c r="F725" i="2" s="1"/>
  <c r="F1113" i="2"/>
  <c r="J233" i="2"/>
  <c r="K233" i="2"/>
  <c r="Q233" i="2"/>
  <c r="V758" i="2"/>
  <c r="V1113" i="2"/>
  <c r="V712" i="2"/>
  <c r="R233" i="2"/>
  <c r="G233" i="2"/>
  <c r="X1113" i="2"/>
  <c r="X712" i="2"/>
  <c r="X758" i="2"/>
  <c r="S233" i="2"/>
  <c r="O712" i="2"/>
  <c r="O1113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1113" i="2" s="1"/>
  <c r="N233" i="2"/>
  <c r="H233" i="2"/>
  <c r="Y1113" i="2"/>
  <c r="Y758" i="2"/>
  <c r="Y712" i="2"/>
  <c r="T233" i="2"/>
  <c r="T1113" i="2" s="1"/>
  <c r="M233" i="2"/>
  <c r="Z758" i="2"/>
  <c r="Z712" i="2"/>
  <c r="Z1113" i="2"/>
  <c r="W712" i="2"/>
  <c r="W758" i="2"/>
  <c r="W1113" i="2"/>
  <c r="P233" i="2"/>
  <c r="L233" i="2"/>
  <c r="U786" i="2" l="1"/>
  <c r="Y786" i="2"/>
  <c r="T786" i="2"/>
  <c r="V786" i="2"/>
  <c r="Z786" i="2"/>
  <c r="O786" i="2"/>
  <c r="W786" i="2"/>
  <c r="X786" i="2"/>
  <c r="X1088" i="2"/>
  <c r="X1089" i="2" s="1"/>
  <c r="T1088" i="2"/>
  <c r="T1089" i="2" s="1"/>
  <c r="P1088" i="2"/>
  <c r="P1089" i="2" s="1"/>
  <c r="L1088" i="2"/>
  <c r="L1089" i="2" s="1"/>
  <c r="H1088" i="2"/>
  <c r="H1089" i="2" s="1"/>
  <c r="N1088" i="2"/>
  <c r="N1089" i="2" s="1"/>
  <c r="U1088" i="2"/>
  <c r="U1089" i="2" s="1"/>
  <c r="I1088" i="2"/>
  <c r="I1089" i="2" s="1"/>
  <c r="W1088" i="2"/>
  <c r="W1089" i="2" s="1"/>
  <c r="S1088" i="2"/>
  <c r="S1089" i="2" s="1"/>
  <c r="O1088" i="2"/>
  <c r="O1089" i="2" s="1"/>
  <c r="K1088" i="2"/>
  <c r="K1089" i="2" s="1"/>
  <c r="G1088" i="2"/>
  <c r="R1088" i="2"/>
  <c r="R1089" i="2" s="1"/>
  <c r="J1088" i="2"/>
  <c r="J1089" i="2" s="1"/>
  <c r="M1088" i="2"/>
  <c r="M1089" i="2" s="1"/>
  <c r="Z1088" i="2"/>
  <c r="Z1089" i="2" s="1"/>
  <c r="V1088" i="2"/>
  <c r="V1089" i="2" s="1"/>
  <c r="Y1088" i="2"/>
  <c r="Y1089" i="2" s="1"/>
  <c r="Q1088" i="2"/>
  <c r="Q1089" i="2" s="1"/>
  <c r="F1089" i="2"/>
  <c r="AA290" i="2"/>
  <c r="AB290" i="2" s="1"/>
  <c r="M712" i="2"/>
  <c r="M1113" i="2"/>
  <c r="M786" i="2" s="1"/>
  <c r="M758" i="2"/>
  <c r="D28" i="31" s="1"/>
  <c r="T712" i="2"/>
  <c r="T758" i="2"/>
  <c r="H758" i="2"/>
  <c r="H1113" i="2"/>
  <c r="H786" i="2" s="1"/>
  <c r="H712" i="2"/>
  <c r="U758" i="2"/>
  <c r="U712" i="2"/>
  <c r="AF117" i="1"/>
  <c r="AG117" i="1" s="1"/>
  <c r="AE141" i="1"/>
  <c r="S1113" i="2"/>
  <c r="S786" i="2" s="1"/>
  <c r="S712" i="2"/>
  <c r="S758" i="2"/>
  <c r="G712" i="2"/>
  <c r="G758" i="2"/>
  <c r="G1113" i="2"/>
  <c r="G786" i="2" s="1"/>
  <c r="AA233" i="2"/>
  <c r="K712" i="2"/>
  <c r="K1113" i="2"/>
  <c r="K786" i="2" s="1"/>
  <c r="K758" i="2"/>
  <c r="D28" i="32" s="1"/>
  <c r="L28" i="32" s="1"/>
  <c r="J758" i="2"/>
  <c r="D28" i="26" s="1"/>
  <c r="L28" i="26" s="1"/>
  <c r="J712" i="2"/>
  <c r="J1113" i="2"/>
  <c r="J786" i="2" s="1"/>
  <c r="F736" i="2"/>
  <c r="F740" i="2" s="1"/>
  <c r="P1113" i="2"/>
  <c r="P786" i="2" s="1"/>
  <c r="P712" i="2"/>
  <c r="P758" i="2"/>
  <c r="L1113" i="2"/>
  <c r="L786" i="2" s="1"/>
  <c r="L712" i="2"/>
  <c r="L758" i="2"/>
  <c r="D28" i="28" s="1"/>
  <c r="L28" i="28" s="1"/>
  <c r="N1113" i="2"/>
  <c r="N712" i="2"/>
  <c r="N758" i="2"/>
  <c r="D28" i="27" s="1"/>
  <c r="I712" i="2"/>
  <c r="I1113" i="2"/>
  <c r="I786" i="2" s="1"/>
  <c r="I758" i="2"/>
  <c r="D28" i="34" s="1"/>
  <c r="R712" i="2"/>
  <c r="R758" i="2"/>
  <c r="R1113" i="2"/>
  <c r="R786" i="2" s="1"/>
  <c r="Q758" i="2"/>
  <c r="Q712" i="2"/>
  <c r="Q1113" i="2"/>
  <c r="Q786" i="2" s="1"/>
  <c r="F776" i="2"/>
  <c r="F853" i="2" s="1"/>
  <c r="F801" i="2"/>
  <c r="L28" i="34" l="1"/>
  <c r="L28" i="27"/>
  <c r="L28" i="31"/>
  <c r="D28" i="14"/>
  <c r="L28" i="14" s="1"/>
  <c r="D28" i="24"/>
  <c r="L28" i="24" s="1"/>
  <c r="N786" i="2"/>
  <c r="AA786" i="2" s="1"/>
  <c r="AB786" i="2" s="1"/>
  <c r="Q505" i="2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U505" i="2"/>
  <c r="U519" i="2" s="1"/>
  <c r="U718" i="2" s="1"/>
  <c r="U764" i="2" s="1"/>
  <c r="P505" i="2"/>
  <c r="R505" i="2"/>
  <c r="S505" i="2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1083" i="2"/>
  <c r="Q1090" i="2"/>
  <c r="M1083" i="2"/>
  <c r="M1090" i="2"/>
  <c r="K1083" i="2"/>
  <c r="K1090" i="2"/>
  <c r="I1083" i="2"/>
  <c r="I1090" i="2"/>
  <c r="L1083" i="2"/>
  <c r="L1090" i="2"/>
  <c r="Y1090" i="2"/>
  <c r="Y1083" i="2"/>
  <c r="J1090" i="2"/>
  <c r="J1083" i="2"/>
  <c r="O1083" i="2"/>
  <c r="O1090" i="2"/>
  <c r="U1090" i="2"/>
  <c r="U1083" i="2"/>
  <c r="P1090" i="2"/>
  <c r="P1083" i="2"/>
  <c r="V1090" i="2"/>
  <c r="V1083" i="2"/>
  <c r="R1083" i="2"/>
  <c r="R1090" i="2"/>
  <c r="S1090" i="2"/>
  <c r="S1083" i="2"/>
  <c r="N1090" i="2"/>
  <c r="N1083" i="2"/>
  <c r="T1083" i="2"/>
  <c r="T1090" i="2"/>
  <c r="Z1083" i="2"/>
  <c r="Z1090" i="2"/>
  <c r="W1090" i="2"/>
  <c r="W1083" i="2"/>
  <c r="H1090" i="2"/>
  <c r="H1083" i="2"/>
  <c r="X1083" i="2"/>
  <c r="X1090" i="2"/>
  <c r="AA1088" i="2"/>
  <c r="AB1088" i="2" s="1"/>
  <c r="G1089" i="2"/>
  <c r="G505" i="2" s="1"/>
  <c r="F727" i="2"/>
  <c r="AA1113" i="2"/>
  <c r="AB1113" i="2" s="1"/>
  <c r="AA712" i="2"/>
  <c r="AB712" i="2" s="1"/>
  <c r="F817" i="2"/>
  <c r="F778" i="2"/>
  <c r="AA758" i="2"/>
  <c r="AB758" i="2" s="1"/>
  <c r="AB233" i="2"/>
  <c r="F174" i="2"/>
  <c r="AF141" i="1"/>
  <c r="AG141" i="1" s="1"/>
  <c r="R519" i="2" l="1"/>
  <c r="R718" i="2" s="1"/>
  <c r="R764" i="2" s="1"/>
  <c r="H519" i="2"/>
  <c r="H718" i="2" s="1"/>
  <c r="H764" i="2" s="1"/>
  <c r="I30" i="27"/>
  <c r="K30" i="27" s="1"/>
  <c r="I30" i="34"/>
  <c r="K30" i="34" s="1"/>
  <c r="S519" i="2"/>
  <c r="S718" i="2" s="1"/>
  <c r="S764" i="2" s="1"/>
  <c r="O519" i="2"/>
  <c r="O718" i="2" s="1"/>
  <c r="O736" i="2" s="1"/>
  <c r="Q519" i="2"/>
  <c r="Q718" i="2" s="1"/>
  <c r="Q764" i="2" s="1"/>
  <c r="U736" i="2"/>
  <c r="V736" i="2"/>
  <c r="K519" i="2"/>
  <c r="K718" i="2" s="1"/>
  <c r="K764" i="2" s="1"/>
  <c r="D30" i="32" s="1"/>
  <c r="I30" i="32"/>
  <c r="K30" i="32" s="1"/>
  <c r="J519" i="2"/>
  <c r="J718" i="2" s="1"/>
  <c r="J764" i="2" s="1"/>
  <c r="D30" i="26" s="1"/>
  <c r="I30" i="26"/>
  <c r="K30" i="26" s="1"/>
  <c r="M519" i="2"/>
  <c r="M718" i="2" s="1"/>
  <c r="M764" i="2" s="1"/>
  <c r="D30" i="31" s="1"/>
  <c r="I30" i="31"/>
  <c r="K30" i="31" s="1"/>
  <c r="L519" i="2"/>
  <c r="L718" i="2" s="1"/>
  <c r="L764" i="2" s="1"/>
  <c r="D30" i="28" s="1"/>
  <c r="I30" i="28"/>
  <c r="K30" i="28" s="1"/>
  <c r="I519" i="2"/>
  <c r="I718" i="2" s="1"/>
  <c r="P519" i="2"/>
  <c r="P718" i="2" s="1"/>
  <c r="Y736" i="2"/>
  <c r="N519" i="2"/>
  <c r="N718" i="2" s="1"/>
  <c r="I30" i="24"/>
  <c r="K30" i="24" s="1"/>
  <c r="X736" i="2"/>
  <c r="W736" i="2"/>
  <c r="Z736" i="2"/>
  <c r="T519" i="2"/>
  <c r="T718" i="2" s="1"/>
  <c r="AA505" i="2"/>
  <c r="AB505" i="2" s="1"/>
  <c r="I30" i="14"/>
  <c r="K30" i="14" s="1"/>
  <c r="G519" i="2"/>
  <c r="AA1089" i="2"/>
  <c r="AB1089" i="2" s="1"/>
  <c r="G1090" i="2"/>
  <c r="AA1090" i="2" s="1"/>
  <c r="AB1090" i="2" s="1"/>
  <c r="G1083" i="2"/>
  <c r="AA1083" i="2" s="1"/>
  <c r="AB1083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1105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F929" i="2"/>
  <c r="O764" i="2" l="1"/>
  <c r="R736" i="2"/>
  <c r="S736" i="2"/>
  <c r="Q736" i="2"/>
  <c r="H736" i="2"/>
  <c r="J736" i="2"/>
  <c r="L30" i="28"/>
  <c r="L30" i="26"/>
  <c r="K736" i="2"/>
  <c r="M736" i="2"/>
  <c r="L30" i="31"/>
  <c r="O1106" i="2"/>
  <c r="O705" i="2" s="1"/>
  <c r="O921" i="2"/>
  <c r="L736" i="2"/>
  <c r="L30" i="32"/>
  <c r="I764" i="2"/>
  <c r="D30" i="34" s="1"/>
  <c r="I736" i="2"/>
  <c r="D30" i="24"/>
  <c r="L30" i="24" s="1"/>
  <c r="X729" i="2"/>
  <c r="X785" i="2" s="1"/>
  <c r="X787" i="2" s="1"/>
  <c r="X828" i="2" s="1"/>
  <c r="W729" i="2"/>
  <c r="W785" i="2" s="1"/>
  <c r="W787" i="2" s="1"/>
  <c r="W828" i="2" s="1"/>
  <c r="V729" i="2"/>
  <c r="V785" i="2" s="1"/>
  <c r="V787" i="2" s="1"/>
  <c r="V864" i="2" s="1"/>
  <c r="V895" i="2" s="1"/>
  <c r="Z729" i="2"/>
  <c r="Z785" i="2" s="1"/>
  <c r="Z787" i="2" s="1"/>
  <c r="Z828" i="2" s="1"/>
  <c r="Y729" i="2"/>
  <c r="Y785" i="2" s="1"/>
  <c r="Y787" i="2" s="1"/>
  <c r="Y864" i="2" s="1"/>
  <c r="P764" i="2"/>
  <c r="P736" i="2"/>
  <c r="N764" i="2"/>
  <c r="D30" i="27" s="1"/>
  <c r="N736" i="2"/>
  <c r="T764" i="2"/>
  <c r="T736" i="2"/>
  <c r="G718" i="2"/>
  <c r="AA519" i="2"/>
  <c r="AB519" i="2" s="1"/>
  <c r="F729" i="2"/>
  <c r="F785" i="2" s="1"/>
  <c r="F787" i="2" s="1"/>
  <c r="V704" i="2"/>
  <c r="V705" i="2"/>
  <c r="V1104" i="2"/>
  <c r="W1104" i="2"/>
  <c r="W705" i="2"/>
  <c r="W704" i="2"/>
  <c r="Y705" i="2"/>
  <c r="Y1104" i="2"/>
  <c r="Y704" i="2"/>
  <c r="Z1104" i="2"/>
  <c r="X705" i="2"/>
  <c r="X1104" i="2"/>
  <c r="Z704" i="2"/>
  <c r="Z705" i="2"/>
  <c r="X704" i="2"/>
  <c r="O704" i="2"/>
  <c r="O1104" i="2"/>
  <c r="J176" i="2"/>
  <c r="H176" i="2"/>
  <c r="H1105" i="2" s="1"/>
  <c r="Q176" i="2"/>
  <c r="Q1105" i="2" s="1"/>
  <c r="S176" i="2"/>
  <c r="M176" i="2"/>
  <c r="P176" i="2"/>
  <c r="P1105" i="2" s="1"/>
  <c r="R176" i="2"/>
  <c r="R1105" i="2" s="1"/>
  <c r="I176" i="2"/>
  <c r="D14" i="34" s="1"/>
  <c r="AA174" i="2"/>
  <c r="AB174" i="2" s="1"/>
  <c r="U176" i="2"/>
  <c r="N176" i="2"/>
  <c r="K176" i="2"/>
  <c r="O729" i="2"/>
  <c r="F18" i="4" s="1"/>
  <c r="G176" i="2"/>
  <c r="G1105" i="2" s="1"/>
  <c r="T176" i="2"/>
  <c r="L176" i="2"/>
  <c r="W864" i="2" l="1"/>
  <c r="W895" i="2" s="1"/>
  <c r="X864" i="2"/>
  <c r="X942" i="2" s="1"/>
  <c r="Y828" i="2"/>
  <c r="D16" i="34"/>
  <c r="F15" i="34"/>
  <c r="F16" i="34" s="1"/>
  <c r="F22" i="34"/>
  <c r="G22" i="34"/>
  <c r="G15" i="34"/>
  <c r="G16" i="34" s="1"/>
  <c r="E15" i="34"/>
  <c r="E22" i="34"/>
  <c r="H15" i="34"/>
  <c r="H16" i="34" s="1"/>
  <c r="I15" i="34"/>
  <c r="I16" i="34" s="1"/>
  <c r="I22" i="34"/>
  <c r="H22" i="34"/>
  <c r="J22" i="34"/>
  <c r="J15" i="34"/>
  <c r="J16" i="34" s="1"/>
  <c r="L14" i="34"/>
  <c r="N1105" i="2"/>
  <c r="N1106" i="2" s="1"/>
  <c r="N705" i="2" s="1"/>
  <c r="D14" i="27"/>
  <c r="L30" i="34"/>
  <c r="P1106" i="2"/>
  <c r="P705" i="2" s="1"/>
  <c r="P921" i="2"/>
  <c r="Q1106" i="2"/>
  <c r="Q705" i="2" s="1"/>
  <c r="Q921" i="2"/>
  <c r="G1106" i="2"/>
  <c r="G705" i="2" s="1"/>
  <c r="G921" i="2"/>
  <c r="R1106" i="2"/>
  <c r="R705" i="2" s="1"/>
  <c r="R921" i="2"/>
  <c r="H1106" i="2"/>
  <c r="H705" i="2" s="1"/>
  <c r="H921" i="2"/>
  <c r="J1105" i="2"/>
  <c r="J704" i="2" s="1"/>
  <c r="D14" i="26"/>
  <c r="K1105" i="2"/>
  <c r="K704" i="2" s="1"/>
  <c r="D14" i="32"/>
  <c r="I1105" i="2"/>
  <c r="I704" i="2" s="1"/>
  <c r="M1105" i="2"/>
  <c r="M704" i="2" s="1"/>
  <c r="D14" i="31"/>
  <c r="L1105" i="2"/>
  <c r="L704" i="2" s="1"/>
  <c r="D14" i="28"/>
  <c r="L30" i="27"/>
  <c r="Y942" i="2"/>
  <c r="Y895" i="2"/>
  <c r="V828" i="2"/>
  <c r="Z864" i="2"/>
  <c r="U704" i="2"/>
  <c r="S1104" i="2"/>
  <c r="D14" i="24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D14" i="14"/>
  <c r="AA176" i="2"/>
  <c r="AB176" i="2" s="1"/>
  <c r="O785" i="2"/>
  <c r="O787" i="2" s="1"/>
  <c r="F43" i="4" s="1"/>
  <c r="V942" i="2"/>
  <c r="K729" i="2"/>
  <c r="F14" i="4" s="1"/>
  <c r="N729" i="2"/>
  <c r="F17" i="4" s="1"/>
  <c r="U729" i="2"/>
  <c r="Q729" i="2"/>
  <c r="F20" i="4" s="1"/>
  <c r="H729" i="2"/>
  <c r="J729" i="2"/>
  <c r="F13" i="4" s="1"/>
  <c r="O709" i="2"/>
  <c r="C18" i="4" s="1"/>
  <c r="F864" i="2"/>
  <c r="F828" i="2"/>
  <c r="F789" i="2"/>
  <c r="K1104" i="2"/>
  <c r="U705" i="2"/>
  <c r="P704" i="2"/>
  <c r="H704" i="2"/>
  <c r="Q704" i="2"/>
  <c r="L1104" i="2"/>
  <c r="J1104" i="2"/>
  <c r="T1104" i="2"/>
  <c r="R1104" i="2"/>
  <c r="S705" i="2"/>
  <c r="T729" i="2"/>
  <c r="F23" i="4" s="1"/>
  <c r="I729" i="2"/>
  <c r="F12" i="4" s="1"/>
  <c r="R729" i="2"/>
  <c r="F21" i="4" s="1"/>
  <c r="W942" i="2"/>
  <c r="P729" i="2"/>
  <c r="F19" i="4" s="1"/>
  <c r="M729" i="2"/>
  <c r="S729" i="2"/>
  <c r="F22" i="4" s="1"/>
  <c r="U1104" i="2"/>
  <c r="H1104" i="2"/>
  <c r="P1104" i="2"/>
  <c r="Q1104" i="2"/>
  <c r="G1104" i="2"/>
  <c r="G704" i="2"/>
  <c r="T704" i="2"/>
  <c r="N1104" i="2"/>
  <c r="R704" i="2"/>
  <c r="S704" i="2"/>
  <c r="D46" i="14" l="1"/>
  <c r="D47" i="14" s="1"/>
  <c r="F46" i="14"/>
  <c r="F47" i="14" s="1"/>
  <c r="F37" i="14"/>
  <c r="G46" i="14"/>
  <c r="G47" i="14" s="1"/>
  <c r="G37" i="14"/>
  <c r="H37" i="14"/>
  <c r="H46" i="14"/>
  <c r="H47" i="14" s="1"/>
  <c r="E37" i="14"/>
  <c r="E46" i="14"/>
  <c r="E47" i="14" s="1"/>
  <c r="J46" i="14"/>
  <c r="J47" i="14" s="1"/>
  <c r="J37" i="14"/>
  <c r="I37" i="14"/>
  <c r="I46" i="14"/>
  <c r="I47" i="14" s="1"/>
  <c r="F37" i="24"/>
  <c r="G37" i="24"/>
  <c r="E37" i="24"/>
  <c r="H37" i="24"/>
  <c r="I37" i="24"/>
  <c r="J37" i="24"/>
  <c r="N704" i="2"/>
  <c r="G46" i="27" s="1"/>
  <c r="G47" i="27" s="1"/>
  <c r="X895" i="2"/>
  <c r="N921" i="2"/>
  <c r="K22" i="34"/>
  <c r="L22" i="34" s="1"/>
  <c r="K15" i="34"/>
  <c r="E16" i="34"/>
  <c r="M1106" i="2"/>
  <c r="M705" i="2" s="1"/>
  <c r="E46" i="31" s="1"/>
  <c r="M921" i="2"/>
  <c r="K1106" i="2"/>
  <c r="K705" i="2" s="1"/>
  <c r="K709" i="2" s="1"/>
  <c r="C14" i="4" s="1"/>
  <c r="K921" i="2"/>
  <c r="L1106" i="2"/>
  <c r="L705" i="2" s="1"/>
  <c r="D46" i="28" s="1"/>
  <c r="D47" i="28" s="1"/>
  <c r="L921" i="2"/>
  <c r="I1106" i="2"/>
  <c r="I705" i="2" s="1"/>
  <c r="I921" i="2"/>
  <c r="J1106" i="2"/>
  <c r="J705" i="2" s="1"/>
  <c r="D46" i="26" s="1"/>
  <c r="D47" i="26" s="1"/>
  <c r="J921" i="2"/>
  <c r="AA1105" i="2"/>
  <c r="AB1105" i="2" s="1"/>
  <c r="D16" i="31"/>
  <c r="F22" i="31"/>
  <c r="F15" i="31"/>
  <c r="F16" i="31" s="1"/>
  <c r="G15" i="31"/>
  <c r="G16" i="31" s="1"/>
  <c r="G22" i="31"/>
  <c r="E22" i="31"/>
  <c r="H15" i="31"/>
  <c r="H16" i="31" s="1"/>
  <c r="E15" i="31"/>
  <c r="H22" i="31"/>
  <c r="I22" i="31"/>
  <c r="I15" i="31"/>
  <c r="I16" i="31" s="1"/>
  <c r="J22" i="31"/>
  <c r="L14" i="31"/>
  <c r="J15" i="31"/>
  <c r="J16" i="31" s="1"/>
  <c r="D16" i="32"/>
  <c r="F15" i="32"/>
  <c r="F16" i="32" s="1"/>
  <c r="F22" i="32"/>
  <c r="G22" i="32"/>
  <c r="G15" i="32"/>
  <c r="G16" i="32" s="1"/>
  <c r="E22" i="32"/>
  <c r="H15" i="32"/>
  <c r="H16" i="32" s="1"/>
  <c r="E15" i="32"/>
  <c r="H22" i="32"/>
  <c r="I15" i="32"/>
  <c r="I16" i="32" s="1"/>
  <c r="I22" i="32"/>
  <c r="J15" i="32"/>
  <c r="J16" i="32" s="1"/>
  <c r="J22" i="32"/>
  <c r="L14" i="32"/>
  <c r="D16" i="28"/>
  <c r="F15" i="28"/>
  <c r="F16" i="28" s="1"/>
  <c r="F22" i="28"/>
  <c r="G22" i="28"/>
  <c r="G15" i="28"/>
  <c r="G16" i="28" s="1"/>
  <c r="E22" i="28"/>
  <c r="E15" i="28"/>
  <c r="H22" i="28"/>
  <c r="H15" i="28"/>
  <c r="H16" i="28" s="1"/>
  <c r="I15" i="28"/>
  <c r="I16" i="28" s="1"/>
  <c r="I22" i="28"/>
  <c r="J15" i="28"/>
  <c r="J16" i="28" s="1"/>
  <c r="J22" i="28"/>
  <c r="L14" i="28"/>
  <c r="D16" i="27"/>
  <c r="F15" i="27"/>
  <c r="F16" i="27" s="1"/>
  <c r="F22" i="27"/>
  <c r="G22" i="27"/>
  <c r="G15" i="27"/>
  <c r="G16" i="27" s="1"/>
  <c r="E15" i="27"/>
  <c r="H22" i="27"/>
  <c r="H15" i="27"/>
  <c r="H16" i="27" s="1"/>
  <c r="E22" i="27"/>
  <c r="I22" i="27"/>
  <c r="I15" i="27"/>
  <c r="I16" i="27" s="1"/>
  <c r="J15" i="27"/>
  <c r="J16" i="27" s="1"/>
  <c r="J22" i="27"/>
  <c r="L14" i="27"/>
  <c r="D16" i="26"/>
  <c r="F22" i="26"/>
  <c r="F15" i="26"/>
  <c r="G15" i="26"/>
  <c r="G16" i="26" s="1"/>
  <c r="G22" i="26"/>
  <c r="H15" i="26"/>
  <c r="H16" i="26" s="1"/>
  <c r="E22" i="26"/>
  <c r="H22" i="26"/>
  <c r="E15" i="26"/>
  <c r="E16" i="26" s="1"/>
  <c r="I22" i="26"/>
  <c r="I15" i="26"/>
  <c r="I16" i="26" s="1"/>
  <c r="J22" i="26"/>
  <c r="J15" i="26"/>
  <c r="J16" i="26" s="1"/>
  <c r="L14" i="26"/>
  <c r="D46" i="24"/>
  <c r="D47" i="24" s="1"/>
  <c r="E22" i="24"/>
  <c r="F46" i="24"/>
  <c r="F47" i="24" s="1"/>
  <c r="G46" i="24"/>
  <c r="G47" i="24" s="1"/>
  <c r="H46" i="24"/>
  <c r="H47" i="24" s="1"/>
  <c r="E46" i="24"/>
  <c r="E47" i="24" s="1"/>
  <c r="I46" i="24"/>
  <c r="I47" i="24" s="1"/>
  <c r="J46" i="24"/>
  <c r="J47" i="24" s="1"/>
  <c r="R709" i="2"/>
  <c r="C21" i="4" s="1"/>
  <c r="Z942" i="2"/>
  <c r="Z895" i="2"/>
  <c r="M785" i="2"/>
  <c r="M787" i="2" s="1"/>
  <c r="F41" i="4" s="1"/>
  <c r="F16" i="4"/>
  <c r="L785" i="2"/>
  <c r="L787" i="2" s="1"/>
  <c r="F40" i="4" s="1"/>
  <c r="F15" i="4"/>
  <c r="I15" i="24"/>
  <c r="I16" i="24" s="1"/>
  <c r="G22" i="24"/>
  <c r="F15" i="24"/>
  <c r="F16" i="24" s="1"/>
  <c r="L14" i="24"/>
  <c r="I22" i="24"/>
  <c r="G15" i="24"/>
  <c r="G16" i="24" s="1"/>
  <c r="F22" i="24"/>
  <c r="J22" i="24"/>
  <c r="H15" i="24"/>
  <c r="H16" i="24" s="1"/>
  <c r="E15" i="24"/>
  <c r="E16" i="24" s="1"/>
  <c r="D16" i="24"/>
  <c r="J15" i="24"/>
  <c r="J16" i="24" s="1"/>
  <c r="H22" i="24"/>
  <c r="AB706" i="2"/>
  <c r="D30" i="14"/>
  <c r="L30" i="14" s="1"/>
  <c r="AA764" i="2"/>
  <c r="AB764" i="2" s="1"/>
  <c r="AA1104" i="2"/>
  <c r="AB1104" i="2" s="1"/>
  <c r="T709" i="2"/>
  <c r="C23" i="4" s="1"/>
  <c r="V773" i="2"/>
  <c r="Y773" i="2"/>
  <c r="Z773" i="2"/>
  <c r="X748" i="2"/>
  <c r="X754" i="2" s="1"/>
  <c r="X808" i="2" s="1"/>
  <c r="V748" i="2"/>
  <c r="V754" i="2" s="1"/>
  <c r="V808" i="2" s="1"/>
  <c r="W773" i="2"/>
  <c r="X773" i="2"/>
  <c r="Y748" i="2"/>
  <c r="Y754" i="2" s="1"/>
  <c r="W748" i="2"/>
  <c r="W754" i="2" s="1"/>
  <c r="Z748" i="2"/>
  <c r="Z754" i="2" s="1"/>
  <c r="S709" i="2"/>
  <c r="V721" i="2"/>
  <c r="V725" i="2" s="1"/>
  <c r="V767" i="2"/>
  <c r="X721" i="2"/>
  <c r="X725" i="2" s="1"/>
  <c r="X767" i="2"/>
  <c r="S785" i="2"/>
  <c r="S787" i="2" s="1"/>
  <c r="F47" i="4" s="1"/>
  <c r="R785" i="2"/>
  <c r="R787" i="2" s="1"/>
  <c r="F46" i="4" s="1"/>
  <c r="Q709" i="2"/>
  <c r="C20" i="4" s="1"/>
  <c r="P709" i="2"/>
  <c r="C19" i="4" s="1"/>
  <c r="Y811" i="2"/>
  <c r="F811" i="2"/>
  <c r="Z811" i="2"/>
  <c r="X811" i="2"/>
  <c r="V811" i="2"/>
  <c r="W811" i="2"/>
  <c r="J785" i="2"/>
  <c r="J787" i="2" s="1"/>
  <c r="F38" i="4" s="1"/>
  <c r="F11" i="4"/>
  <c r="H785" i="2"/>
  <c r="H787" i="2" s="1"/>
  <c r="N785" i="2"/>
  <c r="N787" i="2" s="1"/>
  <c r="F42" i="4" s="1"/>
  <c r="O864" i="2"/>
  <c r="O828" i="2"/>
  <c r="D16" i="14"/>
  <c r="F15" i="14"/>
  <c r="F16" i="14" s="1"/>
  <c r="F22" i="14"/>
  <c r="E15" i="14"/>
  <c r="E22" i="14"/>
  <c r="G22" i="14"/>
  <c r="G15" i="14"/>
  <c r="G16" i="14" s="1"/>
  <c r="H15" i="14"/>
  <c r="H16" i="14" s="1"/>
  <c r="H22" i="14"/>
  <c r="I15" i="14"/>
  <c r="I16" i="14" s="1"/>
  <c r="I22" i="14"/>
  <c r="J15" i="14"/>
  <c r="J16" i="14" s="1"/>
  <c r="J22" i="14"/>
  <c r="L14" i="14"/>
  <c r="U709" i="2"/>
  <c r="C24" i="4" s="1"/>
  <c r="Y721" i="2"/>
  <c r="Y725" i="2" s="1"/>
  <c r="Y767" i="2"/>
  <c r="G709" i="2"/>
  <c r="Z767" i="2"/>
  <c r="Z721" i="2"/>
  <c r="Z725" i="2" s="1"/>
  <c r="P785" i="2"/>
  <c r="P787" i="2" s="1"/>
  <c r="F44" i="4" s="1"/>
  <c r="I785" i="2"/>
  <c r="I787" i="2" s="1"/>
  <c r="F37" i="4" s="1"/>
  <c r="T785" i="2"/>
  <c r="T787" i="2" s="1"/>
  <c r="F48" i="4" s="1"/>
  <c r="H709" i="2"/>
  <c r="F942" i="2"/>
  <c r="F895" i="2"/>
  <c r="W721" i="2"/>
  <c r="W725" i="2" s="1"/>
  <c r="W767" i="2"/>
  <c r="O734" i="2"/>
  <c r="O740" i="2" s="1"/>
  <c r="O773" i="2" s="1"/>
  <c r="O748" i="2"/>
  <c r="O754" i="2" s="1"/>
  <c r="C43" i="4" s="1"/>
  <c r="Q785" i="2"/>
  <c r="Q787" i="2" s="1"/>
  <c r="F45" i="4" s="1"/>
  <c r="U785" i="2"/>
  <c r="U787" i="2" s="1"/>
  <c r="F49" i="4" s="1"/>
  <c r="F24" i="4"/>
  <c r="K785" i="2"/>
  <c r="K787" i="2" s="1"/>
  <c r="F39" i="4" s="1"/>
  <c r="G785" i="2"/>
  <c r="F10" i="4"/>
  <c r="AA729" i="2"/>
  <c r="AB729" i="2" s="1"/>
  <c r="K37" i="24" l="1"/>
  <c r="L37" i="24" s="1"/>
  <c r="K37" i="14"/>
  <c r="L37" i="14" s="1"/>
  <c r="AA704" i="2"/>
  <c r="AB704" i="2" s="1"/>
  <c r="N709" i="2"/>
  <c r="C17" i="4" s="1"/>
  <c r="I46" i="27"/>
  <c r="I47" i="27" s="1"/>
  <c r="D46" i="31"/>
  <c r="D47" i="31" s="1"/>
  <c r="J46" i="31"/>
  <c r="J47" i="31" s="1"/>
  <c r="I46" i="31"/>
  <c r="I47" i="31" s="1"/>
  <c r="H46" i="31"/>
  <c r="H47" i="31" s="1"/>
  <c r="F46" i="27"/>
  <c r="F47" i="27" s="1"/>
  <c r="D46" i="27"/>
  <c r="D47" i="27" s="1"/>
  <c r="E46" i="27"/>
  <c r="E47" i="27" s="1"/>
  <c r="J46" i="28"/>
  <c r="J47" i="28" s="1"/>
  <c r="E46" i="28"/>
  <c r="E47" i="28" s="1"/>
  <c r="H46" i="27"/>
  <c r="H47" i="27" s="1"/>
  <c r="M709" i="2"/>
  <c r="C16" i="4" s="1"/>
  <c r="G46" i="31"/>
  <c r="G47" i="31" s="1"/>
  <c r="F46" i="31"/>
  <c r="F47" i="31" s="1"/>
  <c r="J46" i="27"/>
  <c r="J47" i="27" s="1"/>
  <c r="L709" i="2"/>
  <c r="C15" i="4" s="1"/>
  <c r="G46" i="28"/>
  <c r="G47" i="28" s="1"/>
  <c r="D46" i="32"/>
  <c r="D47" i="32" s="1"/>
  <c r="J46" i="32"/>
  <c r="J47" i="32" s="1"/>
  <c r="I46" i="32"/>
  <c r="I47" i="32" s="1"/>
  <c r="E46" i="32"/>
  <c r="E47" i="32" s="1"/>
  <c r="H46" i="32"/>
  <c r="H47" i="32" s="1"/>
  <c r="G46" i="32"/>
  <c r="G47" i="32" s="1"/>
  <c r="F46" i="32"/>
  <c r="F47" i="32" s="1"/>
  <c r="I709" i="2"/>
  <c r="C12" i="4" s="1"/>
  <c r="R734" i="2"/>
  <c r="R740" i="2" s="1"/>
  <c r="R721" i="2" s="1"/>
  <c r="R725" i="2" s="1"/>
  <c r="D21" i="4" s="1"/>
  <c r="E21" i="4" s="1"/>
  <c r="G21" i="4" s="1"/>
  <c r="J709" i="2"/>
  <c r="C13" i="4" s="1"/>
  <c r="I46" i="28"/>
  <c r="I47" i="28" s="1"/>
  <c r="H46" i="28"/>
  <c r="H47" i="28" s="1"/>
  <c r="F46" i="28"/>
  <c r="F47" i="28" s="1"/>
  <c r="D46" i="34"/>
  <c r="D47" i="34" s="1"/>
  <c r="I46" i="34"/>
  <c r="I47" i="34" s="1"/>
  <c r="J46" i="34"/>
  <c r="J47" i="34" s="1"/>
  <c r="L15" i="34"/>
  <c r="K16" i="34"/>
  <c r="L16" i="34" s="1"/>
  <c r="G46" i="34"/>
  <c r="G47" i="34" s="1"/>
  <c r="E46" i="34"/>
  <c r="H46" i="34"/>
  <c r="H47" i="34" s="1"/>
  <c r="F46" i="34"/>
  <c r="F47" i="34" s="1"/>
  <c r="AA705" i="2"/>
  <c r="AB705" i="2" s="1"/>
  <c r="AA1106" i="2"/>
  <c r="AB1106" i="2" s="1"/>
  <c r="H46" i="26"/>
  <c r="H47" i="26" s="1"/>
  <c r="AA921" i="2"/>
  <c r="AB921" i="2" s="1"/>
  <c r="I46" i="26"/>
  <c r="I47" i="26" s="1"/>
  <c r="E46" i="26"/>
  <c r="E47" i="26" s="1"/>
  <c r="G46" i="26"/>
  <c r="G47" i="26" s="1"/>
  <c r="F46" i="26"/>
  <c r="F47" i="26" s="1"/>
  <c r="J46" i="26"/>
  <c r="J47" i="26" s="1"/>
  <c r="K22" i="26"/>
  <c r="L22" i="26" s="1"/>
  <c r="K22" i="27"/>
  <c r="L22" i="27" s="1"/>
  <c r="E16" i="27"/>
  <c r="K15" i="27"/>
  <c r="K22" i="28"/>
  <c r="L22" i="28" s="1"/>
  <c r="K22" i="32"/>
  <c r="L22" i="32" s="1"/>
  <c r="K15" i="31"/>
  <c r="E16" i="31"/>
  <c r="K15" i="26"/>
  <c r="F16" i="26"/>
  <c r="K15" i="28"/>
  <c r="E16" i="28"/>
  <c r="E16" i="32"/>
  <c r="K15" i="32"/>
  <c r="K22" i="31"/>
  <c r="L22" i="31" s="1"/>
  <c r="E47" i="31"/>
  <c r="L864" i="2"/>
  <c r="L942" i="2" s="1"/>
  <c r="F66" i="4" s="1"/>
  <c r="L828" i="2"/>
  <c r="R748" i="2"/>
  <c r="R754" i="2" s="1"/>
  <c r="C46" i="4" s="1"/>
  <c r="M828" i="2"/>
  <c r="M864" i="2"/>
  <c r="M895" i="2" s="1"/>
  <c r="S734" i="2"/>
  <c r="S740" i="2" s="1"/>
  <c r="S773" i="2" s="1"/>
  <c r="C22" i="4"/>
  <c r="K15" i="24"/>
  <c r="K16" i="24" s="1"/>
  <c r="L16" i="24" s="1"/>
  <c r="K22" i="24"/>
  <c r="L22" i="24" s="1"/>
  <c r="K47" i="24"/>
  <c r="L47" i="24" s="1"/>
  <c r="K46" i="24"/>
  <c r="L46" i="24" s="1"/>
  <c r="K47" i="14"/>
  <c r="T748" i="2"/>
  <c r="T754" i="2" s="1"/>
  <c r="C48" i="4" s="1"/>
  <c r="T734" i="2"/>
  <c r="T740" i="2" s="1"/>
  <c r="X793" i="2"/>
  <c r="X841" i="2"/>
  <c r="X914" i="2" s="1"/>
  <c r="V793" i="2"/>
  <c r="V841" i="2"/>
  <c r="Z841" i="2"/>
  <c r="Z808" i="2"/>
  <c r="Z813" i="2" s="1"/>
  <c r="W793" i="2"/>
  <c r="W808" i="2"/>
  <c r="W813" i="2" s="1"/>
  <c r="Y841" i="2"/>
  <c r="Y808" i="2"/>
  <c r="Y813" i="2" s="1"/>
  <c r="Y793" i="2"/>
  <c r="Z793" i="2"/>
  <c r="W841" i="2"/>
  <c r="X776" i="2"/>
  <c r="X817" i="2" s="1"/>
  <c r="S748" i="2"/>
  <c r="S754" i="2" s="1"/>
  <c r="C47" i="4" s="1"/>
  <c r="Y776" i="2"/>
  <c r="Y817" i="2" s="1"/>
  <c r="X774" i="2"/>
  <c r="X795" i="2" s="1"/>
  <c r="Y774" i="2"/>
  <c r="Y795" i="2" s="1"/>
  <c r="V774" i="2"/>
  <c r="V795" i="2" s="1"/>
  <c r="W776" i="2"/>
  <c r="W817" i="2" s="1"/>
  <c r="W774" i="2"/>
  <c r="W795" i="2" s="1"/>
  <c r="Z774" i="2"/>
  <c r="Z795" i="2" s="1"/>
  <c r="K828" i="2"/>
  <c r="K864" i="2"/>
  <c r="O793" i="2"/>
  <c r="O841" i="2"/>
  <c r="O808" i="2"/>
  <c r="T828" i="2"/>
  <c r="T864" i="2"/>
  <c r="I828" i="2"/>
  <c r="I864" i="2"/>
  <c r="G787" i="2"/>
  <c r="AA785" i="2"/>
  <c r="AB785" i="2" s="1"/>
  <c r="U864" i="2"/>
  <c r="U828" i="2"/>
  <c r="Q828" i="2"/>
  <c r="Q864" i="2"/>
  <c r="O721" i="2"/>
  <c r="O725" i="2" s="1"/>
  <c r="D18" i="4" s="1"/>
  <c r="O767" i="2"/>
  <c r="W853" i="2"/>
  <c r="W727" i="2"/>
  <c r="P828" i="2"/>
  <c r="P864" i="2"/>
  <c r="Z853" i="2"/>
  <c r="Z727" i="2"/>
  <c r="Y853" i="2"/>
  <c r="Y727" i="2"/>
  <c r="U734" i="2"/>
  <c r="U740" i="2" s="1"/>
  <c r="U773" i="2" s="1"/>
  <c r="U748" i="2"/>
  <c r="U754" i="2" s="1"/>
  <c r="C49" i="4" s="1"/>
  <c r="K46" i="14"/>
  <c r="O942" i="2"/>
  <c r="F69" i="4" s="1"/>
  <c r="O895" i="2"/>
  <c r="N828" i="2"/>
  <c r="N864" i="2"/>
  <c r="J828" i="2"/>
  <c r="J864" i="2"/>
  <c r="W821" i="2"/>
  <c r="W833" i="2"/>
  <c r="X821" i="2"/>
  <c r="X813" i="2"/>
  <c r="X833" i="2"/>
  <c r="X835" i="2" s="1"/>
  <c r="F833" i="2"/>
  <c r="F835" i="2" s="1"/>
  <c r="F821" i="2"/>
  <c r="F823" i="2" s="1"/>
  <c r="F813" i="2"/>
  <c r="K748" i="2"/>
  <c r="K754" i="2" s="1"/>
  <c r="C39" i="4" s="1"/>
  <c r="K734" i="2"/>
  <c r="K740" i="2" s="1"/>
  <c r="K773" i="2" s="1"/>
  <c r="X853" i="2"/>
  <c r="X727" i="2"/>
  <c r="F25" i="4"/>
  <c r="V776" i="2"/>
  <c r="C11" i="4"/>
  <c r="H734" i="2"/>
  <c r="H740" i="2" s="1"/>
  <c r="H773" i="2" s="1"/>
  <c r="H748" i="2"/>
  <c r="H754" i="2" s="1"/>
  <c r="G748" i="2"/>
  <c r="C10" i="4"/>
  <c r="G734" i="2"/>
  <c r="R841" i="2"/>
  <c r="K22" i="14"/>
  <c r="L22" i="14" s="1"/>
  <c r="K15" i="14"/>
  <c r="E16" i="14"/>
  <c r="H828" i="2"/>
  <c r="H864" i="2"/>
  <c r="F36" i="4"/>
  <c r="V813" i="2"/>
  <c r="V833" i="2"/>
  <c r="V835" i="2" s="1"/>
  <c r="V821" i="2"/>
  <c r="Z833" i="2"/>
  <c r="Z821" i="2"/>
  <c r="Y833" i="2"/>
  <c r="Y821" i="2"/>
  <c r="P748" i="2"/>
  <c r="P754" i="2" s="1"/>
  <c r="C44" i="4" s="1"/>
  <c r="P734" i="2"/>
  <c r="P740" i="2" s="1"/>
  <c r="P773" i="2" s="1"/>
  <c r="Q748" i="2"/>
  <c r="Q754" i="2" s="1"/>
  <c r="C45" i="4" s="1"/>
  <c r="Q734" i="2"/>
  <c r="Q740" i="2" s="1"/>
  <c r="Q773" i="2" s="1"/>
  <c r="R828" i="2"/>
  <c r="R864" i="2"/>
  <c r="S864" i="2"/>
  <c r="S828" i="2"/>
  <c r="V853" i="2"/>
  <c r="V727" i="2"/>
  <c r="Z776" i="2"/>
  <c r="N734" i="2" l="1"/>
  <c r="N740" i="2" s="1"/>
  <c r="N773" i="2" s="1"/>
  <c r="N748" i="2"/>
  <c r="N754" i="2" s="1"/>
  <c r="C42" i="4" s="1"/>
  <c r="S721" i="2"/>
  <c r="S725" i="2" s="1"/>
  <c r="D22" i="4" s="1"/>
  <c r="E22" i="4" s="1"/>
  <c r="G22" i="4" s="1"/>
  <c r="K46" i="27"/>
  <c r="L46" i="27" s="1"/>
  <c r="S767" i="2"/>
  <c r="S776" i="2" s="1"/>
  <c r="L748" i="2"/>
  <c r="L754" i="2" s="1"/>
  <c r="C40" i="4" s="1"/>
  <c r="K46" i="31"/>
  <c r="L46" i="31" s="1"/>
  <c r="J748" i="2"/>
  <c r="J754" i="2" s="1"/>
  <c r="C38" i="4" s="1"/>
  <c r="R767" i="2"/>
  <c r="K47" i="27"/>
  <c r="L47" i="27" s="1"/>
  <c r="J734" i="2"/>
  <c r="J740" i="2" s="1"/>
  <c r="J773" i="2" s="1"/>
  <c r="K47" i="31"/>
  <c r="L47" i="31" s="1"/>
  <c r="L734" i="2"/>
  <c r="L740" i="2" s="1"/>
  <c r="L773" i="2" s="1"/>
  <c r="M734" i="2"/>
  <c r="M740" i="2" s="1"/>
  <c r="M773" i="2" s="1"/>
  <c r="M748" i="2"/>
  <c r="M754" i="2" s="1"/>
  <c r="C41" i="4" s="1"/>
  <c r="R793" i="2"/>
  <c r="AA709" i="2"/>
  <c r="AB709" i="2" s="1"/>
  <c r="R773" i="2"/>
  <c r="R774" i="2" s="1"/>
  <c r="R795" i="2" s="1"/>
  <c r="I748" i="2"/>
  <c r="I754" i="2" s="1"/>
  <c r="C37" i="4" s="1"/>
  <c r="L895" i="2"/>
  <c r="L15" i="24"/>
  <c r="K47" i="32"/>
  <c r="L47" i="32" s="1"/>
  <c r="K46" i="32"/>
  <c r="L46" i="32" s="1"/>
  <c r="I734" i="2"/>
  <c r="I740" i="2" s="1"/>
  <c r="I773" i="2" s="1"/>
  <c r="K47" i="28"/>
  <c r="L47" i="28" s="1"/>
  <c r="K46" i="28"/>
  <c r="L46" i="28" s="1"/>
  <c r="K47" i="26"/>
  <c r="L47" i="26" s="1"/>
  <c r="K46" i="34"/>
  <c r="L46" i="34" s="1"/>
  <c r="E47" i="34"/>
  <c r="K47" i="34" s="1"/>
  <c r="L47" i="34" s="1"/>
  <c r="K46" i="26"/>
  <c r="L46" i="26" s="1"/>
  <c r="R808" i="2"/>
  <c r="L15" i="28"/>
  <c r="K16" i="28"/>
  <c r="L16" i="28" s="1"/>
  <c r="L15" i="31"/>
  <c r="K16" i="31"/>
  <c r="L16" i="31" s="1"/>
  <c r="L15" i="32"/>
  <c r="K16" i="32"/>
  <c r="L16" i="32" s="1"/>
  <c r="L15" i="27"/>
  <c r="K16" i="27"/>
  <c r="L16" i="27" s="1"/>
  <c r="L15" i="26"/>
  <c r="K16" i="26"/>
  <c r="L16" i="26" s="1"/>
  <c r="V855" i="2"/>
  <c r="V886" i="2" s="1"/>
  <c r="Z855" i="2"/>
  <c r="Z886" i="2" s="1"/>
  <c r="W855" i="2"/>
  <c r="M942" i="2"/>
  <c r="F67" i="4" s="1"/>
  <c r="T841" i="2"/>
  <c r="T914" i="2" s="1"/>
  <c r="T808" i="2"/>
  <c r="L46" i="14"/>
  <c r="L47" i="14"/>
  <c r="T793" i="2"/>
  <c r="T721" i="2"/>
  <c r="T725" i="2" s="1"/>
  <c r="T773" i="2"/>
  <c r="T767" i="2"/>
  <c r="X801" i="2"/>
  <c r="Y914" i="2"/>
  <c r="V914" i="2"/>
  <c r="Z835" i="2"/>
  <c r="Z914" i="2"/>
  <c r="W835" i="2"/>
  <c r="Y835" i="2"/>
  <c r="Y801" i="2"/>
  <c r="W914" i="2"/>
  <c r="Y855" i="2"/>
  <c r="Y823" i="2"/>
  <c r="Y826" i="2" s="1"/>
  <c r="Y830" i="2" s="1"/>
  <c r="Y778" i="2"/>
  <c r="Y789" i="2" s="1"/>
  <c r="S793" i="2"/>
  <c r="X823" i="2"/>
  <c r="X826" i="2" s="1"/>
  <c r="X830" i="2" s="1"/>
  <c r="W778" i="2"/>
  <c r="W789" i="2" s="1"/>
  <c r="S808" i="2"/>
  <c r="S841" i="2"/>
  <c r="X778" i="2"/>
  <c r="X789" i="2" s="1"/>
  <c r="W823" i="2"/>
  <c r="W826" i="2" s="1"/>
  <c r="W830" i="2" s="1"/>
  <c r="O774" i="2"/>
  <c r="O795" i="2" s="1"/>
  <c r="F826" i="2"/>
  <c r="F830" i="2" s="1"/>
  <c r="X855" i="2"/>
  <c r="X886" i="2" s="1"/>
  <c r="W801" i="2"/>
  <c r="Z801" i="2"/>
  <c r="V801" i="2"/>
  <c r="G754" i="2"/>
  <c r="C36" i="4"/>
  <c r="H808" i="2"/>
  <c r="H793" i="2"/>
  <c r="H841" i="2"/>
  <c r="H767" i="2"/>
  <c r="H721" i="2"/>
  <c r="H725" i="2" s="1"/>
  <c r="V817" i="2"/>
  <c r="V823" i="2" s="1"/>
  <c r="V826" i="2" s="1"/>
  <c r="V830" i="2" s="1"/>
  <c r="V778" i="2"/>
  <c r="V789" i="2" s="1"/>
  <c r="X929" i="2"/>
  <c r="K767" i="2"/>
  <c r="K721" i="2"/>
  <c r="K725" i="2" s="1"/>
  <c r="D14" i="4" s="1"/>
  <c r="U808" i="2"/>
  <c r="U793" i="2"/>
  <c r="U841" i="2"/>
  <c r="E18" i="4"/>
  <c r="G18" i="4" s="1"/>
  <c r="R727" i="2"/>
  <c r="Z929" i="2"/>
  <c r="C25" i="4"/>
  <c r="W929" i="2"/>
  <c r="I895" i="2"/>
  <c r="I942" i="2"/>
  <c r="F63" i="4" s="1"/>
  <c r="T942" i="2"/>
  <c r="F74" i="4" s="1"/>
  <c r="T895" i="2"/>
  <c r="Z817" i="2"/>
  <c r="Z823" i="2" s="1"/>
  <c r="Z826" i="2" s="1"/>
  <c r="Z830" i="2" s="1"/>
  <c r="Z778" i="2"/>
  <c r="Z789" i="2" s="1"/>
  <c r="V929" i="2"/>
  <c r="S942" i="2"/>
  <c r="F73" i="4" s="1"/>
  <c r="S895" i="2"/>
  <c r="R942" i="2"/>
  <c r="F72" i="4" s="1"/>
  <c r="R895" i="2"/>
  <c r="N808" i="2"/>
  <c r="Q767" i="2"/>
  <c r="Q721" i="2"/>
  <c r="Q725" i="2" s="1"/>
  <c r="D20" i="4" s="1"/>
  <c r="Q808" i="2"/>
  <c r="Q841" i="2"/>
  <c r="Q793" i="2"/>
  <c r="P721" i="2"/>
  <c r="P725" i="2" s="1"/>
  <c r="D19" i="4" s="1"/>
  <c r="E19" i="4" s="1"/>
  <c r="G19" i="4" s="1"/>
  <c r="P767" i="2"/>
  <c r="P841" i="2"/>
  <c r="P808" i="2"/>
  <c r="P793" i="2"/>
  <c r="H895" i="2"/>
  <c r="H942" i="2"/>
  <c r="F62" i="4" s="1"/>
  <c r="L15" i="14"/>
  <c r="K16" i="14"/>
  <c r="L16" i="14" s="1"/>
  <c r="N721" i="2"/>
  <c r="N725" i="2" s="1"/>
  <c r="D17" i="4" s="1"/>
  <c r="R914" i="2"/>
  <c r="G740" i="2"/>
  <c r="G773" i="2" s="1"/>
  <c r="K808" i="2"/>
  <c r="K793" i="2"/>
  <c r="K841" i="2"/>
  <c r="J895" i="2"/>
  <c r="J942" i="2"/>
  <c r="F64" i="4" s="1"/>
  <c r="N942" i="2"/>
  <c r="F68" i="4" s="1"/>
  <c r="N895" i="2"/>
  <c r="U767" i="2"/>
  <c r="U721" i="2"/>
  <c r="U725" i="2" s="1"/>
  <c r="Y929" i="2"/>
  <c r="P942" i="2"/>
  <c r="F70" i="4" s="1"/>
  <c r="P895" i="2"/>
  <c r="O776" i="2"/>
  <c r="O727" i="2"/>
  <c r="Q942" i="2"/>
  <c r="F71" i="4" s="1"/>
  <c r="Q895" i="2"/>
  <c r="U895" i="2"/>
  <c r="U942" i="2"/>
  <c r="F75" i="4" s="1"/>
  <c r="F35" i="4"/>
  <c r="F50" i="4" s="1"/>
  <c r="G828" i="2"/>
  <c r="AA828" i="2" s="1"/>
  <c r="AB828" i="2" s="1"/>
  <c r="G864" i="2"/>
  <c r="AA787" i="2"/>
  <c r="AB787" i="2" s="1"/>
  <c r="O914" i="2"/>
  <c r="K942" i="2"/>
  <c r="F65" i="4" s="1"/>
  <c r="K895" i="2"/>
  <c r="S774" i="2"/>
  <c r="S795" i="2" s="1"/>
  <c r="N767" i="2" l="1"/>
  <c r="N776" i="2" s="1"/>
  <c r="N841" i="2"/>
  <c r="N793" i="2"/>
  <c r="I793" i="2"/>
  <c r="J793" i="2"/>
  <c r="S727" i="2"/>
  <c r="M721" i="2"/>
  <c r="M725" i="2" s="1"/>
  <c r="D16" i="4" s="1"/>
  <c r="E16" i="4" s="1"/>
  <c r="G16" i="4" s="1"/>
  <c r="M767" i="2"/>
  <c r="M776" i="2" s="1"/>
  <c r="J841" i="2"/>
  <c r="J914" i="2" s="1"/>
  <c r="J767" i="2"/>
  <c r="J776" i="2" s="1"/>
  <c r="J808" i="2"/>
  <c r="I841" i="2"/>
  <c r="I914" i="2" s="1"/>
  <c r="M841" i="2"/>
  <c r="M914" i="2" s="1"/>
  <c r="J721" i="2"/>
  <c r="J725" i="2" s="1"/>
  <c r="D13" i="4" s="1"/>
  <c r="E13" i="4" s="1"/>
  <c r="G13" i="4" s="1"/>
  <c r="I808" i="2"/>
  <c r="M808" i="2"/>
  <c r="M793" i="2"/>
  <c r="I721" i="2"/>
  <c r="I725" i="2" s="1"/>
  <c r="D12" i="4" s="1"/>
  <c r="E12" i="4" s="1"/>
  <c r="G12" i="4" s="1"/>
  <c r="L808" i="2"/>
  <c r="L841" i="2"/>
  <c r="L914" i="2" s="1"/>
  <c r="L793" i="2"/>
  <c r="R776" i="2"/>
  <c r="D46" i="4" s="1"/>
  <c r="E46" i="4" s="1"/>
  <c r="G46" i="4" s="1"/>
  <c r="L39" i="4" s="1"/>
  <c r="L767" i="2"/>
  <c r="L776" i="2" s="1"/>
  <c r="L721" i="2"/>
  <c r="L725" i="2" s="1"/>
  <c r="D15" i="4" s="1"/>
  <c r="E15" i="4" s="1"/>
  <c r="G15" i="4" s="1"/>
  <c r="AA748" i="2"/>
  <c r="AB748" i="2" s="1"/>
  <c r="W886" i="2"/>
  <c r="I767" i="2"/>
  <c r="I776" i="2" s="1"/>
  <c r="AA734" i="2"/>
  <c r="AB734" i="2" s="1"/>
  <c r="D43" i="4"/>
  <c r="E43" i="4" s="1"/>
  <c r="G43" i="4" s="1"/>
  <c r="O853" i="2"/>
  <c r="O929" i="2" s="1"/>
  <c r="D47" i="4"/>
  <c r="E47" i="4" s="1"/>
  <c r="G47" i="4" s="1"/>
  <c r="S853" i="2"/>
  <c r="S929" i="2" s="1"/>
  <c r="D23" i="4"/>
  <c r="E23" i="4" s="1"/>
  <c r="G23" i="4" s="1"/>
  <c r="E20" i="4"/>
  <c r="G20" i="4" s="1"/>
  <c r="T727" i="2"/>
  <c r="T774" i="2"/>
  <c r="T795" i="2" s="1"/>
  <c r="T776" i="2"/>
  <c r="T853" i="2" s="1"/>
  <c r="T929" i="2" s="1"/>
  <c r="AA773" i="2"/>
  <c r="AB773" i="2" s="1"/>
  <c r="Y886" i="2"/>
  <c r="S914" i="2"/>
  <c r="O801" i="2"/>
  <c r="O855" i="2"/>
  <c r="O886" i="2" s="1"/>
  <c r="M774" i="2"/>
  <c r="M795" i="2" s="1"/>
  <c r="P774" i="2"/>
  <c r="P795" i="2" s="1"/>
  <c r="Q774" i="2"/>
  <c r="Q795" i="2" s="1"/>
  <c r="R855" i="2"/>
  <c r="R801" i="2"/>
  <c r="O817" i="2"/>
  <c r="O778" i="2"/>
  <c r="U774" i="2"/>
  <c r="U795" i="2" s="1"/>
  <c r="U776" i="2"/>
  <c r="AA740" i="2"/>
  <c r="AB740" i="2" s="1"/>
  <c r="G721" i="2"/>
  <c r="G725" i="2" s="1"/>
  <c r="G767" i="2"/>
  <c r="E14" i="4"/>
  <c r="G14" i="4" s="1"/>
  <c r="N727" i="2"/>
  <c r="J774" i="2"/>
  <c r="J795" i="2" s="1"/>
  <c r="P914" i="2"/>
  <c r="P776" i="2"/>
  <c r="P727" i="2"/>
  <c r="E17" i="4"/>
  <c r="G17" i="4" s="1"/>
  <c r="Q727" i="2"/>
  <c r="K727" i="2"/>
  <c r="S817" i="2"/>
  <c r="S778" i="2"/>
  <c r="D11" i="4"/>
  <c r="E11" i="4" s="1"/>
  <c r="G11" i="4" s="1"/>
  <c r="H727" i="2"/>
  <c r="H914" i="2"/>
  <c r="S855" i="2"/>
  <c r="S801" i="2"/>
  <c r="G942" i="2"/>
  <c r="G895" i="2"/>
  <c r="AA895" i="2" s="1"/>
  <c r="AA864" i="2"/>
  <c r="I774" i="2"/>
  <c r="I795" i="2" s="1"/>
  <c r="D24" i="4"/>
  <c r="E24" i="4" s="1"/>
  <c r="G24" i="4" s="1"/>
  <c r="U727" i="2"/>
  <c r="K914" i="2"/>
  <c r="N774" i="2"/>
  <c r="N795" i="2" s="1"/>
  <c r="Q914" i="2"/>
  <c r="Q776" i="2"/>
  <c r="N914" i="2"/>
  <c r="U914" i="2"/>
  <c r="K776" i="2"/>
  <c r="K774" i="2"/>
  <c r="K795" i="2" s="1"/>
  <c r="L774" i="2"/>
  <c r="L795" i="2" s="1"/>
  <c r="H776" i="2"/>
  <c r="H853" i="2" s="1"/>
  <c r="G793" i="2"/>
  <c r="G841" i="2"/>
  <c r="C35" i="4"/>
  <c r="C50" i="4" s="1"/>
  <c r="G808" i="2"/>
  <c r="AA754" i="2"/>
  <c r="H774" i="2"/>
  <c r="H795" i="2" s="1"/>
  <c r="M727" i="2" l="1"/>
  <c r="AA808" i="2"/>
  <c r="AB808" i="2" s="1"/>
  <c r="I727" i="2"/>
  <c r="J727" i="2"/>
  <c r="R778" i="2"/>
  <c r="R789" i="2" s="1"/>
  <c r="R853" i="2"/>
  <c r="R929" i="2" s="1"/>
  <c r="R817" i="2"/>
  <c r="L727" i="2"/>
  <c r="Q801" i="2"/>
  <c r="M855" i="2"/>
  <c r="D37" i="4"/>
  <c r="E37" i="4" s="1"/>
  <c r="I853" i="2"/>
  <c r="I929" i="2" s="1"/>
  <c r="D41" i="4"/>
  <c r="E41" i="4" s="1"/>
  <c r="G41" i="4" s="1"/>
  <c r="M853" i="2"/>
  <c r="M929" i="2" s="1"/>
  <c r="D45" i="4"/>
  <c r="E45" i="4" s="1"/>
  <c r="G45" i="4" s="1"/>
  <c r="Q853" i="2"/>
  <c r="Q929" i="2" s="1"/>
  <c r="D44" i="4"/>
  <c r="E44" i="4" s="1"/>
  <c r="P853" i="2"/>
  <c r="P929" i="2" s="1"/>
  <c r="D39" i="4"/>
  <c r="E39" i="4" s="1"/>
  <c r="K853" i="2"/>
  <c r="K929" i="2" s="1"/>
  <c r="D40" i="4"/>
  <c r="E40" i="4" s="1"/>
  <c r="G40" i="4" s="1"/>
  <c r="L853" i="2"/>
  <c r="L929" i="2" s="1"/>
  <c r="D42" i="4"/>
  <c r="E42" i="4" s="1"/>
  <c r="N853" i="2"/>
  <c r="N929" i="2" s="1"/>
  <c r="D38" i="4"/>
  <c r="E38" i="4" s="1"/>
  <c r="G38" i="4" s="1"/>
  <c r="J853" i="2"/>
  <c r="D49" i="4"/>
  <c r="E49" i="4" s="1"/>
  <c r="G49" i="4" s="1"/>
  <c r="U853" i="2"/>
  <c r="U929" i="2" s="1"/>
  <c r="AB864" i="2"/>
  <c r="AB895" i="2"/>
  <c r="T817" i="2"/>
  <c r="D48" i="4"/>
  <c r="E48" i="4" s="1"/>
  <c r="T801" i="2"/>
  <c r="T855" i="2"/>
  <c r="T778" i="2"/>
  <c r="T783" i="2" s="1"/>
  <c r="T811" i="2" s="1"/>
  <c r="P801" i="2"/>
  <c r="Q855" i="2"/>
  <c r="Q886" i="2" s="1"/>
  <c r="M801" i="2"/>
  <c r="P855" i="2"/>
  <c r="P886" i="2" s="1"/>
  <c r="H855" i="2"/>
  <c r="H801" i="2"/>
  <c r="F61" i="4"/>
  <c r="F76" i="4" s="1"/>
  <c r="AA942" i="2"/>
  <c r="AB942" i="2" s="1"/>
  <c r="S886" i="2"/>
  <c r="H929" i="2"/>
  <c r="S789" i="2"/>
  <c r="S783" i="2"/>
  <c r="S811" i="2" s="1"/>
  <c r="J855" i="2"/>
  <c r="J801" i="2"/>
  <c r="J929" i="2"/>
  <c r="AA721" i="2"/>
  <c r="AB721" i="2" s="1"/>
  <c r="U817" i="2"/>
  <c r="U778" i="2"/>
  <c r="U855" i="2"/>
  <c r="U801" i="2"/>
  <c r="I817" i="2"/>
  <c r="I778" i="2"/>
  <c r="O789" i="2"/>
  <c r="O783" i="2"/>
  <c r="O811" i="2" s="1"/>
  <c r="R886" i="2"/>
  <c r="G774" i="2"/>
  <c r="G795" i="2" s="1"/>
  <c r="AB754" i="2"/>
  <c r="G914" i="2"/>
  <c r="AA841" i="2"/>
  <c r="AB841" i="2" s="1"/>
  <c r="D36" i="4"/>
  <c r="E36" i="4" s="1"/>
  <c r="H817" i="2"/>
  <c r="H778" i="2"/>
  <c r="L855" i="2"/>
  <c r="L801" i="2"/>
  <c r="L817" i="2"/>
  <c r="L778" i="2"/>
  <c r="K855" i="2"/>
  <c r="K801" i="2"/>
  <c r="K817" i="2"/>
  <c r="K778" i="2"/>
  <c r="M817" i="2"/>
  <c r="M778" i="2"/>
  <c r="M886" i="2"/>
  <c r="Q817" i="2"/>
  <c r="Q778" i="2"/>
  <c r="J817" i="2"/>
  <c r="J778" i="2"/>
  <c r="N817" i="2"/>
  <c r="N778" i="2"/>
  <c r="N855" i="2"/>
  <c r="N801" i="2"/>
  <c r="I855" i="2"/>
  <c r="I801" i="2"/>
  <c r="P817" i="2"/>
  <c r="P778" i="2"/>
  <c r="AA767" i="2"/>
  <c r="AB767" i="2" s="1"/>
  <c r="G776" i="2"/>
  <c r="G853" i="2" s="1"/>
  <c r="AA793" i="2"/>
  <c r="AB793" i="2" s="1"/>
  <c r="L38" i="4" l="1"/>
  <c r="G36" i="4"/>
  <c r="R783" i="2"/>
  <c r="R811" i="2" s="1"/>
  <c r="R821" i="2" s="1"/>
  <c r="R823" i="2" s="1"/>
  <c r="G39" i="4"/>
  <c r="G44" i="4"/>
  <c r="G48" i="4"/>
  <c r="G37" i="4"/>
  <c r="G42" i="4"/>
  <c r="T886" i="2"/>
  <c r="T789" i="2"/>
  <c r="G817" i="2"/>
  <c r="AA817" i="2" s="1"/>
  <c r="AB817" i="2" s="1"/>
  <c r="D35" i="4"/>
  <c r="D50" i="4" s="1"/>
  <c r="AA776" i="2"/>
  <c r="G778" i="2"/>
  <c r="P789" i="2"/>
  <c r="P783" i="2"/>
  <c r="P811" i="2" s="1"/>
  <c r="N783" i="2"/>
  <c r="N811" i="2" s="1"/>
  <c r="N789" i="2"/>
  <c r="Q789" i="2"/>
  <c r="Q783" i="2"/>
  <c r="Q811" i="2" s="1"/>
  <c r="M789" i="2"/>
  <c r="M783" i="2"/>
  <c r="M811" i="2" s="1"/>
  <c r="L886" i="2"/>
  <c r="G855" i="2"/>
  <c r="AA774" i="2"/>
  <c r="AB774" i="2" s="1"/>
  <c r="I789" i="2"/>
  <c r="I783" i="2"/>
  <c r="I811" i="2" s="1"/>
  <c r="U886" i="2"/>
  <c r="G929" i="2"/>
  <c r="D10" i="4"/>
  <c r="AA725" i="2"/>
  <c r="AB725" i="2" s="1"/>
  <c r="G727" i="2"/>
  <c r="AA727" i="2" s="1"/>
  <c r="AB727" i="2" s="1"/>
  <c r="J886" i="2"/>
  <c r="T833" i="2"/>
  <c r="T835" i="2" s="1"/>
  <c r="T821" i="2"/>
  <c r="T823" i="2" s="1"/>
  <c r="T813" i="2"/>
  <c r="AA917" i="2"/>
  <c r="AB917" i="2" s="1"/>
  <c r="I886" i="2"/>
  <c r="N886" i="2"/>
  <c r="J783" i="2"/>
  <c r="J811" i="2" s="1"/>
  <c r="J789" i="2"/>
  <c r="K789" i="2"/>
  <c r="K783" i="2"/>
  <c r="K811" i="2" s="1"/>
  <c r="K886" i="2"/>
  <c r="L783" i="2"/>
  <c r="L811" i="2" s="1"/>
  <c r="L789" i="2"/>
  <c r="H783" i="2"/>
  <c r="H811" i="2" s="1"/>
  <c r="H789" i="2"/>
  <c r="AA914" i="2"/>
  <c r="AB914" i="2" s="1"/>
  <c r="O821" i="2"/>
  <c r="O823" i="2" s="1"/>
  <c r="O833" i="2"/>
  <c r="O835" i="2" s="1"/>
  <c r="O813" i="2"/>
  <c r="U783" i="2"/>
  <c r="U811" i="2" s="1"/>
  <c r="U789" i="2"/>
  <c r="S833" i="2"/>
  <c r="S835" i="2" s="1"/>
  <c r="S821" i="2"/>
  <c r="S823" i="2" s="1"/>
  <c r="S813" i="2"/>
  <c r="H886" i="2"/>
  <c r="R833" i="2" l="1"/>
  <c r="R835" i="2" s="1"/>
  <c r="R813" i="2"/>
  <c r="R826" i="2" s="1"/>
  <c r="R830" i="2" s="1"/>
  <c r="O826" i="2"/>
  <c r="O830" i="2" s="1"/>
  <c r="T826" i="2"/>
  <c r="T830" i="2" s="1"/>
  <c r="U833" i="2"/>
  <c r="U835" i="2" s="1"/>
  <c r="U821" i="2"/>
  <c r="U823" i="2" s="1"/>
  <c r="U813" i="2"/>
  <c r="K833" i="2"/>
  <c r="K835" i="2" s="1"/>
  <c r="K821" i="2"/>
  <c r="K823" i="2" s="1"/>
  <c r="K813" i="2"/>
  <c r="I821" i="2"/>
  <c r="I823" i="2" s="1"/>
  <c r="I833" i="2"/>
  <c r="I835" i="2" s="1"/>
  <c r="I813" i="2"/>
  <c r="N821" i="2"/>
  <c r="N823" i="2" s="1"/>
  <c r="N833" i="2"/>
  <c r="N835" i="2" s="1"/>
  <c r="N813" i="2"/>
  <c r="P821" i="2"/>
  <c r="P823" i="2" s="1"/>
  <c r="P833" i="2"/>
  <c r="P835" i="2" s="1"/>
  <c r="P813" i="2"/>
  <c r="AB776" i="2"/>
  <c r="AA778" i="2"/>
  <c r="AB778" i="2" s="1"/>
  <c r="S826" i="2"/>
  <c r="S830" i="2" s="1"/>
  <c r="H833" i="2"/>
  <c r="H835" i="2" s="1"/>
  <c r="H821" i="2"/>
  <c r="H823" i="2" s="1"/>
  <c r="H813" i="2"/>
  <c r="L821" i="2"/>
  <c r="L823" i="2" s="1"/>
  <c r="L833" i="2"/>
  <c r="L835" i="2" s="1"/>
  <c r="L813" i="2"/>
  <c r="J833" i="2"/>
  <c r="J835" i="2" s="1"/>
  <c r="J821" i="2"/>
  <c r="J823" i="2" s="1"/>
  <c r="J813" i="2"/>
  <c r="D25" i="4"/>
  <c r="E10" i="4"/>
  <c r="AA853" i="2"/>
  <c r="AB853" i="2" s="1"/>
  <c r="AA795" i="2"/>
  <c r="AB795" i="2" s="1"/>
  <c r="G801" i="2"/>
  <c r="AA801" i="2" s="1"/>
  <c r="AB801" i="2" s="1"/>
  <c r="G886" i="2"/>
  <c r="AA886" i="2" s="1"/>
  <c r="AB886" i="2" s="1"/>
  <c r="AA855" i="2"/>
  <c r="AB855" i="2" s="1"/>
  <c r="M821" i="2"/>
  <c r="M823" i="2" s="1"/>
  <c r="M833" i="2"/>
  <c r="M835" i="2" s="1"/>
  <c r="M813" i="2"/>
  <c r="Q821" i="2"/>
  <c r="Q823" i="2" s="1"/>
  <c r="Q833" i="2"/>
  <c r="Q835" i="2" s="1"/>
  <c r="Q813" i="2"/>
  <c r="G783" i="2"/>
  <c r="G811" i="2" s="1"/>
  <c r="G789" i="2"/>
  <c r="E35" i="4"/>
  <c r="L37" i="4" s="1"/>
  <c r="E50" i="4" l="1"/>
  <c r="G50" i="4" s="1"/>
  <c r="N826" i="2"/>
  <c r="N830" i="2" s="1"/>
  <c r="I826" i="2"/>
  <c r="I830" i="2" s="1"/>
  <c r="L826" i="2"/>
  <c r="L830" i="2" s="1"/>
  <c r="Q826" i="2"/>
  <c r="Q830" i="2" s="1"/>
  <c r="M826" i="2"/>
  <c r="M830" i="2" s="1"/>
  <c r="P826" i="2"/>
  <c r="P830" i="2" s="1"/>
  <c r="J826" i="2"/>
  <c r="J830" i="2" s="1"/>
  <c r="K826" i="2"/>
  <c r="K830" i="2" s="1"/>
  <c r="G833" i="2"/>
  <c r="G821" i="2"/>
  <c r="AA811" i="2"/>
  <c r="AB811" i="2" s="1"/>
  <c r="G813" i="2"/>
  <c r="G10" i="4"/>
  <c r="E25" i="4"/>
  <c r="G25" i="4" s="1"/>
  <c r="H826" i="2"/>
  <c r="H830" i="2" s="1"/>
  <c r="U826" i="2"/>
  <c r="U830" i="2" s="1"/>
  <c r="G35" i="4"/>
  <c r="AA929" i="2"/>
  <c r="AB929" i="2" s="1"/>
  <c r="AA813" i="2" l="1"/>
  <c r="AB813" i="2" s="1"/>
  <c r="AA821" i="2"/>
  <c r="AB821" i="2" s="1"/>
  <c r="G823" i="2"/>
  <c r="AA823" i="2" s="1"/>
  <c r="AB823" i="2" s="1"/>
  <c r="G835" i="2"/>
  <c r="AA833" i="2"/>
  <c r="AB833" i="2" s="1"/>
  <c r="G826" i="2" l="1"/>
  <c r="G830" i="2" l="1"/>
  <c r="AA826" i="2"/>
  <c r="AB826" i="2" s="1"/>
  <c r="F924" i="2" l="1"/>
  <c r="Y922" i="2"/>
  <c r="Y935" i="2" s="1"/>
  <c r="Y937" i="2" s="1"/>
  <c r="X922" i="2"/>
  <c r="V922" i="2"/>
  <c r="V935" i="2" s="1"/>
  <c r="V937" i="2" s="1"/>
  <c r="Z922" i="2"/>
  <c r="Z924" i="2" s="1"/>
  <c r="W922" i="2"/>
  <c r="W935" i="2" s="1"/>
  <c r="W937" i="2" s="1"/>
  <c r="F937" i="2"/>
  <c r="H846" i="2"/>
  <c r="F846" i="2"/>
  <c r="T846" i="2" s="1"/>
  <c r="T922" i="2" s="1"/>
  <c r="T935" i="2" s="1"/>
  <c r="J846" i="2"/>
  <c r="J922" i="2" s="1"/>
  <c r="J935" i="2" s="1"/>
  <c r="J932" i="2" l="1"/>
  <c r="J933" i="2"/>
  <c r="T932" i="2"/>
  <c r="T933" i="2"/>
  <c r="F857" i="2"/>
  <c r="F884" i="2" s="1"/>
  <c r="O846" i="2"/>
  <c r="O857" i="2" s="1"/>
  <c r="V846" i="2"/>
  <c r="V857" i="2" s="1"/>
  <c r="K846" i="2"/>
  <c r="K922" i="2" s="1"/>
  <c r="K935" i="2" s="1"/>
  <c r="G846" i="2"/>
  <c r="G922" i="2" s="1"/>
  <c r="G935" i="2" s="1"/>
  <c r="D26" i="14" s="1"/>
  <c r="U846" i="2"/>
  <c r="U922" i="2" s="1"/>
  <c r="U935" i="2" s="1"/>
  <c r="R846" i="2"/>
  <c r="R857" i="2" s="1"/>
  <c r="R859" i="2" s="1"/>
  <c r="P846" i="2"/>
  <c r="P857" i="2" s="1"/>
  <c r="P859" i="2" s="1"/>
  <c r="Z846" i="2"/>
  <c r="Z848" i="2" s="1"/>
  <c r="Z873" i="2" s="1"/>
  <c r="F848" i="2"/>
  <c r="F873" i="2" s="1"/>
  <c r="N846" i="2"/>
  <c r="N877" i="2" s="1"/>
  <c r="Y924" i="2"/>
  <c r="Y940" i="2" s="1"/>
  <c r="Y944" i="2" s="1"/>
  <c r="J924" i="2"/>
  <c r="D26" i="26"/>
  <c r="V924" i="2"/>
  <c r="V940" i="2" s="1"/>
  <c r="V944" i="2" s="1"/>
  <c r="W924" i="2"/>
  <c r="W940" i="2" s="1"/>
  <c r="W944" i="2" s="1"/>
  <c r="T848" i="2"/>
  <c r="T857" i="2"/>
  <c r="T877" i="2"/>
  <c r="H877" i="2"/>
  <c r="H857" i="2"/>
  <c r="H848" i="2"/>
  <c r="H922" i="2"/>
  <c r="H935" i="2" s="1"/>
  <c r="T924" i="2"/>
  <c r="F859" i="2"/>
  <c r="J877" i="2"/>
  <c r="J848" i="2"/>
  <c r="J857" i="2"/>
  <c r="Z935" i="2"/>
  <c r="Z937" i="2" s="1"/>
  <c r="Z940" i="2" s="1"/>
  <c r="Z944" i="2" s="1"/>
  <c r="Y846" i="2"/>
  <c r="F877" i="2"/>
  <c r="W846" i="2"/>
  <c r="L846" i="2"/>
  <c r="M846" i="2"/>
  <c r="S846" i="2"/>
  <c r="X846" i="2"/>
  <c r="I846" i="2"/>
  <c r="Q846" i="2"/>
  <c r="F940" i="2"/>
  <c r="X935" i="2"/>
  <c r="X937" i="2" s="1"/>
  <c r="X924" i="2"/>
  <c r="D36" i="26" l="1"/>
  <c r="F36" i="26" s="1"/>
  <c r="F39" i="26" s="1"/>
  <c r="F862" i="2"/>
  <c r="F866" i="2" s="1"/>
  <c r="K932" i="2"/>
  <c r="K933" i="2"/>
  <c r="H932" i="2"/>
  <c r="H933" i="2"/>
  <c r="U924" i="2"/>
  <c r="C75" i="4" s="1"/>
  <c r="U933" i="2"/>
  <c r="U932" i="2"/>
  <c r="G932" i="2"/>
  <c r="G933" i="2"/>
  <c r="C49" i="32"/>
  <c r="C49" i="28"/>
  <c r="C49" i="26"/>
  <c r="C49" i="31"/>
  <c r="K924" i="2"/>
  <c r="C65" i="4" s="1"/>
  <c r="C64" i="4"/>
  <c r="C74" i="4"/>
  <c r="K848" i="2"/>
  <c r="K873" i="2" s="1"/>
  <c r="O922" i="2"/>
  <c r="O935" i="2" s="1"/>
  <c r="V848" i="2"/>
  <c r="V873" i="2" s="1"/>
  <c r="O848" i="2"/>
  <c r="O873" i="2" s="1"/>
  <c r="O877" i="2"/>
  <c r="G924" i="2"/>
  <c r="G848" i="2"/>
  <c r="G873" i="2" s="1"/>
  <c r="D26" i="32"/>
  <c r="U877" i="2"/>
  <c r="G857" i="2"/>
  <c r="G859" i="2" s="1"/>
  <c r="U848" i="2"/>
  <c r="U873" i="2" s="1"/>
  <c r="U857" i="2"/>
  <c r="U859" i="2" s="1"/>
  <c r="P922" i="2"/>
  <c r="P935" i="2" s="1"/>
  <c r="P877" i="2"/>
  <c r="R877" i="2"/>
  <c r="P884" i="2"/>
  <c r="P848" i="2"/>
  <c r="P873" i="2" s="1"/>
  <c r="N857" i="2"/>
  <c r="N884" i="2" s="1"/>
  <c r="G877" i="2"/>
  <c r="K857" i="2"/>
  <c r="K884" i="2" s="1"/>
  <c r="R884" i="2"/>
  <c r="K877" i="2"/>
  <c r="N848" i="2"/>
  <c r="N922" i="2"/>
  <c r="N935" i="2" s="1"/>
  <c r="R848" i="2"/>
  <c r="R862" i="2" s="1"/>
  <c r="R866" i="2" s="1"/>
  <c r="Z857" i="2"/>
  <c r="Z859" i="2" s="1"/>
  <c r="Z862" i="2" s="1"/>
  <c r="Z866" i="2" s="1"/>
  <c r="R922" i="2"/>
  <c r="R935" i="2" s="1"/>
  <c r="X940" i="2"/>
  <c r="X944" i="2" s="1"/>
  <c r="J937" i="2"/>
  <c r="I857" i="2"/>
  <c r="I877" i="2"/>
  <c r="I922" i="2"/>
  <c r="I935" i="2" s="1"/>
  <c r="I848" i="2"/>
  <c r="Y848" i="2"/>
  <c r="Y857" i="2"/>
  <c r="H873" i="2"/>
  <c r="S877" i="2"/>
  <c r="S848" i="2"/>
  <c r="S922" i="2"/>
  <c r="S935" i="2" s="1"/>
  <c r="S857" i="2"/>
  <c r="L857" i="2"/>
  <c r="L922" i="2"/>
  <c r="L935" i="2" s="1"/>
  <c r="L848" i="2"/>
  <c r="L877" i="2"/>
  <c r="V859" i="2"/>
  <c r="V884" i="2"/>
  <c r="O859" i="2"/>
  <c r="O884" i="2"/>
  <c r="T859" i="2"/>
  <c r="T862" i="2" s="1"/>
  <c r="T866" i="2" s="1"/>
  <c r="T884" i="2"/>
  <c r="X857" i="2"/>
  <c r="X848" i="2"/>
  <c r="H884" i="2"/>
  <c r="H859" i="2"/>
  <c r="H862" i="2" s="1"/>
  <c r="H866" i="2" s="1"/>
  <c r="F944" i="2"/>
  <c r="W857" i="2"/>
  <c r="W848" i="2"/>
  <c r="J859" i="2"/>
  <c r="J862" i="2" s="1"/>
  <c r="J866" i="2" s="1"/>
  <c r="J884" i="2"/>
  <c r="AA846" i="2"/>
  <c r="AB846" i="2" s="1"/>
  <c r="T937" i="2"/>
  <c r="D74" i="4" s="1"/>
  <c r="T873" i="2"/>
  <c r="Q877" i="2"/>
  <c r="Q857" i="2"/>
  <c r="Q922" i="2"/>
  <c r="Q935" i="2" s="1"/>
  <c r="Q848" i="2"/>
  <c r="V877" i="2"/>
  <c r="Z877" i="2"/>
  <c r="Y877" i="2"/>
  <c r="W877" i="2"/>
  <c r="X877" i="2"/>
  <c r="H924" i="2"/>
  <c r="C49" i="24" s="1"/>
  <c r="M848" i="2"/>
  <c r="M877" i="2"/>
  <c r="M922" i="2"/>
  <c r="M935" i="2" s="1"/>
  <c r="M857" i="2"/>
  <c r="J873" i="2"/>
  <c r="D36" i="14" l="1"/>
  <c r="D39" i="14" s="1"/>
  <c r="D36" i="32"/>
  <c r="D39" i="32" s="1"/>
  <c r="D36" i="24"/>
  <c r="I36" i="24" s="1"/>
  <c r="I39" i="24" s="1"/>
  <c r="J36" i="26"/>
  <c r="J39" i="26" s="1"/>
  <c r="I36" i="26"/>
  <c r="I39" i="26" s="1"/>
  <c r="H36" i="26"/>
  <c r="H39" i="26" s="1"/>
  <c r="E36" i="26"/>
  <c r="E39" i="26" s="1"/>
  <c r="D39" i="26"/>
  <c r="G36" i="26"/>
  <c r="G39" i="26" s="1"/>
  <c r="U937" i="2"/>
  <c r="D75" i="4" s="1"/>
  <c r="E75" i="4" s="1"/>
  <c r="G75" i="4" s="1"/>
  <c r="I49" i="4" s="1"/>
  <c r="Q932" i="2"/>
  <c r="Q933" i="2"/>
  <c r="M933" i="2"/>
  <c r="M932" i="2"/>
  <c r="I933" i="2"/>
  <c r="I932" i="2"/>
  <c r="N932" i="2"/>
  <c r="N933" i="2"/>
  <c r="P932" i="2"/>
  <c r="P933" i="2"/>
  <c r="O932" i="2"/>
  <c r="O933" i="2"/>
  <c r="L932" i="2"/>
  <c r="L933" i="2"/>
  <c r="S932" i="2"/>
  <c r="S933" i="2"/>
  <c r="R932" i="2"/>
  <c r="R933" i="2"/>
  <c r="G937" i="2"/>
  <c r="G940" i="2" s="1"/>
  <c r="G944" i="2" s="1"/>
  <c r="D18" i="14" s="1"/>
  <c r="C49" i="14"/>
  <c r="J940" i="2"/>
  <c r="J944" i="2" s="1"/>
  <c r="D18" i="26" s="1"/>
  <c r="D64" i="4"/>
  <c r="E64" i="4" s="1"/>
  <c r="E74" i="4"/>
  <c r="G74" i="4" s="1"/>
  <c r="I48" i="4" s="1"/>
  <c r="O924" i="2"/>
  <c r="G862" i="2"/>
  <c r="G876" i="2" s="1"/>
  <c r="G879" i="2" s="1"/>
  <c r="G884" i="2"/>
  <c r="C61" i="4"/>
  <c r="V862" i="2"/>
  <c r="V866" i="2" s="1"/>
  <c r="O862" i="2"/>
  <c r="O866" i="2" s="1"/>
  <c r="K937" i="2"/>
  <c r="K859" i="2"/>
  <c r="K862" i="2" s="1"/>
  <c r="K866" i="2" s="1"/>
  <c r="U862" i="2"/>
  <c r="U866" i="2" s="1"/>
  <c r="R924" i="2"/>
  <c r="P924" i="2"/>
  <c r="Z884" i="2"/>
  <c r="U884" i="2"/>
  <c r="R873" i="2"/>
  <c r="P862" i="2"/>
  <c r="P866" i="2" s="1"/>
  <c r="N924" i="2"/>
  <c r="C68" i="4" s="1"/>
  <c r="N873" i="2"/>
  <c r="N859" i="2"/>
  <c r="N862" i="2" s="1"/>
  <c r="AA848" i="2"/>
  <c r="AB848" i="2" s="1"/>
  <c r="AA877" i="2"/>
  <c r="AB877" i="2" s="1"/>
  <c r="Q884" i="2"/>
  <c r="Q859" i="2"/>
  <c r="Q862" i="2" s="1"/>
  <c r="Q866" i="2" s="1"/>
  <c r="H876" i="2"/>
  <c r="F876" i="2"/>
  <c r="Z876" i="2"/>
  <c r="R876" i="2"/>
  <c r="J876" i="2"/>
  <c r="J879" i="2" s="1"/>
  <c r="T876" i="2"/>
  <c r="Y873" i="2"/>
  <c r="M873" i="2"/>
  <c r="L873" i="2"/>
  <c r="I873" i="2"/>
  <c r="Q873" i="2"/>
  <c r="L924" i="2"/>
  <c r="C66" i="4" s="1"/>
  <c r="S859" i="2"/>
  <c r="S862" i="2" s="1"/>
  <c r="S884" i="2"/>
  <c r="D26" i="34"/>
  <c r="I924" i="2"/>
  <c r="C49" i="34" s="1"/>
  <c r="Y859" i="2"/>
  <c r="Y862" i="2" s="1"/>
  <c r="Y884" i="2"/>
  <c r="X873" i="2"/>
  <c r="L859" i="2"/>
  <c r="L862" i="2" s="1"/>
  <c r="L866" i="2" s="1"/>
  <c r="L884" i="2"/>
  <c r="S924" i="2"/>
  <c r="C73" i="4" s="1"/>
  <c r="M859" i="2"/>
  <c r="M862" i="2" s="1"/>
  <c r="M866" i="2" s="1"/>
  <c r="M884" i="2"/>
  <c r="W873" i="2"/>
  <c r="M924" i="2"/>
  <c r="C67" i="4" s="1"/>
  <c r="Q924" i="2"/>
  <c r="C71" i="4" s="1"/>
  <c r="W859" i="2"/>
  <c r="W862" i="2" s="1"/>
  <c r="W884" i="2"/>
  <c r="AA857" i="2"/>
  <c r="AB857" i="2" s="1"/>
  <c r="AA922" i="2"/>
  <c r="AB922" i="2" s="1"/>
  <c r="C62" i="4"/>
  <c r="T940" i="2"/>
  <c r="T944" i="2" s="1"/>
  <c r="H937" i="2"/>
  <c r="D62" i="4" s="1"/>
  <c r="D26" i="24"/>
  <c r="X884" i="2"/>
  <c r="X859" i="2"/>
  <c r="X862" i="2" s="1"/>
  <c r="X866" i="2" s="1"/>
  <c r="S873" i="2"/>
  <c r="I859" i="2"/>
  <c r="I884" i="2"/>
  <c r="G36" i="32" l="1"/>
  <c r="G39" i="32" s="1"/>
  <c r="I36" i="14"/>
  <c r="I39" i="14" s="1"/>
  <c r="F36" i="32"/>
  <c r="F39" i="32" s="1"/>
  <c r="J36" i="32"/>
  <c r="J39" i="32" s="1"/>
  <c r="H36" i="32"/>
  <c r="H39" i="32" s="1"/>
  <c r="I36" i="32"/>
  <c r="I39" i="32" s="1"/>
  <c r="E36" i="14"/>
  <c r="J36" i="14"/>
  <c r="J39" i="14" s="1"/>
  <c r="H36" i="14"/>
  <c r="H39" i="14" s="1"/>
  <c r="F36" i="14"/>
  <c r="F39" i="14" s="1"/>
  <c r="G36" i="14"/>
  <c r="G39" i="14" s="1"/>
  <c r="E36" i="32"/>
  <c r="D36" i="31"/>
  <c r="J36" i="31" s="1"/>
  <c r="J39" i="31" s="1"/>
  <c r="D36" i="34"/>
  <c r="F36" i="34" s="1"/>
  <c r="F39" i="34" s="1"/>
  <c r="D36" i="28"/>
  <c r="I36" i="28" s="1"/>
  <c r="I39" i="28" s="1"/>
  <c r="D36" i="27"/>
  <c r="H36" i="27" s="1"/>
  <c r="G36" i="24"/>
  <c r="G39" i="24" s="1"/>
  <c r="J36" i="24"/>
  <c r="J39" i="24" s="1"/>
  <c r="E36" i="24"/>
  <c r="E39" i="24" s="1"/>
  <c r="F36" i="24"/>
  <c r="F39" i="24" s="1"/>
  <c r="H36" i="24"/>
  <c r="H39" i="24" s="1"/>
  <c r="D39" i="24"/>
  <c r="K39" i="26"/>
  <c r="L39" i="26" s="1"/>
  <c r="K36" i="26"/>
  <c r="L36" i="26" s="1"/>
  <c r="Q937" i="2"/>
  <c r="D71" i="4" s="1"/>
  <c r="E71" i="4" s="1"/>
  <c r="G71" i="4" s="1"/>
  <c r="I45" i="4" s="1"/>
  <c r="AA933" i="2"/>
  <c r="AB933" i="2" s="1"/>
  <c r="U940" i="2"/>
  <c r="U944" i="2" s="1"/>
  <c r="S937" i="2"/>
  <c r="D73" i="4" s="1"/>
  <c r="AA932" i="2"/>
  <c r="AB932" i="2" s="1"/>
  <c r="R937" i="2"/>
  <c r="D72" i="4" s="1"/>
  <c r="D61" i="4"/>
  <c r="E61" i="4" s="1"/>
  <c r="G61" i="4" s="1"/>
  <c r="I35" i="4" s="1"/>
  <c r="N937" i="2"/>
  <c r="D68" i="4" s="1"/>
  <c r="E68" i="4" s="1"/>
  <c r="D26" i="27"/>
  <c r="M937" i="2"/>
  <c r="D67" i="4" s="1"/>
  <c r="E67" i="4" s="1"/>
  <c r="D26" i="31"/>
  <c r="C63" i="4"/>
  <c r="C49" i="27"/>
  <c r="L937" i="2"/>
  <c r="D66" i="4" s="1"/>
  <c r="E66" i="4" s="1"/>
  <c r="D26" i="28"/>
  <c r="I937" i="2"/>
  <c r="D63" i="4" s="1"/>
  <c r="E18" i="26"/>
  <c r="D20" i="26"/>
  <c r="D24" i="26" s="1"/>
  <c r="D41" i="26" s="1"/>
  <c r="D49" i="26" s="1"/>
  <c r="C70" i="4"/>
  <c r="G64" i="4"/>
  <c r="I38" i="4" s="1"/>
  <c r="D65" i="4"/>
  <c r="E65" i="4" s="1"/>
  <c r="G65" i="4" s="1"/>
  <c r="I39" i="4" s="1"/>
  <c r="C72" i="4"/>
  <c r="C69" i="4"/>
  <c r="G866" i="2"/>
  <c r="O937" i="2"/>
  <c r="D69" i="4" s="1"/>
  <c r="O876" i="2"/>
  <c r="O879" i="2" s="1"/>
  <c r="O901" i="2" s="1"/>
  <c r="K940" i="2"/>
  <c r="K944" i="2" s="1"/>
  <c r="D18" i="32" s="1"/>
  <c r="V876" i="2"/>
  <c r="V903" i="2" s="1"/>
  <c r="V905" i="2" s="1"/>
  <c r="K876" i="2"/>
  <c r="K888" i="2" s="1"/>
  <c r="K890" i="2" s="1"/>
  <c r="U876" i="2"/>
  <c r="U879" i="2" s="1"/>
  <c r="U901" i="2" s="1"/>
  <c r="P937" i="2"/>
  <c r="D70" i="4" s="1"/>
  <c r="R879" i="2"/>
  <c r="R901" i="2" s="1"/>
  <c r="P876" i="2"/>
  <c r="P879" i="2" s="1"/>
  <c r="P901" i="2" s="1"/>
  <c r="N866" i="2"/>
  <c r="N876" i="2"/>
  <c r="N879" i="2" s="1"/>
  <c r="N901" i="2" s="1"/>
  <c r="H940" i="2"/>
  <c r="H944" i="2" s="1"/>
  <c r="AA884" i="2"/>
  <c r="AB884" i="2" s="1"/>
  <c r="AA859" i="2"/>
  <c r="AB859" i="2" s="1"/>
  <c r="AA873" i="2"/>
  <c r="AB873" i="2" s="1"/>
  <c r="W866" i="2"/>
  <c r="W876" i="2"/>
  <c r="W879" i="2" s="1"/>
  <c r="S866" i="2"/>
  <c r="S876" i="2"/>
  <c r="S879" i="2" s="1"/>
  <c r="Y866" i="2"/>
  <c r="Y876" i="2"/>
  <c r="G901" i="2"/>
  <c r="L876" i="2"/>
  <c r="H907" i="2"/>
  <c r="H888" i="2"/>
  <c r="H890" i="2" s="1"/>
  <c r="H903" i="2"/>
  <c r="T907" i="2"/>
  <c r="T888" i="2"/>
  <c r="T890" i="2" s="1"/>
  <c r="T903" i="2"/>
  <c r="Z903" i="2"/>
  <c r="Z905" i="2" s="1"/>
  <c r="Z888" i="2"/>
  <c r="Z890" i="2" s="1"/>
  <c r="Z879" i="2"/>
  <c r="I862" i="2"/>
  <c r="F907" i="2"/>
  <c r="W907" i="2" s="1"/>
  <c r="F903" i="2"/>
  <c r="F888" i="2"/>
  <c r="F879" i="2"/>
  <c r="Q876" i="2"/>
  <c r="D20" i="14"/>
  <c r="D24" i="14" s="1"/>
  <c r="D41" i="14" s="1"/>
  <c r="D49" i="14" s="1"/>
  <c r="E18" i="14"/>
  <c r="J888" i="2"/>
  <c r="J890" i="2" s="1"/>
  <c r="J893" i="2" s="1"/>
  <c r="J897" i="2" s="1"/>
  <c r="J907" i="2"/>
  <c r="J903" i="2"/>
  <c r="G907" i="2"/>
  <c r="G903" i="2"/>
  <c r="G905" i="2" s="1"/>
  <c r="G888" i="2"/>
  <c r="AA935" i="2"/>
  <c r="AB935" i="2" s="1"/>
  <c r="E62" i="4"/>
  <c r="G62" i="4" s="1"/>
  <c r="I36" i="4" s="1"/>
  <c r="H879" i="2"/>
  <c r="R903" i="2"/>
  <c r="R907" i="2"/>
  <c r="R888" i="2"/>
  <c r="R890" i="2" s="1"/>
  <c r="X876" i="2"/>
  <c r="X879" i="2" s="1"/>
  <c r="J901" i="2"/>
  <c r="T879" i="2"/>
  <c r="M876" i="2"/>
  <c r="AA924" i="2"/>
  <c r="AB924" i="2" s="1"/>
  <c r="K36" i="32" l="1"/>
  <c r="L36" i="32" s="1"/>
  <c r="K36" i="14"/>
  <c r="L36" i="14" s="1"/>
  <c r="E39" i="14"/>
  <c r="K39" i="14" s="1"/>
  <c r="L39" i="14" s="1"/>
  <c r="E39" i="32"/>
  <c r="K39" i="32" s="1"/>
  <c r="L39" i="32" s="1"/>
  <c r="I940" i="2"/>
  <c r="I944" i="2" s="1"/>
  <c r="D18" i="34" s="1"/>
  <c r="E18" i="34" s="1"/>
  <c r="Q940" i="2"/>
  <c r="Q944" i="2" s="1"/>
  <c r="G36" i="28"/>
  <c r="G39" i="28" s="1"/>
  <c r="J36" i="34"/>
  <c r="J39" i="34" s="1"/>
  <c r="D39" i="34"/>
  <c r="K39" i="24"/>
  <c r="L39" i="24" s="1"/>
  <c r="E36" i="31"/>
  <c r="E39" i="31" s="1"/>
  <c r="H36" i="28"/>
  <c r="H39" i="28" s="1"/>
  <c r="G36" i="34"/>
  <c r="G39" i="34" s="1"/>
  <c r="I36" i="34"/>
  <c r="I39" i="34" s="1"/>
  <c r="E36" i="34"/>
  <c r="E39" i="34" s="1"/>
  <c r="E36" i="27"/>
  <c r="E39" i="27" s="1"/>
  <c r="H36" i="34"/>
  <c r="H39" i="34" s="1"/>
  <c r="J36" i="28"/>
  <c r="J39" i="28" s="1"/>
  <c r="F36" i="28"/>
  <c r="F39" i="28" s="1"/>
  <c r="F36" i="27"/>
  <c r="F39" i="27" s="1"/>
  <c r="E36" i="28"/>
  <c r="E39" i="28" s="1"/>
  <c r="D39" i="28"/>
  <c r="K36" i="24"/>
  <c r="L36" i="24" s="1"/>
  <c r="S940" i="2"/>
  <c r="S944" i="2" s="1"/>
  <c r="J36" i="27"/>
  <c r="J39" i="27" s="1"/>
  <c r="G36" i="27"/>
  <c r="G39" i="27" s="1"/>
  <c r="D39" i="27"/>
  <c r="I36" i="31"/>
  <c r="I39" i="31" s="1"/>
  <c r="G36" i="31"/>
  <c r="G39" i="31" s="1"/>
  <c r="R940" i="2"/>
  <c r="R944" i="2" s="1"/>
  <c r="E72" i="4"/>
  <c r="G72" i="4" s="1"/>
  <c r="I46" i="4" s="1"/>
  <c r="D39" i="31"/>
  <c r="F36" i="31"/>
  <c r="F39" i="31" s="1"/>
  <c r="H36" i="31"/>
  <c r="H39" i="31" s="1"/>
  <c r="H39" i="27"/>
  <c r="I36" i="27"/>
  <c r="I39" i="27" s="1"/>
  <c r="E63" i="4"/>
  <c r="G63" i="4" s="1"/>
  <c r="I37" i="4" s="1"/>
  <c r="M940" i="2"/>
  <c r="M944" i="2" s="1"/>
  <c r="D18" i="31" s="1"/>
  <c r="D20" i="31" s="1"/>
  <c r="D24" i="31" s="1"/>
  <c r="L940" i="2"/>
  <c r="L944" i="2" s="1"/>
  <c r="D18" i="28" s="1"/>
  <c r="D20" i="28" s="1"/>
  <c r="D24" i="28" s="1"/>
  <c r="N940" i="2"/>
  <c r="N944" i="2" s="1"/>
  <c r="D18" i="27" s="1"/>
  <c r="E18" i="27" s="1"/>
  <c r="D20" i="34"/>
  <c r="D24" i="34" s="1"/>
  <c r="D41" i="34" s="1"/>
  <c r="D49" i="34" s="1"/>
  <c r="F18" i="26"/>
  <c r="E20" i="26"/>
  <c r="D18" i="24"/>
  <c r="E18" i="24" s="1"/>
  <c r="E18" i="32"/>
  <c r="D20" i="32"/>
  <c r="D24" i="32" s="1"/>
  <c r="D41" i="32" s="1"/>
  <c r="D49" i="32" s="1"/>
  <c r="E69" i="4"/>
  <c r="G69" i="4" s="1"/>
  <c r="I43" i="4" s="1"/>
  <c r="E70" i="4"/>
  <c r="G70" i="4" s="1"/>
  <c r="I44" i="4" s="1"/>
  <c r="D76" i="4"/>
  <c r="G66" i="4"/>
  <c r="I40" i="4" s="1"/>
  <c r="K879" i="2"/>
  <c r="K893" i="2" s="1"/>
  <c r="K897" i="2" s="1"/>
  <c r="K907" i="2"/>
  <c r="K903" i="2"/>
  <c r="O940" i="2"/>
  <c r="O944" i="2" s="1"/>
  <c r="O903" i="2"/>
  <c r="O905" i="2" s="1"/>
  <c r="V879" i="2"/>
  <c r="V888" i="2"/>
  <c r="V890" i="2" s="1"/>
  <c r="P940" i="2"/>
  <c r="P944" i="2" s="1"/>
  <c r="P903" i="2"/>
  <c r="P905" i="2" s="1"/>
  <c r="O888" i="2"/>
  <c r="O890" i="2" s="1"/>
  <c r="O893" i="2" s="1"/>
  <c r="O897" i="2" s="1"/>
  <c r="O907" i="2"/>
  <c r="P888" i="2"/>
  <c r="P890" i="2" s="1"/>
  <c r="P893" i="2" s="1"/>
  <c r="P897" i="2" s="1"/>
  <c r="U903" i="2"/>
  <c r="U905" i="2" s="1"/>
  <c r="P907" i="2"/>
  <c r="AA937" i="2"/>
  <c r="AB937" i="2" s="1"/>
  <c r="U888" i="2"/>
  <c r="U890" i="2" s="1"/>
  <c r="U893" i="2" s="1"/>
  <c r="U897" i="2" s="1"/>
  <c r="U907" i="2"/>
  <c r="N888" i="2"/>
  <c r="N890" i="2" s="1"/>
  <c r="N893" i="2" s="1"/>
  <c r="N897" i="2" s="1"/>
  <c r="N907" i="2"/>
  <c r="G67" i="4"/>
  <c r="I41" i="4" s="1"/>
  <c r="R893" i="2"/>
  <c r="R897" i="2" s="1"/>
  <c r="N903" i="2"/>
  <c r="N905" i="2" s="1"/>
  <c r="J905" i="2"/>
  <c r="Z893" i="2"/>
  <c r="Z897" i="2" s="1"/>
  <c r="R905" i="2"/>
  <c r="S901" i="2"/>
  <c r="T901" i="2"/>
  <c r="T905" i="2" s="1"/>
  <c r="T893" i="2"/>
  <c r="T897" i="2" s="1"/>
  <c r="F901" i="2"/>
  <c r="F905" i="2" s="1"/>
  <c r="I866" i="2"/>
  <c r="AA862" i="2"/>
  <c r="AB862" i="2" s="1"/>
  <c r="I876" i="2"/>
  <c r="M888" i="2"/>
  <c r="M890" i="2" s="1"/>
  <c r="M907" i="2"/>
  <c r="M903" i="2"/>
  <c r="F890" i="2"/>
  <c r="Y888" i="2"/>
  <c r="Y890" i="2" s="1"/>
  <c r="Y903" i="2"/>
  <c r="Y905" i="2" s="1"/>
  <c r="L907" i="2"/>
  <c r="L888" i="2"/>
  <c r="L890" i="2" s="1"/>
  <c r="L903" i="2"/>
  <c r="L879" i="2"/>
  <c r="F18" i="14"/>
  <c r="E20" i="14"/>
  <c r="Y879" i="2"/>
  <c r="S888" i="2"/>
  <c r="S890" i="2" s="1"/>
  <c r="S893" i="2" s="1"/>
  <c r="S897" i="2" s="1"/>
  <c r="S903" i="2"/>
  <c r="S907" i="2"/>
  <c r="X903" i="2"/>
  <c r="X905" i="2" s="1"/>
  <c r="X888" i="2"/>
  <c r="X890" i="2" s="1"/>
  <c r="X893" i="2" s="1"/>
  <c r="X897" i="2" s="1"/>
  <c r="W888" i="2"/>
  <c r="W890" i="2" s="1"/>
  <c r="W893" i="2" s="1"/>
  <c r="W897" i="2" s="1"/>
  <c r="W903" i="2"/>
  <c r="W905" i="2" s="1"/>
  <c r="H893" i="2"/>
  <c r="H897" i="2" s="1"/>
  <c r="H901" i="2"/>
  <c r="H905" i="2" s="1"/>
  <c r="G890" i="2"/>
  <c r="M879" i="2"/>
  <c r="Q907" i="2"/>
  <c r="Q888" i="2"/>
  <c r="Q890" i="2" s="1"/>
  <c r="Q903" i="2"/>
  <c r="Q879" i="2"/>
  <c r="D41" i="31" l="1"/>
  <c r="D49" i="31" s="1"/>
  <c r="D41" i="28"/>
  <c r="D49" i="28" s="1"/>
  <c r="K39" i="34"/>
  <c r="L39" i="34" s="1"/>
  <c r="D20" i="24"/>
  <c r="D24" i="24" s="1"/>
  <c r="D41" i="24" s="1"/>
  <c r="D49" i="24" s="1"/>
  <c r="K36" i="34"/>
  <c r="L36" i="34" s="1"/>
  <c r="E18" i="31"/>
  <c r="E20" i="31" s="1"/>
  <c r="K39" i="28"/>
  <c r="L39" i="28" s="1"/>
  <c r="K36" i="28"/>
  <c r="L36" i="28" s="1"/>
  <c r="K39" i="31"/>
  <c r="L39" i="31" s="1"/>
  <c r="K36" i="31"/>
  <c r="L36" i="31" s="1"/>
  <c r="K36" i="27"/>
  <c r="L36" i="27" s="1"/>
  <c r="K39" i="27"/>
  <c r="L39" i="27" s="1"/>
  <c r="D20" i="27"/>
  <c r="D24" i="27" s="1"/>
  <c r="D41" i="27" s="1"/>
  <c r="D49" i="27" s="1"/>
  <c r="E18" i="28"/>
  <c r="F18" i="28" s="1"/>
  <c r="E20" i="34"/>
  <c r="F18" i="34"/>
  <c r="F18" i="24"/>
  <c r="F20" i="24" s="1"/>
  <c r="F24" i="24" s="1"/>
  <c r="E20" i="24"/>
  <c r="E24" i="24" s="1"/>
  <c r="E24" i="26"/>
  <c r="F20" i="26"/>
  <c r="F24" i="26" s="1"/>
  <c r="G18" i="26"/>
  <c r="F18" i="27"/>
  <c r="E20" i="27"/>
  <c r="F18" i="32"/>
  <c r="E20" i="32"/>
  <c r="F18" i="31"/>
  <c r="C76" i="4"/>
  <c r="E73" i="4"/>
  <c r="K901" i="2"/>
  <c r="K905" i="2" s="1"/>
  <c r="V893" i="2"/>
  <c r="V897" i="2" s="1"/>
  <c r="AA940" i="2"/>
  <c r="AB940" i="2" s="1"/>
  <c r="G68" i="4"/>
  <c r="I42" i="4" s="1"/>
  <c r="S905" i="2"/>
  <c r="I888" i="2"/>
  <c r="I907" i="2"/>
  <c r="I903" i="2"/>
  <c r="AA876" i="2"/>
  <c r="AB876" i="2" s="1"/>
  <c r="I879" i="2"/>
  <c r="Y893" i="2"/>
  <c r="Y897" i="2" s="1"/>
  <c r="E24" i="14"/>
  <c r="F893" i="2"/>
  <c r="L901" i="2"/>
  <c r="L905" i="2" s="1"/>
  <c r="L893" i="2"/>
  <c r="L897" i="2" s="1"/>
  <c r="M893" i="2"/>
  <c r="M897" i="2" s="1"/>
  <c r="M901" i="2"/>
  <c r="M905" i="2" s="1"/>
  <c r="G893" i="2"/>
  <c r="G18" i="14"/>
  <c r="F20" i="14"/>
  <c r="F24" i="14" s="1"/>
  <c r="Q893" i="2"/>
  <c r="Q897" i="2" s="1"/>
  <c r="Q901" i="2"/>
  <c r="Q905" i="2" s="1"/>
  <c r="E20" i="28" l="1"/>
  <c r="E24" i="28" s="1"/>
  <c r="G18" i="24"/>
  <c r="G20" i="24" s="1"/>
  <c r="G24" i="24" s="1"/>
  <c r="F20" i="34"/>
  <c r="F24" i="34" s="1"/>
  <c r="G18" i="34"/>
  <c r="E24" i="34"/>
  <c r="E24" i="32"/>
  <c r="G20" i="26"/>
  <c r="G24" i="26" s="1"/>
  <c r="H18" i="26"/>
  <c r="G18" i="32"/>
  <c r="F20" i="32"/>
  <c r="F24" i="32" s="1"/>
  <c r="E24" i="31"/>
  <c r="E24" i="27"/>
  <c r="G18" i="31"/>
  <c r="F20" i="31"/>
  <c r="F24" i="31" s="1"/>
  <c r="F20" i="27"/>
  <c r="F24" i="27" s="1"/>
  <c r="G18" i="27"/>
  <c r="F20" i="28"/>
  <c r="F24" i="28" s="1"/>
  <c r="G18" i="28"/>
  <c r="E76" i="4"/>
  <c r="G76" i="4" s="1"/>
  <c r="I50" i="4" s="1"/>
  <c r="G73" i="4"/>
  <c r="I47" i="4" s="1"/>
  <c r="F897" i="2"/>
  <c r="G20" i="14"/>
  <c r="H18" i="14"/>
  <c r="G897" i="2"/>
  <c r="I890" i="2"/>
  <c r="AA890" i="2" s="1"/>
  <c r="AB890" i="2" s="1"/>
  <c r="AA888" i="2"/>
  <c r="AB888" i="2" s="1"/>
  <c r="I901" i="2"/>
  <c r="I905" i="2" s="1"/>
  <c r="AA879" i="2"/>
  <c r="AB879" i="2" s="1"/>
  <c r="H18" i="24" l="1"/>
  <c r="H20" i="24" s="1"/>
  <c r="H24" i="24" s="1"/>
  <c r="H18" i="34"/>
  <c r="G20" i="34"/>
  <c r="H18" i="31"/>
  <c r="G20" i="31"/>
  <c r="H20" i="26"/>
  <c r="H24" i="26" s="1"/>
  <c r="I18" i="26"/>
  <c r="G20" i="27"/>
  <c r="G24" i="27" s="1"/>
  <c r="H18" i="27"/>
  <c r="H18" i="32"/>
  <c r="G20" i="32"/>
  <c r="G24" i="32" s="1"/>
  <c r="H18" i="28"/>
  <c r="G20" i="28"/>
  <c r="G24" i="28" s="1"/>
  <c r="I893" i="2"/>
  <c r="I897" i="2" s="1"/>
  <c r="H20" i="14"/>
  <c r="H24" i="14" s="1"/>
  <c r="I18" i="14"/>
  <c r="G24" i="14"/>
  <c r="I18" i="24" l="1"/>
  <c r="J18" i="24" s="1"/>
  <c r="J20" i="24" s="1"/>
  <c r="J24" i="24" s="1"/>
  <c r="G24" i="34"/>
  <c r="I18" i="34"/>
  <c r="H20" i="34"/>
  <c r="H24" i="34" s="1"/>
  <c r="J18" i="26"/>
  <c r="J20" i="26" s="1"/>
  <c r="J24" i="26" s="1"/>
  <c r="I20" i="26"/>
  <c r="G24" i="31"/>
  <c r="H20" i="32"/>
  <c r="I18" i="32"/>
  <c r="H20" i="31"/>
  <c r="H24" i="31" s="1"/>
  <c r="I18" i="31"/>
  <c r="I18" i="28"/>
  <c r="H20" i="28"/>
  <c r="H24" i="28" s="1"/>
  <c r="H20" i="27"/>
  <c r="I18" i="27"/>
  <c r="AA893" i="2"/>
  <c r="AB893" i="2" s="1"/>
  <c r="I20" i="14"/>
  <c r="J18" i="14"/>
  <c r="J20" i="14" s="1"/>
  <c r="J24" i="14" s="1"/>
  <c r="I20" i="24" l="1"/>
  <c r="I24" i="24" s="1"/>
  <c r="K24" i="24" s="1"/>
  <c r="H26" i="24" s="1"/>
  <c r="H41" i="24" s="1"/>
  <c r="H49" i="24" s="1"/>
  <c r="H53" i="24" s="1"/>
  <c r="I20" i="34"/>
  <c r="I24" i="34" s="1"/>
  <c r="J18" i="34"/>
  <c r="J20" i="34" s="1"/>
  <c r="J24" i="34" s="1"/>
  <c r="I20" i="28"/>
  <c r="J18" i="28"/>
  <c r="J20" i="28" s="1"/>
  <c r="J24" i="28" s="1"/>
  <c r="J18" i="27"/>
  <c r="J20" i="27" s="1"/>
  <c r="J24" i="27" s="1"/>
  <c r="I20" i="27"/>
  <c r="I24" i="27" s="1"/>
  <c r="I20" i="31"/>
  <c r="J18" i="31"/>
  <c r="J20" i="31" s="1"/>
  <c r="J24" i="31" s="1"/>
  <c r="I20" i="32"/>
  <c r="I24" i="32" s="1"/>
  <c r="J18" i="32"/>
  <c r="J20" i="32" s="1"/>
  <c r="J24" i="32" s="1"/>
  <c r="H24" i="27"/>
  <c r="H24" i="32"/>
  <c r="I24" i="26"/>
  <c r="K20" i="26"/>
  <c r="L20" i="26" s="1"/>
  <c r="I24" i="14"/>
  <c r="K20" i="14"/>
  <c r="L20" i="14" s="1"/>
  <c r="K20" i="24" l="1"/>
  <c r="L20" i="24" s="1"/>
  <c r="K24" i="34"/>
  <c r="J26" i="34" s="1"/>
  <c r="J41" i="34" s="1"/>
  <c r="J49" i="34" s="1"/>
  <c r="J53" i="34" s="1"/>
  <c r="K20" i="34"/>
  <c r="L20" i="34" s="1"/>
  <c r="K20" i="32"/>
  <c r="L20" i="32" s="1"/>
  <c r="K20" i="27"/>
  <c r="L20" i="27" s="1"/>
  <c r="I24" i="31"/>
  <c r="K24" i="31" s="1"/>
  <c r="J26" i="31" s="1"/>
  <c r="J41" i="31" s="1"/>
  <c r="J49" i="31" s="1"/>
  <c r="J53" i="31" s="1"/>
  <c r="K20" i="31"/>
  <c r="L20" i="31" s="1"/>
  <c r="K24" i="26"/>
  <c r="I24" i="28"/>
  <c r="K20" i="28"/>
  <c r="L20" i="28" s="1"/>
  <c r="K24" i="27"/>
  <c r="J26" i="27" s="1"/>
  <c r="J41" i="27" s="1"/>
  <c r="J49" i="27" s="1"/>
  <c r="J53" i="27" s="1"/>
  <c r="K24" i="32"/>
  <c r="I26" i="24"/>
  <c r="I41" i="24" s="1"/>
  <c r="I49" i="24" s="1"/>
  <c r="I53" i="24" s="1"/>
  <c r="G26" i="24"/>
  <c r="G41" i="24" s="1"/>
  <c r="G49" i="24" s="1"/>
  <c r="G53" i="24" s="1"/>
  <c r="F26" i="24"/>
  <c r="F41" i="24" s="1"/>
  <c r="F49" i="24" s="1"/>
  <c r="F53" i="24" s="1"/>
  <c r="K57" i="24" s="1"/>
  <c r="J26" i="24"/>
  <c r="J41" i="24" s="1"/>
  <c r="J49" i="24" s="1"/>
  <c r="J53" i="24" s="1"/>
  <c r="E26" i="24"/>
  <c r="E41" i="24" s="1"/>
  <c r="L24" i="24"/>
  <c r="K24" i="14"/>
  <c r="I26" i="14" s="1"/>
  <c r="I41" i="14" s="1"/>
  <c r="I49" i="14" s="1"/>
  <c r="I53" i="14" s="1"/>
  <c r="H26" i="34" l="1"/>
  <c r="H41" i="34" s="1"/>
  <c r="H49" i="34" s="1"/>
  <c r="H53" i="34" s="1"/>
  <c r="I26" i="34"/>
  <c r="I41" i="34" s="1"/>
  <c r="I49" i="34" s="1"/>
  <c r="E26" i="34"/>
  <c r="E41" i="34" s="1"/>
  <c r="F26" i="34"/>
  <c r="F41" i="34" s="1"/>
  <c r="F49" i="34" s="1"/>
  <c r="F53" i="34" s="1"/>
  <c r="K57" i="34" s="1"/>
  <c r="G26" i="34"/>
  <c r="G41" i="34" s="1"/>
  <c r="G49" i="34" s="1"/>
  <c r="G53" i="34" s="1"/>
  <c r="L24" i="34"/>
  <c r="H26" i="27"/>
  <c r="H41" i="27" s="1"/>
  <c r="H49" i="27" s="1"/>
  <c r="H53" i="27" s="1"/>
  <c r="K24" i="28"/>
  <c r="H26" i="26"/>
  <c r="H41" i="26" s="1"/>
  <c r="H49" i="26" s="1"/>
  <c r="H53" i="26" s="1"/>
  <c r="L24" i="26"/>
  <c r="E26" i="26"/>
  <c r="F26" i="26"/>
  <c r="F41" i="26" s="1"/>
  <c r="F49" i="26" s="1"/>
  <c r="F53" i="26" s="1"/>
  <c r="K57" i="26" s="1"/>
  <c r="G26" i="26"/>
  <c r="G41" i="26" s="1"/>
  <c r="G49" i="26" s="1"/>
  <c r="G53" i="26" s="1"/>
  <c r="J26" i="26"/>
  <c r="J41" i="26" s="1"/>
  <c r="J49" i="26" s="1"/>
  <c r="J53" i="26" s="1"/>
  <c r="L24" i="27"/>
  <c r="E26" i="27"/>
  <c r="F26" i="27"/>
  <c r="F41" i="27" s="1"/>
  <c r="F49" i="27" s="1"/>
  <c r="F53" i="27" s="1"/>
  <c r="K57" i="27" s="1"/>
  <c r="G26" i="27"/>
  <c r="G41" i="27" s="1"/>
  <c r="G49" i="27" s="1"/>
  <c r="G53" i="27" s="1"/>
  <c r="I26" i="27"/>
  <c r="I41" i="27" s="1"/>
  <c r="I49" i="27" s="1"/>
  <c r="I53" i="27" s="1"/>
  <c r="I26" i="32"/>
  <c r="I41" i="32" s="1"/>
  <c r="I49" i="32" s="1"/>
  <c r="I53" i="32" s="1"/>
  <c r="L24" i="32"/>
  <c r="F26" i="32"/>
  <c r="F41" i="32" s="1"/>
  <c r="F49" i="32" s="1"/>
  <c r="F53" i="32" s="1"/>
  <c r="K57" i="32" s="1"/>
  <c r="E26" i="32"/>
  <c r="G26" i="32"/>
  <c r="G41" i="32" s="1"/>
  <c r="G49" i="32" s="1"/>
  <c r="G53" i="32" s="1"/>
  <c r="J26" i="32"/>
  <c r="J41" i="32" s="1"/>
  <c r="J49" i="32" s="1"/>
  <c r="J53" i="32" s="1"/>
  <c r="H26" i="32"/>
  <c r="H41" i="32" s="1"/>
  <c r="H49" i="32" s="1"/>
  <c r="H53" i="32" s="1"/>
  <c r="I26" i="26"/>
  <c r="I41" i="26" s="1"/>
  <c r="I49" i="26" s="1"/>
  <c r="I53" i="26" s="1"/>
  <c r="I26" i="31"/>
  <c r="I41" i="31" s="1"/>
  <c r="I49" i="31" s="1"/>
  <c r="L24" i="31"/>
  <c r="E26" i="31"/>
  <c r="F26" i="31"/>
  <c r="F41" i="31" s="1"/>
  <c r="F49" i="31" s="1"/>
  <c r="F53" i="31" s="1"/>
  <c r="K57" i="31" s="1"/>
  <c r="G26" i="31"/>
  <c r="G41" i="31" s="1"/>
  <c r="G49" i="31" s="1"/>
  <c r="G53" i="31" s="1"/>
  <c r="H26" i="31"/>
  <c r="H41" i="31" s="1"/>
  <c r="H49" i="31" s="1"/>
  <c r="H53" i="31" s="1"/>
  <c r="K55" i="24"/>
  <c r="K26" i="24"/>
  <c r="L26" i="24" s="1"/>
  <c r="K53" i="24"/>
  <c r="L24" i="14"/>
  <c r="E26" i="14"/>
  <c r="F26" i="14"/>
  <c r="F41" i="14" s="1"/>
  <c r="F49" i="14" s="1"/>
  <c r="H26" i="14"/>
  <c r="H41" i="14" s="1"/>
  <c r="H49" i="14" s="1"/>
  <c r="H53" i="14" s="1"/>
  <c r="G26" i="14"/>
  <c r="G41" i="14" s="1"/>
  <c r="G49" i="14" s="1"/>
  <c r="G53" i="14" s="1"/>
  <c r="J26" i="14"/>
  <c r="J41" i="14" s="1"/>
  <c r="J49" i="14" s="1"/>
  <c r="J53" i="14" s="1"/>
  <c r="K41" i="24"/>
  <c r="L41" i="24" s="1"/>
  <c r="E49" i="24"/>
  <c r="I53" i="31" l="1"/>
  <c r="K53" i="31" s="1"/>
  <c r="I53" i="34"/>
  <c r="K53" i="34" s="1"/>
  <c r="K53" i="14"/>
  <c r="F53" i="14"/>
  <c r="K57" i="14" s="1"/>
  <c r="K26" i="34"/>
  <c r="L26" i="34" s="1"/>
  <c r="K41" i="34"/>
  <c r="L41" i="34" s="1"/>
  <c r="E49" i="34"/>
  <c r="K55" i="32"/>
  <c r="K53" i="32"/>
  <c r="K26" i="27"/>
  <c r="L26" i="27" s="1"/>
  <c r="E41" i="27"/>
  <c r="K53" i="26"/>
  <c r="K55" i="26"/>
  <c r="K26" i="32"/>
  <c r="L26" i="32" s="1"/>
  <c r="E41" i="32"/>
  <c r="K55" i="27"/>
  <c r="K53" i="27"/>
  <c r="L24" i="28"/>
  <c r="F26" i="28"/>
  <c r="F41" i="28" s="1"/>
  <c r="F49" i="28" s="1"/>
  <c r="F53" i="28" s="1"/>
  <c r="K57" i="28" s="1"/>
  <c r="E26" i="28"/>
  <c r="G26" i="28"/>
  <c r="G41" i="28" s="1"/>
  <c r="G49" i="28" s="1"/>
  <c r="G53" i="28" s="1"/>
  <c r="H26" i="28"/>
  <c r="H41" i="28" s="1"/>
  <c r="H49" i="28" s="1"/>
  <c r="H53" i="28" s="1"/>
  <c r="J26" i="28"/>
  <c r="J41" i="28" s="1"/>
  <c r="J49" i="28" s="1"/>
  <c r="J53" i="28" s="1"/>
  <c r="K26" i="31"/>
  <c r="L26" i="31" s="1"/>
  <c r="E41" i="31"/>
  <c r="K55" i="31"/>
  <c r="K26" i="26"/>
  <c r="L26" i="26" s="1"/>
  <c r="E41" i="26"/>
  <c r="I26" i="28"/>
  <c r="I41" i="28" s="1"/>
  <c r="I49" i="28" s="1"/>
  <c r="I53" i="28" s="1"/>
  <c r="K55" i="14"/>
  <c r="E53" i="24"/>
  <c r="K56" i="24" s="1"/>
  <c r="K49" i="24"/>
  <c r="L49" i="24" s="1"/>
  <c r="K26" i="14"/>
  <c r="L26" i="14" s="1"/>
  <c r="E41" i="14"/>
  <c r="K55" i="34" l="1"/>
  <c r="K49" i="34"/>
  <c r="L49" i="34" s="1"/>
  <c r="E53" i="34"/>
  <c r="K56" i="34" s="1"/>
  <c r="E49" i="26"/>
  <c r="K41" i="26"/>
  <c r="L41" i="26" s="1"/>
  <c r="K26" i="28"/>
  <c r="L26" i="28" s="1"/>
  <c r="E41" i="28"/>
  <c r="E49" i="32"/>
  <c r="K41" i="32"/>
  <c r="L41" i="32" s="1"/>
  <c r="K41" i="27"/>
  <c r="L41" i="27" s="1"/>
  <c r="E49" i="27"/>
  <c r="K55" i="28"/>
  <c r="K53" i="28"/>
  <c r="E49" i="31"/>
  <c r="K41" i="31"/>
  <c r="L41" i="31" s="1"/>
  <c r="K41" i="14"/>
  <c r="L41" i="14" s="1"/>
  <c r="E49" i="14"/>
  <c r="E53" i="27" l="1"/>
  <c r="K56" i="27" s="1"/>
  <c r="K49" i="27"/>
  <c r="L49" i="27" s="1"/>
  <c r="K41" i="28"/>
  <c r="L41" i="28" s="1"/>
  <c r="E49" i="28"/>
  <c r="E53" i="31"/>
  <c r="K56" i="31" s="1"/>
  <c r="K49" i="31"/>
  <c r="L49" i="31" s="1"/>
  <c r="K49" i="32"/>
  <c r="L49" i="32" s="1"/>
  <c r="E53" i="32"/>
  <c r="K56" i="32" s="1"/>
  <c r="E53" i="26"/>
  <c r="K56" i="26" s="1"/>
  <c r="K49" i="26"/>
  <c r="L49" i="26" s="1"/>
  <c r="K49" i="14"/>
  <c r="E53" i="14"/>
  <c r="K56" i="14" s="1"/>
  <c r="L49" i="14" l="1"/>
  <c r="K49" i="28"/>
  <c r="L49" i="28" s="1"/>
  <c r="E53" i="28"/>
  <c r="K56" i="28" s="1"/>
</calcChain>
</file>

<file path=xl/sharedStrings.xml><?xml version="1.0" encoding="utf-8"?>
<sst xmlns="http://schemas.openxmlformats.org/spreadsheetml/2006/main" count="3799" uniqueCount="1436">
  <si>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</si>
  <si>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</si>
  <si>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</si>
  <si>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</si>
  <si>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</si>
  <si>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</si>
  <si>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</si>
  <si>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</si>
  <si>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</si>
  <si>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</si>
  <si>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</si>
  <si>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</si>
  <si>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</si>
  <si>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</si>
  <si>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</si>
  <si>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</si>
  <si>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</si>
  <si>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</si>
  <si>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</si>
  <si>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</si>
  <si>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</si>
  <si>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</si>
  <si>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</si>
  <si>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</si>
  <si>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</si>
  <si>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</si>
  <si>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</si>
  <si>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</si>
  <si>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</si>
  <si>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</si>
  <si>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</si>
  <si>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</si>
  <si>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</si>
  <si>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</si>
  <si>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</si>
  <si>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</si>
  <si>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</si>
  <si>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</si>
  <si>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</si>
  <si>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</si>
  <si>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</si>
  <si>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</si>
  <si>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</si>
  <si>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</si>
  <si>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</si>
  <si>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</si>
  <si>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</si>
  <si>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</si>
  <si>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</si>
  <si>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</si>
  <si>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</si>
  <si>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</si>
  <si>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</si>
  <si>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</si>
  <si>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</si>
  <si>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</si>
  <si>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</si>
  <si>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</si>
  <si>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</si>
  <si>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</si>
  <si>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</si>
  <si>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</si>
  <si>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</si>
  <si>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</si>
  <si>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</si>
  <si>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</si>
  <si>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</si>
  <si>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</si>
  <si>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</si>
  <si>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</si>
  <si>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</si>
  <si>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</si>
  <si>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</si>
  <si>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</si>
  <si>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</si>
  <si>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</si>
  <si>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</si>
  <si>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</si>
  <si>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</si>
  <si>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</si>
  <si>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</si>
  <si>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</si>
  <si>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</si>
  <si>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</si>
  <si>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</si>
  <si>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</si>
  <si>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</si>
  <si>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</si>
  <si>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</si>
  <si>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</si>
  <si>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</si>
  <si>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</si>
  <si>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</si>
  <si>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</si>
  <si>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</si>
  <si>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</si>
  <si>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</si>
  <si>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</si>
  <si>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</si>
  <si>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</si>
  <si>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</si>
  <si>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</si>
  <si>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</si>
  <si>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</si>
  <si>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</si>
  <si>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</si>
  <si>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</si>
  <si>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</si>
  <si>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</si>
  <si>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</si>
  <si>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</si>
  <si>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</si>
  <si>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</si>
  <si>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</si>
  <si>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</si>
  <si>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</si>
  <si>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</si>
  <si>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</si>
  <si>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</si>
  <si>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</si>
  <si>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</si>
  <si>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</si>
  <si>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</si>
  <si>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</si>
  <si>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</si>
  <si>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</si>
  <si>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</si>
  <si>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</si>
  <si>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</si>
  <si>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</si>
  <si>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</si>
  <si>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</si>
  <si>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</si>
  <si>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</si>
  <si>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</si>
  <si>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</si>
  <si>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</si>
  <si>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</si>
  <si>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</si>
  <si>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</si>
  <si>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</si>
  <si>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</si>
  <si>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</si>
  <si>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</si>
  <si>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</si>
  <si>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</si>
  <si>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</si>
  <si>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</si>
  <si>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</si>
  <si>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</si>
  <si>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</si>
  <si>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</si>
  <si>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</si>
  <si>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</si>
  <si>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</si>
  <si>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</si>
  <si>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</si>
  <si>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</si>
  <si>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</si>
  <si>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</si>
  <si>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</si>
  <si>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</si>
  <si>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</si>
  <si>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</si>
  <si>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</si>
  <si>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</si>
  <si>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</si>
  <si>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</si>
  <si>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</si>
  <si>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</si>
  <si>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</si>
  <si>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</si>
  <si>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</si>
  <si>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</si>
  <si>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</si>
  <si>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</si>
  <si>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</si>
  <si>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</si>
  <si>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</si>
  <si>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</si>
  <si>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</si>
  <si>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</si>
  <si>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</si>
  <si>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</si>
  <si>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</si>
  <si>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</si>
  <si>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</si>
  <si>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</si>
  <si>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</si>
  <si>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</si>
  <si>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</si>
  <si>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</si>
  <si>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</si>
  <si>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</si>
  <si>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</si>
  <si>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</si>
  <si>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</si>
  <si>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</si>
  <si>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</si>
  <si>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</si>
  <si>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</si>
  <si>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</si>
  <si>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</si>
  <si>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</si>
  <si>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</si>
  <si>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</si>
  <si>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</si>
  <si>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</si>
  <si>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</si>
  <si>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</si>
  <si>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</si>
  <si>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</si>
  <si>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</si>
  <si>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</si>
  <si>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</si>
  <si>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</si>
  <si>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</si>
  <si>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</si>
  <si>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</si>
  <si>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</si>
  <si>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</si>
  <si>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</si>
  <si>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</si>
  <si>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</si>
  <si>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</si>
  <si>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</si>
  <si>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</si>
  <si>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</si>
  <si>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</si>
  <si>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</si>
  <si>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</si>
  <si>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</si>
  <si>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</si>
  <si>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</si>
  <si>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</si>
  <si>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</si>
  <si>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</si>
  <si>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</si>
  <si>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</si>
  <si>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</si>
  <si>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</si>
  <si>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</si>
  <si>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</si>
  <si>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</si>
  <si>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</si>
  <si>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</si>
  <si>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</si>
  <si>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</si>
  <si>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</si>
  <si>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</si>
  <si>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</si>
  <si>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</si>
  <si>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</si>
  <si>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</si>
  <si>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</si>
  <si>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</si>
  <si>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</si>
  <si>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</si>
  <si>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</si>
  <si>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</si>
  <si>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</si>
  <si>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</si>
  <si>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</si>
  <si>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</si>
  <si>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</si>
  <si>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</si>
  <si>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</si>
  <si>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</si>
  <si>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</si>
  <si>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</si>
  <si>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</si>
  <si>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</si>
  <si>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</si>
  <si>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</si>
  <si>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</si>
  <si>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</si>
  <si>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</si>
  <si>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</si>
  <si>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</si>
  <si>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</si>
  <si>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</si>
  <si>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</si>
  <si>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</si>
  <si>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</si>
  <si>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</si>
  <si>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</si>
  <si>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</si>
  <si>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</si>
  <si>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</si>
  <si>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</si>
  <si>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</si>
  <si>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</si>
  <si>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</si>
  <si>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</si>
  <si>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</si>
  <si>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</si>
  <si>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</si>
  <si>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</si>
  <si>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</si>
  <si>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</si>
  <si>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</si>
  <si>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</si>
  <si>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</si>
  <si>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</si>
  <si>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</si>
  <si>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</si>
  <si>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</si>
  <si>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</si>
  <si>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</si>
  <si>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</si>
  <si>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</si>
  <si>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</si>
  <si>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</si>
  <si>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</si>
  <si>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</si>
  <si>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</si>
  <si>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</si>
  <si>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</si>
  <si>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</si>
  <si>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</si>
  <si>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</si>
  <si>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</si>
  <si>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</si>
  <si>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</si>
  <si>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</si>
  <si>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</si>
  <si>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</si>
  <si>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</si>
  <si>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</si>
  <si>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</si>
  <si>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</si>
  <si>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</si>
  <si>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</si>
  <si>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</si>
  <si>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</si>
  <si>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</si>
  <si>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</si>
  <si>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</si>
  <si>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</si>
  <si>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</si>
  <si>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</si>
  <si>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</si>
  <si>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</si>
  <si>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</si>
  <si>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</si>
  <si>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</si>
  <si>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</si>
  <si>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</si>
  <si>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</si>
  <si>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</si>
  <si>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</si>
  <si>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</si>
  <si>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</si>
  <si>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</si>
  <si>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</si>
  <si>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</si>
  <si>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</si>
  <si>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</si>
  <si>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</si>
  <si>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</si>
  <si>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</si>
  <si>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</si>
  <si>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</si>
  <si>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</si>
  <si>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</si>
  <si>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</si>
  <si>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</si>
  <si>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</si>
  <si>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</si>
  <si>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</si>
  <si>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</si>
  <si>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</si>
  <si>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</si>
  <si>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</si>
  <si>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</si>
  <si>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</si>
  <si>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</si>
  <si>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</si>
  <si>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</si>
  <si>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</si>
  <si>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</si>
  <si>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</si>
  <si>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</si>
  <si>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</si>
  <si>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</si>
  <si>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</si>
  <si>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</si>
  <si>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</si>
  <si>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</si>
  <si>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</si>
  <si>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</si>
  <si>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</si>
  <si>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</si>
  <si>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</si>
  <si>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</si>
  <si>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</si>
  <si>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</si>
  <si>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</si>
  <si>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</si>
  <si>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</si>
  <si>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</si>
  <si>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</si>
  <si>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</si>
  <si>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</si>
  <si>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</si>
  <si>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</si>
  <si>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</si>
  <si>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</si>
  <si>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</si>
  <si>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</si>
  <si>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</si>
  <si>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</si>
  <si>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</si>
  <si>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</si>
  <si>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</si>
  <si>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</si>
  <si>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</si>
  <si>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</si>
  <si>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</si>
  <si>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</si>
  <si>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</si>
  <si>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</si>
  <si>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</si>
  <si>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</si>
  <si>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</si>
  <si>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</si>
  <si>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</si>
  <si>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</si>
  <si>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</si>
  <si>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</si>
  <si>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</si>
  <si>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</si>
  <si>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</si>
  <si>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</si>
  <si>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</si>
  <si>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</si>
  <si>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</si>
  <si>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</si>
  <si>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</si>
  <si>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</si>
  <si>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</si>
  <si>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</si>
  <si>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</si>
  <si>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</si>
  <si>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</si>
  <si>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</si>
  <si>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</si>
  <si>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</si>
  <si>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</si>
  <si>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</si>
  <si>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</si>
  <si>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</si>
  <si>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</si>
  <si>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</si>
  <si>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</si>
  <si>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</si>
  <si>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</si>
  <si>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</si>
  <si>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</si>
  <si>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</si>
  <si>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</si>
  <si>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</si>
  <si>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</si>
  <si>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</si>
  <si>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</si>
  <si>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</si>
  <si>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</si>
  <si>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</si>
  <si>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</si>
  <si>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</si>
  <si>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</si>
  <si>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</si>
  <si>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</si>
  <si>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</si>
  <si>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</si>
  <si>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</si>
  <si>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</si>
  <si>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</si>
  <si>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</si>
  <si>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</si>
  <si>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</si>
  <si>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</si>
  <si>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</si>
  <si>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</si>
  <si>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</si>
  <si>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</si>
  <si>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</si>
  <si>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</si>
  <si>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</si>
  <si>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</si>
  <si>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</si>
  <si>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</si>
  <si>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</si>
  <si>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</si>
  <si>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</si>
  <si>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</si>
  <si>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</si>
  <si>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</si>
  <si>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</si>
  <si>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</si>
  <si>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</si>
  <si>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</si>
  <si>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</si>
  <si>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</si>
  <si>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</si>
  <si>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</si>
  <si>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</si>
  <si>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</si>
  <si>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</si>
  <si>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</si>
  <si>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</si>
  <si>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</si>
  <si>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</si>
  <si>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</si>
  <si>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</si>
  <si>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</si>
  <si>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</si>
  <si>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</si>
  <si>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</si>
  <si>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</si>
  <si>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</si>
  <si>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</si>
  <si>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</si>
  <si>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</si>
  <si>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</si>
  <si>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</si>
  <si>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</si>
  <si>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</si>
  <si>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</si>
  <si>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</si>
  <si>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</si>
  <si>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</si>
  <si>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</si>
  <si>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</si>
  <si>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</si>
  <si>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</si>
  <si>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</si>
  <si>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</si>
  <si>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</si>
  <si>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</si>
  <si>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</si>
  <si>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</si>
  <si>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</si>
  <si>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</si>
  <si>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</si>
  <si>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</si>
  <si>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</si>
  <si>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</si>
  <si>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</si>
  <si>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</si>
  <si>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</si>
  <si>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</si>
  <si>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</si>
  <si>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</si>
  <si>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</si>
  <si>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</si>
  <si>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</si>
  <si>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</si>
  <si>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</si>
  <si>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</si>
  <si>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</si>
  <si>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</si>
  <si>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</si>
  <si>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</si>
  <si>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</si>
  <si>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</si>
  <si>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</si>
  <si>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</si>
  <si>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</si>
  <si>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</si>
  <si>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</si>
  <si>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</si>
  <si>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</si>
  <si>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</si>
  <si>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</si>
  <si>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</si>
  <si>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</si>
  <si>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</si>
  <si>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</si>
  <si>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</si>
  <si>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</si>
  <si>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</si>
  <si>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</si>
  <si>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</si>
  <si>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</si>
  <si>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</si>
  <si>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</si>
  <si>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</si>
  <si>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</si>
  <si>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</si>
  <si>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</si>
  <si>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</si>
  <si>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</si>
  <si>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</si>
  <si>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</si>
  <si>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</si>
  <si>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</si>
  <si>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</si>
  <si>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</si>
  <si>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</si>
  <si>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</si>
  <si>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</si>
  <si>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</si>
  <si>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</si>
  <si>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</si>
  <si>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</si>
  <si>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</si>
  <si>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</si>
  <si>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</si>
  <si>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</si>
  <si>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</si>
  <si>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</si>
  <si>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</si>
  <si>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</si>
  <si>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</si>
  <si>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</si>
  <si>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</si>
  <si>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</si>
  <si>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</si>
  <si>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</si>
  <si>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</si>
  <si>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</si>
  <si>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</si>
  <si>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</si>
  <si>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</si>
  <si>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</si>
  <si>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</si>
  <si>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</si>
  <si>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</si>
  <si>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</si>
  <si>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</si>
  <si>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</si>
  <si>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</si>
  <si>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</si>
  <si>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</si>
  <si>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</si>
  <si>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</si>
  <si>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</si>
  <si>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</si>
  <si>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</si>
  <si>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</si>
  <si>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</si>
  <si>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</si>
  <si>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</si>
  <si>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</si>
  <si>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</si>
  <si>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</si>
  <si>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</si>
  <si>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</si>
  <si>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</si>
  <si>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</si>
  <si>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</si>
  <si>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</si>
  <si>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</si>
  <si>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</si>
  <si>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</si>
  <si>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</si>
  <si>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</si>
  <si>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</si>
  <si>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</si>
  <si>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</si>
  <si>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</si>
  <si>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</si>
  <si>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</si>
  <si>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</si>
  <si>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</si>
  <si>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</si>
  <si>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</si>
  <si>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</si>
  <si>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</si>
  <si>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</si>
  <si>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</si>
  <si>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</si>
  <si>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</si>
  <si>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</si>
  <si>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</si>
  <si>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</si>
  <si>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</si>
  <si>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</si>
  <si>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</si>
  <si>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</si>
  <si>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</si>
  <si>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</si>
  <si>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</si>
  <si>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</si>
  <si>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</si>
  <si>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</si>
  <si>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</si>
  <si>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</si>
  <si>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</si>
  <si>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</si>
  <si>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</si>
  <si>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</si>
  <si>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</si>
  <si>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</si>
  <si>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</si>
  <si>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</si>
  <si>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</si>
  <si>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</si>
  <si>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</si>
  <si>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</si>
  <si>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</si>
  <si>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</si>
  <si>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</si>
  <si>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</si>
  <si>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</si>
  <si>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</si>
  <si>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</si>
  <si>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</si>
  <si>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</si>
  <si>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</si>
  <si>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</si>
  <si>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</si>
  <si>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</si>
  <si>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</si>
  <si>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</si>
  <si>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</si>
  <si>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</si>
  <si>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</si>
  <si>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</si>
  <si>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</si>
  <si>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</si>
  <si>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</si>
  <si>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</si>
  <si>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</si>
  <si>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</si>
  <si>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</si>
  <si>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</si>
  <si>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</si>
  <si>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</si>
  <si>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</si>
  <si>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</si>
  <si>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</si>
  <si>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</si>
  <si>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</si>
  <si>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</si>
  <si>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</si>
  <si>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</si>
  <si>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</si>
  <si>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</si>
  <si>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</si>
  <si>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</si>
  <si>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</si>
  <si>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</si>
  <si>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</si>
  <si>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</si>
  <si>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</si>
  <si>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</si>
  <si>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</si>
  <si>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</si>
  <si>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</si>
  <si>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</si>
  <si>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</si>
  <si>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</si>
  <si>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</si>
  <si>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</si>
  <si>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</si>
  <si>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</si>
  <si>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</si>
  <si>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</si>
  <si>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</si>
  <si>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</si>
  <si>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</si>
  <si>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</si>
  <si>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</si>
  <si>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</si>
  <si>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</si>
  <si>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</si>
  <si>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</si>
  <si>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</si>
  <si>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</si>
  <si>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</si>
  <si>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</si>
  <si>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</si>
  <si>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</si>
  <si>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</si>
  <si>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</si>
  <si>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</si>
  <si>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</si>
  <si>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</si>
  <si>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</si>
  <si>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</si>
  <si>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</si>
  <si>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</si>
  <si>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</si>
  <si>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</si>
  <si>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</si>
  <si>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</si>
  <si>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</si>
  <si>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</si>
  <si>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</si>
  <si>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</si>
  <si>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</si>
  <si>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</si>
  <si>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</si>
  <si>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</si>
  <si>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</si>
  <si>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</si>
  <si>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</si>
  <si>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</si>
  <si>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</si>
  <si>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</si>
  <si>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</si>
  <si>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</si>
  <si>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</si>
  <si>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</si>
  <si>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</si>
  <si>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</si>
  <si>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Number of</t>
  </si>
  <si>
    <t>Customers as of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</si>
  <si>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</si>
  <si>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</si>
  <si>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</si>
  <si>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</si>
  <si>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</si>
  <si>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</si>
  <si>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</si>
  <si>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</si>
  <si>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</si>
  <si>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</si>
  <si>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</si>
  <si>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</si>
  <si>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</si>
  <si>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</si>
  <si>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</si>
  <si>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</si>
  <si>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</si>
  <si>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</si>
  <si>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</si>
  <si>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</si>
  <si>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</si>
  <si>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</si>
  <si>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</si>
  <si>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</si>
  <si>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</si>
  <si>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</si>
  <si>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</si>
  <si>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</si>
  <si>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</si>
  <si>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</si>
  <si>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</si>
  <si>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</si>
  <si>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</si>
  <si>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</si>
  <si>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</si>
  <si>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</si>
  <si>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</si>
  <si>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</si>
  <si>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</si>
  <si>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</si>
  <si>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</si>
  <si>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</si>
  <si>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</si>
  <si>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</si>
  <si>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</si>
  <si>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</si>
  <si>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</si>
  <si>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</si>
  <si>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</si>
  <si>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</si>
  <si>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</si>
  <si>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</si>
  <si>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</si>
  <si>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</si>
  <si>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</si>
  <si>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</si>
  <si>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</si>
  <si>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</si>
  <si>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</si>
  <si>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</si>
  <si>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</si>
  <si>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</si>
  <si>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</si>
  <si>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</si>
  <si>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</si>
  <si>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</si>
  <si>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</si>
  <si>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</si>
  <si>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</si>
  <si>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</si>
  <si>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</si>
  <si>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</si>
  <si>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</si>
  <si>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</si>
  <si>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</si>
  <si>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</si>
  <si>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</si>
  <si>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</si>
  <si>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</si>
  <si>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</si>
  <si>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</si>
  <si>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</si>
  <si>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</si>
  <si>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</si>
  <si>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</si>
  <si>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</si>
  <si>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</si>
  <si>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</si>
  <si>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</si>
  <si>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</si>
  <si>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</si>
  <si>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</si>
  <si>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</si>
  <si>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</si>
  <si>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</si>
  <si>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</si>
  <si>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</si>
  <si>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</si>
  <si>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</si>
  <si>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</si>
  <si>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</si>
  <si>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</si>
  <si>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</si>
  <si>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</si>
  <si>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</si>
  <si>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</si>
  <si>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</si>
  <si>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</si>
  <si>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</si>
  <si>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</si>
  <si>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</si>
  <si>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</si>
  <si>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</si>
  <si>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</si>
  <si>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</si>
  <si>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</si>
  <si>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</si>
  <si>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</si>
  <si>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</si>
  <si>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</si>
  <si>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</si>
  <si>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</si>
  <si>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</si>
  <si>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</si>
  <si>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</si>
  <si>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</si>
  <si>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</si>
  <si>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</si>
  <si>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</si>
  <si>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</si>
  <si>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</si>
  <si>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</si>
  <si>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</si>
  <si>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</si>
  <si>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</si>
  <si>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</si>
  <si>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</si>
  <si>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</si>
  <si>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</si>
  <si>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</si>
  <si>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</si>
  <si>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</si>
  <si>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</si>
  <si>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</si>
  <si>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</si>
  <si>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</si>
  <si>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</si>
  <si>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</si>
  <si>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</si>
  <si>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</si>
  <si>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</si>
  <si>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</si>
  <si>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</si>
  <si>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</si>
  <si>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</si>
  <si>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</si>
  <si>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</si>
  <si>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</si>
  <si>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</si>
  <si>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</si>
  <si>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</si>
  <si>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</si>
  <si>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</si>
  <si>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</si>
  <si>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</si>
  <si>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</si>
  <si>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</si>
  <si>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</si>
  <si>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</si>
  <si>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</si>
  <si>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</si>
  <si>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</si>
  <si>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</si>
  <si>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</si>
  <si>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</si>
  <si>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</si>
  <si>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</si>
  <si>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</si>
  <si>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</si>
  <si>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</si>
  <si>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</si>
  <si>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</si>
  <si>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</si>
  <si>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</si>
  <si>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</si>
  <si>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</si>
  <si>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</si>
  <si>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</si>
  <si>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</si>
  <si>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</si>
  <si>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</si>
  <si>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</si>
  <si>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</si>
  <si>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</si>
  <si>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</si>
  <si>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</si>
  <si>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</si>
  <si>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</si>
  <si>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</si>
  <si>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</si>
  <si>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</si>
  <si>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</si>
  <si>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</si>
  <si>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</si>
  <si>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</si>
  <si>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</si>
  <si>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</si>
  <si>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</si>
  <si>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</si>
  <si>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</si>
  <si>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</si>
  <si>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</si>
  <si>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</si>
  <si>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</si>
  <si>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</si>
  <si>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</si>
  <si>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</si>
  <si>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</si>
  <si>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</si>
  <si>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</si>
  <si>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</si>
  <si>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</si>
  <si>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</si>
  <si>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</si>
  <si>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</si>
  <si>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</si>
  <si>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</si>
  <si>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</si>
  <si>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</si>
  <si>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</si>
  <si>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</si>
  <si>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</si>
  <si>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</si>
  <si>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</si>
  <si>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</si>
  <si>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</si>
  <si>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</si>
  <si>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</si>
  <si>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</si>
  <si>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</si>
  <si>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</si>
  <si>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</si>
  <si>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</si>
  <si>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</si>
  <si>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</si>
  <si>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</si>
  <si>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</si>
  <si>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</si>
  <si>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</si>
  <si>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</si>
  <si>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</si>
  <si>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</si>
  <si>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</si>
  <si>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</si>
  <si>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</si>
  <si>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</si>
  <si>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</si>
  <si>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</si>
  <si>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</si>
  <si>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</si>
  <si>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</si>
  <si>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</si>
  <si>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</si>
  <si>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</si>
  <si>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</si>
  <si>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</si>
  <si>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</si>
  <si>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</si>
  <si>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</si>
  <si>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</si>
  <si>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</si>
  <si>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</si>
  <si>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</si>
  <si>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</si>
  <si>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</si>
  <si>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</si>
  <si>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</si>
  <si>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</si>
  <si>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</si>
  <si>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</si>
  <si>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</si>
  <si>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</si>
  <si>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</si>
  <si>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</si>
  <si>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</si>
  <si>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</si>
  <si>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</si>
  <si>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</si>
  <si>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</si>
  <si>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</si>
  <si>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</si>
  <si>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</si>
  <si>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Federal &amp; State Income Tax Adjustment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</si>
  <si>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</si>
  <si>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</si>
  <si>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</si>
  <si>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</si>
  <si>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</si>
  <si>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</si>
  <si>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</si>
  <si>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</si>
  <si>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</si>
  <si>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</si>
  <si>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</si>
  <si>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</si>
  <si>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</si>
  <si>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</si>
  <si>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</si>
  <si>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</si>
  <si>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</si>
  <si>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</si>
  <si>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</si>
  <si>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</si>
  <si>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</si>
  <si>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</si>
  <si>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</si>
  <si>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</si>
  <si>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</si>
  <si>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</si>
  <si>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</si>
  <si>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</si>
  <si>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</si>
  <si>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</si>
  <si>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</si>
  <si>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</si>
  <si>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</si>
  <si>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</si>
  <si>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</si>
  <si>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</si>
  <si>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</si>
  <si>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</si>
  <si>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</si>
  <si>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</si>
  <si>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</si>
  <si>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</si>
  <si>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</si>
  <si>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</si>
  <si>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</si>
  <si>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</si>
  <si>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</si>
  <si>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</si>
  <si>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</si>
  <si>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</si>
  <si>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</si>
  <si>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</si>
  <si>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</si>
  <si>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</si>
  <si>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</si>
  <si>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</si>
  <si>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</si>
  <si>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</si>
  <si>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</si>
  <si>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</si>
  <si>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</si>
  <si>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</si>
  <si>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</si>
  <si>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</si>
  <si>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Residential Rate RS</t>
  </si>
  <si>
    <t>Power Service Primary Rate PS</t>
  </si>
  <si>
    <t>Power Service Secondary Rate PS</t>
  </si>
  <si>
    <t>Summary of Unadjusted Rates of Return by Class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</si>
  <si>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</si>
  <si>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</si>
  <si>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</si>
  <si>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</si>
  <si>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</si>
  <si>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</si>
  <si>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</si>
  <si>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</si>
  <si>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</si>
  <si>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</si>
  <si>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Unit</t>
  </si>
  <si>
    <t>P374</t>
  </si>
  <si>
    <t>Cost of Service Summary -- Adjusted for Uniform Percentage Increase</t>
  </si>
  <si>
    <t>Misc Service Revenue Allocator</t>
  </si>
  <si>
    <t>Summary of Adjusted Rates of Return by Class</t>
  </si>
  <si>
    <t>Summary of Rates of Return by Class w/Proposed Increase</t>
  </si>
  <si>
    <t>Lighting Rate RLS &amp; LS</t>
  </si>
  <si>
    <t>Lighting Rate 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</si>
  <si>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</si>
  <si>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</si>
  <si>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</si>
  <si>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</si>
  <si>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</si>
  <si>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</si>
  <si>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</si>
  <si>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</si>
  <si>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</si>
  <si>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</si>
  <si>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</si>
  <si>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</si>
  <si>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</si>
  <si>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</si>
  <si>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</si>
  <si>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</si>
  <si>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</si>
  <si>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</si>
  <si>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</si>
  <si>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</si>
  <si>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</si>
  <si>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TOD Rate TOD Secondary</t>
  </si>
  <si>
    <t>TOD Rate TOD Primary</t>
  </si>
  <si>
    <t>Rate PS Secondary</t>
  </si>
  <si>
    <t>Rate PS Primary</t>
  </si>
  <si>
    <t>Rate TOD Secondary</t>
  </si>
  <si>
    <t>General Service</t>
  </si>
  <si>
    <t>Retail Transmission Service Rate RTS</t>
  </si>
  <si>
    <t>External Functional Vectors</t>
  </si>
  <si>
    <t>Rate TOD Primary</t>
  </si>
  <si>
    <t>PTRTL</t>
  </si>
  <si>
    <t>General Service Rate GS</t>
  </si>
  <si>
    <t>TOD Primary</t>
  </si>
  <si>
    <t xml:space="preserve">  Curtailable Service Rider</t>
  </si>
  <si>
    <t xml:space="preserve">  368-TRANSFORMERS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</si>
  <si>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</si>
  <si>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</si>
  <si>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</si>
  <si>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</si>
  <si>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</si>
  <si>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</si>
  <si>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</si>
  <si>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</si>
  <si>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</si>
  <si>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</si>
  <si>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</si>
  <si>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</si>
  <si>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</si>
  <si>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</si>
  <si>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</si>
  <si>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</si>
  <si>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Demand Cost</t>
  </si>
  <si>
    <t>Energy Cost</t>
  </si>
  <si>
    <t>Less: Misc Revenue - Prod Demand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</si>
  <si>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</si>
  <si>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</si>
  <si>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</si>
  <si>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</si>
  <si>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</si>
  <si>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</si>
  <si>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</si>
  <si>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</si>
  <si>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</si>
  <si>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Outdoor School Lighting</t>
  </si>
  <si>
    <t>Rate OSL</t>
  </si>
  <si>
    <t xml:space="preserve">  Production Demand - LOLP</t>
  </si>
  <si>
    <t xml:space="preserve">  Production Demand - Not Used</t>
  </si>
  <si>
    <t>Rate SSP</t>
  </si>
  <si>
    <t>Traffic Energy Rate TLE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</si>
  <si>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</si>
  <si>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</si>
  <si>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</si>
  <si>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</si>
  <si>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</si>
  <si>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</si>
  <si>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</si>
  <si>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</si>
  <si>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</si>
  <si>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</si>
  <si>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</si>
  <si>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</si>
  <si>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</si>
  <si>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</si>
  <si>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</si>
  <si>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</si>
  <si>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</si>
  <si>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</si>
  <si>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</si>
  <si>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</si>
  <si>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</si>
  <si>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</si>
  <si>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</si>
  <si>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</si>
  <si>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</si>
  <si>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</si>
  <si>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</si>
  <si>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</si>
  <si>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</si>
  <si>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</si>
  <si>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</si>
  <si>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Existing</t>
  </si>
  <si>
    <t>AMS</t>
  </si>
  <si>
    <t>Existing Meter</t>
  </si>
  <si>
    <t>AMS Meter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</si>
  <si>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</si>
  <si>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</si>
  <si>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</si>
  <si>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</si>
  <si>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</si>
  <si>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</si>
  <si>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</si>
  <si>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</si>
  <si>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</si>
  <si>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</si>
  <si>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</si>
  <si>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</si>
  <si>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</si>
  <si>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</si>
  <si>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</si>
  <si>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</si>
  <si>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Interruptible Credit Allocator (Prod Plant)</t>
  </si>
  <si>
    <t>Average Customers (Lighting = 9 Lights)</t>
  </si>
  <si>
    <t>Special Contract Customer</t>
  </si>
  <si>
    <t>Electric Vehicle Charging EVC</t>
  </si>
  <si>
    <t>Solar Share SS</t>
  </si>
  <si>
    <t>Business Solar BS</t>
  </si>
  <si>
    <t>MRBRA</t>
  </si>
  <si>
    <t>MRBT</t>
  </si>
  <si>
    <t>MRBA</t>
  </si>
  <si>
    <t>kWh</t>
  </si>
  <si>
    <t>Outdoor Sports Lighting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</si>
  <si>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</si>
  <si>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</si>
  <si>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</si>
  <si>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</si>
  <si>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</si>
  <si>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</si>
  <si>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</si>
  <si>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</si>
  <si>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</si>
  <si>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</si>
  <si>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</si>
  <si>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</si>
  <si>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</si>
  <si>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</si>
  <si>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</si>
  <si>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Outdoor Sports Lighting OSL</t>
  </si>
  <si>
    <t>(28)</t>
  </si>
  <si>
    <t>Less: Misc Revenue - Transmission</t>
  </si>
  <si>
    <t>Revenue Adjustment for Solar Share and EV</t>
  </si>
  <si>
    <t>DEPRDP7</t>
  </si>
  <si>
    <t>Revenue Adjustments</t>
  </si>
  <si>
    <t>Curtailable Service Rider</t>
  </si>
  <si>
    <t>Changes in Late Payment Fees</t>
  </si>
  <si>
    <t>Changes in Miscellaneous Charges</t>
  </si>
  <si>
    <t>Changes in Rent on Electric Property</t>
  </si>
  <si>
    <t>Rate RLS, LS</t>
  </si>
  <si>
    <t>Lighting Rate TE</t>
  </si>
  <si>
    <t>Incremental Uncollectible Accounts Expense</t>
  </si>
  <si>
    <t>Incremental Commission Fees</t>
  </si>
  <si>
    <t>Changes to EVSE-R</t>
  </si>
  <si>
    <t>Street Lighting Rate (RLS &amp; LS)</t>
  </si>
  <si>
    <t>Proposed</t>
  </si>
  <si>
    <t>on Rate Base</t>
  </si>
  <si>
    <t>Current</t>
  </si>
  <si>
    <t>Increase</t>
  </si>
  <si>
    <t>No increase</t>
  </si>
  <si>
    <t>Decrease</t>
  </si>
  <si>
    <t>For the 12 Months Ended June 30, 2022</t>
  </si>
  <si>
    <t>Customer Service O&amp;M Cost Allocation</t>
  </si>
  <si>
    <t>Customer Service Residual Allocator</t>
  </si>
  <si>
    <t>CSRA</t>
  </si>
  <si>
    <t xml:space="preserve">Customer Service O&amp;M Costs </t>
  </si>
  <si>
    <t>Customer Service O&amp;M Residual</t>
  </si>
  <si>
    <t>Customer Service O&amp;M Total</t>
  </si>
  <si>
    <t>CSOT</t>
  </si>
  <si>
    <t>Customer Service O&amp;M Allocator</t>
  </si>
  <si>
    <t>C10</t>
  </si>
  <si>
    <t>12CP Demand Allocator</t>
  </si>
  <si>
    <t>12CP</t>
  </si>
  <si>
    <t>Gross Plant Production Residual 12CP Demand Allocator</t>
  </si>
  <si>
    <t xml:space="preserve">Gross Plant Production 12CP Demand Costs </t>
  </si>
  <si>
    <t>Gross Plant Production 12CP Demand Residual</t>
  </si>
  <si>
    <t>Gross Plant Production 12CP Demand Total</t>
  </si>
  <si>
    <t>Gross Plant Production 12CP Demand Allocator</t>
  </si>
  <si>
    <t>Net Plant Production Residual 12CP Demand Allocator</t>
  </si>
  <si>
    <t xml:space="preserve">Net Plant Production 12CP Demand Costs </t>
  </si>
  <si>
    <t>Net Plant Production 12CP Demand Residual</t>
  </si>
  <si>
    <t>Net Plant Production 12CP Demand Total</t>
  </si>
  <si>
    <t>Net Plant Production 12CP Demand Allocator</t>
  </si>
  <si>
    <t>Rate Base Production Residual 12CP Demand Allocator</t>
  </si>
  <si>
    <t xml:space="preserve">Rate Base Production 12CP Demand Costs </t>
  </si>
  <si>
    <t>Rate Base Production 12CP Demand Residual</t>
  </si>
  <si>
    <t>Rate Base Production 12CP Demand Total</t>
  </si>
  <si>
    <t>Rate Base Production 12CP Demand Allocator</t>
  </si>
  <si>
    <t>Production O&amp;M Residual 12CP Demand Allocator</t>
  </si>
  <si>
    <t xml:space="preserve">Production O&amp;M 12CP Demand Costs </t>
  </si>
  <si>
    <t>Production O&amp;M 12CP Demand Residual</t>
  </si>
  <si>
    <t>Production O&amp;M 12CP Demand Total</t>
  </si>
  <si>
    <t>Production O&amp;M 12CP Demand Allocator</t>
  </si>
  <si>
    <t>Production Depreciation Residual 12CP Demand Allocator</t>
  </si>
  <si>
    <t xml:space="preserve">Production Depreciation 12CP Demand Costs </t>
  </si>
  <si>
    <t>Production Depreciation 12CP Demand Residual</t>
  </si>
  <si>
    <t>Production Depreciation 12CP Demand Total</t>
  </si>
  <si>
    <t>Production Depreciation 12CP Demand Allocator</t>
  </si>
  <si>
    <t>Production Prop Tax Residual 12CP Demand Allocator</t>
  </si>
  <si>
    <t xml:space="preserve">Production Prop Tax 12CP Demand Costs </t>
  </si>
  <si>
    <t>Production Prop Tax 12CP Demand Residual</t>
  </si>
  <si>
    <t>Production Prop Tax 12CP Demand Total</t>
  </si>
  <si>
    <t>Production Prop Tax 12CP Demand Allocator</t>
  </si>
  <si>
    <t>Production ITC Residual 12CP Demand Allocator</t>
  </si>
  <si>
    <t xml:space="preserve">Production ITC 12CP Demand Costs </t>
  </si>
  <si>
    <t>Production ITC 12CP Demand Residual</t>
  </si>
  <si>
    <t>Production ITC 12CP Demand Total</t>
  </si>
  <si>
    <t>Production ITC 12CP Demand Allocator</t>
  </si>
  <si>
    <t>GPP12CPDRA</t>
  </si>
  <si>
    <t>GPP12CPDT</t>
  </si>
  <si>
    <t>GP12CPDA</t>
  </si>
  <si>
    <t>NPP12CPDRA</t>
  </si>
  <si>
    <t>NPP12CPDT</t>
  </si>
  <si>
    <t>NP12CPDA</t>
  </si>
  <si>
    <t>RBP12CPDRA</t>
  </si>
  <si>
    <t>RBP12CPDT</t>
  </si>
  <si>
    <t>RB12CPDA</t>
  </si>
  <si>
    <t>POM12CPDRA</t>
  </si>
  <si>
    <t>POM12CPDT</t>
  </si>
  <si>
    <t>POM12CPDA</t>
  </si>
  <si>
    <t>PDEP12CPDRA</t>
  </si>
  <si>
    <t>PDEP12CPDT</t>
  </si>
  <si>
    <t>PDEP12CPDA</t>
  </si>
  <si>
    <t>PPT12CPDRA</t>
  </si>
  <si>
    <t>PPT12CPDT</t>
  </si>
  <si>
    <t>PPT12CPDA</t>
  </si>
  <si>
    <t>PITC12CPDRA</t>
  </si>
  <si>
    <t>PITC12CPDT</t>
  </si>
  <si>
    <t>PITC12CPDA</t>
  </si>
  <si>
    <t>PLPP12CP</t>
  </si>
  <si>
    <t>UPPP12CP</t>
  </si>
  <si>
    <t>RBPP12CP</t>
  </si>
  <si>
    <t>OMPP12CP</t>
  </si>
  <si>
    <t>LBPP12CP</t>
  </si>
  <si>
    <t>DEPP12CP</t>
  </si>
  <si>
    <t>RCP12CP</t>
  </si>
  <si>
    <t>ACRP12CP</t>
  </si>
  <si>
    <t>PTPP12CP</t>
  </si>
  <si>
    <t>OTPP12CP</t>
  </si>
  <si>
    <t>INTP12CP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</si>
</sst>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  <numFmt numFmtId="194" formatCode="0.00000%"/>
    <numFmt numFmtId="195" formatCode="_(* #,##0.0_);_(* \(#,##0.0\);_(* &quot;-&quot;??_);_(@_)"/>
    <numFmt numFmtId="196" formatCode="0.000%"/>
    <numFmt numFmtId="197" formatCode="0.0%"/>
    <numFmt numFmtId="198" formatCode="_(* #,##0.000000000_);_(* \(#,##0.000000000\);_(* &quot;-&quot;??_);_(@_)"/>
  </numFmts>
  <fonts count="137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</fonts>
  <fills count="8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96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4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4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63" fillId="39" borderId="0" applyNumberFormat="0" applyBorder="0" applyAlignment="0" applyProtection="0"/>
    <xf numFmtId="181" fontId="54" fillId="15" borderId="0" applyNumberFormat="0" applyBorder="0" applyAlignment="0" applyProtection="0"/>
    <xf numFmtId="181" fontId="63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0" fontId="2" fillId="15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63" fillId="39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63" fillId="39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1" borderId="0" applyNumberFormat="0" applyBorder="0" applyAlignment="0" applyProtection="0"/>
    <xf numFmtId="181" fontId="54" fillId="19" borderId="0" applyNumberFormat="0" applyBorder="0" applyAlignment="0" applyProtection="0"/>
    <xf numFmtId="181" fontId="63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0" fontId="2" fillId="19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1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1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3" borderId="0" applyNumberFormat="0" applyBorder="0" applyAlignment="0" applyProtection="0"/>
    <xf numFmtId="181" fontId="54" fillId="23" borderId="0" applyNumberFormat="0" applyBorder="0" applyAlignment="0" applyProtection="0"/>
    <xf numFmtId="181" fontId="63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2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3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2" borderId="0" applyNumberFormat="0" applyBorder="0" applyAlignment="0" applyProtection="0"/>
    <xf numFmtId="181" fontId="54" fillId="27" borderId="0" applyNumberFormat="0" applyBorder="0" applyAlignment="0" applyProtection="0"/>
    <xf numFmtId="181" fontId="63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2" fillId="27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2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45" borderId="0" applyNumberFormat="0" applyBorder="0" applyAlignment="0" applyProtection="0"/>
    <xf numFmtId="181" fontId="54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45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3" borderId="0" applyNumberFormat="0" applyBorder="0" applyAlignment="0" applyProtection="0"/>
    <xf numFmtId="181" fontId="54" fillId="35" borderId="0" applyNumberFormat="0" applyBorder="0" applyAlignment="0" applyProtection="0"/>
    <xf numFmtId="181" fontId="63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35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3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3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63" fillId="45" borderId="0" applyNumberFormat="0" applyBorder="0" applyAlignment="0" applyProtection="0"/>
    <xf numFmtId="181" fontId="54" fillId="16" borderId="0" applyNumberFormat="0" applyBorder="0" applyAlignment="0" applyProtection="0"/>
    <xf numFmtId="181" fontId="63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1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63" fillId="45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63" fillId="45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1" borderId="0" applyNumberFormat="0" applyBorder="0" applyAlignment="0" applyProtection="0"/>
    <xf numFmtId="181" fontId="54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1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3" borderId="0" applyNumberFormat="0" applyBorder="0" applyAlignment="0" applyProtection="0"/>
    <xf numFmtId="181" fontId="54" fillId="24" borderId="0" applyNumberFormat="0" applyBorder="0" applyAlignment="0" applyProtection="0"/>
    <xf numFmtId="181" fontId="63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2" fillId="24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3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3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0" borderId="0" applyNumberFormat="0" applyBorder="0" applyAlignment="0" applyProtection="0"/>
    <xf numFmtId="181" fontId="54" fillId="28" borderId="0" applyNumberFormat="0" applyBorder="0" applyAlignment="0" applyProtection="0"/>
    <xf numFmtId="181" fontId="63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0" fontId="2" fillId="28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0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5" borderId="0" applyNumberFormat="0" applyBorder="0" applyAlignment="0" applyProtection="0"/>
    <xf numFmtId="181" fontId="54" fillId="32" borderId="0" applyNumberFormat="0" applyBorder="0" applyAlignment="0" applyProtection="0"/>
    <xf numFmtId="181" fontId="63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32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5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5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3" borderId="0" applyNumberFormat="0" applyBorder="0" applyAlignment="0" applyProtection="0"/>
    <xf numFmtId="181" fontId="54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3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3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53" fillId="17" borderId="0" applyNumberFormat="0" applyBorder="0" applyAlignment="0" applyProtection="0"/>
    <xf numFmtId="181" fontId="53" fillId="17" borderId="0" applyNumberFormat="0" applyBorder="0" applyAlignment="0" applyProtection="0"/>
    <xf numFmtId="181" fontId="53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4" fillId="45" borderId="0" applyNumberFormat="0" applyBorder="0" applyAlignment="0" applyProtection="0"/>
    <xf numFmtId="181" fontId="65" fillId="17" borderId="0" applyNumberFormat="0" applyBorder="0" applyAlignment="0" applyProtection="0"/>
    <xf numFmtId="181" fontId="64" fillId="45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17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47" borderId="0" applyNumberFormat="0" applyBorder="0" applyAlignment="0" applyProtection="0"/>
    <xf numFmtId="181" fontId="65" fillId="25" borderId="0" applyNumberFormat="0" applyBorder="0" applyAlignment="0" applyProtection="0"/>
    <xf numFmtId="181" fontId="64" fillId="47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0" fontId="53" fillId="25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40" borderId="0" applyNumberFormat="0" applyBorder="0" applyAlignment="0" applyProtection="0"/>
    <xf numFmtId="181" fontId="65" fillId="29" borderId="0" applyNumberFormat="0" applyBorder="0" applyAlignment="0" applyProtection="0"/>
    <xf numFmtId="181" fontId="64" fillId="4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0" fontId="53" fillId="29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5" borderId="0" applyNumberFormat="0" applyBorder="0" applyAlignment="0" applyProtection="0"/>
    <xf numFmtId="181" fontId="65" fillId="33" borderId="0" applyNumberFormat="0" applyBorder="0" applyAlignment="0" applyProtection="0"/>
    <xf numFmtId="181" fontId="64" fillId="4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3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1" borderId="0" applyNumberFormat="0" applyBorder="0" applyAlignment="0" applyProtection="0"/>
    <xf numFmtId="181" fontId="65" fillId="37" borderId="0" applyNumberFormat="0" applyBorder="0" applyAlignment="0" applyProtection="0"/>
    <xf numFmtId="181" fontId="64" fillId="41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0" fontId="53" fillId="37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14" borderId="0" applyNumberFormat="0" applyBorder="0" applyAlignment="0" applyProtection="0"/>
    <xf numFmtId="181" fontId="53" fillId="14" borderId="0" applyNumberFormat="0" applyBorder="0" applyAlignment="0" applyProtection="0"/>
    <xf numFmtId="181" fontId="53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4" fillId="54" borderId="0" applyNumberFormat="0" applyBorder="0" applyAlignment="0" applyProtection="0"/>
    <xf numFmtId="181" fontId="65" fillId="14" borderId="0" applyNumberFormat="0" applyBorder="0" applyAlignment="0" applyProtection="0"/>
    <xf numFmtId="181" fontId="64" fillId="5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1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49" borderId="0" applyNumberFormat="0" applyBorder="0" applyAlignment="0" applyProtection="0"/>
    <xf numFmtId="181" fontId="65" fillId="18" borderId="0" applyNumberFormat="0" applyBorder="0" applyAlignment="0" applyProtection="0"/>
    <xf numFmtId="181" fontId="64" fillId="49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18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47" borderId="0" applyNumberFormat="0" applyBorder="0" applyAlignment="0" applyProtection="0"/>
    <xf numFmtId="181" fontId="65" fillId="22" borderId="0" applyNumberFormat="0" applyBorder="0" applyAlignment="0" applyProtection="0"/>
    <xf numFmtId="181" fontId="64" fillId="4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0" fontId="53" fillId="22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7" borderId="0" applyNumberFormat="0" applyBorder="0" applyAlignment="0" applyProtection="0"/>
    <xf numFmtId="181" fontId="65" fillId="26" borderId="0" applyNumberFormat="0" applyBorder="0" applyAlignment="0" applyProtection="0"/>
    <xf numFmtId="181" fontId="64" fillId="57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53" fillId="2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1" borderId="0" applyNumberFormat="0" applyBorder="0" applyAlignment="0" applyProtection="0"/>
    <xf numFmtId="181" fontId="65" fillId="30" borderId="0" applyNumberFormat="0" applyBorder="0" applyAlignment="0" applyProtection="0"/>
    <xf numFmtId="181" fontId="64" fillId="51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53" fillId="3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44" fillId="8" borderId="0" applyNumberFormat="0" applyBorder="0" applyAlignment="0" applyProtection="0"/>
    <xf numFmtId="181" fontId="44" fillId="8" borderId="0" applyNumberFormat="0" applyBorder="0" applyAlignment="0" applyProtection="0"/>
    <xf numFmtId="181" fontId="44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6" fillId="44" borderId="0" applyNumberFormat="0" applyBorder="0" applyAlignment="0" applyProtection="0"/>
    <xf numFmtId="181" fontId="67" fillId="8" borderId="0" applyNumberFormat="0" applyBorder="0" applyAlignment="0" applyProtection="0"/>
    <xf numFmtId="181" fontId="66" fillId="44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0" fontId="44" fillId="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48" fillId="11" borderId="21" applyNumberFormat="0" applyAlignment="0" applyProtection="0"/>
    <xf numFmtId="181" fontId="48" fillId="11" borderId="21" applyNumberFormat="0" applyAlignment="0" applyProtection="0"/>
    <xf numFmtId="181" fontId="48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70" fillId="4" borderId="29" applyNumberFormat="0" applyAlignment="0" applyProtection="0"/>
    <xf numFmtId="181" fontId="69" fillId="11" borderId="21" applyNumberFormat="0" applyAlignment="0" applyProtection="0"/>
    <xf numFmtId="181" fontId="70" fillId="4" borderId="29" applyNumberFormat="0" applyAlignment="0" applyProtection="0"/>
    <xf numFmtId="0" fontId="48" fillId="11" borderId="21" applyNumberFormat="0" applyAlignment="0" applyProtection="0"/>
    <xf numFmtId="0" fontId="48" fillId="11" borderId="21" applyNumberFormat="0" applyAlignment="0" applyProtection="0"/>
    <xf numFmtId="0" fontId="48" fillId="11" borderId="21" applyNumberFormat="0" applyAlignment="0" applyProtection="0"/>
    <xf numFmtId="0" fontId="48" fillId="11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1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50" fillId="12" borderId="24" applyNumberFormat="0" applyAlignment="0" applyProtection="0"/>
    <xf numFmtId="181" fontId="50" fillId="12" borderId="24" applyNumberFormat="0" applyAlignment="0" applyProtection="0"/>
    <xf numFmtId="181" fontId="50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1" fillId="59" borderId="30" applyNumberFormat="0" applyAlignment="0" applyProtection="0"/>
    <xf numFmtId="181" fontId="72" fillId="12" borderId="24" applyNumberFormat="0" applyAlignment="0" applyProtection="0"/>
    <xf numFmtId="181" fontId="71" fillId="59" borderId="30" applyNumberFormat="0" applyAlignment="0" applyProtection="0"/>
    <xf numFmtId="0" fontId="50" fillId="12" borderId="24" applyNumberFormat="0" applyAlignment="0" applyProtection="0"/>
    <xf numFmtId="0" fontId="50" fillId="12" borderId="24" applyNumberFormat="0" applyAlignment="0" applyProtection="0"/>
    <xf numFmtId="0" fontId="50" fillId="12" borderId="24" applyNumberFormat="0" applyAlignment="0" applyProtection="0"/>
    <xf numFmtId="0" fontId="50" fillId="12" borderId="24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0" fontId="50" fillId="12" borderId="24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43" fillId="7" borderId="0" applyNumberFormat="0" applyBorder="0" applyAlignment="0" applyProtection="0"/>
    <xf numFmtId="181" fontId="43" fillId="7" borderId="0" applyNumberFormat="0" applyBorder="0" applyAlignment="0" applyProtection="0"/>
    <xf numFmtId="181" fontId="43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5" fillId="45" borderId="0" applyNumberFormat="0" applyBorder="0" applyAlignment="0" applyProtection="0"/>
    <xf numFmtId="181" fontId="76" fillId="7" borderId="0" applyNumberFormat="0" applyBorder="0" applyAlignment="0" applyProtection="0"/>
    <xf numFmtId="181" fontId="75" fillId="4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0" fontId="43" fillId="7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0" borderId="21" applyNumberFormat="0" applyAlignment="0" applyProtection="0"/>
    <xf numFmtId="181" fontId="46" fillId="10" borderId="21" applyNumberFormat="0" applyAlignment="0" applyProtection="0"/>
    <xf numFmtId="181" fontId="4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5" fillId="3" borderId="29" applyNumberFormat="0" applyAlignment="0" applyProtection="0"/>
    <xf numFmtId="181" fontId="86" fillId="10" borderId="21" applyNumberFormat="0" applyAlignment="0" applyProtection="0"/>
    <xf numFmtId="181" fontId="85" fillId="3" borderId="29" applyNumberFormat="0" applyAlignment="0" applyProtection="0"/>
    <xf numFmtId="0" fontId="46" fillId="10" borderId="21" applyNumberFormat="0" applyAlignment="0" applyProtection="0"/>
    <xf numFmtId="0" fontId="46" fillId="10" borderId="21" applyNumberFormat="0" applyAlignment="0" applyProtection="0"/>
    <xf numFmtId="0" fontId="46" fillId="10" borderId="21" applyNumberFormat="0" applyAlignment="0" applyProtection="0"/>
    <xf numFmtId="0" fontId="46" fillId="10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0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9" borderId="0" applyNumberFormat="0" applyBorder="0" applyAlignment="0" applyProtection="0"/>
    <xf numFmtId="181" fontId="45" fillId="9" borderId="0" applyNumberFormat="0" applyBorder="0" applyAlignment="0" applyProtection="0"/>
    <xf numFmtId="181" fontId="45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2" fillId="3" borderId="0" applyNumberFormat="0" applyBorder="0" applyAlignment="0" applyProtection="0"/>
    <xf numFmtId="181" fontId="91" fillId="9" borderId="0" applyNumberFormat="0" applyBorder="0" applyAlignment="0" applyProtection="0"/>
    <xf numFmtId="181" fontId="92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9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94" fillId="43" borderId="39" applyNumberFormat="0" applyFont="0" applyAlignment="0" applyProtection="0"/>
    <xf numFmtId="181" fontId="94" fillId="43" borderId="39" applyNumberFormat="0" applyFont="0" applyAlignment="0" applyProtection="0"/>
    <xf numFmtId="181" fontId="94" fillId="43" borderId="39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54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0" fontId="2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47" fillId="11" borderId="22" applyNumberFormat="0" applyAlignment="0" applyProtection="0"/>
    <xf numFmtId="181" fontId="47" fillId="11" borderId="22" applyNumberFormat="0" applyAlignment="0" applyProtection="0"/>
    <xf numFmtId="181" fontId="47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5" fillId="4" borderId="40" applyNumberFormat="0" applyAlignment="0" applyProtection="0"/>
    <xf numFmtId="181" fontId="96" fillId="11" borderId="22" applyNumberFormat="0" applyAlignment="0" applyProtection="0"/>
    <xf numFmtId="181" fontId="95" fillId="4" borderId="40" applyNumberFormat="0" applyAlignment="0" applyProtection="0"/>
    <xf numFmtId="0" fontId="47" fillId="11" borderId="22" applyNumberFormat="0" applyAlignment="0" applyProtection="0"/>
    <xf numFmtId="0" fontId="47" fillId="11" borderId="22" applyNumberFormat="0" applyAlignment="0" applyProtection="0"/>
    <xf numFmtId="0" fontId="47" fillId="11" borderId="22" applyNumberFormat="0" applyAlignment="0" applyProtection="0"/>
    <xf numFmtId="0" fontId="47" fillId="11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1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40" fillId="0" borderId="0"/>
    <xf numFmtId="0" fontId="2" fillId="0" borderId="0"/>
    <xf numFmtId="0" fontId="5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60" borderId="0"/>
    <xf numFmtId="0" fontId="8" fillId="6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3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3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3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3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7" borderId="0" applyNumberFormat="0" applyBorder="0" applyAlignment="0" applyProtection="0"/>
    <xf numFmtId="0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0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0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102" fillId="0" borderId="4" applyBorder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66" fillId="40" borderId="0" applyNumberFormat="0" applyBorder="0" applyAlignment="0" applyProtection="0"/>
    <xf numFmtId="181" fontId="66" fillId="40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1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1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1" borderId="21" applyNumberFormat="0" applyAlignment="0" applyProtection="0"/>
    <xf numFmtId="179" fontId="104" fillId="61" borderId="29" applyNumberFormat="0" applyAlignment="0" applyProtection="0"/>
    <xf numFmtId="0" fontId="48" fillId="11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1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179" fontId="104" fillId="61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59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2" borderId="0"/>
    <xf numFmtId="3" fontId="8" fillId="0" borderId="0" applyFont="0" applyFill="0" applyBorder="0" applyAlignment="0" applyProtection="0"/>
    <xf numFmtId="3" fontId="8" fillId="62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2" borderId="0"/>
    <xf numFmtId="3" fontId="8" fillId="62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46" borderId="46" applyNumberFormat="0" applyFont="0" applyAlignment="0">
      <protection locked="0"/>
    </xf>
    <xf numFmtId="0" fontId="8" fillId="46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2" borderId="0" applyNumberFormat="0" applyBorder="0" applyAlignment="0" applyProtection="0"/>
    <xf numFmtId="181" fontId="75" fillId="42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0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0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0" borderId="21" applyNumberFormat="0" applyAlignment="0" applyProtection="0"/>
    <xf numFmtId="179" fontId="114" fillId="2" borderId="29" applyNumberFormat="0" applyAlignment="0" applyProtection="0"/>
    <xf numFmtId="0" fontId="46" fillId="10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3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4" fillId="0" borderId="0"/>
    <xf numFmtId="0" fontId="4" fillId="0" borderId="0"/>
    <xf numFmtId="183" fontId="8" fillId="0" borderId="0"/>
    <xf numFmtId="0" fontId="4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54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37" fontId="11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8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78" fontId="5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8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1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37" fontId="11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8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11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5" fillId="58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2" fillId="0" borderId="0"/>
    <xf numFmtId="181" fontId="95" fillId="58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2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3" borderId="0">
      <alignment horizontal="center"/>
    </xf>
    <xf numFmtId="0" fontId="34" fillId="63" borderId="0">
      <alignment horizontal="center"/>
    </xf>
    <xf numFmtId="183" fontId="34" fillId="63" borderId="0">
      <alignment horizontal="center"/>
    </xf>
    <xf numFmtId="0" fontId="34" fillId="6" borderId="0">
      <alignment horizontal="center" vertical="center"/>
    </xf>
    <xf numFmtId="0" fontId="2" fillId="0" borderId="0"/>
    <xf numFmtId="0" fontId="34" fillId="63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3" borderId="0">
      <alignment horizontal="center"/>
    </xf>
    <xf numFmtId="183" fontId="34" fillId="63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4" borderId="0"/>
    <xf numFmtId="0" fontId="28" fillId="64" borderId="0"/>
    <xf numFmtId="183" fontId="28" fillId="64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2" fillId="0" borderId="0"/>
    <xf numFmtId="0" fontId="28" fillId="64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4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2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4" borderId="0" applyBorder="0">
      <alignment horizontal="centerContinuous"/>
    </xf>
    <xf numFmtId="0" fontId="121" fillId="64" borderId="0" applyBorder="0">
      <alignment horizontal="centerContinuous"/>
    </xf>
    <xf numFmtId="183" fontId="121" fillId="64" borderId="0" applyBorder="0">
      <alignment horizontal="centerContinuous"/>
    </xf>
    <xf numFmtId="0" fontId="122" fillId="64" borderId="0" applyBorder="0">
      <alignment horizontal="centerContinuous"/>
    </xf>
    <xf numFmtId="0" fontId="35" fillId="6" borderId="0" applyBorder="0">
      <alignment horizontal="centerContinuous"/>
    </xf>
    <xf numFmtId="0" fontId="2" fillId="0" borderId="0"/>
    <xf numFmtId="0" fontId="121" fillId="64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4" borderId="0" applyBorder="0">
      <alignment horizontal="centerContinuous"/>
    </xf>
    <xf numFmtId="183" fontId="121" fillId="64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0" fontId="124" fillId="65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66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2" fillId="0" borderId="0"/>
    <xf numFmtId="0" fontId="2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2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2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2" fillId="0" borderId="0"/>
    <xf numFmtId="0" fontId="2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2" fillId="0" borderId="0"/>
    <xf numFmtId="0" fontId="2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2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2" fillId="0" borderId="0"/>
    <xf numFmtId="49" fontId="32" fillId="4" borderId="0">
      <alignment horizontal="left"/>
    </xf>
    <xf numFmtId="49" fontId="32" fillId="4" borderId="0">
      <alignment horizontal="left"/>
    </xf>
    <xf numFmtId="0" fontId="2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2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2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2" fillId="0" borderId="0"/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4" fontId="9" fillId="64" borderId="0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9" fillId="71" borderId="0" applyNumberFormat="0" applyProtection="0">
      <alignment horizontal="left" vertical="center" indent="1"/>
    </xf>
    <xf numFmtId="4" fontId="9" fillId="71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36" fillId="72" borderId="0" applyNumberFormat="0" applyProtection="0">
      <alignment horizontal="left" vertical="center" indent="1"/>
    </xf>
    <xf numFmtId="4" fontId="36" fillId="72" borderId="0" applyNumberFormat="0" applyProtection="0">
      <alignment horizontal="left" vertical="center" indent="1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75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76" borderId="54" applyNumberFormat="0" applyAlignment="0" applyProtection="0">
      <alignment horizontal="left" vertical="center" indent="1"/>
    </xf>
    <xf numFmtId="0" fontId="133" fillId="77" borderId="54" applyNumberFormat="0" applyAlignment="0" applyProtection="0">
      <alignment horizontal="left" vertical="center" indent="1"/>
    </xf>
    <xf numFmtId="0" fontId="133" fillId="78" borderId="54" applyNumberFormat="0" applyAlignment="0" applyProtection="0">
      <alignment horizontal="left" vertical="center" indent="1"/>
    </xf>
    <xf numFmtId="0" fontId="133" fillId="79" borderId="54" applyNumberFormat="0" applyAlignment="0" applyProtection="0">
      <alignment horizontal="left" vertical="center" indent="1"/>
    </xf>
    <xf numFmtId="0" fontId="133" fillId="80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1" borderId="54" applyNumberFormat="0" applyAlignment="0" applyProtection="0">
      <alignment horizontal="left" vertical="center" indent="1"/>
    </xf>
    <xf numFmtId="0" fontId="131" fillId="75" borderId="53" applyNumberFormat="0" applyAlignment="0" applyProtection="0">
      <alignment horizontal="left" vertical="center" indent="1"/>
    </xf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2" fillId="0" borderId="0"/>
    <xf numFmtId="0" fontId="8" fillId="0" borderId="2" applyNumberFormat="0" applyFont="0" applyFill="0" applyAlignment="0" applyProtection="0"/>
    <xf numFmtId="0" fontId="2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2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6" fillId="10" borderId="21" applyNumberFormat="0" applyAlignment="0" applyProtection="0"/>
    <xf numFmtId="0" fontId="47" fillId="11" borderId="22" applyNumberFormat="0" applyAlignment="0" applyProtection="0"/>
    <xf numFmtId="0" fontId="48" fillId="11" borderId="21" applyNumberFormat="0" applyAlignment="0" applyProtection="0"/>
    <xf numFmtId="0" fontId="49" fillId="0" borderId="23" applyNumberFormat="0" applyFill="0" applyAlignment="0" applyProtection="0"/>
    <xf numFmtId="0" fontId="50" fillId="12" borderId="2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5" applyNumberFormat="0" applyFont="0" applyAlignment="0" applyProtection="0"/>
  </cellStyleXfs>
  <cellXfs count="441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6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43" fontId="6" fillId="0" borderId="0" xfId="6" applyFont="1" applyAlignment="1">
      <alignment horizontal="right"/>
    </xf>
    <xf numFmtId="0" fontId="6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6" fillId="0" borderId="0" xfId="6" applyFont="1" applyBorder="1" applyAlignment="1">
      <alignment horizontal="right"/>
    </xf>
    <xf numFmtId="170" fontId="6" fillId="0" borderId="0" xfId="6" applyNumberFormat="1" applyFont="1" applyBorder="1" applyAlignment="1">
      <alignment horizontal="right" wrapText="1"/>
    </xf>
    <xf numFmtId="165" fontId="6" fillId="0" borderId="0" xfId="6" applyNumberFormat="1" applyFont="1" applyBorder="1" applyAlignment="1">
      <alignment horizontal="right"/>
    </xf>
    <xf numFmtId="43" fontId="6" fillId="0" borderId="0" xfId="6" applyFont="1" applyBorder="1" applyAlignment="1">
      <alignment horizontal="right" wrapText="1"/>
    </xf>
    <xf numFmtId="0" fontId="6" fillId="0" borderId="3" xfId="0" applyFont="1" applyBorder="1" applyAlignment="1"/>
    <xf numFmtId="0" fontId="6" fillId="0" borderId="3" xfId="0" applyFont="1" applyBorder="1" applyAlignment="1">
      <alignment horizontal="left" wrapText="1"/>
    </xf>
    <xf numFmtId="0" fontId="10" fillId="0" borderId="0" xfId="0" applyFont="1"/>
    <xf numFmtId="43" fontId="6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6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6" fillId="0" borderId="0" xfId="6" applyNumberFormat="1" applyFont="1" applyAlignment="1">
      <alignment horizontal="right"/>
    </xf>
    <xf numFmtId="43" fontId="7" fillId="0" borderId="0" xfId="6" applyFont="1"/>
    <xf numFmtId="165" fontId="5" fillId="0" borderId="0" xfId="6" applyNumberFormat="1" applyFont="1"/>
    <xf numFmtId="43" fontId="5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7" xfId="0" applyFont="1" applyBorder="1" applyAlignment="1">
      <alignment horizontal="center"/>
    </xf>
    <xf numFmtId="0" fontId="0" fillId="0" borderId="10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3" xfId="0" applyBorder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4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4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4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26" fillId="0" borderId="0" xfId="6" applyNumberFormat="1" applyFont="1" applyFill="1"/>
    <xf numFmtId="165" fontId="2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6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6" fillId="0" borderId="18" xfId="0" applyFont="1" applyBorder="1" applyAlignment="1">
      <alignment horizontal="center"/>
    </xf>
    <xf numFmtId="44" fontId="4" fillId="0" borderId="7" xfId="8" applyFont="1" applyBorder="1"/>
    <xf numFmtId="0" fontId="4" fillId="0" borderId="10" xfId="0" applyFont="1" applyBorder="1"/>
    <xf numFmtId="0" fontId="4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4" fillId="0" borderId="11" xfId="6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4" fillId="0" borderId="11" xfId="8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4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4" fillId="0" borderId="3" xfId="8" applyNumberFormat="1" applyFont="1" applyBorder="1"/>
    <xf numFmtId="44" fontId="4" fillId="0" borderId="3" xfId="8" applyFont="1" applyBorder="1"/>
    <xf numFmtId="164" fontId="1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4" fillId="0" borderId="0" xfId="6" applyNumberFormat="1" applyFont="1" applyFill="1" applyAlignment="1">
      <alignment horizontal="right"/>
    </xf>
    <xf numFmtId="165" fontId="6" fillId="0" borderId="0" xfId="0" applyNumberFormat="1" applyFont="1" applyFill="1"/>
    <xf numFmtId="10" fontId="26" fillId="0" borderId="0" xfId="30" applyNumberFormat="1" applyFont="1" applyFill="1"/>
    <xf numFmtId="165" fontId="6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0" fontId="14" fillId="0" borderId="0" xfId="0" quotePrefix="1" applyFont="1" applyFill="1" applyBorder="1"/>
    <xf numFmtId="171" fontId="14" fillId="0" borderId="0" xfId="6" applyNumberFormat="1" applyFont="1" applyFill="1"/>
    <xf numFmtId="0" fontId="6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6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5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4" fillId="0" borderId="0" xfId="0" applyFont="1" applyFill="1" applyBorder="1"/>
    <xf numFmtId="168" fontId="0" fillId="0" borderId="0" xfId="6" applyNumberFormat="1" applyFont="1"/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17" xfId="0" applyFont="1" applyBorder="1"/>
    <xf numFmtId="0" fontId="4" fillId="0" borderId="9" xfId="0" applyFont="1" applyBorder="1"/>
    <xf numFmtId="0" fontId="11" fillId="0" borderId="12" xfId="0" applyFont="1" applyFill="1" applyBorder="1"/>
    <xf numFmtId="0" fontId="4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3" fontId="14" fillId="0" borderId="0" xfId="0" applyNumberFormat="1" applyFont="1" applyFill="1"/>
    <xf numFmtId="165" fontId="4" fillId="0" borderId="0" xfId="6" applyNumberFormat="1" applyFont="1"/>
    <xf numFmtId="0" fontId="11" fillId="0" borderId="0" xfId="0" applyFont="1" applyFill="1" applyBorder="1"/>
    <xf numFmtId="0" fontId="12" fillId="0" borderId="0" xfId="0" applyFont="1" applyFill="1" applyBorder="1"/>
    <xf numFmtId="165" fontId="4" fillId="0" borderId="4" xfId="6" applyNumberFormat="1" applyFont="1" applyBorder="1"/>
    <xf numFmtId="165" fontId="4" fillId="0" borderId="0" xfId="6" applyNumberFormat="1" applyFont="1" applyFill="1"/>
    <xf numFmtId="164" fontId="11" fillId="0" borderId="0" xfId="8" applyNumberFormat="1" applyFont="1" applyFill="1" applyBorder="1"/>
    <xf numFmtId="164" fontId="4" fillId="0" borderId="4" xfId="8" applyNumberFormat="1" applyFont="1" applyFill="1" applyBorder="1"/>
    <xf numFmtId="165" fontId="11" fillId="0" borderId="0" xfId="6" applyNumberFormat="1" applyFont="1" applyBorder="1"/>
    <xf numFmtId="44" fontId="41" fillId="0" borderId="4" xfId="8" applyFont="1" applyFill="1" applyBorder="1"/>
    <xf numFmtId="164" fontId="4" fillId="0" borderId="0" xfId="8" applyNumberFormat="1" applyFont="1" applyFill="1"/>
    <xf numFmtId="44" fontId="41" fillId="0" borderId="0" xfId="8" applyFont="1" applyFill="1" applyBorder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6" applyNumberFormat="1" applyFont="1" applyFill="1" applyBorder="1"/>
    <xf numFmtId="0" fontId="11" fillId="0" borderId="0" xfId="0" applyFont="1" applyBorder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166" fontId="11" fillId="0" borderId="0" xfId="0" applyNumberFormat="1" applyFont="1" applyFill="1" applyBorder="1"/>
    <xf numFmtId="6" fontId="14" fillId="0" borderId="0" xfId="0" applyNumberFormat="1" applyFont="1" applyFill="1"/>
    <xf numFmtId="194" fontId="26" fillId="0" borderId="0" xfId="3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95" fontId="14" fillId="0" borderId="0" xfId="6" applyNumberFormat="1" applyFont="1" applyFill="1"/>
    <xf numFmtId="0" fontId="4" fillId="0" borderId="8" xfId="0" applyFont="1" applyBorder="1" applyAlignment="1">
      <alignment horizontal="center"/>
    </xf>
    <xf numFmtId="0" fontId="4" fillId="0" borderId="16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13" xfId="8" applyNumberFormat="1" applyFont="1" applyBorder="1"/>
    <xf numFmtId="10" fontId="4" fillId="0" borderId="11" xfId="30" applyNumberFormat="1" applyFont="1" applyFill="1" applyBorder="1" applyAlignment="1">
      <alignment horizontal="right"/>
    </xf>
    <xf numFmtId="10" fontId="4" fillId="0" borderId="0" xfId="30" applyNumberFormat="1" applyFont="1" applyBorder="1" applyAlignment="1">
      <alignment horizontal="right"/>
    </xf>
    <xf numFmtId="165" fontId="4" fillId="0" borderId="11" xfId="6" applyNumberFormat="1" applyFont="1" applyFill="1" applyBorder="1" applyAlignment="1">
      <alignment horizontal="center"/>
    </xf>
    <xf numFmtId="165" fontId="4" fillId="0" borderId="0" xfId="6" applyNumberFormat="1" applyFont="1" applyFill="1" applyBorder="1" applyAlignment="1">
      <alignment horizontal="center"/>
    </xf>
    <xf numFmtId="164" fontId="4" fillId="0" borderId="0" xfId="8" applyNumberFormat="1" applyFont="1" applyBorder="1"/>
    <xf numFmtId="165" fontId="4" fillId="0" borderId="0" xfId="6" applyNumberFormat="1" applyFont="1" applyFill="1" applyBorder="1"/>
    <xf numFmtId="0" fontId="4" fillId="0" borderId="14" xfId="0" applyFont="1" applyBorder="1" applyAlignment="1">
      <alignment horizontal="center"/>
    </xf>
    <xf numFmtId="164" fontId="4" fillId="0" borderId="15" xfId="8" applyNumberFormat="1" applyFont="1" applyBorder="1"/>
    <xf numFmtId="164" fontId="4" fillId="0" borderId="0" xfId="0" applyNumberFormat="1" applyFont="1"/>
    <xf numFmtId="173" fontId="4" fillId="0" borderId="0" xfId="0" applyNumberFormat="1" applyFont="1"/>
    <xf numFmtId="2" fontId="4" fillId="0" borderId="0" xfId="0" applyNumberFormat="1" applyFont="1"/>
    <xf numFmtId="44" fontId="4" fillId="0" borderId="0" xfId="0" applyNumberFormat="1" applyFont="1"/>
    <xf numFmtId="43" fontId="4" fillId="0" borderId="0" xfId="0" applyNumberFormat="1" applyFont="1"/>
    <xf numFmtId="165" fontId="4" fillId="0" borderId="0" xfId="0" applyNumberFormat="1" applyFont="1"/>
    <xf numFmtId="169" fontId="4" fillId="0" borderId="0" xfId="0" applyNumberFormat="1" applyFont="1" applyBorder="1"/>
    <xf numFmtId="44" fontId="4" fillId="0" borderId="0" xfId="8" applyFont="1" applyBorder="1"/>
    <xf numFmtId="193" fontId="4" fillId="0" borderId="0" xfId="0" applyNumberFormat="1" applyFont="1"/>
    <xf numFmtId="169" fontId="4" fillId="0" borderId="0" xfId="0" applyNumberFormat="1" applyFont="1"/>
    <xf numFmtId="0" fontId="4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0" fillId="0" borderId="0" xfId="6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30" applyNumberFormat="1" applyFont="1" applyAlignment="1">
      <alignment horizontal="right"/>
    </xf>
    <xf numFmtId="43" fontId="0" fillId="0" borderId="0" xfId="6" applyFont="1" applyAlignment="1">
      <alignment horizontal="right"/>
    </xf>
    <xf numFmtId="44" fontId="40" fillId="0" borderId="0" xfId="0" applyNumberFormat="1" applyFont="1"/>
    <xf numFmtId="174" fontId="14" fillId="0" borderId="3" xfId="8" applyNumberFormat="1" applyFont="1" applyBorder="1"/>
    <xf numFmtId="43" fontId="3" fillId="0" borderId="0" xfId="6" applyFont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96" fontId="14" fillId="0" borderId="0" xfId="30" applyNumberFormat="1" applyFont="1" applyFill="1"/>
    <xf numFmtId="43" fontId="3" fillId="0" borderId="3" xfId="6" applyFont="1" applyBorder="1" applyAlignment="1">
      <alignment horizontal="right"/>
    </xf>
    <xf numFmtId="0" fontId="3" fillId="0" borderId="3" xfId="6" applyNumberFormat="1" applyFont="1" applyBorder="1" applyAlignment="1">
      <alignment horizontal="right"/>
    </xf>
    <xf numFmtId="197" fontId="0" fillId="0" borderId="0" xfId="0" applyNumberFormat="1"/>
    <xf numFmtId="15" fontId="3" fillId="0" borderId="3" xfId="0" applyNumberFormat="1" applyFont="1" applyFill="1" applyBorder="1" applyAlignment="1">
      <alignment horizontal="right"/>
    </xf>
    <xf numFmtId="165" fontId="11" fillId="0" borderId="0" xfId="6" applyNumberFormat="1" applyFont="1" applyFill="1"/>
    <xf numFmtId="164" fontId="26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98" fontId="14" fillId="0" borderId="0" xfId="6" applyNumberFormat="1" applyFont="1" applyFill="1" applyBorder="1"/>
    <xf numFmtId="10" fontId="4" fillId="0" borderId="0" xfId="30" applyNumberFormat="1" applyFont="1" applyFill="1" applyBorder="1"/>
    <xf numFmtId="170" fontId="4" fillId="0" borderId="0" xfId="6" quotePrefix="1" applyNumberFormat="1" applyFont="1"/>
    <xf numFmtId="44" fontId="0" fillId="0" borderId="15" xfId="8" applyNumberFormat="1" applyFont="1" applyBorder="1"/>
    <xf numFmtId="170" fontId="4" fillId="0" borderId="0" xfId="6" applyNumberFormat="1" applyFont="1" applyFill="1"/>
    <xf numFmtId="169" fontId="4" fillId="0" borderId="0" xfId="6" applyNumberFormat="1" applyFont="1" applyFill="1"/>
    <xf numFmtId="169" fontId="4" fillId="0" borderId="0" xfId="6" applyNumberFormat="1" applyFont="1"/>
    <xf numFmtId="169" fontId="14" fillId="0" borderId="0" xfId="6" applyNumberFormat="1" applyFont="1"/>
    <xf numFmtId="169" fontId="0" fillId="0" borderId="0" xfId="6" applyNumberFormat="1" applyFont="1"/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6" fillId="0" borderId="0" xfId="6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1" fontId="14" fillId="0" borderId="0" xfId="0" applyNumberFormat="1" applyFont="1" applyFill="1"/>
    <xf numFmtId="167" fontId="14" fillId="0" borderId="0" xfId="0" applyNumberFormat="1" applyFont="1" applyFill="1"/>
    <xf numFmtId="0" fontId="136" fillId="0" borderId="0" xfId="0" applyFont="1" applyFill="1"/>
    <xf numFmtId="0" fontId="4" fillId="0" borderId="0" xfId="0" applyFont="1" applyFill="1"/>
    <xf numFmtId="43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</cellXfs>
  <cellStyles count="15196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" xfId="15177" builtinId="30" customBuiltin="1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" xfId="15180" builtinId="34" customBuiltin="1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" xfId="15183" builtinId="38" customBuiltin="1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" xfId="15186" builtinId="42" customBuiltin="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" xfId="15189" builtinId="46" customBuiltin="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" xfId="15192" builtinId="50" customBuiltin="1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" xfId="15178" builtinId="31" customBuiltin="1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" xfId="15181" builtinId="35" customBuiltin="1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" xfId="15184" builtinId="39" customBuiltin="1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" xfId="15187" builtinId="43" customBuiltin="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" xfId="15190" builtinId="47" customBuiltin="1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" xfId="15193" builtinId="51" customBuiltin="1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" xfId="15176" builtinId="29" customBuiltin="1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" xfId="15179" builtinId="33" customBuiltin="1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" xfId="15182" builtinId="37" customBuiltin="1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" xfId="15185" builtinId="41" customBuiltin="1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" xfId="15188" builtinId="45" customBuiltin="1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" xfId="15191" builtinId="49" customBuiltin="1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" xfId="15168" builtinId="27" customBuiltin="1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" xfId="15171" builtinId="22" customBuiltin="1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" xfId="15173" builtinId="23" customBuiltin="1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" xfId="15175" builtinId="53" customBuiltin="1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" xfId="15167" builtinId="26" customBuiltin="1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" xfId="15165" builtinId="18" customBuiltin="1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" xfId="15166" builtinId="19" customBuiltin="1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" xfId="15169" builtinId="20" customBuiltin="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" xfId="15172" builtinId="24" customBuiltin="1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73" xfId="15194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35" xfId="15195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" xfId="15170" builtinId="21" customBuiltin="1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" xfId="15164" builtinId="15" customBuiltin="1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" xfId="15174" builtinId="11" customBuiltin="1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35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Documents%20and%20Settings/e011661/Local%20Settings/Temporary%20Internet%20Files/OLK29/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topLeftCell="AB3" zoomScale="50" zoomScaleNormal="50" zoomScaleSheetLayoutView="85" workbookViewId="0"/>
  </sheetViews>
  <sheetFormatPr defaultColWidth="9.140625" defaultRowHeight="14.25"/>
  <cols>
    <col min="1" max="1" width="7.5703125" style="44" customWidth="1"/>
    <col min="2" max="2" width="55.85546875" style="44" customWidth="1"/>
    <col min="3" max="3" width="14.42578125" style="44" customWidth="1"/>
    <col min="4" max="4" width="12.42578125" style="44" customWidth="1"/>
    <col min="5" max="5" width="2.5703125" style="44" customWidth="1"/>
    <col min="6" max="6" width="17.5703125" style="60" customWidth="1"/>
    <col min="7" max="7" width="2.140625" style="44" customWidth="1"/>
    <col min="8" max="8" width="17.85546875" style="44" customWidth="1"/>
    <col min="9" max="9" width="19" style="44" hidden="1" customWidth="1"/>
    <col min="10" max="10" width="18" style="44" hidden="1" customWidth="1"/>
    <col min="11" max="11" width="18" style="44" customWidth="1"/>
    <col min="12" max="12" width="21.85546875" style="44" hidden="1" customWidth="1"/>
    <col min="13" max="13" width="22.28515625" style="44" hidden="1" customWidth="1"/>
    <col min="14" max="14" width="18.5703125" style="44" bestFit="1" customWidth="1"/>
    <col min="15" max="16" width="18.5703125" style="44" hidden="1" customWidth="1"/>
    <col min="17" max="17" width="17.5703125" style="44" hidden="1" customWidth="1"/>
    <col min="18" max="18" width="17.5703125" style="44" customWidth="1"/>
    <col min="19" max="19" width="16.28515625" style="44" customWidth="1"/>
    <col min="20" max="20" width="17.85546875" style="44" customWidth="1"/>
    <col min="21" max="21" width="16.28515625" style="44" customWidth="1"/>
    <col min="22" max="22" width="16.5703125" style="44" customWidth="1"/>
    <col min="23" max="23" width="16.5703125" style="43" customWidth="1"/>
    <col min="24" max="25" width="16.85546875" style="44" customWidth="1"/>
    <col min="26" max="28" width="17.5703125" style="44" customWidth="1"/>
    <col min="29" max="29" width="17.85546875" style="44" customWidth="1"/>
    <col min="30" max="30" width="15" style="44" customWidth="1"/>
    <col min="31" max="31" width="18.28515625" style="44" bestFit="1" customWidth="1"/>
    <col min="32" max="32" width="18.28515625" style="44" customWidth="1"/>
    <col min="33" max="33" width="14.5703125" style="44" customWidth="1"/>
    <col min="34" max="35" width="17.5703125" style="44" bestFit="1" customWidth="1"/>
    <col min="36" max="36" width="15.140625" style="44" bestFit="1" customWidth="1"/>
    <col min="37" max="37" width="17.5703125" style="44" bestFit="1" customWidth="1"/>
    <col min="38" max="16384" width="9.140625" style="44"/>
  </cols>
  <sheetData>
    <row r="1" spans="1:37" hidden="1"/>
    <row r="2" spans="1:37" ht="15" hidden="1" thickBot="1">
      <c r="A2" s="43"/>
      <c r="B2" s="43"/>
      <c r="C2" s="43">
        <v>1</v>
      </c>
      <c r="D2" s="43">
        <f>C2+1</f>
        <v>2</v>
      </c>
      <c r="E2" s="43">
        <f t="shared" ref="E2:AG2" si="0">D2+1</f>
        <v>3</v>
      </c>
      <c r="F2" s="76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 t="shared" si="0"/>
        <v>14</v>
      </c>
      <c r="Q2" s="43">
        <f t="shared" si="0"/>
        <v>15</v>
      </c>
      <c r="R2" s="43">
        <f t="shared" si="0"/>
        <v>16</v>
      </c>
      <c r="S2" s="43">
        <f t="shared" si="0"/>
        <v>17</v>
      </c>
      <c r="T2" s="43">
        <f t="shared" si="0"/>
        <v>18</v>
      </c>
      <c r="U2" s="43">
        <f t="shared" si="0"/>
        <v>19</v>
      </c>
      <c r="V2" s="43">
        <f t="shared" si="0"/>
        <v>20</v>
      </c>
      <c r="W2" s="43">
        <f t="shared" si="0"/>
        <v>21</v>
      </c>
      <c r="X2" s="43">
        <f t="shared" si="0"/>
        <v>22</v>
      </c>
      <c r="Y2" s="43">
        <f t="shared" si="0"/>
        <v>23</v>
      </c>
      <c r="Z2" s="43">
        <f t="shared" si="0"/>
        <v>24</v>
      </c>
      <c r="AA2" s="43">
        <f t="shared" si="0"/>
        <v>25</v>
      </c>
      <c r="AB2" s="43">
        <f t="shared" si="0"/>
        <v>26</v>
      </c>
      <c r="AC2" s="43">
        <f t="shared" si="0"/>
        <v>27</v>
      </c>
      <c r="AD2" s="43">
        <f t="shared" si="0"/>
        <v>28</v>
      </c>
      <c r="AE2" s="43">
        <f t="shared" si="0"/>
        <v>29</v>
      </c>
      <c r="AF2" s="43">
        <f t="shared" si="0"/>
        <v>30</v>
      </c>
      <c r="AG2" s="43">
        <f t="shared" si="0"/>
        <v>31</v>
      </c>
    </row>
    <row r="3" spans="1:37" ht="48" customHeight="1" thickBot="1">
      <c r="A3" s="45"/>
      <c r="B3" s="45"/>
      <c r="C3" s="46"/>
      <c r="D3" s="47" t="s">
        <v>847</v>
      </c>
      <c r="E3" s="46"/>
      <c r="F3" s="72" t="s">
        <v>848</v>
      </c>
      <c r="G3" s="46"/>
      <c r="H3" s="420" t="s">
        <v>334</v>
      </c>
      <c r="I3" s="421"/>
      <c r="J3" s="422"/>
      <c r="K3" s="50" t="s">
        <v>335</v>
      </c>
      <c r="L3" s="48"/>
      <c r="M3" s="49"/>
      <c r="N3" s="50" t="s">
        <v>172</v>
      </c>
      <c r="O3" s="300"/>
      <c r="P3" s="300"/>
      <c r="Q3" s="299" t="s">
        <v>337</v>
      </c>
      <c r="R3" s="50" t="s">
        <v>338</v>
      </c>
      <c r="S3" s="423" t="s">
        <v>345</v>
      </c>
      <c r="T3" s="424"/>
      <c r="U3" s="425"/>
      <c r="V3" s="418" t="s">
        <v>344</v>
      </c>
      <c r="W3" s="419"/>
      <c r="X3" s="418" t="s">
        <v>346</v>
      </c>
      <c r="Y3" s="419"/>
      <c r="Z3" s="50" t="s">
        <v>343</v>
      </c>
      <c r="AA3" s="50" t="s">
        <v>342</v>
      </c>
      <c r="AB3" s="50" t="s">
        <v>341</v>
      </c>
      <c r="AC3" s="50" t="s">
        <v>951</v>
      </c>
      <c r="AD3" s="50" t="s">
        <v>340</v>
      </c>
      <c r="AE3" s="50" t="s">
        <v>339</v>
      </c>
      <c r="AF3" s="45"/>
      <c r="AG3" s="45"/>
    </row>
    <row r="4" spans="1:37" ht="15.75" thickBot="1">
      <c r="A4" s="51" t="s">
        <v>851</v>
      </c>
      <c r="B4" s="51"/>
      <c r="C4" s="52" t="s">
        <v>852</v>
      </c>
      <c r="D4" s="52" t="s">
        <v>853</v>
      </c>
      <c r="E4" s="53"/>
      <c r="F4" s="73" t="s">
        <v>854</v>
      </c>
      <c r="G4" s="54"/>
      <c r="H4" s="53" t="s">
        <v>1368</v>
      </c>
      <c r="I4" s="53" t="s">
        <v>181</v>
      </c>
      <c r="J4" s="53" t="s">
        <v>181</v>
      </c>
      <c r="K4" s="53" t="s">
        <v>856</v>
      </c>
      <c r="L4" s="53"/>
      <c r="M4" s="53"/>
      <c r="N4" s="53" t="s">
        <v>855</v>
      </c>
      <c r="O4" s="53"/>
      <c r="P4" s="53"/>
      <c r="Q4" s="53" t="s">
        <v>336</v>
      </c>
      <c r="R4" s="53" t="s">
        <v>195</v>
      </c>
      <c r="S4" s="53" t="s">
        <v>336</v>
      </c>
      <c r="T4" s="53" t="s">
        <v>855</v>
      </c>
      <c r="U4" s="53" t="s">
        <v>857</v>
      </c>
      <c r="V4" s="53" t="s">
        <v>855</v>
      </c>
      <c r="W4" s="53" t="s">
        <v>857</v>
      </c>
      <c r="X4" s="53" t="s">
        <v>855</v>
      </c>
      <c r="Y4" s="53" t="s">
        <v>857</v>
      </c>
      <c r="Z4" s="53" t="s">
        <v>857</v>
      </c>
      <c r="AA4" s="53"/>
      <c r="AB4" s="53"/>
      <c r="AC4" s="53"/>
      <c r="AD4" s="53"/>
      <c r="AE4" s="53"/>
      <c r="AF4" s="53" t="s">
        <v>858</v>
      </c>
      <c r="AG4" s="55" t="s">
        <v>859</v>
      </c>
    </row>
    <row r="5" spans="1:37">
      <c r="F5" s="77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G5" s="58"/>
    </row>
    <row r="6" spans="1:37" ht="15">
      <c r="A6" s="192" t="s">
        <v>860</v>
      </c>
      <c r="F6" s="7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G6" s="58"/>
      <c r="AK6" s="214"/>
    </row>
    <row r="7" spans="1:37">
      <c r="A7" s="60"/>
      <c r="AG7" s="58"/>
      <c r="AH7" s="44" t="s">
        <v>1171</v>
      </c>
      <c r="AJ7" s="74">
        <v>0.69</v>
      </c>
    </row>
    <row r="8" spans="1:37" ht="15">
      <c r="A8" s="59" t="s">
        <v>1058</v>
      </c>
      <c r="B8" s="60"/>
      <c r="AG8" s="58"/>
      <c r="AJ8" s="210"/>
    </row>
    <row r="9" spans="1:37">
      <c r="A9" s="61">
        <v>301</v>
      </c>
      <c r="B9" s="60" t="s">
        <v>1061</v>
      </c>
      <c r="C9" s="44" t="s">
        <v>1062</v>
      </c>
      <c r="D9" s="44" t="s">
        <v>1089</v>
      </c>
      <c r="F9" s="75">
        <v>2240.29</v>
      </c>
      <c r="H9" s="63">
        <f t="shared" ref="H9:Q13" si="1">IF(VLOOKUP($D9,$C$6:$AE$653,H$2,)=0,0,((VLOOKUP($D9,$C$6:$AE$653,H$2,)/VLOOKUP($D9,$C$6:$AE$653,4,))*$F9))</f>
        <v>1367.5565961188738</v>
      </c>
      <c r="I9" s="63">
        <f t="shared" si="1"/>
        <v>0</v>
      </c>
      <c r="J9" s="63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210.04264730429438</v>
      </c>
      <c r="O9" s="63">
        <f t="shared" si="1"/>
        <v>0</v>
      </c>
      <c r="P9" s="63">
        <f t="shared" si="1"/>
        <v>0</v>
      </c>
      <c r="Q9" s="63">
        <f t="shared" si="1"/>
        <v>0</v>
      </c>
      <c r="R9" s="63">
        <f t="shared" ref="R9:AE13" si="2">IF(VLOOKUP($D9,$C$6:$AE$653,R$2,)=0,0,((VLOOKUP($D9,$C$6:$AE$653,R$2,)/VLOOKUP($D9,$C$6:$AE$653,4,))*$F9))</f>
        <v>82.638659868934369</v>
      </c>
      <c r="S9" s="63">
        <f t="shared" si="2"/>
        <v>0</v>
      </c>
      <c r="T9" s="63">
        <f t="shared" si="2"/>
        <v>126.86510869053255</v>
      </c>
      <c r="U9" s="63">
        <f t="shared" si="2"/>
        <v>207.60572157806121</v>
      </c>
      <c r="V9" s="63">
        <f t="shared" si="2"/>
        <v>35.396523020898101</v>
      </c>
      <c r="W9" s="63">
        <f t="shared" si="2"/>
        <v>60.483993790191363</v>
      </c>
      <c r="X9" s="63">
        <f t="shared" si="2"/>
        <v>43.362734319401433</v>
      </c>
      <c r="Y9" s="63">
        <f t="shared" si="2"/>
        <v>24.170730937076776</v>
      </c>
      <c r="Z9" s="63">
        <f t="shared" si="2"/>
        <v>15.454063719872217</v>
      </c>
      <c r="AA9" s="63">
        <f t="shared" si="2"/>
        <v>15.760478788537872</v>
      </c>
      <c r="AB9" s="63">
        <f t="shared" si="2"/>
        <v>50.952741863325798</v>
      </c>
      <c r="AC9" s="63">
        <f t="shared" si="2"/>
        <v>0</v>
      </c>
      <c r="AD9" s="63">
        <f t="shared" si="2"/>
        <v>0</v>
      </c>
      <c r="AE9" s="63">
        <f t="shared" si="2"/>
        <v>0</v>
      </c>
      <c r="AF9" s="63">
        <f>SUM(H9:AE9)</f>
        <v>2240.2899999999995</v>
      </c>
      <c r="AG9" s="58" t="str">
        <f>IF(ABS(AF9-F9)&lt;1,"ok","err")</f>
        <v>ok</v>
      </c>
      <c r="AH9" s="44" t="s">
        <v>1172</v>
      </c>
      <c r="AJ9" s="74">
        <v>0.31</v>
      </c>
    </row>
    <row r="10" spans="1:37">
      <c r="A10" s="61">
        <v>302</v>
      </c>
      <c r="B10" s="60" t="s">
        <v>1060</v>
      </c>
      <c r="C10" s="44" t="s">
        <v>1062</v>
      </c>
      <c r="D10" s="44" t="s">
        <v>1089</v>
      </c>
      <c r="F10" s="78"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2"/>
        <v>0</v>
      </c>
      <c r="AB10" s="63">
        <f t="shared" si="2"/>
        <v>0</v>
      </c>
      <c r="AC10" s="63">
        <f t="shared" si="2"/>
        <v>0</v>
      </c>
      <c r="AD10" s="63">
        <f t="shared" si="2"/>
        <v>0</v>
      </c>
      <c r="AE10" s="63">
        <f t="shared" si="2"/>
        <v>0</v>
      </c>
      <c r="AF10" s="63">
        <f>SUM(H10:AE10)</f>
        <v>0</v>
      </c>
      <c r="AG10" s="58" t="str">
        <f>IF(ABS(AF10-F10)&lt;1,"ok","err")</f>
        <v>ok</v>
      </c>
    </row>
    <row r="11" spans="1:37">
      <c r="A11" s="61">
        <v>303</v>
      </c>
      <c r="B11" s="60" t="s">
        <v>844</v>
      </c>
      <c r="C11" s="44" t="s">
        <v>1063</v>
      </c>
      <c r="D11" s="44" t="s">
        <v>1089</v>
      </c>
      <c r="F11" s="78"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1"/>
        <v>0</v>
      </c>
      <c r="Q11" s="63">
        <f t="shared" si="1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0</v>
      </c>
      <c r="W11" s="63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>SUM(H11:AE11)</f>
        <v>0</v>
      </c>
      <c r="AG11" s="58" t="str">
        <f>IF(ABS(AF11-F11)&lt;1,"ok","err")</f>
        <v>ok</v>
      </c>
    </row>
    <row r="12" spans="1:37">
      <c r="A12" s="61">
        <v>301</v>
      </c>
      <c r="B12" s="60" t="s">
        <v>842</v>
      </c>
      <c r="C12" s="44" t="s">
        <v>1062</v>
      </c>
      <c r="D12" s="44" t="s">
        <v>1089</v>
      </c>
      <c r="F12" s="213"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>SUM(H12:AE12)</f>
        <v>0</v>
      </c>
      <c r="AG12" s="58" t="str">
        <f>IF(ABS(AF12-F12)&lt;1,"ok","err")</f>
        <v>ok</v>
      </c>
    </row>
    <row r="13" spans="1:37">
      <c r="A13" s="61">
        <v>302</v>
      </c>
      <c r="B13" s="60" t="s">
        <v>843</v>
      </c>
      <c r="C13" s="44" t="s">
        <v>1062</v>
      </c>
      <c r="D13" s="44" t="s">
        <v>1089</v>
      </c>
      <c r="F13" s="78"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3">
        <f t="shared" si="2"/>
        <v>0</v>
      </c>
      <c r="AC13" s="63">
        <f t="shared" si="2"/>
        <v>0</v>
      </c>
      <c r="AD13" s="63">
        <f t="shared" si="2"/>
        <v>0</v>
      </c>
      <c r="AE13" s="63">
        <f t="shared" si="2"/>
        <v>0</v>
      </c>
      <c r="AF13" s="63">
        <f>SUM(H13:AE13)</f>
        <v>0</v>
      </c>
      <c r="AG13" s="58" t="str">
        <f>IF(ABS(AF13-F13)&lt;1,"ok","err")</f>
        <v>ok</v>
      </c>
    </row>
    <row r="14" spans="1:37">
      <c r="A14" s="60"/>
      <c r="B14" s="60"/>
      <c r="AG14" s="58"/>
    </row>
    <row r="15" spans="1:37">
      <c r="A15" s="60"/>
      <c r="B15" s="60" t="s">
        <v>862</v>
      </c>
      <c r="C15" s="44" t="s">
        <v>863</v>
      </c>
      <c r="F15" s="79">
        <f>SUM(F9:F14)</f>
        <v>2240.29</v>
      </c>
      <c r="G15" s="64">
        <f>SUM(G9:G11)</f>
        <v>0</v>
      </c>
      <c r="H15" s="64">
        <f>SUM(H9:H13)</f>
        <v>1367.5565961188738</v>
      </c>
      <c r="I15" s="64">
        <f>SUM(I9:I13)</f>
        <v>0</v>
      </c>
      <c r="J15" s="64">
        <f t="shared" ref="J15:AE15" si="3">SUM(J9:J13)</f>
        <v>0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210.04264730429438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82.638659868934369</v>
      </c>
      <c r="S15" s="64">
        <f t="shared" si="3"/>
        <v>0</v>
      </c>
      <c r="T15" s="64">
        <f t="shared" si="3"/>
        <v>126.86510869053255</v>
      </c>
      <c r="U15" s="64">
        <f t="shared" si="3"/>
        <v>207.60572157806121</v>
      </c>
      <c r="V15" s="64">
        <f t="shared" si="3"/>
        <v>35.396523020898101</v>
      </c>
      <c r="W15" s="64">
        <f t="shared" si="3"/>
        <v>60.483993790191363</v>
      </c>
      <c r="X15" s="64">
        <f t="shared" si="3"/>
        <v>43.362734319401433</v>
      </c>
      <c r="Y15" s="64">
        <f t="shared" si="3"/>
        <v>24.170730937076776</v>
      </c>
      <c r="Z15" s="64">
        <f t="shared" si="3"/>
        <v>15.454063719872217</v>
      </c>
      <c r="AA15" s="64">
        <f t="shared" si="3"/>
        <v>15.760478788537872</v>
      </c>
      <c r="AB15" s="64">
        <f t="shared" si="3"/>
        <v>50.952741863325798</v>
      </c>
      <c r="AC15" s="64">
        <f t="shared" si="3"/>
        <v>0</v>
      </c>
      <c r="AD15" s="64">
        <f t="shared" si="3"/>
        <v>0</v>
      </c>
      <c r="AE15" s="64">
        <f t="shared" si="3"/>
        <v>0</v>
      </c>
      <c r="AF15" s="63">
        <f>SUM(H15:AE15)</f>
        <v>2240.2899999999995</v>
      </c>
      <c r="AG15" s="58" t="str">
        <f>IF(ABS(AF15-F15)&lt;1,"ok","err")</f>
        <v>ok</v>
      </c>
    </row>
    <row r="16" spans="1:37">
      <c r="A16" s="60"/>
      <c r="B16" s="60"/>
      <c r="F16" s="79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/>
      <c r="AG16" s="58"/>
    </row>
    <row r="17" spans="1:33" ht="15">
      <c r="A17" s="59" t="s">
        <v>184</v>
      </c>
      <c r="B17" s="60"/>
      <c r="W17" s="44"/>
      <c r="AG17" s="58"/>
    </row>
    <row r="18" spans="1:33">
      <c r="A18" s="60"/>
      <c r="B18" s="60"/>
      <c r="F18" s="79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/>
      <c r="AG18" s="58"/>
    </row>
    <row r="19" spans="1:33">
      <c r="A19" s="60"/>
      <c r="B19" s="60" t="s">
        <v>185</v>
      </c>
      <c r="C19" s="44" t="s">
        <v>186</v>
      </c>
      <c r="D19" s="44" t="s">
        <v>616</v>
      </c>
      <c r="F19" s="79">
        <v>3109195352.1299877</v>
      </c>
      <c r="G19" s="64"/>
      <c r="H19" s="63">
        <f t="shared" ref="H19:AE19" si="4">IF(VLOOKUP($D19,$C$6:$AE$653,H$2,)=0,0,((VLOOKUP($D19,$C$6:$AE$653,H$2,)/VLOOKUP($D19,$C$6:$AE$653,4,))*$F19))</f>
        <v>3109195352.1299877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Y19" s="63">
        <f t="shared" si="4"/>
        <v>0</v>
      </c>
      <c r="Z19" s="63">
        <f t="shared" si="4"/>
        <v>0</v>
      </c>
      <c r="AA19" s="63">
        <f t="shared" si="4"/>
        <v>0</v>
      </c>
      <c r="AB19" s="63">
        <f t="shared" si="4"/>
        <v>0</v>
      </c>
      <c r="AC19" s="63">
        <f t="shared" si="4"/>
        <v>0</v>
      </c>
      <c r="AD19" s="63">
        <f t="shared" si="4"/>
        <v>0</v>
      </c>
      <c r="AE19" s="63">
        <f t="shared" si="4"/>
        <v>0</v>
      </c>
      <c r="AF19" s="63">
        <f>SUM(H19:AE19)</f>
        <v>3109195352.1299877</v>
      </c>
      <c r="AG19" s="58" t="str">
        <f>IF(ABS(AF19-F19)&lt;1,"ok","err")</f>
        <v>ok</v>
      </c>
    </row>
    <row r="20" spans="1:33">
      <c r="A20" s="60"/>
      <c r="B20" s="60"/>
      <c r="AG20" s="58"/>
    </row>
    <row r="21" spans="1:33" ht="15">
      <c r="A21" s="59" t="s">
        <v>291</v>
      </c>
      <c r="B21" s="60"/>
      <c r="F21" s="79"/>
      <c r="W21" s="44"/>
      <c r="AG21" s="58"/>
    </row>
    <row r="22" spans="1:33">
      <c r="A22" s="60"/>
      <c r="B22" s="60"/>
      <c r="F22" s="79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/>
      <c r="AG22" s="58"/>
    </row>
    <row r="23" spans="1:33">
      <c r="A23" s="60"/>
      <c r="B23" s="60" t="s">
        <v>292</v>
      </c>
      <c r="C23" s="44" t="s">
        <v>293</v>
      </c>
      <c r="D23" s="44" t="s">
        <v>616</v>
      </c>
      <c r="F23" s="79">
        <v>159587944.78846142</v>
      </c>
      <c r="G23" s="64"/>
      <c r="H23" s="63">
        <f t="shared" ref="H23:AE23" si="5">IF(VLOOKUP($D23,$C$6:$AE$653,H$2,)=0,0,((VLOOKUP($D23,$C$6:$AE$653,H$2,)/VLOOKUP($D23,$C$6:$AE$653,4,))*$F23))</f>
        <v>159587944.78846142</v>
      </c>
      <c r="I23" s="63">
        <f t="shared" si="5"/>
        <v>0</v>
      </c>
      <c r="J23" s="63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5"/>
        <v>0</v>
      </c>
      <c r="Q23" s="63">
        <f t="shared" si="5"/>
        <v>0</v>
      </c>
      <c r="R23" s="63">
        <f t="shared" si="5"/>
        <v>0</v>
      </c>
      <c r="S23" s="63">
        <f t="shared" si="5"/>
        <v>0</v>
      </c>
      <c r="T23" s="63">
        <f t="shared" si="5"/>
        <v>0</v>
      </c>
      <c r="U23" s="63">
        <f t="shared" si="5"/>
        <v>0</v>
      </c>
      <c r="V23" s="63">
        <f t="shared" si="5"/>
        <v>0</v>
      </c>
      <c r="W23" s="63">
        <f t="shared" si="5"/>
        <v>0</v>
      </c>
      <c r="X23" s="63">
        <f t="shared" si="5"/>
        <v>0</v>
      </c>
      <c r="Y23" s="63">
        <f t="shared" si="5"/>
        <v>0</v>
      </c>
      <c r="Z23" s="63">
        <f t="shared" si="5"/>
        <v>0</v>
      </c>
      <c r="AA23" s="63">
        <f t="shared" si="5"/>
        <v>0</v>
      </c>
      <c r="AB23" s="63">
        <f t="shared" si="5"/>
        <v>0</v>
      </c>
      <c r="AC23" s="63">
        <f t="shared" si="5"/>
        <v>0</v>
      </c>
      <c r="AD23" s="63">
        <f t="shared" si="5"/>
        <v>0</v>
      </c>
      <c r="AE23" s="63">
        <f t="shared" si="5"/>
        <v>0</v>
      </c>
      <c r="AF23" s="63">
        <f>SUM(H23:AE23)</f>
        <v>159587944.78846142</v>
      </c>
      <c r="AG23" s="58" t="str">
        <f>IF(ABS(AF23-F23)&lt;1,"ok","err")</f>
        <v>ok</v>
      </c>
    </row>
    <row r="24" spans="1:33">
      <c r="A24" s="60"/>
      <c r="B24" s="60"/>
      <c r="AG24" s="58"/>
    </row>
    <row r="25" spans="1:33" ht="15">
      <c r="A25" s="59" t="s">
        <v>187</v>
      </c>
      <c r="B25" s="60"/>
      <c r="W25" s="44"/>
      <c r="AG25" s="58"/>
    </row>
    <row r="26" spans="1:33">
      <c r="A26" s="60"/>
      <c r="B26" s="60"/>
      <c r="F26" s="79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3"/>
      <c r="AG26" s="58"/>
    </row>
    <row r="27" spans="1:33">
      <c r="A27" s="60"/>
      <c r="B27" s="60" t="s">
        <v>188</v>
      </c>
      <c r="C27" s="44" t="s">
        <v>189</v>
      </c>
      <c r="D27" s="44" t="s">
        <v>616</v>
      </c>
      <c r="F27" s="79">
        <v>418289974.94692248</v>
      </c>
      <c r="G27" s="64"/>
      <c r="H27" s="63">
        <f t="shared" ref="H27:AE27" si="6">IF(VLOOKUP($D27,$C$6:$AE$653,H$2,)=0,0,((VLOOKUP($D27,$C$6:$AE$653,H$2,)/VLOOKUP($D27,$C$6:$AE$653,4,))*$F27))</f>
        <v>418289974.94692248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Y27" s="63">
        <f t="shared" si="6"/>
        <v>0</v>
      </c>
      <c r="Z27" s="63">
        <f t="shared" si="6"/>
        <v>0</v>
      </c>
      <c r="AA27" s="63">
        <f t="shared" si="6"/>
        <v>0</v>
      </c>
      <c r="AB27" s="63">
        <f t="shared" si="6"/>
        <v>0</v>
      </c>
      <c r="AC27" s="63">
        <f t="shared" si="6"/>
        <v>0</v>
      </c>
      <c r="AD27" s="63">
        <f t="shared" si="6"/>
        <v>0</v>
      </c>
      <c r="AE27" s="63">
        <f t="shared" si="6"/>
        <v>0</v>
      </c>
      <c r="AF27" s="63">
        <f>SUM(H27:AE27)</f>
        <v>418289974.94692248</v>
      </c>
      <c r="AG27" s="58" t="str">
        <f>IF(ABS(AF27-F27)&lt;1,"ok","err")</f>
        <v>ok</v>
      </c>
    </row>
    <row r="28" spans="1:33">
      <c r="A28" s="60"/>
      <c r="B28" s="60"/>
      <c r="F28" s="79"/>
      <c r="AG28" s="58"/>
    </row>
    <row r="29" spans="1:33" ht="15">
      <c r="A29" s="60"/>
      <c r="B29" s="65" t="s">
        <v>190</v>
      </c>
      <c r="C29" s="44" t="s">
        <v>191</v>
      </c>
      <c r="F29" s="79">
        <f>SUM(F19:F28)</f>
        <v>3687073271.8653712</v>
      </c>
      <c r="G29" s="64"/>
      <c r="H29" s="64">
        <f t="shared" ref="H29:Q29" si="7">H19+H23+H27</f>
        <v>3687073271.8653712</v>
      </c>
      <c r="I29" s="64">
        <f t="shared" si="7"/>
        <v>0</v>
      </c>
      <c r="J29" s="64">
        <f t="shared" si="7"/>
        <v>0</v>
      </c>
      <c r="K29" s="64">
        <f t="shared" si="7"/>
        <v>0</v>
      </c>
      <c r="L29" s="64">
        <f t="shared" si="7"/>
        <v>0</v>
      </c>
      <c r="M29" s="64">
        <f t="shared" si="7"/>
        <v>0</v>
      </c>
      <c r="N29" s="64">
        <f t="shared" si="7"/>
        <v>0</v>
      </c>
      <c r="O29" s="64">
        <f t="shared" si="7"/>
        <v>0</v>
      </c>
      <c r="P29" s="64">
        <f t="shared" si="7"/>
        <v>0</v>
      </c>
      <c r="Q29" s="64">
        <f t="shared" si="7"/>
        <v>0</v>
      </c>
      <c r="R29" s="64"/>
      <c r="S29" s="64">
        <f>S19+S23+S27</f>
        <v>0</v>
      </c>
      <c r="T29" s="64">
        <f>T19+T23+T27</f>
        <v>0</v>
      </c>
      <c r="U29" s="64"/>
      <c r="V29" s="64"/>
      <c r="W29" s="64"/>
      <c r="X29" s="64">
        <f>X19+X23+X27</f>
        <v>0</v>
      </c>
      <c r="Y29" s="64">
        <f>Y19+Y23+Y27</f>
        <v>0</v>
      </c>
      <c r="Z29" s="64"/>
      <c r="AA29" s="64"/>
      <c r="AB29" s="64">
        <f>AB19+AB23+AB27</f>
        <v>0</v>
      </c>
      <c r="AC29" s="64">
        <f>AC19+AC23+AC27</f>
        <v>0</v>
      </c>
      <c r="AD29" s="64">
        <f>AD19+AD23+AD27</f>
        <v>0</v>
      </c>
      <c r="AE29" s="64">
        <f>AE19+AE23+AE27</f>
        <v>0</v>
      </c>
      <c r="AF29" s="63">
        <f>SUM(H29:AE29)</f>
        <v>3687073271.8653712</v>
      </c>
      <c r="AG29" s="58" t="str">
        <f>IF(ABS(AF29-F29)&lt;1,"ok","err")</f>
        <v>ok</v>
      </c>
    </row>
    <row r="30" spans="1:33">
      <c r="A30" s="60"/>
      <c r="B30" s="60"/>
      <c r="AG30" s="58"/>
    </row>
    <row r="31" spans="1:33" ht="15">
      <c r="A31" s="59" t="s">
        <v>1056</v>
      </c>
      <c r="B31" s="60"/>
      <c r="W31" s="44"/>
      <c r="AG31" s="58"/>
    </row>
    <row r="32" spans="1:33">
      <c r="A32" s="60"/>
      <c r="B32" s="60"/>
      <c r="W32" s="44"/>
      <c r="AF32" s="63"/>
      <c r="AG32" s="58"/>
    </row>
    <row r="33" spans="1:33">
      <c r="A33" s="60"/>
      <c r="B33" s="60" t="s">
        <v>1059</v>
      </c>
      <c r="C33" s="44" t="s">
        <v>1087</v>
      </c>
      <c r="D33" s="44" t="s">
        <v>1088</v>
      </c>
      <c r="F33" s="79">
        <v>566296585.47615314</v>
      </c>
      <c r="G33" s="64"/>
      <c r="H33" s="63">
        <f t="shared" ref="H33:AE33" si="8">IF(VLOOKUP($D33,$C$6:$AE$653,H$2,)=0,0,((VLOOKUP($D33,$C$6:$AE$653,H$2,)/VLOOKUP($D33,$C$6:$AE$653,4,))*$F33))</f>
        <v>0</v>
      </c>
      <c r="I33" s="63">
        <f t="shared" si="8"/>
        <v>0</v>
      </c>
      <c r="J33" s="63">
        <f t="shared" si="8"/>
        <v>0</v>
      </c>
      <c r="K33" s="63">
        <f t="shared" si="8"/>
        <v>0</v>
      </c>
      <c r="L33" s="63">
        <f t="shared" si="8"/>
        <v>0</v>
      </c>
      <c r="M33" s="63">
        <f t="shared" si="8"/>
        <v>0</v>
      </c>
      <c r="N33" s="63">
        <f t="shared" si="8"/>
        <v>566296585.47615314</v>
      </c>
      <c r="O33" s="63">
        <f t="shared" si="8"/>
        <v>0</v>
      </c>
      <c r="P33" s="63">
        <f t="shared" si="8"/>
        <v>0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63">
        <f t="shared" si="8"/>
        <v>0</v>
      </c>
      <c r="W33" s="63">
        <f t="shared" si="8"/>
        <v>0</v>
      </c>
      <c r="X33" s="63">
        <f t="shared" si="8"/>
        <v>0</v>
      </c>
      <c r="Y33" s="63">
        <f t="shared" si="8"/>
        <v>0</v>
      </c>
      <c r="Z33" s="63">
        <f t="shared" si="8"/>
        <v>0</v>
      </c>
      <c r="AA33" s="63">
        <f t="shared" si="8"/>
        <v>0</v>
      </c>
      <c r="AB33" s="63">
        <f t="shared" si="8"/>
        <v>0</v>
      </c>
      <c r="AC33" s="63">
        <f t="shared" si="8"/>
        <v>0</v>
      </c>
      <c r="AD33" s="63">
        <f t="shared" si="8"/>
        <v>0</v>
      </c>
      <c r="AE33" s="63">
        <f t="shared" si="8"/>
        <v>0</v>
      </c>
      <c r="AF33" s="63">
        <f>SUM(H33:AE33)</f>
        <v>566296585.47615314</v>
      </c>
      <c r="AG33" s="58" t="str">
        <f>IF(ABS(AF33-F33)&lt;1,"ok","err")</f>
        <v>ok</v>
      </c>
    </row>
    <row r="34" spans="1:33">
      <c r="A34" s="60"/>
      <c r="B34" s="60"/>
      <c r="F34" s="79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58"/>
    </row>
    <row r="35" spans="1:33" ht="15">
      <c r="A35" s="60"/>
      <c r="B35" s="65" t="s">
        <v>1059</v>
      </c>
      <c r="C35" s="44" t="s">
        <v>1219</v>
      </c>
      <c r="F35" s="79">
        <f>SUM(F33:F33)</f>
        <v>566296585.47615314</v>
      </c>
      <c r="G35" s="64"/>
      <c r="H35" s="79">
        <f>SUM(H33:H33)</f>
        <v>0</v>
      </c>
      <c r="I35" s="79">
        <f>SUM(I33:I33)</f>
        <v>0</v>
      </c>
      <c r="J35" s="79">
        <f>SUM(J33:J33)</f>
        <v>0</v>
      </c>
      <c r="K35" s="79">
        <f>SUM(K33:K33)</f>
        <v>0</v>
      </c>
      <c r="L35" s="64">
        <f>L24+L28+L33</f>
        <v>0</v>
      </c>
      <c r="M35" s="64">
        <f>M24+M28+M33</f>
        <v>0</v>
      </c>
      <c r="N35" s="79">
        <f>SUM(N33:N33)</f>
        <v>566296585.47615314</v>
      </c>
      <c r="O35" s="79">
        <f>SUM(O33:O33)</f>
        <v>0</v>
      </c>
      <c r="P35" s="79">
        <f>SUM(P33:P33)</f>
        <v>0</v>
      </c>
      <c r="Q35" s="64">
        <f>Q24+Q28+Q33</f>
        <v>0</v>
      </c>
      <c r="R35" s="79">
        <f t="shared" ref="R35:AE35" si="9">SUM(R33:R33)</f>
        <v>0</v>
      </c>
      <c r="S35" s="79">
        <f t="shared" si="9"/>
        <v>0</v>
      </c>
      <c r="T35" s="79">
        <f t="shared" si="9"/>
        <v>0</v>
      </c>
      <c r="U35" s="79">
        <f t="shared" si="9"/>
        <v>0</v>
      </c>
      <c r="V35" s="79">
        <f t="shared" si="9"/>
        <v>0</v>
      </c>
      <c r="W35" s="79">
        <f t="shared" si="9"/>
        <v>0</v>
      </c>
      <c r="X35" s="79">
        <f t="shared" si="9"/>
        <v>0</v>
      </c>
      <c r="Y35" s="79">
        <f t="shared" si="9"/>
        <v>0</v>
      </c>
      <c r="Z35" s="79">
        <f t="shared" si="9"/>
        <v>0</v>
      </c>
      <c r="AA35" s="79">
        <f t="shared" si="9"/>
        <v>0</v>
      </c>
      <c r="AB35" s="79">
        <f t="shared" si="9"/>
        <v>0</v>
      </c>
      <c r="AC35" s="79">
        <f t="shared" si="9"/>
        <v>0</v>
      </c>
      <c r="AD35" s="79">
        <f t="shared" si="9"/>
        <v>0</v>
      </c>
      <c r="AE35" s="79">
        <f t="shared" si="9"/>
        <v>0</v>
      </c>
      <c r="AF35" s="63">
        <f>SUM(H35:AE35)</f>
        <v>566296585.47615314</v>
      </c>
      <c r="AG35" s="58" t="str">
        <f>IF(ABS(AF35-F35)&lt;1,"ok","err")</f>
        <v>ok</v>
      </c>
    </row>
    <row r="36" spans="1:33">
      <c r="A36" s="60"/>
      <c r="B36" s="60"/>
      <c r="W36" s="44"/>
      <c r="AG36" s="58"/>
    </row>
    <row r="37" spans="1:33" ht="15">
      <c r="A37" s="59" t="s">
        <v>864</v>
      </c>
      <c r="B37" s="60"/>
      <c r="W37" s="44"/>
      <c r="AG37" s="58"/>
    </row>
    <row r="38" spans="1:33">
      <c r="A38" s="245"/>
      <c r="B38" s="42" t="s">
        <v>294</v>
      </c>
      <c r="C38" s="44" t="s">
        <v>865</v>
      </c>
      <c r="D38" s="44" t="s">
        <v>866</v>
      </c>
      <c r="F38" s="75">
        <v>222802328.53999999</v>
      </c>
      <c r="H38" s="63">
        <f t="shared" ref="H38:Q46" si="10">IF(VLOOKUP($D38,$C$6:$AE$653,H$2,)=0,0,((VLOOKUP($D38,$C$6:$AE$653,H$2,)/VLOOKUP($D38,$C$6:$AE$653,4,))*$F38))</f>
        <v>0</v>
      </c>
      <c r="I38" s="63">
        <f t="shared" si="10"/>
        <v>0</v>
      </c>
      <c r="J38" s="63">
        <f t="shared" si="10"/>
        <v>0</v>
      </c>
      <c r="K38" s="63">
        <f t="shared" si="10"/>
        <v>0</v>
      </c>
      <c r="L38" s="63">
        <f t="shared" si="10"/>
        <v>0</v>
      </c>
      <c r="M38" s="63">
        <f t="shared" si="10"/>
        <v>0</v>
      </c>
      <c r="N38" s="63">
        <f t="shared" si="10"/>
        <v>0</v>
      </c>
      <c r="O38" s="63">
        <f t="shared" si="10"/>
        <v>0</v>
      </c>
      <c r="P38" s="63">
        <f t="shared" si="10"/>
        <v>0</v>
      </c>
      <c r="Q38" s="63">
        <f t="shared" si="10"/>
        <v>0</v>
      </c>
      <c r="R38" s="63">
        <f t="shared" ref="R38:AE46" si="11">IF(VLOOKUP($D38,$C$6:$AE$653,R$2,)=0,0,((VLOOKUP($D38,$C$6:$AE$653,R$2,)/VLOOKUP($D38,$C$6:$AE$653,4,))*$F38))</f>
        <v>222802328.53999999</v>
      </c>
      <c r="S38" s="63">
        <f t="shared" si="11"/>
        <v>0</v>
      </c>
      <c r="T38" s="63">
        <f t="shared" si="11"/>
        <v>0</v>
      </c>
      <c r="U38" s="63">
        <f t="shared" si="11"/>
        <v>0</v>
      </c>
      <c r="V38" s="63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3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3">
        <f t="shared" si="11"/>
        <v>0</v>
      </c>
      <c r="AF38" s="63">
        <f t="shared" ref="AF38:AF45" si="12">SUM(H38:AE38)</f>
        <v>222802328.53999999</v>
      </c>
      <c r="AG38" s="58" t="str">
        <f t="shared" ref="AG38:AG46" si="13">IF(ABS(AF38-F38)&lt;1,"ok","err")</f>
        <v>ok</v>
      </c>
    </row>
    <row r="39" spans="1:33">
      <c r="A39" s="245"/>
      <c r="B39" s="42" t="s">
        <v>295</v>
      </c>
      <c r="C39" s="44" t="s">
        <v>868</v>
      </c>
      <c r="D39" s="44" t="s">
        <v>869</v>
      </c>
      <c r="F39" s="78">
        <v>684235593.34999943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Q39" s="63">
        <f t="shared" si="10"/>
        <v>0</v>
      </c>
      <c r="R39" s="63">
        <f t="shared" si="11"/>
        <v>0</v>
      </c>
      <c r="S39" s="63">
        <f t="shared" si="11"/>
        <v>0</v>
      </c>
      <c r="T39" s="63">
        <f t="shared" si="11"/>
        <v>173756510.84899411</v>
      </c>
      <c r="U39" s="63">
        <f t="shared" si="11"/>
        <v>308766429.58142555</v>
      </c>
      <c r="V39" s="63">
        <f t="shared" si="11"/>
        <v>72636726.3163407</v>
      </c>
      <c r="W39" s="63">
        <f t="shared" si="11"/>
        <v>129075926.60323913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F39" s="63">
        <f t="shared" si="12"/>
        <v>684235593.34999955</v>
      </c>
      <c r="AG39" s="58" t="str">
        <f t="shared" si="13"/>
        <v>ok</v>
      </c>
    </row>
    <row r="40" spans="1:33">
      <c r="A40" s="245"/>
      <c r="B40" s="42" t="s">
        <v>296</v>
      </c>
      <c r="C40" s="44" t="s">
        <v>871</v>
      </c>
      <c r="D40" s="44" t="s">
        <v>870</v>
      </c>
      <c r="F40" s="78">
        <v>476035911.19461513</v>
      </c>
      <c r="H40" s="63">
        <f t="shared" si="10"/>
        <v>0</v>
      </c>
      <c r="I40" s="63">
        <f t="shared" si="10"/>
        <v>0</v>
      </c>
      <c r="J40" s="63">
        <f t="shared" si="10"/>
        <v>0</v>
      </c>
      <c r="K40" s="63">
        <f t="shared" si="10"/>
        <v>0</v>
      </c>
      <c r="L40" s="63">
        <f t="shared" si="10"/>
        <v>0</v>
      </c>
      <c r="M40" s="63">
        <f t="shared" si="10"/>
        <v>0</v>
      </c>
      <c r="N40" s="63">
        <f t="shared" si="10"/>
        <v>0</v>
      </c>
      <c r="O40" s="63">
        <f t="shared" si="10"/>
        <v>0</v>
      </c>
      <c r="P40" s="63">
        <f t="shared" si="10"/>
        <v>0</v>
      </c>
      <c r="Q40" s="63">
        <f t="shared" si="10"/>
        <v>0</v>
      </c>
      <c r="R40" s="63">
        <f t="shared" si="11"/>
        <v>0</v>
      </c>
      <c r="S40" s="63">
        <f t="shared" si="11"/>
        <v>0</v>
      </c>
      <c r="T40" s="63">
        <f t="shared" si="11"/>
        <v>168284873.55342373</v>
      </c>
      <c r="U40" s="63">
        <f t="shared" si="11"/>
        <v>250959953.4356738</v>
      </c>
      <c r="V40" s="63">
        <f t="shared" si="11"/>
        <v>22795941.200094756</v>
      </c>
      <c r="W40" s="63">
        <f t="shared" si="11"/>
        <v>33995143.005422823</v>
      </c>
      <c r="X40" s="63">
        <f t="shared" si="11"/>
        <v>0</v>
      </c>
      <c r="Y40" s="63">
        <f t="shared" si="11"/>
        <v>0</v>
      </c>
      <c r="Z40" s="63">
        <f t="shared" si="11"/>
        <v>0</v>
      </c>
      <c r="AA40" s="63">
        <f t="shared" si="11"/>
        <v>0</v>
      </c>
      <c r="AB40" s="63">
        <f t="shared" si="11"/>
        <v>0</v>
      </c>
      <c r="AC40" s="63">
        <f t="shared" si="11"/>
        <v>0</v>
      </c>
      <c r="AD40" s="63">
        <f t="shared" si="11"/>
        <v>0</v>
      </c>
      <c r="AE40" s="63">
        <f t="shared" si="11"/>
        <v>0</v>
      </c>
      <c r="AF40" s="63">
        <f t="shared" si="12"/>
        <v>476035911.19461513</v>
      </c>
      <c r="AG40" s="58" t="str">
        <f t="shared" si="13"/>
        <v>ok</v>
      </c>
    </row>
    <row r="41" spans="1:33">
      <c r="A41" s="245"/>
      <c r="B41" s="42" t="s">
        <v>1223</v>
      </c>
      <c r="C41" s="44" t="s">
        <v>872</v>
      </c>
      <c r="D41" s="44" t="s">
        <v>873</v>
      </c>
      <c r="F41" s="78">
        <v>182077169.90307674</v>
      </c>
      <c r="H41" s="63">
        <f t="shared" si="10"/>
        <v>0</v>
      </c>
      <c r="I41" s="63">
        <f t="shared" si="10"/>
        <v>0</v>
      </c>
      <c r="J41" s="63">
        <f t="shared" si="10"/>
        <v>0</v>
      </c>
      <c r="K41" s="63">
        <f t="shared" si="10"/>
        <v>0</v>
      </c>
      <c r="L41" s="63">
        <f t="shared" si="10"/>
        <v>0</v>
      </c>
      <c r="M41" s="63">
        <f t="shared" si="10"/>
        <v>0</v>
      </c>
      <c r="N41" s="63">
        <f t="shared" si="10"/>
        <v>0</v>
      </c>
      <c r="O41" s="63">
        <f t="shared" si="10"/>
        <v>0</v>
      </c>
      <c r="P41" s="63">
        <f t="shared" si="10"/>
        <v>0</v>
      </c>
      <c r="Q41" s="63">
        <f t="shared" si="10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116910392.70901713</v>
      </c>
      <c r="Y41" s="63">
        <f t="shared" si="11"/>
        <v>65166777.19405961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2"/>
        <v>182077169.90307674</v>
      </c>
      <c r="AG41" s="58" t="str">
        <f t="shared" si="13"/>
        <v>ok</v>
      </c>
    </row>
    <row r="42" spans="1:33">
      <c r="A42" s="245"/>
      <c r="B42" s="42" t="s">
        <v>297</v>
      </c>
      <c r="C42" s="44" t="s">
        <v>874</v>
      </c>
      <c r="D42" s="44" t="s">
        <v>875</v>
      </c>
      <c r="F42" s="78">
        <v>41665745.640769236</v>
      </c>
      <c r="H42" s="63">
        <f t="shared" si="10"/>
        <v>0</v>
      </c>
      <c r="I42" s="63">
        <f t="shared" si="10"/>
        <v>0</v>
      </c>
      <c r="J42" s="63">
        <f t="shared" si="10"/>
        <v>0</v>
      </c>
      <c r="K42" s="63">
        <f t="shared" si="10"/>
        <v>0</v>
      </c>
      <c r="L42" s="63">
        <f t="shared" si="10"/>
        <v>0</v>
      </c>
      <c r="M42" s="63">
        <f t="shared" si="10"/>
        <v>0</v>
      </c>
      <c r="N42" s="63">
        <f t="shared" si="10"/>
        <v>0</v>
      </c>
      <c r="O42" s="63">
        <f t="shared" si="10"/>
        <v>0</v>
      </c>
      <c r="P42" s="63">
        <f t="shared" si="10"/>
        <v>0</v>
      </c>
      <c r="Q42" s="63">
        <f t="shared" si="10"/>
        <v>0</v>
      </c>
      <c r="R42" s="63">
        <f t="shared" si="11"/>
        <v>0</v>
      </c>
      <c r="S42" s="63">
        <f t="shared" si="11"/>
        <v>0</v>
      </c>
      <c r="T42" s="63">
        <f t="shared" si="11"/>
        <v>0</v>
      </c>
      <c r="U42" s="63">
        <f t="shared" si="11"/>
        <v>0</v>
      </c>
      <c r="V42" s="63">
        <f t="shared" si="11"/>
        <v>0</v>
      </c>
      <c r="W42" s="63">
        <f t="shared" si="11"/>
        <v>0</v>
      </c>
      <c r="X42" s="63">
        <f t="shared" si="11"/>
        <v>0</v>
      </c>
      <c r="Y42" s="63">
        <f t="shared" si="11"/>
        <v>0</v>
      </c>
      <c r="Z42" s="63">
        <f t="shared" si="11"/>
        <v>41665745.640769236</v>
      </c>
      <c r="AA42" s="63">
        <f t="shared" si="11"/>
        <v>0</v>
      </c>
      <c r="AB42" s="63">
        <f t="shared" si="11"/>
        <v>0</v>
      </c>
      <c r="AC42" s="63">
        <f t="shared" si="11"/>
        <v>0</v>
      </c>
      <c r="AD42" s="63">
        <f t="shared" si="11"/>
        <v>0</v>
      </c>
      <c r="AE42" s="63">
        <f t="shared" si="11"/>
        <v>0</v>
      </c>
      <c r="AF42" s="63">
        <f t="shared" si="12"/>
        <v>41665745.640769236</v>
      </c>
      <c r="AG42" s="58" t="str">
        <f t="shared" si="13"/>
        <v>ok</v>
      </c>
    </row>
    <row r="43" spans="1:33">
      <c r="A43" s="245"/>
      <c r="B43" s="42" t="s">
        <v>298</v>
      </c>
      <c r="C43" s="44" t="s">
        <v>876</v>
      </c>
      <c r="D43" s="44" t="s">
        <v>877</v>
      </c>
      <c r="F43" s="78">
        <v>42308484.608643189</v>
      </c>
      <c r="H43" s="63">
        <f t="shared" si="10"/>
        <v>0</v>
      </c>
      <c r="I43" s="63">
        <f t="shared" si="10"/>
        <v>0</v>
      </c>
      <c r="J43" s="63">
        <f t="shared" si="10"/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0</v>
      </c>
      <c r="O43" s="63">
        <f t="shared" si="10"/>
        <v>0</v>
      </c>
      <c r="P43" s="63">
        <f t="shared" si="10"/>
        <v>0</v>
      </c>
      <c r="Q43" s="63">
        <f t="shared" si="10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  <c r="V43" s="63">
        <f t="shared" si="11"/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42308484.608643189</v>
      </c>
      <c r="AB43" s="63">
        <f t="shared" si="11"/>
        <v>0</v>
      </c>
      <c r="AC43" s="63">
        <f t="shared" si="11"/>
        <v>0</v>
      </c>
      <c r="AD43" s="63">
        <f t="shared" si="11"/>
        <v>0</v>
      </c>
      <c r="AE43" s="63">
        <f t="shared" si="11"/>
        <v>0</v>
      </c>
      <c r="AF43" s="63">
        <f t="shared" si="12"/>
        <v>42308484.608643189</v>
      </c>
      <c r="AG43" s="58" t="str">
        <f t="shared" si="13"/>
        <v>ok</v>
      </c>
    </row>
    <row r="44" spans="1:33">
      <c r="A44" s="245"/>
      <c r="B44" s="42" t="s">
        <v>299</v>
      </c>
      <c r="C44" s="44" t="s">
        <v>878</v>
      </c>
      <c r="D44" s="44" t="s">
        <v>877</v>
      </c>
      <c r="F44" s="78">
        <v>183387.579999999</v>
      </c>
      <c r="H44" s="63">
        <f t="shared" si="10"/>
        <v>0</v>
      </c>
      <c r="I44" s="63">
        <f t="shared" si="10"/>
        <v>0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0</v>
      </c>
      <c r="O44" s="63">
        <f t="shared" si="10"/>
        <v>0</v>
      </c>
      <c r="P44" s="63">
        <f t="shared" si="10"/>
        <v>0</v>
      </c>
      <c r="Q44" s="63">
        <f t="shared" si="10"/>
        <v>0</v>
      </c>
      <c r="R44" s="63">
        <f t="shared" si="11"/>
        <v>0</v>
      </c>
      <c r="S44" s="63">
        <f t="shared" si="11"/>
        <v>0</v>
      </c>
      <c r="T44" s="63">
        <f t="shared" si="11"/>
        <v>0</v>
      </c>
      <c r="U44" s="63">
        <f t="shared" si="11"/>
        <v>0</v>
      </c>
      <c r="V44" s="63">
        <f t="shared" si="11"/>
        <v>0</v>
      </c>
      <c r="W44" s="63">
        <f t="shared" si="11"/>
        <v>0</v>
      </c>
      <c r="X44" s="63">
        <f t="shared" si="11"/>
        <v>0</v>
      </c>
      <c r="Y44" s="63">
        <f t="shared" si="11"/>
        <v>0</v>
      </c>
      <c r="Z44" s="63">
        <f t="shared" si="11"/>
        <v>0</v>
      </c>
      <c r="AA44" s="63">
        <f t="shared" si="11"/>
        <v>183387.579999999</v>
      </c>
      <c r="AB44" s="63">
        <f t="shared" si="11"/>
        <v>0</v>
      </c>
      <c r="AC44" s="63">
        <f t="shared" si="11"/>
        <v>0</v>
      </c>
      <c r="AD44" s="63">
        <f t="shared" si="11"/>
        <v>0</v>
      </c>
      <c r="AE44" s="63">
        <f t="shared" si="11"/>
        <v>0</v>
      </c>
      <c r="AF44" s="63">
        <f t="shared" si="12"/>
        <v>183387.579999999</v>
      </c>
      <c r="AG44" s="58" t="str">
        <f t="shared" si="13"/>
        <v>ok</v>
      </c>
    </row>
    <row r="45" spans="1:33">
      <c r="A45" s="245"/>
      <c r="B45" s="42" t="s">
        <v>300</v>
      </c>
      <c r="C45" s="44" t="s">
        <v>879</v>
      </c>
      <c r="D45" s="44" t="s">
        <v>880</v>
      </c>
      <c r="F45" s="78">
        <v>137373833.87692291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0</v>
      </c>
      <c r="L45" s="63">
        <f t="shared" si="10"/>
        <v>0</v>
      </c>
      <c r="M45" s="63">
        <f t="shared" si="10"/>
        <v>0</v>
      </c>
      <c r="N45" s="63">
        <f t="shared" si="10"/>
        <v>0</v>
      </c>
      <c r="O45" s="63">
        <f t="shared" si="10"/>
        <v>0</v>
      </c>
      <c r="P45" s="63">
        <f t="shared" si="10"/>
        <v>0</v>
      </c>
      <c r="Q45" s="63">
        <f t="shared" si="10"/>
        <v>0</v>
      </c>
      <c r="R45" s="63">
        <f t="shared" si="11"/>
        <v>0</v>
      </c>
      <c r="S45" s="63">
        <f t="shared" si="11"/>
        <v>0</v>
      </c>
      <c r="T45" s="63">
        <f t="shared" si="11"/>
        <v>0</v>
      </c>
      <c r="U45" s="63">
        <f t="shared" si="11"/>
        <v>0</v>
      </c>
      <c r="V45" s="63">
        <f t="shared" si="11"/>
        <v>0</v>
      </c>
      <c r="W45" s="63">
        <f t="shared" si="11"/>
        <v>0</v>
      </c>
      <c r="X45" s="63">
        <f t="shared" si="11"/>
        <v>0</v>
      </c>
      <c r="Y45" s="63">
        <f t="shared" si="11"/>
        <v>0</v>
      </c>
      <c r="Z45" s="63">
        <f t="shared" si="11"/>
        <v>0</v>
      </c>
      <c r="AA45" s="63">
        <f t="shared" si="11"/>
        <v>0</v>
      </c>
      <c r="AB45" s="63">
        <f t="shared" si="11"/>
        <v>137373833.87692291</v>
      </c>
      <c r="AC45" s="63">
        <f t="shared" si="11"/>
        <v>0</v>
      </c>
      <c r="AD45" s="63">
        <f t="shared" si="11"/>
        <v>0</v>
      </c>
      <c r="AE45" s="63">
        <f t="shared" si="11"/>
        <v>0</v>
      </c>
      <c r="AF45" s="63">
        <f t="shared" si="12"/>
        <v>137373833.87692291</v>
      </c>
      <c r="AG45" s="58" t="str">
        <f t="shared" si="13"/>
        <v>ok</v>
      </c>
    </row>
    <row r="46" spans="1:33">
      <c r="A46" s="245"/>
      <c r="B46" s="42" t="s">
        <v>841</v>
      </c>
      <c r="C46" s="60" t="s">
        <v>1182</v>
      </c>
      <c r="D46" s="60" t="s">
        <v>869</v>
      </c>
      <c r="F46" s="78"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63">
        <f t="shared" si="10"/>
        <v>0</v>
      </c>
      <c r="L46" s="63">
        <f t="shared" si="10"/>
        <v>0</v>
      </c>
      <c r="M46" s="63">
        <f t="shared" si="10"/>
        <v>0</v>
      </c>
      <c r="N46" s="63">
        <f t="shared" si="10"/>
        <v>0</v>
      </c>
      <c r="O46" s="63">
        <f t="shared" si="10"/>
        <v>0</v>
      </c>
      <c r="P46" s="63">
        <f t="shared" si="10"/>
        <v>0</v>
      </c>
      <c r="Q46" s="63">
        <f t="shared" si="10"/>
        <v>0</v>
      </c>
      <c r="R46" s="63">
        <f t="shared" si="11"/>
        <v>0</v>
      </c>
      <c r="S46" s="63">
        <f t="shared" si="11"/>
        <v>0</v>
      </c>
      <c r="T46" s="63">
        <f t="shared" si="11"/>
        <v>0</v>
      </c>
      <c r="U46" s="63">
        <f t="shared" si="11"/>
        <v>0</v>
      </c>
      <c r="V46" s="63">
        <f t="shared" si="11"/>
        <v>0</v>
      </c>
      <c r="W46" s="63">
        <f t="shared" si="11"/>
        <v>0</v>
      </c>
      <c r="X46" s="63">
        <f t="shared" si="11"/>
        <v>0</v>
      </c>
      <c r="Y46" s="63">
        <f t="shared" si="11"/>
        <v>0</v>
      </c>
      <c r="Z46" s="63">
        <f t="shared" si="11"/>
        <v>0</v>
      </c>
      <c r="AA46" s="63">
        <f t="shared" si="11"/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>SUM(H46:AE46)</f>
        <v>0</v>
      </c>
      <c r="AG46" s="58" t="str">
        <f t="shared" si="13"/>
        <v>ok</v>
      </c>
    </row>
    <row r="47" spans="1:33">
      <c r="A47" s="60"/>
      <c r="B47" s="60"/>
      <c r="W47" s="44"/>
      <c r="AF47" s="63"/>
      <c r="AG47" s="58"/>
    </row>
    <row r="48" spans="1:33" ht="15">
      <c r="A48" s="60"/>
      <c r="B48" s="65" t="s">
        <v>881</v>
      </c>
      <c r="C48" s="44" t="s">
        <v>861</v>
      </c>
      <c r="F48" s="75">
        <f>SUM(F38:F47)</f>
        <v>1786682454.6940265</v>
      </c>
      <c r="G48" s="66"/>
      <c r="H48" s="62">
        <f t="shared" ref="H48:M48" si="14">SUM(H38:H47)</f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2">
        <f t="shared" si="14"/>
        <v>0</v>
      </c>
      <c r="M48" s="62">
        <f t="shared" si="14"/>
        <v>0</v>
      </c>
      <c r="N48" s="62">
        <f>SUM(N38:N47)</f>
        <v>0</v>
      </c>
      <c r="O48" s="62">
        <f>SUM(O38:O47)</f>
        <v>0</v>
      </c>
      <c r="P48" s="62">
        <f>SUM(P38:P47)</f>
        <v>0</v>
      </c>
      <c r="Q48" s="62">
        <f t="shared" ref="Q48:AE48" si="15">SUM(Q38:Q47)</f>
        <v>0</v>
      </c>
      <c r="R48" s="62">
        <f t="shared" si="15"/>
        <v>222802328.53999999</v>
      </c>
      <c r="S48" s="62">
        <f t="shared" si="15"/>
        <v>0</v>
      </c>
      <c r="T48" s="62">
        <f t="shared" si="15"/>
        <v>342041384.40241784</v>
      </c>
      <c r="U48" s="62">
        <f>SUM(U38:U47)</f>
        <v>559726383.01709938</v>
      </c>
      <c r="V48" s="62">
        <f>SUM(V38:V47)</f>
        <v>95432667.516435459</v>
      </c>
      <c r="W48" s="62">
        <f>SUM(W38:W47)</f>
        <v>163071069.60866195</v>
      </c>
      <c r="X48" s="62">
        <f t="shared" si="15"/>
        <v>116910392.70901713</v>
      </c>
      <c r="Y48" s="62">
        <f t="shared" si="15"/>
        <v>65166777.19405961</v>
      </c>
      <c r="Z48" s="62">
        <f>SUM(Z38:Z47)</f>
        <v>41665745.640769236</v>
      </c>
      <c r="AA48" s="62">
        <f>SUM(AA38:AA47)</f>
        <v>42491872.188643187</v>
      </c>
      <c r="AB48" s="62">
        <f t="shared" si="15"/>
        <v>137373833.87692291</v>
      </c>
      <c r="AC48" s="62">
        <f t="shared" si="15"/>
        <v>0</v>
      </c>
      <c r="AD48" s="62">
        <f t="shared" si="15"/>
        <v>0</v>
      </c>
      <c r="AE48" s="62">
        <f t="shared" si="15"/>
        <v>0</v>
      </c>
      <c r="AF48" s="63">
        <f>SUM(H48:AE48)</f>
        <v>1786682454.6940265</v>
      </c>
      <c r="AG48" s="58" t="str">
        <f>IF(ABS(AF48-F48)&lt;1,"ok","err")</f>
        <v>ok</v>
      </c>
    </row>
    <row r="49" spans="1:33">
      <c r="A49" s="60"/>
      <c r="B49" s="60"/>
      <c r="W49" s="44"/>
      <c r="AG49" s="58"/>
    </row>
    <row r="50" spans="1:33" ht="15">
      <c r="A50" s="60"/>
      <c r="B50" s="65" t="s">
        <v>818</v>
      </c>
      <c r="C50" s="44" t="s">
        <v>1089</v>
      </c>
      <c r="F50" s="79">
        <f>F29+F35+F48</f>
        <v>6040052312.0355511</v>
      </c>
      <c r="G50" s="64"/>
      <c r="H50" s="79">
        <f>H29+H35+H48</f>
        <v>3687073271.8653712</v>
      </c>
      <c r="I50" s="79">
        <f>I29+I35+I48</f>
        <v>0</v>
      </c>
      <c r="J50" s="79">
        <f>J29+J35+J48</f>
        <v>0</v>
      </c>
      <c r="K50" s="79">
        <f>K29+K35+K48</f>
        <v>0</v>
      </c>
      <c r="L50" s="64">
        <f>L29+L33+L48</f>
        <v>0</v>
      </c>
      <c r="M50" s="64">
        <f>M29+M33+M48</f>
        <v>0</v>
      </c>
      <c r="N50" s="79">
        <f>N29+N35+N48</f>
        <v>566296585.47615314</v>
      </c>
      <c r="O50" s="79">
        <f>O29+O35+O48</f>
        <v>0</v>
      </c>
      <c r="P50" s="79">
        <f>P29+P35+P48</f>
        <v>0</v>
      </c>
      <c r="Q50" s="64">
        <f>Q29+Q33+Q48</f>
        <v>0</v>
      </c>
      <c r="R50" s="79">
        <f t="shared" ref="R50:AE50" si="16">R29+R35+R48</f>
        <v>222802328.53999999</v>
      </c>
      <c r="S50" s="79">
        <f t="shared" si="16"/>
        <v>0</v>
      </c>
      <c r="T50" s="79">
        <f t="shared" si="16"/>
        <v>342041384.40241784</v>
      </c>
      <c r="U50" s="79">
        <f t="shared" si="16"/>
        <v>559726383.01709938</v>
      </c>
      <c r="V50" s="79">
        <f t="shared" si="16"/>
        <v>95432667.516435459</v>
      </c>
      <c r="W50" s="79">
        <f t="shared" si="16"/>
        <v>163071069.60866195</v>
      </c>
      <c r="X50" s="79">
        <f t="shared" si="16"/>
        <v>116910392.70901713</v>
      </c>
      <c r="Y50" s="79">
        <f t="shared" si="16"/>
        <v>65166777.19405961</v>
      </c>
      <c r="Z50" s="79">
        <f t="shared" si="16"/>
        <v>41665745.640769236</v>
      </c>
      <c r="AA50" s="79">
        <f t="shared" si="16"/>
        <v>42491872.188643187</v>
      </c>
      <c r="AB50" s="79">
        <f t="shared" si="16"/>
        <v>137373833.87692291</v>
      </c>
      <c r="AC50" s="79">
        <f t="shared" si="16"/>
        <v>0</v>
      </c>
      <c r="AD50" s="79">
        <f t="shared" si="16"/>
        <v>0</v>
      </c>
      <c r="AE50" s="79">
        <f t="shared" si="16"/>
        <v>0</v>
      </c>
      <c r="AF50" s="63">
        <f>SUM(H50:AE50)</f>
        <v>6040052312.0355501</v>
      </c>
      <c r="AG50" s="58" t="str">
        <f>IF(ABS(AF50-F50)&lt;1,"ok","err")</f>
        <v>ok</v>
      </c>
    </row>
    <row r="51" spans="1:33">
      <c r="A51" s="60"/>
      <c r="B51" s="60"/>
      <c r="W51" s="44"/>
      <c r="AG51" s="58"/>
    </row>
    <row r="52" spans="1:33">
      <c r="A52" s="60"/>
      <c r="B52" s="60"/>
      <c r="F52" s="79"/>
      <c r="W52" s="44"/>
      <c r="AG52" s="58"/>
    </row>
    <row r="53" spans="1:33">
      <c r="A53" s="60"/>
      <c r="B53" s="60"/>
      <c r="F53" s="79"/>
      <c r="W53" s="44"/>
      <c r="AG53" s="58"/>
    </row>
    <row r="54" spans="1:33">
      <c r="A54" s="60"/>
      <c r="B54" s="60"/>
      <c r="W54" s="44"/>
      <c r="AG54" s="58"/>
    </row>
    <row r="55" spans="1:33">
      <c r="A55" s="60"/>
      <c r="B55" s="60"/>
      <c r="W55" s="44"/>
      <c r="AG55" s="58"/>
    </row>
    <row r="56" spans="1:33" ht="15">
      <c r="A56" s="59" t="s">
        <v>1066</v>
      </c>
      <c r="B56" s="60"/>
      <c r="W56" s="44"/>
      <c r="AG56" s="58"/>
    </row>
    <row r="57" spans="1:33">
      <c r="A57" s="60"/>
      <c r="B57" s="60"/>
      <c r="F57" s="79"/>
      <c r="W57" s="44"/>
      <c r="AG57" s="58"/>
    </row>
    <row r="58" spans="1:33" ht="15">
      <c r="A58" s="59" t="s">
        <v>882</v>
      </c>
      <c r="B58" s="60"/>
      <c r="F58" s="79"/>
      <c r="W58" s="44"/>
      <c r="AG58" s="58"/>
    </row>
    <row r="59" spans="1:33">
      <c r="A59" s="60"/>
      <c r="B59" s="60"/>
      <c r="W59" s="44"/>
      <c r="AF59" s="63"/>
      <c r="AG59" s="58"/>
    </row>
    <row r="60" spans="1:33">
      <c r="A60" s="60"/>
      <c r="B60" s="60" t="s">
        <v>883</v>
      </c>
      <c r="C60" s="44" t="s">
        <v>884</v>
      </c>
      <c r="D60" s="44" t="s">
        <v>1089</v>
      </c>
      <c r="F60" s="75">
        <v>21026364.709230766</v>
      </c>
      <c r="G60" s="62"/>
      <c r="H60" s="63">
        <f t="shared" ref="H60:AE60" si="17">IF(VLOOKUP($D60,$C$6:$AE$653,H$2,)=0,0,((VLOOKUP($D60,$C$6:$AE$653,H$2,)/VLOOKUP($D60,$C$6:$AE$653,4,))*$F60))</f>
        <v>12835277.464305799</v>
      </c>
      <c r="I60" s="63">
        <f t="shared" si="17"/>
        <v>0</v>
      </c>
      <c r="J60" s="63">
        <f t="shared" si="17"/>
        <v>0</v>
      </c>
      <c r="K60" s="63">
        <f t="shared" si="17"/>
        <v>0</v>
      </c>
      <c r="L60" s="63">
        <f t="shared" si="17"/>
        <v>0</v>
      </c>
      <c r="M60" s="63">
        <f t="shared" si="17"/>
        <v>0</v>
      </c>
      <c r="N60" s="63">
        <f t="shared" si="17"/>
        <v>1971366.7903317963</v>
      </c>
      <c r="O60" s="63">
        <f t="shared" si="17"/>
        <v>0</v>
      </c>
      <c r="P60" s="63">
        <f t="shared" si="17"/>
        <v>0</v>
      </c>
      <c r="Q60" s="63">
        <f t="shared" si="17"/>
        <v>0</v>
      </c>
      <c r="R60" s="63">
        <f t="shared" si="17"/>
        <v>775609.67619651312</v>
      </c>
      <c r="S60" s="63">
        <f t="shared" si="17"/>
        <v>0</v>
      </c>
      <c r="T60" s="63">
        <f t="shared" si="17"/>
        <v>1190699.4381099497</v>
      </c>
      <c r="U60" s="63">
        <f t="shared" si="17"/>
        <v>1948494.8902255218</v>
      </c>
      <c r="V60" s="63">
        <f t="shared" si="17"/>
        <v>332216.00885424932</v>
      </c>
      <c r="W60" s="63">
        <f t="shared" si="17"/>
        <v>567675.84219159686</v>
      </c>
      <c r="X60" s="63">
        <f t="shared" si="17"/>
        <v>406983.32206509518</v>
      </c>
      <c r="Y60" s="63">
        <f t="shared" si="17"/>
        <v>226855.72134485419</v>
      </c>
      <c r="Z60" s="63">
        <f t="shared" si="17"/>
        <v>145044.96293503285</v>
      </c>
      <c r="AA60" s="63">
        <f t="shared" si="17"/>
        <v>147920.83837355557</v>
      </c>
      <c r="AB60" s="63">
        <f t="shared" si="17"/>
        <v>478219.7542968003</v>
      </c>
      <c r="AC60" s="63">
        <f t="shared" si="17"/>
        <v>0</v>
      </c>
      <c r="AD60" s="63">
        <f t="shared" si="17"/>
        <v>0</v>
      </c>
      <c r="AE60" s="63">
        <f t="shared" si="17"/>
        <v>0</v>
      </c>
      <c r="AF60" s="63">
        <f>SUM(H60:AE60)</f>
        <v>21026364.709230766</v>
      </c>
      <c r="AG60" s="58" t="str">
        <f>IF(ABS(AF60-F60)&lt;1,"ok","err")</f>
        <v>ok</v>
      </c>
    </row>
    <row r="61" spans="1:33">
      <c r="A61" s="60"/>
      <c r="B61" s="60"/>
      <c r="F61" s="79"/>
      <c r="O61" s="63"/>
      <c r="P61" s="63"/>
      <c r="W61" s="44"/>
      <c r="AF61" s="63"/>
      <c r="AG61" s="58"/>
    </row>
    <row r="62" spans="1:33">
      <c r="A62" s="60"/>
      <c r="B62" s="60" t="s">
        <v>192</v>
      </c>
      <c r="C62" s="44" t="s">
        <v>193</v>
      </c>
      <c r="D62" s="44" t="s">
        <v>1089</v>
      </c>
      <c r="F62" s="75">
        <v>231173766.98206067</v>
      </c>
      <c r="H62" s="63">
        <f t="shared" ref="H62:Q67" si="18">IF(VLOOKUP($D62,$C$6:$AE$653,H$2,)=0,0,((VLOOKUP($D62,$C$6:$AE$653,H$2,)/VLOOKUP($D62,$C$6:$AE$653,4,))*$F62))</f>
        <v>141117091.93272504</v>
      </c>
      <c r="I62" s="63">
        <f t="shared" si="18"/>
        <v>0</v>
      </c>
      <c r="J62" s="63">
        <f t="shared" si="18"/>
        <v>0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21674135.939640898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ref="R62:AE67" si="19">IF(VLOOKUP($D62,$C$6:$AE$653,R$2,)=0,0,((VLOOKUP($D62,$C$6:$AE$653,R$2,)/VLOOKUP($D62,$C$6:$AE$653,4,))*$F62))</f>
        <v>8527418.4593292847</v>
      </c>
      <c r="S62" s="63">
        <f t="shared" si="19"/>
        <v>0</v>
      </c>
      <c r="T62" s="63">
        <f t="shared" si="19"/>
        <v>13091111.005530076</v>
      </c>
      <c r="U62" s="63">
        <f t="shared" si="19"/>
        <v>21422671.48638314</v>
      </c>
      <c r="V62" s="63">
        <f t="shared" si="19"/>
        <v>3652539.4323093188</v>
      </c>
      <c r="W62" s="63">
        <f t="shared" si="19"/>
        <v>6241295.8530360367</v>
      </c>
      <c r="X62" s="63">
        <f t="shared" si="19"/>
        <v>4474566.5245384807</v>
      </c>
      <c r="Y62" s="63">
        <f t="shared" si="19"/>
        <v>2494158.7568724905</v>
      </c>
      <c r="Z62" s="63">
        <f t="shared" si="19"/>
        <v>1594692.7073297019</v>
      </c>
      <c r="AA62" s="63">
        <f t="shared" si="19"/>
        <v>1626311.4377991974</v>
      </c>
      <c r="AB62" s="63">
        <f t="shared" si="19"/>
        <v>5257773.4465669924</v>
      </c>
      <c r="AC62" s="63">
        <f t="shared" si="19"/>
        <v>0</v>
      </c>
      <c r="AD62" s="63">
        <f t="shared" si="19"/>
        <v>0</v>
      </c>
      <c r="AE62" s="63">
        <f t="shared" si="19"/>
        <v>0</v>
      </c>
      <c r="AF62" s="63">
        <f t="shared" ref="AF62:AF67" si="20">SUM(H62:AE62)</f>
        <v>231173766.9820607</v>
      </c>
      <c r="AG62" s="58" t="str">
        <f t="shared" ref="AG62:AG67" si="21">IF(ABS(AF62-F62)&lt;1,"ok","err")</f>
        <v>ok</v>
      </c>
    </row>
    <row r="63" spans="1:33">
      <c r="A63" s="61">
        <v>106</v>
      </c>
      <c r="B63" s="60" t="s">
        <v>1064</v>
      </c>
      <c r="C63" s="44" t="s">
        <v>1065</v>
      </c>
      <c r="D63" s="44" t="s">
        <v>1089</v>
      </c>
      <c r="F63" s="78">
        <v>0</v>
      </c>
      <c r="H63" s="63">
        <f t="shared" si="18"/>
        <v>0</v>
      </c>
      <c r="I63" s="63">
        <f t="shared" si="18"/>
        <v>0</v>
      </c>
      <c r="J63" s="63">
        <f t="shared" si="18"/>
        <v>0</v>
      </c>
      <c r="K63" s="63">
        <f t="shared" si="18"/>
        <v>0</v>
      </c>
      <c r="L63" s="63">
        <f t="shared" si="18"/>
        <v>0</v>
      </c>
      <c r="M63" s="63">
        <f t="shared" si="18"/>
        <v>0</v>
      </c>
      <c r="N63" s="63">
        <f t="shared" si="18"/>
        <v>0</v>
      </c>
      <c r="O63" s="63">
        <f t="shared" si="18"/>
        <v>0</v>
      </c>
      <c r="P63" s="63">
        <f t="shared" si="18"/>
        <v>0</v>
      </c>
      <c r="Q63" s="63">
        <f t="shared" si="18"/>
        <v>0</v>
      </c>
      <c r="R63" s="63">
        <f t="shared" si="19"/>
        <v>0</v>
      </c>
      <c r="S63" s="63">
        <f t="shared" si="19"/>
        <v>0</v>
      </c>
      <c r="T63" s="63">
        <f t="shared" si="19"/>
        <v>0</v>
      </c>
      <c r="U63" s="63">
        <f t="shared" si="19"/>
        <v>0</v>
      </c>
      <c r="V63" s="63">
        <f t="shared" si="19"/>
        <v>0</v>
      </c>
      <c r="W63" s="63">
        <f t="shared" si="19"/>
        <v>0</v>
      </c>
      <c r="X63" s="63">
        <f t="shared" si="19"/>
        <v>0</v>
      </c>
      <c r="Y63" s="63">
        <f t="shared" si="19"/>
        <v>0</v>
      </c>
      <c r="Z63" s="63">
        <f t="shared" si="19"/>
        <v>0</v>
      </c>
      <c r="AA63" s="63">
        <f t="shared" si="19"/>
        <v>0</v>
      </c>
      <c r="AB63" s="63">
        <f t="shared" si="19"/>
        <v>0</v>
      </c>
      <c r="AC63" s="63">
        <f t="shared" si="19"/>
        <v>0</v>
      </c>
      <c r="AD63" s="63">
        <f t="shared" si="19"/>
        <v>0</v>
      </c>
      <c r="AE63" s="63">
        <f t="shared" si="19"/>
        <v>0</v>
      </c>
      <c r="AF63" s="63">
        <f t="shared" si="20"/>
        <v>0</v>
      </c>
      <c r="AG63" s="58" t="str">
        <f t="shared" si="21"/>
        <v>ok</v>
      </c>
    </row>
    <row r="64" spans="1:33">
      <c r="A64" s="61">
        <v>105</v>
      </c>
      <c r="B64" s="60" t="s">
        <v>1174</v>
      </c>
      <c r="C64" s="44" t="s">
        <v>139</v>
      </c>
      <c r="D64" s="44" t="s">
        <v>861</v>
      </c>
      <c r="F64" s="78">
        <f>3120150-F65</f>
        <v>2908740</v>
      </c>
      <c r="H64" s="63">
        <f t="shared" si="18"/>
        <v>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63">
        <f t="shared" si="18"/>
        <v>0</v>
      </c>
      <c r="O64" s="63">
        <f t="shared" si="18"/>
        <v>0</v>
      </c>
      <c r="P64" s="63">
        <f t="shared" si="18"/>
        <v>0</v>
      </c>
      <c r="Q64" s="63">
        <f t="shared" si="18"/>
        <v>0</v>
      </c>
      <c r="R64" s="63">
        <f t="shared" si="19"/>
        <v>362724.80507926841</v>
      </c>
      <c r="S64" s="63">
        <f t="shared" si="19"/>
        <v>0</v>
      </c>
      <c r="T64" s="63">
        <f t="shared" si="19"/>
        <v>556847.38709602959</v>
      </c>
      <c r="U64" s="63">
        <f t="shared" si="19"/>
        <v>911241.11901349225</v>
      </c>
      <c r="V64" s="63">
        <f t="shared" si="19"/>
        <v>155365.50246098108</v>
      </c>
      <c r="W64" s="63">
        <f t="shared" si="19"/>
        <v>265481.61469169951</v>
      </c>
      <c r="X64" s="63">
        <f t="shared" si="19"/>
        <v>190331.49108002119</v>
      </c>
      <c r="Y64" s="63">
        <f t="shared" si="19"/>
        <v>106092.27789607996</v>
      </c>
      <c r="Z64" s="63">
        <f t="shared" si="19"/>
        <v>67832.322781658469</v>
      </c>
      <c r="AA64" s="63">
        <f t="shared" si="19"/>
        <v>69177.266494823445</v>
      </c>
      <c r="AB64" s="63">
        <f t="shared" si="19"/>
        <v>223646.21340594659</v>
      </c>
      <c r="AC64" s="63">
        <f t="shared" si="19"/>
        <v>0</v>
      </c>
      <c r="AD64" s="63">
        <f t="shared" si="19"/>
        <v>0</v>
      </c>
      <c r="AE64" s="63">
        <f t="shared" si="19"/>
        <v>0</v>
      </c>
      <c r="AF64" s="63">
        <f t="shared" si="20"/>
        <v>2908740.0000000005</v>
      </c>
      <c r="AG64" s="58" t="str">
        <f t="shared" si="21"/>
        <v>ok</v>
      </c>
    </row>
    <row r="65" spans="1:33">
      <c r="A65" s="61">
        <v>105</v>
      </c>
      <c r="B65" s="60" t="s">
        <v>1175</v>
      </c>
      <c r="C65" s="44" t="s">
        <v>139</v>
      </c>
      <c r="D65" s="44" t="s">
        <v>616</v>
      </c>
      <c r="F65" s="78">
        <v>211410</v>
      </c>
      <c r="H65" s="63">
        <f t="shared" si="18"/>
        <v>211410</v>
      </c>
      <c r="I65" s="63">
        <f t="shared" si="18"/>
        <v>0</v>
      </c>
      <c r="J65" s="63">
        <f t="shared" si="18"/>
        <v>0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9"/>
        <v>0</v>
      </c>
      <c r="S65" s="63">
        <f t="shared" si="19"/>
        <v>0</v>
      </c>
      <c r="T65" s="63">
        <f t="shared" si="19"/>
        <v>0</v>
      </c>
      <c r="U65" s="63">
        <f t="shared" si="19"/>
        <v>0</v>
      </c>
      <c r="V65" s="63">
        <f t="shared" si="19"/>
        <v>0</v>
      </c>
      <c r="W65" s="63">
        <f t="shared" si="19"/>
        <v>0</v>
      </c>
      <c r="X65" s="63">
        <f t="shared" si="19"/>
        <v>0</v>
      </c>
      <c r="Y65" s="63">
        <f t="shared" si="19"/>
        <v>0</v>
      </c>
      <c r="Z65" s="63">
        <f t="shared" si="19"/>
        <v>0</v>
      </c>
      <c r="AA65" s="63">
        <f t="shared" si="19"/>
        <v>0</v>
      </c>
      <c r="AB65" s="63">
        <f t="shared" si="19"/>
        <v>0</v>
      </c>
      <c r="AC65" s="63">
        <f t="shared" si="19"/>
        <v>0</v>
      </c>
      <c r="AD65" s="63">
        <f t="shared" si="19"/>
        <v>0</v>
      </c>
      <c r="AE65" s="63">
        <f t="shared" si="19"/>
        <v>0</v>
      </c>
      <c r="AF65" s="63">
        <f t="shared" si="20"/>
        <v>211410</v>
      </c>
      <c r="AG65" s="58" t="str">
        <f t="shared" si="21"/>
        <v>ok</v>
      </c>
    </row>
    <row r="66" spans="1:33">
      <c r="A66" s="60"/>
      <c r="B66" s="60" t="s">
        <v>716</v>
      </c>
      <c r="D66" s="44" t="s">
        <v>616</v>
      </c>
      <c r="F66" s="78">
        <v>0</v>
      </c>
      <c r="H66" s="63">
        <f t="shared" si="18"/>
        <v>0</v>
      </c>
      <c r="I66" s="63">
        <f t="shared" si="18"/>
        <v>0</v>
      </c>
      <c r="J66" s="63">
        <f t="shared" si="18"/>
        <v>0</v>
      </c>
      <c r="K66" s="63">
        <f t="shared" si="18"/>
        <v>0</v>
      </c>
      <c r="L66" s="63">
        <f t="shared" si="18"/>
        <v>0</v>
      </c>
      <c r="M66" s="63">
        <f t="shared" si="18"/>
        <v>0</v>
      </c>
      <c r="N66" s="63">
        <f t="shared" si="18"/>
        <v>0</v>
      </c>
      <c r="O66" s="63">
        <f t="shared" si="18"/>
        <v>0</v>
      </c>
      <c r="P66" s="63">
        <f t="shared" si="18"/>
        <v>0</v>
      </c>
      <c r="Q66" s="63">
        <f t="shared" si="18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20"/>
        <v>0</v>
      </c>
      <c r="AG66" s="58" t="str">
        <f t="shared" si="21"/>
        <v>ok</v>
      </c>
    </row>
    <row r="67" spans="1:33">
      <c r="A67" s="61"/>
      <c r="B67" s="60" t="s">
        <v>22</v>
      </c>
      <c r="D67" s="44" t="s">
        <v>861</v>
      </c>
      <c r="F67" s="75">
        <v>0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t="shared" si="18"/>
        <v>0</v>
      </c>
      <c r="O67" s="63">
        <f t="shared" si="18"/>
        <v>0</v>
      </c>
      <c r="P67" s="63">
        <f t="shared" si="18"/>
        <v>0</v>
      </c>
      <c r="Q67" s="63">
        <f t="shared" si="18"/>
        <v>0</v>
      </c>
      <c r="R67" s="63">
        <f t="shared" si="19"/>
        <v>0</v>
      </c>
      <c r="S67" s="63">
        <f t="shared" si="19"/>
        <v>0</v>
      </c>
      <c r="T67" s="63">
        <f t="shared" si="19"/>
        <v>0</v>
      </c>
      <c r="U67" s="63">
        <f t="shared" si="19"/>
        <v>0</v>
      </c>
      <c r="V67" s="63">
        <f t="shared" si="19"/>
        <v>0</v>
      </c>
      <c r="W67" s="63">
        <f t="shared" si="19"/>
        <v>0</v>
      </c>
      <c r="X67" s="63">
        <f t="shared" si="19"/>
        <v>0</v>
      </c>
      <c r="Y67" s="63">
        <f t="shared" si="19"/>
        <v>0</v>
      </c>
      <c r="Z67" s="63">
        <f t="shared" si="19"/>
        <v>0</v>
      </c>
      <c r="AA67" s="63">
        <f t="shared" si="19"/>
        <v>0</v>
      </c>
      <c r="AB67" s="63">
        <f t="shared" si="19"/>
        <v>0</v>
      </c>
      <c r="AC67" s="63">
        <f t="shared" si="19"/>
        <v>0</v>
      </c>
      <c r="AD67" s="63">
        <f t="shared" si="19"/>
        <v>0</v>
      </c>
      <c r="AE67" s="63">
        <f t="shared" si="19"/>
        <v>0</v>
      </c>
      <c r="AF67" s="63">
        <f t="shared" si="20"/>
        <v>0</v>
      </c>
      <c r="AG67" s="58" t="str">
        <f t="shared" si="21"/>
        <v>ok</v>
      </c>
    </row>
    <row r="68" spans="1:33">
      <c r="A68" s="60"/>
      <c r="B68" s="60"/>
      <c r="W68" s="44"/>
      <c r="AF68" s="63"/>
      <c r="AG68" s="58"/>
    </row>
    <row r="69" spans="1:33" s="60" customFormat="1">
      <c r="B69" s="60" t="s">
        <v>885</v>
      </c>
      <c r="C69" s="60" t="s">
        <v>886</v>
      </c>
      <c r="F69" s="79">
        <f>F15+SUM(F50:F67)</f>
        <v>6295374834.0168419</v>
      </c>
      <c r="G69" s="79"/>
      <c r="H69" s="79">
        <f t="shared" ref="H69:AE69" si="22">H15+SUM(H50:H67)</f>
        <v>3841238418.8189983</v>
      </c>
      <c r="I69" s="79">
        <f t="shared" si="22"/>
        <v>0</v>
      </c>
      <c r="J69" s="79">
        <f t="shared" si="22"/>
        <v>0</v>
      </c>
      <c r="K69" s="79">
        <f t="shared" si="22"/>
        <v>0</v>
      </c>
      <c r="L69" s="79">
        <f t="shared" si="22"/>
        <v>0</v>
      </c>
      <c r="M69" s="79">
        <f t="shared" si="22"/>
        <v>0</v>
      </c>
      <c r="N69" s="79">
        <f t="shared" si="22"/>
        <v>589942298.24877322</v>
      </c>
      <c r="O69" s="79">
        <f t="shared" si="22"/>
        <v>0</v>
      </c>
      <c r="P69" s="79">
        <f t="shared" si="22"/>
        <v>0</v>
      </c>
      <c r="Q69" s="79">
        <f t="shared" si="22"/>
        <v>0</v>
      </c>
      <c r="R69" s="79">
        <f t="shared" si="22"/>
        <v>232468164.11926493</v>
      </c>
      <c r="S69" s="79">
        <f t="shared" si="22"/>
        <v>0</v>
      </c>
      <c r="T69" s="79">
        <f t="shared" si="22"/>
        <v>356880169.09826255</v>
      </c>
      <c r="U69" s="79">
        <f t="shared" si="22"/>
        <v>584008998.11844313</v>
      </c>
      <c r="V69" s="79">
        <f t="shared" si="22"/>
        <v>99572823.856583029</v>
      </c>
      <c r="W69" s="79">
        <f t="shared" si="22"/>
        <v>170145583.40257511</v>
      </c>
      <c r="X69" s="79">
        <f t="shared" si="22"/>
        <v>121982317.40943505</v>
      </c>
      <c r="Y69" s="79">
        <f t="shared" si="22"/>
        <v>67993908.120903969</v>
      </c>
      <c r="Z69" s="79">
        <f t="shared" si="22"/>
        <v>43473331.087879352</v>
      </c>
      <c r="AA69" s="79">
        <f t="shared" si="22"/>
        <v>44335297.491789557</v>
      </c>
      <c r="AB69" s="79">
        <f t="shared" si="22"/>
        <v>143333524.24393451</v>
      </c>
      <c r="AC69" s="79">
        <f t="shared" si="22"/>
        <v>0</v>
      </c>
      <c r="AD69" s="79">
        <f t="shared" si="22"/>
        <v>0</v>
      </c>
      <c r="AE69" s="79">
        <f t="shared" si="22"/>
        <v>0</v>
      </c>
      <c r="AF69" s="79">
        <f>SUM(H69:AE69)</f>
        <v>6295374834.0168438</v>
      </c>
      <c r="AG69" s="92" t="str">
        <f>IF(ABS(AF69-F69)&lt;1,"ok","err")</f>
        <v>ok</v>
      </c>
    </row>
    <row r="70" spans="1:33">
      <c r="A70" s="60"/>
      <c r="B70" s="60"/>
      <c r="AG70" s="58"/>
    </row>
    <row r="71" spans="1:33" ht="15">
      <c r="A71" s="59"/>
      <c r="B71" s="60"/>
      <c r="F71" s="79"/>
      <c r="AG71" s="58"/>
    </row>
    <row r="72" spans="1:33" ht="15">
      <c r="A72" s="59" t="s">
        <v>887</v>
      </c>
      <c r="B72" s="60"/>
      <c r="AG72" s="58"/>
    </row>
    <row r="73" spans="1:33" ht="15">
      <c r="A73" s="59"/>
      <c r="B73" s="60"/>
      <c r="AG73" s="58"/>
    </row>
    <row r="74" spans="1:33">
      <c r="A74" s="60"/>
      <c r="B74" s="60" t="s">
        <v>308</v>
      </c>
      <c r="C74" s="44" t="s">
        <v>122</v>
      </c>
      <c r="D74" s="44" t="s">
        <v>616</v>
      </c>
      <c r="F74" s="75">
        <v>17402860.541538469</v>
      </c>
      <c r="H74" s="63">
        <f t="shared" ref="H74:Q77" si="23">IF(VLOOKUP($D74,$C$6:$AE$653,H$2,)=0,0,((VLOOKUP($D74,$C$6:$AE$653,H$2,)/VLOOKUP($D74,$C$6:$AE$653,4,))*$F74))</f>
        <v>17402860.541538469</v>
      </c>
      <c r="I74" s="63">
        <f t="shared" si="23"/>
        <v>0</v>
      </c>
      <c r="J74" s="63">
        <f t="shared" si="23"/>
        <v>0</v>
      </c>
      <c r="K74" s="63">
        <f t="shared" si="23"/>
        <v>0</v>
      </c>
      <c r="L74" s="63">
        <f t="shared" si="23"/>
        <v>0</v>
      </c>
      <c r="M74" s="63">
        <f t="shared" si="23"/>
        <v>0</v>
      </c>
      <c r="N74" s="63">
        <f t="shared" si="23"/>
        <v>0</v>
      </c>
      <c r="O74" s="63">
        <f t="shared" si="23"/>
        <v>0</v>
      </c>
      <c r="P74" s="63">
        <f t="shared" si="23"/>
        <v>0</v>
      </c>
      <c r="Q74" s="63">
        <f t="shared" si="23"/>
        <v>0</v>
      </c>
      <c r="R74" s="63">
        <f t="shared" ref="R74:AE77" si="24">IF(VLOOKUP($D74,$C$6:$AE$653,R$2,)=0,0,((VLOOKUP($D74,$C$6:$AE$653,R$2,)/VLOOKUP($D74,$C$6:$AE$653,4,))*$F74))</f>
        <v>0</v>
      </c>
      <c r="S74" s="63">
        <f t="shared" si="24"/>
        <v>0</v>
      </c>
      <c r="T74" s="63">
        <f t="shared" si="24"/>
        <v>0</v>
      </c>
      <c r="U74" s="63">
        <f t="shared" si="24"/>
        <v>0</v>
      </c>
      <c r="V74" s="63">
        <f t="shared" si="24"/>
        <v>0</v>
      </c>
      <c r="W74" s="63">
        <f t="shared" si="24"/>
        <v>0</v>
      </c>
      <c r="X74" s="63">
        <f t="shared" si="24"/>
        <v>0</v>
      </c>
      <c r="Y74" s="63">
        <f t="shared" si="24"/>
        <v>0</v>
      </c>
      <c r="Z74" s="63">
        <f t="shared" si="24"/>
        <v>0</v>
      </c>
      <c r="AA74" s="63">
        <f t="shared" si="24"/>
        <v>0</v>
      </c>
      <c r="AB74" s="63">
        <f t="shared" si="24"/>
        <v>0</v>
      </c>
      <c r="AC74" s="63">
        <f t="shared" si="24"/>
        <v>0</v>
      </c>
      <c r="AD74" s="63">
        <f t="shared" si="24"/>
        <v>0</v>
      </c>
      <c r="AE74" s="63">
        <f t="shared" si="24"/>
        <v>0</v>
      </c>
      <c r="AF74" s="63">
        <f t="shared" ref="AF74:AF77" si="25">SUM(H74:AE74)</f>
        <v>17402860.541538469</v>
      </c>
      <c r="AG74" s="58" t="str">
        <f t="shared" ref="AG74:AG77" si="26">IF(ABS(AF74-F74)&lt;1,"ok","err")</f>
        <v>ok</v>
      </c>
    </row>
    <row r="75" spans="1:33">
      <c r="A75" s="60"/>
      <c r="B75" s="60" t="s">
        <v>23</v>
      </c>
      <c r="C75" s="44" t="s">
        <v>123</v>
      </c>
      <c r="D75" s="44" t="s">
        <v>1088</v>
      </c>
      <c r="F75" s="78">
        <v>21580855</v>
      </c>
      <c r="H75" s="63">
        <f t="shared" si="23"/>
        <v>0</v>
      </c>
      <c r="I75" s="63">
        <f t="shared" si="23"/>
        <v>0</v>
      </c>
      <c r="J75" s="63">
        <f t="shared" si="23"/>
        <v>0</v>
      </c>
      <c r="K75" s="63">
        <f t="shared" si="23"/>
        <v>0</v>
      </c>
      <c r="L75" s="63">
        <f t="shared" si="23"/>
        <v>0</v>
      </c>
      <c r="M75" s="63">
        <f t="shared" si="23"/>
        <v>0</v>
      </c>
      <c r="N75" s="63">
        <f t="shared" si="23"/>
        <v>21580855</v>
      </c>
      <c r="O75" s="63">
        <f t="shared" si="23"/>
        <v>0</v>
      </c>
      <c r="P75" s="63">
        <f t="shared" si="23"/>
        <v>0</v>
      </c>
      <c r="Q75" s="63">
        <f t="shared" si="23"/>
        <v>0</v>
      </c>
      <c r="R75" s="63">
        <f t="shared" si="24"/>
        <v>0</v>
      </c>
      <c r="S75" s="63">
        <f t="shared" si="24"/>
        <v>0</v>
      </c>
      <c r="T75" s="63">
        <f t="shared" si="24"/>
        <v>0</v>
      </c>
      <c r="U75" s="63">
        <f t="shared" si="24"/>
        <v>0</v>
      </c>
      <c r="V75" s="63">
        <f t="shared" si="24"/>
        <v>0</v>
      </c>
      <c r="W75" s="63">
        <f t="shared" si="24"/>
        <v>0</v>
      </c>
      <c r="X75" s="63">
        <f t="shared" si="24"/>
        <v>0</v>
      </c>
      <c r="Y75" s="63">
        <f t="shared" si="24"/>
        <v>0</v>
      </c>
      <c r="Z75" s="63">
        <f t="shared" si="24"/>
        <v>0</v>
      </c>
      <c r="AA75" s="63">
        <f t="shared" si="24"/>
        <v>0</v>
      </c>
      <c r="AB75" s="63">
        <f t="shared" si="24"/>
        <v>0</v>
      </c>
      <c r="AC75" s="63">
        <f t="shared" si="24"/>
        <v>0</v>
      </c>
      <c r="AD75" s="63">
        <f t="shared" si="24"/>
        <v>0</v>
      </c>
      <c r="AE75" s="63">
        <f t="shared" si="24"/>
        <v>0</v>
      </c>
      <c r="AF75" s="63">
        <f t="shared" si="25"/>
        <v>21580855</v>
      </c>
      <c r="AG75" s="58" t="str">
        <f t="shared" si="26"/>
        <v>ok</v>
      </c>
    </row>
    <row r="76" spans="1:33">
      <c r="A76" s="60"/>
      <c r="B76" s="60" t="s">
        <v>1173</v>
      </c>
      <c r="C76" s="44" t="s">
        <v>124</v>
      </c>
      <c r="D76" s="44" t="s">
        <v>861</v>
      </c>
      <c r="F76" s="78">
        <v>16836832</v>
      </c>
      <c r="H76" s="63">
        <f t="shared" si="23"/>
        <v>0</v>
      </c>
      <c r="I76" s="63">
        <f t="shared" si="23"/>
        <v>0</v>
      </c>
      <c r="J76" s="63">
        <f t="shared" si="23"/>
        <v>0</v>
      </c>
      <c r="K76" s="63">
        <f t="shared" si="23"/>
        <v>0</v>
      </c>
      <c r="L76" s="63">
        <f t="shared" si="23"/>
        <v>0</v>
      </c>
      <c r="M76" s="63">
        <f t="shared" si="23"/>
        <v>0</v>
      </c>
      <c r="N76" s="63">
        <f t="shared" si="23"/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4"/>
        <v>2099581.4701047149</v>
      </c>
      <c r="S76" s="63">
        <f t="shared" si="24"/>
        <v>0</v>
      </c>
      <c r="T76" s="63">
        <f t="shared" si="24"/>
        <v>3223232.7076929589</v>
      </c>
      <c r="U76" s="63">
        <f t="shared" si="24"/>
        <v>5274590.9336421182</v>
      </c>
      <c r="V76" s="63">
        <f t="shared" si="24"/>
        <v>899311.33876906324</v>
      </c>
      <c r="W76" s="63">
        <f t="shared" si="24"/>
        <v>1536702.9523618049</v>
      </c>
      <c r="X76" s="63">
        <f t="shared" si="24"/>
        <v>1101707.0414075563</v>
      </c>
      <c r="Y76" s="63">
        <f t="shared" si="24"/>
        <v>614100.21501874074</v>
      </c>
      <c r="Z76" s="63">
        <f t="shared" si="24"/>
        <v>392637.85104359844</v>
      </c>
      <c r="AA76" s="63">
        <f t="shared" si="24"/>
        <v>400422.86838719551</v>
      </c>
      <c r="AB76" s="63">
        <f t="shared" si="24"/>
        <v>1294544.6215722514</v>
      </c>
      <c r="AC76" s="63">
        <f t="shared" si="24"/>
        <v>0</v>
      </c>
      <c r="AD76" s="63">
        <f t="shared" si="24"/>
        <v>0</v>
      </c>
      <c r="AE76" s="63">
        <f t="shared" si="24"/>
        <v>0</v>
      </c>
      <c r="AF76" s="63">
        <f t="shared" si="25"/>
        <v>16836832.000000004</v>
      </c>
      <c r="AG76" s="58" t="str">
        <f t="shared" si="26"/>
        <v>ok</v>
      </c>
    </row>
    <row r="77" spans="1:33">
      <c r="A77" s="60"/>
      <c r="B77" s="60" t="s">
        <v>1195</v>
      </c>
      <c r="C77" s="44" t="s">
        <v>125</v>
      </c>
      <c r="D77" s="44" t="s">
        <v>1089</v>
      </c>
      <c r="F77" s="78">
        <f>188093+11168233</f>
        <v>11356326</v>
      </c>
      <c r="H77" s="63">
        <f t="shared" si="23"/>
        <v>6932325.069065284</v>
      </c>
      <c r="I77" s="63">
        <f t="shared" si="23"/>
        <v>0</v>
      </c>
      <c r="J77" s="63">
        <f t="shared" si="23"/>
        <v>0</v>
      </c>
      <c r="K77" s="63">
        <f t="shared" si="23"/>
        <v>0</v>
      </c>
      <c r="L77" s="63">
        <f t="shared" si="23"/>
        <v>0</v>
      </c>
      <c r="M77" s="63">
        <f t="shared" si="23"/>
        <v>0</v>
      </c>
      <c r="N77" s="63">
        <f t="shared" si="23"/>
        <v>1064733.9302905374</v>
      </c>
      <c r="O77" s="63">
        <f t="shared" si="23"/>
        <v>0</v>
      </c>
      <c r="P77" s="63">
        <f t="shared" si="23"/>
        <v>0</v>
      </c>
      <c r="Q77" s="63">
        <f t="shared" si="23"/>
        <v>0</v>
      </c>
      <c r="R77" s="63">
        <f t="shared" si="24"/>
        <v>418906.28520179796</v>
      </c>
      <c r="S77" s="63">
        <f t="shared" si="24"/>
        <v>0</v>
      </c>
      <c r="T77" s="63">
        <f t="shared" si="24"/>
        <v>643095.99753385538</v>
      </c>
      <c r="U77" s="63">
        <f t="shared" si="24"/>
        <v>1052380.8318144961</v>
      </c>
      <c r="V77" s="63">
        <f t="shared" si="24"/>
        <v>179429.65182714007</v>
      </c>
      <c r="W77" s="63">
        <f t="shared" si="24"/>
        <v>306601.35574563505</v>
      </c>
      <c r="X77" s="63">
        <f t="shared" si="24"/>
        <v>219811.42940534966</v>
      </c>
      <c r="Y77" s="63">
        <f t="shared" si="24"/>
        <v>122524.62858814231</v>
      </c>
      <c r="Z77" s="63">
        <f t="shared" si="24"/>
        <v>78338.690806833751</v>
      </c>
      <c r="AA77" s="63">
        <f t="shared" si="24"/>
        <v>79891.949273853446</v>
      </c>
      <c r="AB77" s="63">
        <f t="shared" si="24"/>
        <v>258286.18044707392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3">
        <f t="shared" si="25"/>
        <v>11356325.999999998</v>
      </c>
      <c r="AG77" s="58" t="str">
        <f t="shared" si="26"/>
        <v>ok</v>
      </c>
    </row>
    <row r="78" spans="1:33">
      <c r="A78" s="60"/>
      <c r="B78" s="60"/>
      <c r="F78" s="78"/>
      <c r="AF78" s="63"/>
      <c r="AG78" s="58"/>
    </row>
    <row r="79" spans="1:33" ht="15">
      <c r="A79" s="246" t="s">
        <v>888</v>
      </c>
      <c r="B79" s="60"/>
      <c r="C79" s="44" t="s">
        <v>889</v>
      </c>
      <c r="F79" s="75">
        <f>SUM(F74:F77)</f>
        <v>67176873.541538477</v>
      </c>
      <c r="G79" s="62"/>
      <c r="H79" s="62">
        <f t="shared" ref="H79:AE79" si="27">SUM(H74:H77)</f>
        <v>24335185.610603753</v>
      </c>
      <c r="I79" s="62">
        <f t="shared" si="27"/>
        <v>0</v>
      </c>
      <c r="J79" s="62">
        <f t="shared" si="27"/>
        <v>0</v>
      </c>
      <c r="K79" s="62">
        <f t="shared" si="27"/>
        <v>0</v>
      </c>
      <c r="L79" s="62">
        <f t="shared" si="27"/>
        <v>0</v>
      </c>
      <c r="M79" s="62">
        <f t="shared" si="27"/>
        <v>0</v>
      </c>
      <c r="N79" s="62">
        <f t="shared" si="27"/>
        <v>22645588.930290539</v>
      </c>
      <c r="O79" s="62">
        <f t="shared" si="27"/>
        <v>0</v>
      </c>
      <c r="P79" s="62">
        <f t="shared" si="27"/>
        <v>0</v>
      </c>
      <c r="Q79" s="62">
        <f t="shared" si="27"/>
        <v>0</v>
      </c>
      <c r="R79" s="62">
        <f t="shared" si="27"/>
        <v>2518487.755306513</v>
      </c>
      <c r="S79" s="62">
        <f t="shared" si="27"/>
        <v>0</v>
      </c>
      <c r="T79" s="62">
        <f t="shared" si="27"/>
        <v>3866328.7052268144</v>
      </c>
      <c r="U79" s="62">
        <f t="shared" si="27"/>
        <v>6326971.7654566141</v>
      </c>
      <c r="V79" s="62">
        <f t="shared" si="27"/>
        <v>1078740.9905962034</v>
      </c>
      <c r="W79" s="62">
        <f t="shared" si="27"/>
        <v>1843304.3081074399</v>
      </c>
      <c r="X79" s="62">
        <f t="shared" si="27"/>
        <v>1321518.470812906</v>
      </c>
      <c r="Y79" s="62">
        <f t="shared" si="27"/>
        <v>736624.84360688308</v>
      </c>
      <c r="Z79" s="62">
        <f t="shared" si="27"/>
        <v>470976.54185043217</v>
      </c>
      <c r="AA79" s="62">
        <f t="shared" si="27"/>
        <v>480314.81766104896</v>
      </c>
      <c r="AB79" s="62">
        <f t="shared" si="27"/>
        <v>1552830.8020193253</v>
      </c>
      <c r="AC79" s="62">
        <f t="shared" si="27"/>
        <v>0</v>
      </c>
      <c r="AD79" s="62">
        <f t="shared" si="27"/>
        <v>0</v>
      </c>
      <c r="AE79" s="62">
        <f t="shared" si="27"/>
        <v>0</v>
      </c>
      <c r="AF79" s="63">
        <f>SUM(H79:AE79)</f>
        <v>67176873.541538477</v>
      </c>
      <c r="AG79" s="58" t="str">
        <f>IF(ABS(AF79-F79)&lt;1,"ok","err")</f>
        <v>ok</v>
      </c>
    </row>
    <row r="80" spans="1:33" ht="15">
      <c r="A80" s="246"/>
      <c r="B80" s="60"/>
      <c r="F80" s="75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58"/>
    </row>
    <row r="81" spans="1:37" ht="15">
      <c r="A81" s="65" t="s">
        <v>1067</v>
      </c>
      <c r="B81" s="60"/>
      <c r="F81" s="75">
        <f>F69+F79</f>
        <v>6362551707.5583801</v>
      </c>
      <c r="G81" s="62"/>
      <c r="H81" s="62">
        <f t="shared" ref="H81:AE81" si="28">H69+H79</f>
        <v>3865573604.4296021</v>
      </c>
      <c r="I81" s="62">
        <f t="shared" si="28"/>
        <v>0</v>
      </c>
      <c r="J81" s="62">
        <f t="shared" si="28"/>
        <v>0</v>
      </c>
      <c r="K81" s="62">
        <f t="shared" si="28"/>
        <v>0</v>
      </c>
      <c r="L81" s="62">
        <f t="shared" si="28"/>
        <v>0</v>
      </c>
      <c r="M81" s="62">
        <f t="shared" si="28"/>
        <v>0</v>
      </c>
      <c r="N81" s="62">
        <f t="shared" si="28"/>
        <v>612587887.1790638</v>
      </c>
      <c r="O81" s="62">
        <f t="shared" si="28"/>
        <v>0</v>
      </c>
      <c r="P81" s="62">
        <f t="shared" si="28"/>
        <v>0</v>
      </c>
      <c r="Q81" s="62">
        <f t="shared" si="28"/>
        <v>0</v>
      </c>
      <c r="R81" s="62">
        <f t="shared" si="28"/>
        <v>234986651.87457144</v>
      </c>
      <c r="S81" s="62">
        <f t="shared" si="28"/>
        <v>0</v>
      </c>
      <c r="T81" s="62">
        <f t="shared" si="28"/>
        <v>360746497.80348939</v>
      </c>
      <c r="U81" s="62">
        <f t="shared" si="28"/>
        <v>590335969.88389969</v>
      </c>
      <c r="V81" s="62">
        <f t="shared" si="28"/>
        <v>100651564.84717923</v>
      </c>
      <c r="W81" s="62">
        <f t="shared" si="28"/>
        <v>171988887.71068254</v>
      </c>
      <c r="X81" s="62">
        <f t="shared" si="28"/>
        <v>123303835.88024795</v>
      </c>
      <c r="Y81" s="62">
        <f t="shared" si="28"/>
        <v>68730532.964510858</v>
      </c>
      <c r="Z81" s="62">
        <f t="shared" si="28"/>
        <v>43944307.629729785</v>
      </c>
      <c r="AA81" s="62">
        <f t="shared" si="28"/>
        <v>44815612.309450604</v>
      </c>
      <c r="AB81" s="62">
        <f t="shared" si="28"/>
        <v>144886355.04595384</v>
      </c>
      <c r="AC81" s="62">
        <f t="shared" si="28"/>
        <v>0</v>
      </c>
      <c r="AD81" s="62">
        <f t="shared" si="28"/>
        <v>0</v>
      </c>
      <c r="AE81" s="62">
        <f t="shared" si="28"/>
        <v>0</v>
      </c>
      <c r="AF81" s="63">
        <f>SUM(H81:AE81)</f>
        <v>6362551707.558382</v>
      </c>
      <c r="AG81" s="58" t="str">
        <f>IF(ABS(AF81-F81)&lt;1,"ok","err")</f>
        <v>ok</v>
      </c>
    </row>
    <row r="82" spans="1:37" ht="15">
      <c r="A82" s="65"/>
      <c r="B82" s="60"/>
      <c r="F82" s="75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58"/>
    </row>
    <row r="83" spans="1:37" ht="15">
      <c r="A83" s="65"/>
      <c r="B83" s="60"/>
      <c r="F83" s="147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4"/>
      <c r="AA83" s="64"/>
      <c r="AB83" s="62"/>
      <c r="AC83" s="62"/>
      <c r="AD83" s="62"/>
      <c r="AE83" s="62"/>
      <c r="AF83" s="63"/>
      <c r="AG83" s="58"/>
    </row>
    <row r="84" spans="1:37" ht="15">
      <c r="A84" s="65"/>
      <c r="B84" s="60"/>
      <c r="F84" s="75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8"/>
    </row>
    <row r="85" spans="1:37" ht="15">
      <c r="A85" s="65"/>
      <c r="B85" s="60"/>
      <c r="F85" s="75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58"/>
    </row>
    <row r="86" spans="1:37" ht="15">
      <c r="A86" s="65"/>
      <c r="B86" s="60"/>
      <c r="F86" s="75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8"/>
    </row>
    <row r="87" spans="1:37" ht="15">
      <c r="A87" s="65"/>
      <c r="B87" s="60"/>
      <c r="F87" s="75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58"/>
    </row>
    <row r="88" spans="1:37" ht="15">
      <c r="A88" s="65"/>
      <c r="B88" s="60"/>
      <c r="F88" s="75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58"/>
    </row>
    <row r="89" spans="1:37" ht="15">
      <c r="A89" s="65"/>
      <c r="B89" s="60"/>
      <c r="F89" s="75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58"/>
    </row>
    <row r="90" spans="1:37" ht="15">
      <c r="A90" s="65"/>
      <c r="B90" s="60"/>
      <c r="F90" s="75"/>
      <c r="G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58"/>
      <c r="AH90" s="62"/>
      <c r="AI90" s="62"/>
      <c r="AJ90" s="62"/>
      <c r="AK90" s="62"/>
    </row>
    <row r="91" spans="1:37">
      <c r="A91" s="60"/>
      <c r="B91" s="60"/>
      <c r="AG91" s="58"/>
      <c r="AH91" s="64"/>
    </row>
    <row r="92" spans="1:37" ht="15">
      <c r="A92" s="59" t="s">
        <v>891</v>
      </c>
      <c r="B92" s="60"/>
      <c r="AG92" s="58"/>
      <c r="AH92" s="64"/>
      <c r="AI92" s="64"/>
    </row>
    <row r="93" spans="1:37">
      <c r="A93" s="60"/>
      <c r="B93" s="60"/>
      <c r="AG93" s="58"/>
      <c r="AI93" s="64"/>
    </row>
    <row r="94" spans="1:37" ht="15">
      <c r="A94" s="59" t="s">
        <v>892</v>
      </c>
      <c r="B94" s="60"/>
      <c r="AG94" s="58"/>
    </row>
    <row r="95" spans="1:37">
      <c r="A95" s="60" t="s">
        <v>860</v>
      </c>
      <c r="B95" s="60"/>
      <c r="F95" s="79">
        <f>F69</f>
        <v>6295374834.0168419</v>
      </c>
      <c r="G95" s="64"/>
      <c r="H95" s="64">
        <f t="shared" ref="H95:AE95" si="29">H69</f>
        <v>3841238418.8189983</v>
      </c>
      <c r="I95" s="64">
        <f t="shared" si="29"/>
        <v>0</v>
      </c>
      <c r="J95" s="64">
        <f t="shared" si="29"/>
        <v>0</v>
      </c>
      <c r="K95" s="64">
        <f t="shared" si="29"/>
        <v>0</v>
      </c>
      <c r="L95" s="64">
        <f t="shared" si="29"/>
        <v>0</v>
      </c>
      <c r="M95" s="64">
        <f t="shared" si="29"/>
        <v>0</v>
      </c>
      <c r="N95" s="64">
        <f t="shared" si="29"/>
        <v>589942298.24877322</v>
      </c>
      <c r="O95" s="64">
        <f t="shared" si="29"/>
        <v>0</v>
      </c>
      <c r="P95" s="64">
        <f t="shared" si="29"/>
        <v>0</v>
      </c>
      <c r="Q95" s="64">
        <f t="shared" si="29"/>
        <v>0</v>
      </c>
      <c r="R95" s="64">
        <f t="shared" si="29"/>
        <v>232468164.11926493</v>
      </c>
      <c r="S95" s="64">
        <f t="shared" si="29"/>
        <v>0</v>
      </c>
      <c r="T95" s="64">
        <f t="shared" si="29"/>
        <v>356880169.09826255</v>
      </c>
      <c r="U95" s="64">
        <f t="shared" si="29"/>
        <v>584008998.11844313</v>
      </c>
      <c r="V95" s="64">
        <f t="shared" si="29"/>
        <v>99572823.856583029</v>
      </c>
      <c r="W95" s="64">
        <f t="shared" si="29"/>
        <v>170145583.40257511</v>
      </c>
      <c r="X95" s="64">
        <f t="shared" si="29"/>
        <v>121982317.40943505</v>
      </c>
      <c r="Y95" s="64">
        <f t="shared" si="29"/>
        <v>67993908.120903969</v>
      </c>
      <c r="Z95" s="64">
        <f t="shared" si="29"/>
        <v>43473331.087879352</v>
      </c>
      <c r="AA95" s="64">
        <f t="shared" si="29"/>
        <v>44335297.491789557</v>
      </c>
      <c r="AB95" s="64">
        <f t="shared" si="29"/>
        <v>143333524.24393451</v>
      </c>
      <c r="AC95" s="64">
        <f t="shared" si="29"/>
        <v>0</v>
      </c>
      <c r="AD95" s="64">
        <f t="shared" si="29"/>
        <v>0</v>
      </c>
      <c r="AE95" s="64">
        <f t="shared" si="29"/>
        <v>0</v>
      </c>
      <c r="AF95" s="63">
        <f>SUM(H95:AE95)</f>
        <v>6295374834.0168438</v>
      </c>
      <c r="AG95" s="58" t="str">
        <f>IF(ABS(AF95-F95)&lt;1,"ok","err")</f>
        <v>ok</v>
      </c>
    </row>
    <row r="96" spans="1:37">
      <c r="A96" s="60" t="s">
        <v>887</v>
      </c>
      <c r="B96" s="60"/>
      <c r="F96" s="78">
        <f>F79</f>
        <v>67176873.541538477</v>
      </c>
      <c r="G96" s="67"/>
      <c r="H96" s="67">
        <f t="shared" ref="H96:AE96" si="30">H79</f>
        <v>24335185.610603753</v>
      </c>
      <c r="I96" s="67">
        <f t="shared" si="30"/>
        <v>0</v>
      </c>
      <c r="J96" s="67">
        <f t="shared" si="30"/>
        <v>0</v>
      </c>
      <c r="K96" s="67">
        <f>K79</f>
        <v>0</v>
      </c>
      <c r="L96" s="67">
        <f t="shared" si="30"/>
        <v>0</v>
      </c>
      <c r="M96" s="67">
        <f t="shared" si="30"/>
        <v>0</v>
      </c>
      <c r="N96" s="67">
        <f>N79</f>
        <v>22645588.930290539</v>
      </c>
      <c r="O96" s="67">
        <f>O79</f>
        <v>0</v>
      </c>
      <c r="P96" s="67">
        <f>P79</f>
        <v>0</v>
      </c>
      <c r="Q96" s="67">
        <f t="shared" si="30"/>
        <v>0</v>
      </c>
      <c r="R96" s="67">
        <f>R79</f>
        <v>2518487.755306513</v>
      </c>
      <c r="S96" s="67">
        <f t="shared" si="30"/>
        <v>0</v>
      </c>
      <c r="T96" s="67">
        <f t="shared" si="30"/>
        <v>3866328.7052268144</v>
      </c>
      <c r="U96" s="67">
        <f>U79</f>
        <v>6326971.7654566141</v>
      </c>
      <c r="V96" s="67">
        <f>V79</f>
        <v>1078740.9905962034</v>
      </c>
      <c r="W96" s="67">
        <f>W79</f>
        <v>1843304.3081074399</v>
      </c>
      <c r="X96" s="67">
        <f t="shared" si="30"/>
        <v>1321518.470812906</v>
      </c>
      <c r="Y96" s="67">
        <f t="shared" si="30"/>
        <v>736624.84360688308</v>
      </c>
      <c r="Z96" s="67">
        <f>Z79</f>
        <v>470976.54185043217</v>
      </c>
      <c r="AA96" s="67">
        <f>AA79</f>
        <v>480314.81766104896</v>
      </c>
      <c r="AB96" s="67">
        <f t="shared" si="30"/>
        <v>1552830.8020193253</v>
      </c>
      <c r="AC96" s="67">
        <f t="shared" si="30"/>
        <v>0</v>
      </c>
      <c r="AD96" s="67">
        <f t="shared" si="30"/>
        <v>0</v>
      </c>
      <c r="AE96" s="63">
        <f t="shared" si="30"/>
        <v>0</v>
      </c>
      <c r="AF96" s="63">
        <f>SUM(H96:AE96)</f>
        <v>67176873.541538477</v>
      </c>
      <c r="AG96" s="58" t="str">
        <f>IF(ABS(AF96-F96)&lt;1,"ok","err")</f>
        <v>ok</v>
      </c>
    </row>
    <row r="97" spans="1:33">
      <c r="A97" s="60"/>
      <c r="B97" s="60"/>
      <c r="W97" s="44"/>
      <c r="AF97" s="63"/>
      <c r="AG97" s="58"/>
    </row>
    <row r="98" spans="1:33" ht="15">
      <c r="A98" s="246" t="s">
        <v>893</v>
      </c>
      <c r="B98" s="60"/>
      <c r="C98" s="44" t="s">
        <v>894</v>
      </c>
      <c r="F98" s="79">
        <f>F95+F96</f>
        <v>6362551707.5583801</v>
      </c>
      <c r="G98" s="64"/>
      <c r="H98" s="64">
        <f t="shared" ref="H98:AE98" si="31">H95+H96</f>
        <v>3865573604.4296021</v>
      </c>
      <c r="I98" s="64">
        <f t="shared" si="31"/>
        <v>0</v>
      </c>
      <c r="J98" s="64">
        <f t="shared" si="31"/>
        <v>0</v>
      </c>
      <c r="K98" s="64">
        <f>K95+K96</f>
        <v>0</v>
      </c>
      <c r="L98" s="64">
        <f t="shared" si="31"/>
        <v>0</v>
      </c>
      <c r="M98" s="64">
        <f t="shared" si="31"/>
        <v>0</v>
      </c>
      <c r="N98" s="64">
        <f t="shared" si="31"/>
        <v>612587887.1790638</v>
      </c>
      <c r="O98" s="64">
        <f>O95+O96</f>
        <v>0</v>
      </c>
      <c r="P98" s="64">
        <f>P95+P96</f>
        <v>0</v>
      </c>
      <c r="Q98" s="64">
        <f t="shared" si="31"/>
        <v>0</v>
      </c>
      <c r="R98" s="64">
        <f>R95+R96</f>
        <v>234986651.87457144</v>
      </c>
      <c r="S98" s="64">
        <f t="shared" si="31"/>
        <v>0</v>
      </c>
      <c r="T98" s="64">
        <f t="shared" si="31"/>
        <v>360746497.80348939</v>
      </c>
      <c r="U98" s="64">
        <f>U95+U96</f>
        <v>590335969.88389969</v>
      </c>
      <c r="V98" s="64">
        <f>V95+V96</f>
        <v>100651564.84717923</v>
      </c>
      <c r="W98" s="64">
        <f>W95+W96</f>
        <v>171988887.71068254</v>
      </c>
      <c r="X98" s="64">
        <f t="shared" si="31"/>
        <v>123303835.88024795</v>
      </c>
      <c r="Y98" s="64">
        <f t="shared" si="31"/>
        <v>68730532.964510858</v>
      </c>
      <c r="Z98" s="64">
        <f>Z95+Z96</f>
        <v>43944307.629729785</v>
      </c>
      <c r="AA98" s="64">
        <f>AA95+AA96</f>
        <v>44815612.309450604</v>
      </c>
      <c r="AB98" s="64">
        <f t="shared" si="31"/>
        <v>144886355.04595384</v>
      </c>
      <c r="AC98" s="64">
        <f t="shared" si="31"/>
        <v>0</v>
      </c>
      <c r="AD98" s="64">
        <f t="shared" si="31"/>
        <v>0</v>
      </c>
      <c r="AE98" s="64">
        <f t="shared" si="31"/>
        <v>0</v>
      </c>
      <c r="AF98" s="63">
        <f>SUM(H98:AE98)</f>
        <v>6362551707.558382</v>
      </c>
      <c r="AG98" s="58" t="str">
        <f>IF(ABS(AF98-F98)&lt;1,"ok","err")</f>
        <v>ok</v>
      </c>
    </row>
    <row r="99" spans="1:33">
      <c r="A99" s="60"/>
      <c r="B99" s="60"/>
      <c r="W99" s="44"/>
      <c r="AG99" s="58"/>
    </row>
    <row r="100" spans="1:33" ht="15">
      <c r="A100" s="247" t="s">
        <v>717</v>
      </c>
      <c r="B100" s="60"/>
      <c r="W100" s="44"/>
      <c r="AG100" s="58"/>
    </row>
    <row r="101" spans="1:33">
      <c r="A101" s="68" t="s">
        <v>602</v>
      </c>
      <c r="B101" s="60"/>
      <c r="C101" s="44" t="s">
        <v>2</v>
      </c>
      <c r="D101" s="44" t="s">
        <v>616</v>
      </c>
      <c r="F101" s="75">
        <f>1104777278+21042613+180523966</f>
        <v>1306343857</v>
      </c>
      <c r="H101" s="63">
        <f t="shared" ref="H101:Q106" si="32">IF(VLOOKUP($D101,$C$6:$AE$653,H$2,)=0,0,((VLOOKUP($D101,$C$6:$AE$653,H$2,)/VLOOKUP($D101,$C$6:$AE$653,4,))*$F101))</f>
        <v>1306343857</v>
      </c>
      <c r="I101" s="63">
        <f t="shared" si="32"/>
        <v>0</v>
      </c>
      <c r="J101" s="63">
        <f t="shared" si="32"/>
        <v>0</v>
      </c>
      <c r="K101" s="63">
        <f t="shared" si="32"/>
        <v>0</v>
      </c>
      <c r="L101" s="63">
        <f t="shared" si="32"/>
        <v>0</v>
      </c>
      <c r="M101" s="63">
        <f t="shared" si="32"/>
        <v>0</v>
      </c>
      <c r="N101" s="63">
        <f t="shared" si="32"/>
        <v>0</v>
      </c>
      <c r="O101" s="63">
        <f t="shared" si="32"/>
        <v>0</v>
      </c>
      <c r="P101" s="63">
        <f t="shared" si="32"/>
        <v>0</v>
      </c>
      <c r="Q101" s="63">
        <f t="shared" si="32"/>
        <v>0</v>
      </c>
      <c r="R101" s="63">
        <f t="shared" ref="R101:AE106" si="33">IF(VLOOKUP($D101,$C$6:$AE$653,R$2,)=0,0,((VLOOKUP($D101,$C$6:$AE$653,R$2,)/VLOOKUP($D101,$C$6:$AE$653,4,))*$F101))</f>
        <v>0</v>
      </c>
      <c r="S101" s="63">
        <f t="shared" si="33"/>
        <v>0</v>
      </c>
      <c r="T101" s="63">
        <f t="shared" si="33"/>
        <v>0</v>
      </c>
      <c r="U101" s="63">
        <f t="shared" si="33"/>
        <v>0</v>
      </c>
      <c r="V101" s="63">
        <f t="shared" si="33"/>
        <v>0</v>
      </c>
      <c r="W101" s="63">
        <f t="shared" si="33"/>
        <v>0</v>
      </c>
      <c r="X101" s="63">
        <f t="shared" si="33"/>
        <v>0</v>
      </c>
      <c r="Y101" s="63">
        <f t="shared" si="33"/>
        <v>0</v>
      </c>
      <c r="Z101" s="63">
        <f t="shared" si="33"/>
        <v>0</v>
      </c>
      <c r="AA101" s="63">
        <f t="shared" si="33"/>
        <v>0</v>
      </c>
      <c r="AB101" s="63">
        <f t="shared" si="33"/>
        <v>0</v>
      </c>
      <c r="AC101" s="63">
        <f t="shared" si="33"/>
        <v>0</v>
      </c>
      <c r="AD101" s="63">
        <f t="shared" si="33"/>
        <v>0</v>
      </c>
      <c r="AE101" s="63">
        <f t="shared" si="33"/>
        <v>0</v>
      </c>
      <c r="AF101" s="63">
        <f t="shared" ref="AF101:AF106" si="34">SUM(H101:AE101)</f>
        <v>1306343857</v>
      </c>
      <c r="AG101" s="58" t="str">
        <f t="shared" ref="AG101:AG106" si="35">IF(ABS(AF101-F101)&lt;1,"ok","err")</f>
        <v>ok</v>
      </c>
    </row>
    <row r="102" spans="1:33">
      <c r="A102" s="60" t="s">
        <v>598</v>
      </c>
      <c r="B102" s="60"/>
      <c r="C102" s="44" t="s">
        <v>3</v>
      </c>
      <c r="D102" s="44" t="s">
        <v>1087</v>
      </c>
      <c r="F102" s="78">
        <v>180532194.92769</v>
      </c>
      <c r="H102" s="63">
        <f t="shared" si="32"/>
        <v>0</v>
      </c>
      <c r="I102" s="63">
        <f t="shared" si="32"/>
        <v>0</v>
      </c>
      <c r="J102" s="63">
        <f t="shared" si="32"/>
        <v>0</v>
      </c>
      <c r="K102" s="63">
        <f t="shared" si="32"/>
        <v>0</v>
      </c>
      <c r="L102" s="63">
        <f t="shared" si="32"/>
        <v>0</v>
      </c>
      <c r="M102" s="63">
        <f t="shared" si="32"/>
        <v>0</v>
      </c>
      <c r="N102" s="63">
        <f t="shared" si="32"/>
        <v>180532194.92769</v>
      </c>
      <c r="O102" s="63">
        <f t="shared" si="32"/>
        <v>0</v>
      </c>
      <c r="P102" s="63">
        <f t="shared" si="32"/>
        <v>0</v>
      </c>
      <c r="Q102" s="63">
        <f t="shared" si="32"/>
        <v>0</v>
      </c>
      <c r="R102" s="63">
        <f t="shared" si="33"/>
        <v>0</v>
      </c>
      <c r="S102" s="63">
        <f t="shared" si="33"/>
        <v>0</v>
      </c>
      <c r="T102" s="63">
        <f t="shared" si="33"/>
        <v>0</v>
      </c>
      <c r="U102" s="63">
        <f t="shared" si="33"/>
        <v>0</v>
      </c>
      <c r="V102" s="63">
        <f t="shared" si="33"/>
        <v>0</v>
      </c>
      <c r="W102" s="63">
        <f t="shared" si="33"/>
        <v>0</v>
      </c>
      <c r="X102" s="63">
        <f t="shared" si="33"/>
        <v>0</v>
      </c>
      <c r="Y102" s="63">
        <f t="shared" si="33"/>
        <v>0</v>
      </c>
      <c r="Z102" s="63">
        <f t="shared" si="33"/>
        <v>0</v>
      </c>
      <c r="AA102" s="63">
        <f t="shared" si="33"/>
        <v>0</v>
      </c>
      <c r="AB102" s="63">
        <f t="shared" si="33"/>
        <v>0</v>
      </c>
      <c r="AC102" s="63">
        <f t="shared" si="33"/>
        <v>0</v>
      </c>
      <c r="AD102" s="63">
        <f t="shared" si="33"/>
        <v>0</v>
      </c>
      <c r="AE102" s="63">
        <f t="shared" si="33"/>
        <v>0</v>
      </c>
      <c r="AF102" s="63">
        <f t="shared" si="34"/>
        <v>180532194.92769</v>
      </c>
      <c r="AG102" s="58" t="str">
        <f t="shared" si="35"/>
        <v>ok</v>
      </c>
    </row>
    <row r="103" spans="1:33">
      <c r="A103" s="60" t="s">
        <v>307</v>
      </c>
      <c r="B103" s="60"/>
      <c r="C103" s="44" t="s">
        <v>24</v>
      </c>
      <c r="D103" s="44" t="s">
        <v>861</v>
      </c>
      <c r="F103" s="78">
        <v>585717150.84657598</v>
      </c>
      <c r="H103" s="63">
        <f t="shared" si="32"/>
        <v>0</v>
      </c>
      <c r="I103" s="63">
        <f t="shared" si="32"/>
        <v>0</v>
      </c>
      <c r="J103" s="63">
        <f t="shared" si="32"/>
        <v>0</v>
      </c>
      <c r="K103" s="63">
        <f t="shared" si="32"/>
        <v>0</v>
      </c>
      <c r="L103" s="63">
        <f t="shared" si="32"/>
        <v>0</v>
      </c>
      <c r="M103" s="63">
        <f t="shared" si="32"/>
        <v>0</v>
      </c>
      <c r="N103" s="63">
        <f t="shared" si="32"/>
        <v>0</v>
      </c>
      <c r="O103" s="63">
        <f t="shared" si="32"/>
        <v>0</v>
      </c>
      <c r="P103" s="63">
        <f t="shared" si="32"/>
        <v>0</v>
      </c>
      <c r="Q103" s="63">
        <f t="shared" si="32"/>
        <v>0</v>
      </c>
      <c r="R103" s="63">
        <f t="shared" si="33"/>
        <v>73039920.84971799</v>
      </c>
      <c r="S103" s="63">
        <f t="shared" si="33"/>
        <v>0</v>
      </c>
      <c r="T103" s="63">
        <f t="shared" si="33"/>
        <v>112129329.20310748</v>
      </c>
      <c r="U103" s="63">
        <f t="shared" si="33"/>
        <v>183491667.16957456</v>
      </c>
      <c r="V103" s="63">
        <f t="shared" si="33"/>
        <v>31285106.073864467</v>
      </c>
      <c r="W103" s="63">
        <f t="shared" si="33"/>
        <v>53458588.584531695</v>
      </c>
      <c r="X103" s="63">
        <f t="shared" si="33"/>
        <v>38326016.994221039</v>
      </c>
      <c r="Y103" s="63">
        <f t="shared" si="33"/>
        <v>21363224.879540671</v>
      </c>
      <c r="Z103" s="63">
        <f t="shared" si="33"/>
        <v>13659025.844516281</v>
      </c>
      <c r="AA103" s="63">
        <f t="shared" si="33"/>
        <v>13929849.843816321</v>
      </c>
      <c r="AB103" s="63">
        <f t="shared" si="33"/>
        <v>45034421.403685562</v>
      </c>
      <c r="AC103" s="63">
        <f t="shared" si="33"/>
        <v>0</v>
      </c>
      <c r="AD103" s="63">
        <f t="shared" si="33"/>
        <v>0</v>
      </c>
      <c r="AE103" s="63">
        <f t="shared" si="33"/>
        <v>0</v>
      </c>
      <c r="AF103" s="63">
        <f t="shared" si="34"/>
        <v>585717150.84657609</v>
      </c>
      <c r="AG103" s="58" t="str">
        <f t="shared" si="35"/>
        <v>ok</v>
      </c>
    </row>
    <row r="104" spans="1:33">
      <c r="A104" s="68" t="s">
        <v>599</v>
      </c>
      <c r="B104" s="60"/>
      <c r="C104" s="44" t="s">
        <v>25</v>
      </c>
      <c r="D104" s="44" t="s">
        <v>1089</v>
      </c>
      <c r="F104" s="78">
        <f>8407336+96183805</f>
        <v>104591141</v>
      </c>
      <c r="H104" s="63">
        <f t="shared" si="32"/>
        <v>63846334.523722008</v>
      </c>
      <c r="I104" s="63">
        <f t="shared" si="32"/>
        <v>0</v>
      </c>
      <c r="J104" s="63">
        <f t="shared" si="32"/>
        <v>0</v>
      </c>
      <c r="K104" s="63">
        <f t="shared" si="32"/>
        <v>0</v>
      </c>
      <c r="L104" s="63">
        <f t="shared" si="32"/>
        <v>0</v>
      </c>
      <c r="M104" s="63">
        <f t="shared" si="32"/>
        <v>0</v>
      </c>
      <c r="N104" s="63">
        <f t="shared" si="32"/>
        <v>9806141.2318122759</v>
      </c>
      <c r="O104" s="63">
        <f t="shared" si="32"/>
        <v>0</v>
      </c>
      <c r="P104" s="63">
        <f t="shared" si="32"/>
        <v>0</v>
      </c>
      <c r="Q104" s="63">
        <f t="shared" si="32"/>
        <v>0</v>
      </c>
      <c r="R104" s="63">
        <f t="shared" si="33"/>
        <v>3858103.9626132138</v>
      </c>
      <c r="S104" s="63">
        <f t="shared" si="33"/>
        <v>0</v>
      </c>
      <c r="T104" s="63">
        <f t="shared" si="33"/>
        <v>5922878.9447043985</v>
      </c>
      <c r="U104" s="63">
        <f t="shared" si="33"/>
        <v>9692369.870854998</v>
      </c>
      <c r="V104" s="63">
        <f t="shared" si="33"/>
        <v>1652537.2742763211</v>
      </c>
      <c r="W104" s="63">
        <f t="shared" si="33"/>
        <v>2823781.7080614697</v>
      </c>
      <c r="X104" s="63">
        <f t="shared" si="33"/>
        <v>2024451.2359319795</v>
      </c>
      <c r="Y104" s="63">
        <f t="shared" si="33"/>
        <v>1128445.1242976843</v>
      </c>
      <c r="Z104" s="63">
        <f t="shared" si="33"/>
        <v>721495.0553491466</v>
      </c>
      <c r="AA104" s="63">
        <f t="shared" si="33"/>
        <v>735800.48083037196</v>
      </c>
      <c r="AB104" s="63">
        <f t="shared" si="33"/>
        <v>2378801.5875461265</v>
      </c>
      <c r="AC104" s="63">
        <f t="shared" si="33"/>
        <v>0</v>
      </c>
      <c r="AD104" s="63">
        <f t="shared" si="33"/>
        <v>0</v>
      </c>
      <c r="AE104" s="63">
        <f t="shared" si="33"/>
        <v>0</v>
      </c>
      <c r="AF104" s="63">
        <f t="shared" si="34"/>
        <v>104591140.99999999</v>
      </c>
      <c r="AG104" s="58" t="str">
        <f t="shared" si="35"/>
        <v>ok</v>
      </c>
    </row>
    <row r="105" spans="1:33">
      <c r="A105" s="68" t="s">
        <v>306</v>
      </c>
      <c r="B105" s="60"/>
      <c r="C105" s="44" t="s">
        <v>895</v>
      </c>
      <c r="D105" s="44" t="s">
        <v>1089</v>
      </c>
      <c r="F105" s="78">
        <v>0</v>
      </c>
      <c r="H105" s="63">
        <f t="shared" si="32"/>
        <v>0</v>
      </c>
      <c r="I105" s="63">
        <f t="shared" si="32"/>
        <v>0</v>
      </c>
      <c r="J105" s="63">
        <f t="shared" si="32"/>
        <v>0</v>
      </c>
      <c r="K105" s="63">
        <f t="shared" si="32"/>
        <v>0</v>
      </c>
      <c r="L105" s="63">
        <f t="shared" si="32"/>
        <v>0</v>
      </c>
      <c r="M105" s="63">
        <f t="shared" si="32"/>
        <v>0</v>
      </c>
      <c r="N105" s="63">
        <f t="shared" si="32"/>
        <v>0</v>
      </c>
      <c r="O105" s="63">
        <f t="shared" si="32"/>
        <v>0</v>
      </c>
      <c r="P105" s="63">
        <f t="shared" si="32"/>
        <v>0</v>
      </c>
      <c r="Q105" s="63">
        <f t="shared" si="32"/>
        <v>0</v>
      </c>
      <c r="R105" s="63">
        <f t="shared" si="33"/>
        <v>0</v>
      </c>
      <c r="S105" s="63">
        <f t="shared" si="33"/>
        <v>0</v>
      </c>
      <c r="T105" s="63">
        <f t="shared" si="33"/>
        <v>0</v>
      </c>
      <c r="U105" s="63">
        <f t="shared" si="33"/>
        <v>0</v>
      </c>
      <c r="V105" s="63">
        <f t="shared" si="33"/>
        <v>0</v>
      </c>
      <c r="W105" s="63">
        <f t="shared" si="33"/>
        <v>0</v>
      </c>
      <c r="X105" s="63">
        <f t="shared" si="33"/>
        <v>0</v>
      </c>
      <c r="Y105" s="63">
        <f t="shared" si="33"/>
        <v>0</v>
      </c>
      <c r="Z105" s="63">
        <f t="shared" si="33"/>
        <v>0</v>
      </c>
      <c r="AA105" s="63">
        <f t="shared" si="33"/>
        <v>0</v>
      </c>
      <c r="AB105" s="63">
        <f t="shared" si="33"/>
        <v>0</v>
      </c>
      <c r="AC105" s="63">
        <f t="shared" si="33"/>
        <v>0</v>
      </c>
      <c r="AD105" s="63">
        <f t="shared" si="33"/>
        <v>0</v>
      </c>
      <c r="AE105" s="63">
        <f t="shared" si="33"/>
        <v>0</v>
      </c>
      <c r="AF105" s="63">
        <f t="shared" si="34"/>
        <v>0</v>
      </c>
      <c r="AG105" s="58" t="str">
        <f t="shared" si="35"/>
        <v>ok</v>
      </c>
    </row>
    <row r="106" spans="1:33">
      <c r="A106" s="68" t="s">
        <v>1245</v>
      </c>
      <c r="B106" s="60"/>
      <c r="C106" s="44" t="s">
        <v>1246</v>
      </c>
      <c r="D106" s="44" t="s">
        <v>1089</v>
      </c>
      <c r="F106" s="78">
        <v>0</v>
      </c>
      <c r="H106" s="63">
        <f t="shared" si="32"/>
        <v>0</v>
      </c>
      <c r="I106" s="63">
        <f t="shared" si="32"/>
        <v>0</v>
      </c>
      <c r="J106" s="63">
        <f t="shared" si="32"/>
        <v>0</v>
      </c>
      <c r="K106" s="63">
        <f t="shared" si="32"/>
        <v>0</v>
      </c>
      <c r="L106" s="63">
        <f t="shared" si="32"/>
        <v>0</v>
      </c>
      <c r="M106" s="63">
        <f t="shared" si="32"/>
        <v>0</v>
      </c>
      <c r="N106" s="63">
        <f t="shared" si="32"/>
        <v>0</v>
      </c>
      <c r="O106" s="63">
        <f t="shared" si="32"/>
        <v>0</v>
      </c>
      <c r="P106" s="63">
        <f t="shared" si="32"/>
        <v>0</v>
      </c>
      <c r="Q106" s="63">
        <f t="shared" si="32"/>
        <v>0</v>
      </c>
      <c r="R106" s="63">
        <f t="shared" si="33"/>
        <v>0</v>
      </c>
      <c r="S106" s="63">
        <f t="shared" si="33"/>
        <v>0</v>
      </c>
      <c r="T106" s="63">
        <f t="shared" si="33"/>
        <v>0</v>
      </c>
      <c r="U106" s="63">
        <f t="shared" si="33"/>
        <v>0</v>
      </c>
      <c r="V106" s="63">
        <f t="shared" si="33"/>
        <v>0</v>
      </c>
      <c r="W106" s="63">
        <f t="shared" si="33"/>
        <v>0</v>
      </c>
      <c r="X106" s="63">
        <f t="shared" si="33"/>
        <v>0</v>
      </c>
      <c r="Y106" s="63">
        <f t="shared" si="33"/>
        <v>0</v>
      </c>
      <c r="Z106" s="63">
        <f t="shared" si="33"/>
        <v>0</v>
      </c>
      <c r="AA106" s="63">
        <f t="shared" si="33"/>
        <v>0</v>
      </c>
      <c r="AB106" s="63">
        <f t="shared" si="33"/>
        <v>0</v>
      </c>
      <c r="AC106" s="63">
        <f t="shared" si="33"/>
        <v>0</v>
      </c>
      <c r="AD106" s="63">
        <f t="shared" si="33"/>
        <v>0</v>
      </c>
      <c r="AE106" s="63">
        <f t="shared" si="33"/>
        <v>0</v>
      </c>
      <c r="AF106" s="63">
        <f t="shared" si="34"/>
        <v>0</v>
      </c>
      <c r="AG106" s="58" t="str">
        <f t="shared" si="35"/>
        <v>ok</v>
      </c>
    </row>
    <row r="107" spans="1:33">
      <c r="A107" s="60"/>
      <c r="B107" s="60"/>
      <c r="W107" s="44"/>
      <c r="AF107" s="63"/>
      <c r="AG107" s="58"/>
    </row>
    <row r="108" spans="1:33">
      <c r="A108" s="60" t="s">
        <v>896</v>
      </c>
      <c r="B108" s="60"/>
      <c r="C108" s="44" t="s">
        <v>897</v>
      </c>
      <c r="F108" s="79">
        <f>SUM(F101:F106)</f>
        <v>2177184343.7742662</v>
      </c>
      <c r="G108" s="64"/>
      <c r="H108" s="64">
        <f t="shared" ref="H108:M108" si="36">SUM(H101:H106)</f>
        <v>1370190191.5237219</v>
      </c>
      <c r="I108" s="64">
        <f t="shared" si="36"/>
        <v>0</v>
      </c>
      <c r="J108" s="64">
        <f t="shared" si="36"/>
        <v>0</v>
      </c>
      <c r="K108" s="64">
        <f t="shared" si="36"/>
        <v>0</v>
      </c>
      <c r="L108" s="64">
        <f t="shared" si="36"/>
        <v>0</v>
      </c>
      <c r="M108" s="64">
        <f t="shared" si="36"/>
        <v>0</v>
      </c>
      <c r="N108" s="64">
        <f>SUM(N101:N106)</f>
        <v>190338336.15950227</v>
      </c>
      <c r="O108" s="64">
        <f>SUM(O101:O106)</f>
        <v>0</v>
      </c>
      <c r="P108" s="64">
        <f>SUM(P101:P106)</f>
        <v>0</v>
      </c>
      <c r="Q108" s="64">
        <f t="shared" ref="Q108:AB108" si="37">SUM(Q101:Q106)</f>
        <v>0</v>
      </c>
      <c r="R108" s="64">
        <f t="shared" si="37"/>
        <v>76898024.8123312</v>
      </c>
      <c r="S108" s="64">
        <f t="shared" si="37"/>
        <v>0</v>
      </c>
      <c r="T108" s="64">
        <f t="shared" si="37"/>
        <v>118052208.14781187</v>
      </c>
      <c r="U108" s="64">
        <f t="shared" si="37"/>
        <v>193184037.04042956</v>
      </c>
      <c r="V108" s="64">
        <f t="shared" si="37"/>
        <v>32937643.348140787</v>
      </c>
      <c r="W108" s="64">
        <f t="shared" si="37"/>
        <v>56282370.292593166</v>
      </c>
      <c r="X108" s="64">
        <f t="shared" si="37"/>
        <v>40350468.230153017</v>
      </c>
      <c r="Y108" s="64">
        <f t="shared" si="37"/>
        <v>22491670.003838357</v>
      </c>
      <c r="Z108" s="64">
        <f t="shared" si="37"/>
        <v>14380520.899865428</v>
      </c>
      <c r="AA108" s="64">
        <f t="shared" si="37"/>
        <v>14665650.324646693</v>
      </c>
      <c r="AB108" s="64">
        <f t="shared" si="37"/>
        <v>47413222.991231687</v>
      </c>
      <c r="AC108" s="64">
        <f>SUM(AC101:AC106)</f>
        <v>0</v>
      </c>
      <c r="AD108" s="64">
        <f>SUM(AD101:AD106)</f>
        <v>0</v>
      </c>
      <c r="AE108" s="64">
        <f>SUM(AE101:AE106)</f>
        <v>0</v>
      </c>
      <c r="AF108" s="63">
        <f>SUM(H108:AE108)</f>
        <v>2177184343.7742662</v>
      </c>
      <c r="AG108" s="58" t="str">
        <f>IF(ABS(AF108-F108)&lt;1,"ok","err")</f>
        <v>ok</v>
      </c>
    </row>
    <row r="109" spans="1:33">
      <c r="A109" s="60"/>
      <c r="B109" s="60"/>
      <c r="F109" s="79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3"/>
      <c r="AG109" s="58"/>
    </row>
    <row r="110" spans="1:33" ht="15">
      <c r="A110" s="59" t="s">
        <v>898</v>
      </c>
      <c r="B110" s="60"/>
      <c r="C110" s="44" t="s">
        <v>899</v>
      </c>
      <c r="F110" s="79">
        <f>F98-F108</f>
        <v>4185367363.7841139</v>
      </c>
      <c r="G110" s="64"/>
      <c r="H110" s="64">
        <f t="shared" ref="H110:M110" si="38">H98-H108</f>
        <v>2495383412.90588</v>
      </c>
      <c r="I110" s="64">
        <f t="shared" si="38"/>
        <v>0</v>
      </c>
      <c r="J110" s="64">
        <f t="shared" si="38"/>
        <v>0</v>
      </c>
      <c r="K110" s="64">
        <f t="shared" si="38"/>
        <v>0</v>
      </c>
      <c r="L110" s="64">
        <f t="shared" si="38"/>
        <v>0</v>
      </c>
      <c r="M110" s="64">
        <f t="shared" si="38"/>
        <v>0</v>
      </c>
      <c r="N110" s="64">
        <f>N98-N108</f>
        <v>422249551.01956153</v>
      </c>
      <c r="O110" s="64">
        <f>O98-O108</f>
        <v>0</v>
      </c>
      <c r="P110" s="64">
        <f>P98-P108</f>
        <v>0</v>
      </c>
      <c r="Q110" s="64">
        <f t="shared" ref="Q110:AB110" si="39">Q98-Q108</f>
        <v>0</v>
      </c>
      <c r="R110" s="64">
        <f t="shared" si="39"/>
        <v>158088627.06224024</v>
      </c>
      <c r="S110" s="64">
        <f t="shared" si="39"/>
        <v>0</v>
      </c>
      <c r="T110" s="64">
        <f t="shared" si="39"/>
        <v>242694289.6556775</v>
      </c>
      <c r="U110" s="64">
        <f t="shared" si="39"/>
        <v>397151932.8434701</v>
      </c>
      <c r="V110" s="64">
        <f t="shared" si="39"/>
        <v>67713921.499038443</v>
      </c>
      <c r="W110" s="64">
        <f t="shared" si="39"/>
        <v>115706517.41808937</v>
      </c>
      <c r="X110" s="64">
        <f t="shared" si="39"/>
        <v>82953367.650094926</v>
      </c>
      <c r="Y110" s="64">
        <f t="shared" si="39"/>
        <v>46238862.960672498</v>
      </c>
      <c r="Z110" s="64">
        <f t="shared" si="39"/>
        <v>29563786.729864359</v>
      </c>
      <c r="AA110" s="64">
        <f t="shared" si="39"/>
        <v>30149961.984803911</v>
      </c>
      <c r="AB110" s="64">
        <f t="shared" si="39"/>
        <v>97473132.05472216</v>
      </c>
      <c r="AC110" s="64">
        <f>AC98-AC108</f>
        <v>0</v>
      </c>
      <c r="AD110" s="64">
        <f>AD98-AD108</f>
        <v>0</v>
      </c>
      <c r="AE110" s="64">
        <f>AE98-AE108</f>
        <v>0</v>
      </c>
      <c r="AF110" s="63">
        <f>SUM(H110:AE110)</f>
        <v>4185367363.7841148</v>
      </c>
      <c r="AG110" s="58" t="str">
        <f>IF(ABS(AF110-F110)&lt;1,"ok","err")</f>
        <v>ok</v>
      </c>
    </row>
    <row r="111" spans="1:33">
      <c r="A111" s="60"/>
      <c r="B111" s="60"/>
      <c r="W111" s="44"/>
      <c r="AG111" s="58"/>
    </row>
    <row r="112" spans="1:33" ht="15">
      <c r="A112" s="59" t="s">
        <v>900</v>
      </c>
      <c r="B112" s="60"/>
      <c r="W112" s="44"/>
      <c r="AG112" s="58"/>
    </row>
    <row r="113" spans="1:33">
      <c r="A113" s="60" t="s">
        <v>20</v>
      </c>
      <c r="B113" s="60"/>
      <c r="C113" s="44" t="s">
        <v>902</v>
      </c>
      <c r="D113" s="44" t="s">
        <v>903</v>
      </c>
      <c r="F113" s="75">
        <v>124454261.20118438</v>
      </c>
      <c r="G113" s="62"/>
      <c r="H113" s="63">
        <f t="shared" ref="H113:Q116" si="40">IF(VLOOKUP($D113,$C$6:$AE$653,H$2,)=0,0,((VLOOKUP($D113,$C$6:$AE$653,H$2,)/VLOOKUP($D113,$C$6:$AE$653,4,))*$F113))</f>
        <v>18304702.906885609</v>
      </c>
      <c r="I113" s="63">
        <f t="shared" si="40"/>
        <v>0</v>
      </c>
      <c r="J113" s="63">
        <f t="shared" si="40"/>
        <v>0</v>
      </c>
      <c r="K113" s="63">
        <f t="shared" si="40"/>
        <v>78365698.835726827</v>
      </c>
      <c r="L113" s="63">
        <f t="shared" si="40"/>
        <v>0</v>
      </c>
      <c r="M113" s="63">
        <f t="shared" si="40"/>
        <v>0</v>
      </c>
      <c r="N113" s="63">
        <f t="shared" si="40"/>
        <v>7147160.3919246458</v>
      </c>
      <c r="O113" s="63">
        <f t="shared" si="40"/>
        <v>0</v>
      </c>
      <c r="P113" s="63">
        <f t="shared" si="40"/>
        <v>0</v>
      </c>
      <c r="Q113" s="63">
        <f t="shared" si="40"/>
        <v>0</v>
      </c>
      <c r="R113" s="63">
        <f t="shared" ref="R113:AE116" si="41">IF(VLOOKUP($D113,$C$6:$AE$653,R$2,)=0,0,((VLOOKUP($D113,$C$6:$AE$653,R$2,)/VLOOKUP($D113,$C$6:$AE$653,4,))*$F113))</f>
        <v>1674371.5785027666</v>
      </c>
      <c r="S113" s="63">
        <f t="shared" si="41"/>
        <v>0</v>
      </c>
      <c r="T113" s="63">
        <f t="shared" si="41"/>
        <v>2737300.1031365888</v>
      </c>
      <c r="U113" s="63">
        <f t="shared" si="41"/>
        <v>4581334.3898577942</v>
      </c>
      <c r="V113" s="63">
        <f t="shared" si="41"/>
        <v>864545.87801861507</v>
      </c>
      <c r="W113" s="63">
        <f t="shared" si="41"/>
        <v>1497986.481835576</v>
      </c>
      <c r="X113" s="63">
        <f t="shared" si="41"/>
        <v>231636.64425344608</v>
      </c>
      <c r="Y113" s="63">
        <f t="shared" si="41"/>
        <v>129116.09683507387</v>
      </c>
      <c r="Z113" s="63">
        <f t="shared" si="41"/>
        <v>69035.573333810913</v>
      </c>
      <c r="AA113" s="63">
        <f t="shared" si="41"/>
        <v>2886219.7937749536</v>
      </c>
      <c r="AB113" s="63">
        <f t="shared" si="41"/>
        <v>347121.44414450112</v>
      </c>
      <c r="AC113" s="63">
        <f t="shared" si="41"/>
        <v>4604270.2204592507</v>
      </c>
      <c r="AD113" s="63">
        <f t="shared" si="41"/>
        <v>1013760.8624949354</v>
      </c>
      <c r="AE113" s="63">
        <f t="shared" si="41"/>
        <v>0</v>
      </c>
      <c r="AF113" s="63">
        <f>SUM(H113:AE113)</f>
        <v>124454261.20118439</v>
      </c>
      <c r="AG113" s="58" t="str">
        <f>IF(ABS(AF113-F113)&lt;1,"ok","err")</f>
        <v>ok</v>
      </c>
    </row>
    <row r="114" spans="1:33">
      <c r="A114" s="60" t="s">
        <v>890</v>
      </c>
      <c r="B114" s="60"/>
      <c r="C114" s="44" t="s">
        <v>4</v>
      </c>
      <c r="D114" s="44" t="s">
        <v>886</v>
      </c>
      <c r="F114" s="78">
        <v>44127132.932526901</v>
      </c>
      <c r="G114" s="63"/>
      <c r="H114" s="63">
        <f t="shared" si="40"/>
        <v>26924979.497146476</v>
      </c>
      <c r="I114" s="63">
        <f t="shared" si="40"/>
        <v>0</v>
      </c>
      <c r="J114" s="63">
        <f t="shared" si="40"/>
        <v>0</v>
      </c>
      <c r="K114" s="63">
        <f t="shared" si="40"/>
        <v>0</v>
      </c>
      <c r="L114" s="63">
        <f t="shared" si="40"/>
        <v>0</v>
      </c>
      <c r="M114" s="63">
        <f t="shared" si="40"/>
        <v>0</v>
      </c>
      <c r="N114" s="63">
        <f t="shared" si="40"/>
        <v>4135172.7107143058</v>
      </c>
      <c r="O114" s="63">
        <f t="shared" si="40"/>
        <v>0</v>
      </c>
      <c r="P114" s="63">
        <f t="shared" si="40"/>
        <v>0</v>
      </c>
      <c r="Q114" s="63">
        <f t="shared" si="40"/>
        <v>0</v>
      </c>
      <c r="R114" s="63">
        <f t="shared" si="41"/>
        <v>1629474.6303654078</v>
      </c>
      <c r="S114" s="63">
        <f t="shared" si="41"/>
        <v>0</v>
      </c>
      <c r="T114" s="63">
        <f t="shared" si="41"/>
        <v>2501534.7104810029</v>
      </c>
      <c r="U114" s="63">
        <f t="shared" si="41"/>
        <v>4093583.5233374205</v>
      </c>
      <c r="V114" s="63">
        <f t="shared" si="41"/>
        <v>697951.01175619208</v>
      </c>
      <c r="W114" s="63">
        <f t="shared" si="41"/>
        <v>1192627.4407233633</v>
      </c>
      <c r="X114" s="63">
        <f t="shared" si="41"/>
        <v>855029.29971038969</v>
      </c>
      <c r="Y114" s="63">
        <f t="shared" si="41"/>
        <v>476600.09155304299</v>
      </c>
      <c r="Z114" s="63">
        <f t="shared" si="41"/>
        <v>304724.26352897199</v>
      </c>
      <c r="AA114" s="63">
        <f t="shared" si="41"/>
        <v>310766.1763763518</v>
      </c>
      <c r="AB114" s="63">
        <f t="shared" si="41"/>
        <v>1004689.5768339796</v>
      </c>
      <c r="AC114" s="63">
        <f t="shared" si="41"/>
        <v>0</v>
      </c>
      <c r="AD114" s="63">
        <f t="shared" si="41"/>
        <v>0</v>
      </c>
      <c r="AE114" s="63">
        <f t="shared" si="41"/>
        <v>0</v>
      </c>
      <c r="AF114" s="63">
        <f>SUM(H114:AE114)</f>
        <v>44127132.932526901</v>
      </c>
      <c r="AG114" s="58" t="str">
        <f>IF(ABS(AF114-F114)&lt;1,"ok","err")</f>
        <v>ok</v>
      </c>
    </row>
    <row r="115" spans="1:33">
      <c r="A115" s="60" t="s">
        <v>904</v>
      </c>
      <c r="B115" s="60"/>
      <c r="C115" s="44" t="s">
        <v>905</v>
      </c>
      <c r="D115" s="44" t="s">
        <v>886</v>
      </c>
      <c r="F115" s="78">
        <v>14687906.328766206</v>
      </c>
      <c r="H115" s="63">
        <f t="shared" si="40"/>
        <v>8962095.4382587802</v>
      </c>
      <c r="I115" s="63">
        <f t="shared" si="40"/>
        <v>0</v>
      </c>
      <c r="J115" s="63">
        <f t="shared" si="40"/>
        <v>0</v>
      </c>
      <c r="K115" s="63">
        <f t="shared" si="40"/>
        <v>0</v>
      </c>
      <c r="L115" s="63">
        <f t="shared" si="40"/>
        <v>0</v>
      </c>
      <c r="M115" s="63">
        <f t="shared" si="40"/>
        <v>0</v>
      </c>
      <c r="N115" s="63">
        <f t="shared" si="40"/>
        <v>1376410.0541295672</v>
      </c>
      <c r="O115" s="63">
        <f t="shared" si="40"/>
        <v>0</v>
      </c>
      <c r="P115" s="63">
        <f t="shared" si="40"/>
        <v>0</v>
      </c>
      <c r="Q115" s="63">
        <f t="shared" si="40"/>
        <v>0</v>
      </c>
      <c r="R115" s="63">
        <f t="shared" si="41"/>
        <v>542377.65169343655</v>
      </c>
      <c r="S115" s="63">
        <f t="shared" si="41"/>
        <v>0</v>
      </c>
      <c r="T115" s="63">
        <f t="shared" si="41"/>
        <v>832646.60683673935</v>
      </c>
      <c r="U115" s="63">
        <f t="shared" si="41"/>
        <v>1362566.9139143343</v>
      </c>
      <c r="V115" s="63">
        <f t="shared" si="41"/>
        <v>232316.00154983174</v>
      </c>
      <c r="W115" s="63">
        <f t="shared" si="41"/>
        <v>396971.18236178649</v>
      </c>
      <c r="X115" s="63">
        <f t="shared" si="41"/>
        <v>284600.18650429038</v>
      </c>
      <c r="Y115" s="63">
        <f t="shared" si="41"/>
        <v>158638.394017493</v>
      </c>
      <c r="Z115" s="63">
        <f t="shared" si="41"/>
        <v>101428.78409208056</v>
      </c>
      <c r="AA115" s="63">
        <f t="shared" si="41"/>
        <v>103439.86081633948</v>
      </c>
      <c r="AB115" s="63">
        <f t="shared" si="41"/>
        <v>334415.25459152949</v>
      </c>
      <c r="AC115" s="63">
        <f t="shared" si="41"/>
        <v>0</v>
      </c>
      <c r="AD115" s="63">
        <f t="shared" si="41"/>
        <v>0</v>
      </c>
      <c r="AE115" s="63">
        <f t="shared" si="41"/>
        <v>0</v>
      </c>
      <c r="AF115" s="63">
        <f>SUM(H115:AE115)</f>
        <v>14687906.32876621</v>
      </c>
      <c r="AG115" s="58" t="str">
        <f>IF(ABS(AF115-F115)&lt;1,"ok","err")</f>
        <v>ok</v>
      </c>
    </row>
    <row r="116" spans="1:33">
      <c r="A116" s="60" t="s">
        <v>1194</v>
      </c>
      <c r="B116" s="60"/>
      <c r="D116" s="44" t="s">
        <v>616</v>
      </c>
      <c r="F116" s="78">
        <v>33196476.108729374</v>
      </c>
      <c r="H116" s="63">
        <f t="shared" si="40"/>
        <v>33196476.108729374</v>
      </c>
      <c r="I116" s="63">
        <f t="shared" si="40"/>
        <v>0</v>
      </c>
      <c r="J116" s="63">
        <f t="shared" si="40"/>
        <v>0</v>
      </c>
      <c r="K116" s="63">
        <f t="shared" si="40"/>
        <v>0</v>
      </c>
      <c r="L116" s="63">
        <f t="shared" si="40"/>
        <v>0</v>
      </c>
      <c r="M116" s="63">
        <f t="shared" si="40"/>
        <v>0</v>
      </c>
      <c r="N116" s="63">
        <f t="shared" si="40"/>
        <v>0</v>
      </c>
      <c r="O116" s="63">
        <f t="shared" si="40"/>
        <v>0</v>
      </c>
      <c r="P116" s="63">
        <f t="shared" si="40"/>
        <v>0</v>
      </c>
      <c r="Q116" s="63">
        <f t="shared" si="40"/>
        <v>0</v>
      </c>
      <c r="R116" s="63">
        <f t="shared" si="41"/>
        <v>0</v>
      </c>
      <c r="S116" s="63">
        <f t="shared" si="41"/>
        <v>0</v>
      </c>
      <c r="T116" s="63">
        <f t="shared" si="41"/>
        <v>0</v>
      </c>
      <c r="U116" s="63">
        <f t="shared" si="41"/>
        <v>0</v>
      </c>
      <c r="V116" s="63">
        <f t="shared" si="41"/>
        <v>0</v>
      </c>
      <c r="W116" s="63">
        <f t="shared" si="41"/>
        <v>0</v>
      </c>
      <c r="X116" s="63">
        <f t="shared" si="41"/>
        <v>0</v>
      </c>
      <c r="Y116" s="63">
        <f t="shared" si="41"/>
        <v>0</v>
      </c>
      <c r="Z116" s="63">
        <f t="shared" si="41"/>
        <v>0</v>
      </c>
      <c r="AA116" s="63">
        <f t="shared" si="41"/>
        <v>0</v>
      </c>
      <c r="AB116" s="63">
        <f t="shared" si="41"/>
        <v>0</v>
      </c>
      <c r="AC116" s="63">
        <f t="shared" si="41"/>
        <v>0</v>
      </c>
      <c r="AD116" s="63">
        <f t="shared" si="41"/>
        <v>0</v>
      </c>
      <c r="AE116" s="63">
        <f t="shared" si="41"/>
        <v>0</v>
      </c>
      <c r="AF116" s="63">
        <f>SUM(H116:AE116)</f>
        <v>33196476.108729374</v>
      </c>
      <c r="AG116" s="58" t="str">
        <f>IF(ABS(AF116-F116)&lt;1,"ok","err")</f>
        <v>ok</v>
      </c>
    </row>
    <row r="117" spans="1:33">
      <c r="A117" s="68" t="s">
        <v>906</v>
      </c>
      <c r="B117" s="60"/>
      <c r="C117" s="44" t="s">
        <v>907</v>
      </c>
      <c r="F117" s="79">
        <f>SUM(F113:F116)</f>
        <v>216465776.57120684</v>
      </c>
      <c r="G117" s="64"/>
      <c r="H117" s="64">
        <f t="shared" ref="H117:M117" si="42">SUM(H113:H116)</f>
        <v>87388253.951020241</v>
      </c>
      <c r="I117" s="64">
        <f t="shared" si="42"/>
        <v>0</v>
      </c>
      <c r="J117" s="64">
        <f t="shared" si="42"/>
        <v>0</v>
      </c>
      <c r="K117" s="64">
        <f t="shared" si="42"/>
        <v>78365698.835726827</v>
      </c>
      <c r="L117" s="64">
        <f t="shared" si="42"/>
        <v>0</v>
      </c>
      <c r="M117" s="64">
        <f t="shared" si="42"/>
        <v>0</v>
      </c>
      <c r="N117" s="64">
        <f>SUM(N113:N116)</f>
        <v>12658743.156768519</v>
      </c>
      <c r="O117" s="64">
        <f>SUM(O113:O116)</f>
        <v>0</v>
      </c>
      <c r="P117" s="64">
        <f>SUM(P113:P116)</f>
        <v>0</v>
      </c>
      <c r="Q117" s="64">
        <f t="shared" ref="Q117:AB117" si="43">SUM(Q113:Q116)</f>
        <v>0</v>
      </c>
      <c r="R117" s="64">
        <f t="shared" si="43"/>
        <v>3846223.8605616111</v>
      </c>
      <c r="S117" s="64">
        <f t="shared" si="43"/>
        <v>0</v>
      </c>
      <c r="T117" s="64">
        <f t="shared" si="43"/>
        <v>6071481.4204543307</v>
      </c>
      <c r="U117" s="64">
        <f t="shared" si="43"/>
        <v>10037484.827109549</v>
      </c>
      <c r="V117" s="64">
        <f t="shared" si="43"/>
        <v>1794812.8913246391</v>
      </c>
      <c r="W117" s="64">
        <f t="shared" si="43"/>
        <v>3087585.1049207253</v>
      </c>
      <c r="X117" s="64">
        <f t="shared" si="43"/>
        <v>1371266.1304681262</v>
      </c>
      <c r="Y117" s="64">
        <f t="shared" si="43"/>
        <v>764354.58240560989</v>
      </c>
      <c r="Z117" s="64">
        <f t="shared" si="43"/>
        <v>475188.62095486344</v>
      </c>
      <c r="AA117" s="64">
        <f t="shared" si="43"/>
        <v>3300425.8309676447</v>
      </c>
      <c r="AB117" s="64">
        <f t="shared" si="43"/>
        <v>1686226.2755700101</v>
      </c>
      <c r="AC117" s="64">
        <f>SUM(AC113:AC116)</f>
        <v>4604270.2204592507</v>
      </c>
      <c r="AD117" s="64">
        <f>SUM(AD113:AD116)</f>
        <v>1013760.8624949354</v>
      </c>
      <c r="AE117" s="64">
        <f>SUM(AE113:AE116)</f>
        <v>0</v>
      </c>
      <c r="AF117" s="63">
        <f>SUM(H117:AE117)</f>
        <v>216465776.57120687</v>
      </c>
      <c r="AG117" s="58" t="str">
        <f>IF(ABS(AF117-F117)&lt;1,"ok","err")</f>
        <v>ok</v>
      </c>
    </row>
    <row r="118" spans="1:33">
      <c r="A118" s="60"/>
      <c r="B118" s="60"/>
      <c r="W118" s="44"/>
      <c r="AG118" s="58"/>
    </row>
    <row r="119" spans="1:33" ht="15">
      <c r="A119" s="59" t="s">
        <v>43</v>
      </c>
      <c r="B119" s="60"/>
      <c r="I119" s="66"/>
      <c r="W119" s="44"/>
      <c r="AG119" s="58"/>
    </row>
    <row r="120" spans="1:33">
      <c r="A120" s="60" t="s">
        <v>140</v>
      </c>
      <c r="B120" s="60"/>
      <c r="C120" s="44" t="s">
        <v>141</v>
      </c>
      <c r="D120" s="44" t="s">
        <v>98</v>
      </c>
      <c r="F120" s="75">
        <v>0</v>
      </c>
      <c r="H120" s="63">
        <f t="shared" ref="H120:Q121" si="44">IF(VLOOKUP($D120,$C$6:$AE$653,H$2,)=0,0,((VLOOKUP($D120,$C$6:$AE$653,H$2,)/VLOOKUP($D120,$C$6:$AE$653,4,))*$F120))</f>
        <v>0</v>
      </c>
      <c r="I120" s="63">
        <f t="shared" si="44"/>
        <v>0</v>
      </c>
      <c r="J120" s="63">
        <f t="shared" si="44"/>
        <v>0</v>
      </c>
      <c r="K120" s="63">
        <f t="shared" si="44"/>
        <v>0</v>
      </c>
      <c r="L120" s="63">
        <f t="shared" si="44"/>
        <v>0</v>
      </c>
      <c r="M120" s="63">
        <f t="shared" si="44"/>
        <v>0</v>
      </c>
      <c r="N120" s="63">
        <f t="shared" si="44"/>
        <v>0</v>
      </c>
      <c r="O120" s="63">
        <f t="shared" si="44"/>
        <v>0</v>
      </c>
      <c r="P120" s="63">
        <f t="shared" si="44"/>
        <v>0</v>
      </c>
      <c r="Q120" s="63">
        <f t="shared" si="44"/>
        <v>0</v>
      </c>
      <c r="R120" s="63">
        <f t="shared" ref="R120:AE121" si="45">IF(VLOOKUP($D120,$C$6:$AE$653,R$2,)=0,0,((VLOOKUP($D120,$C$6:$AE$653,R$2,)/VLOOKUP($D120,$C$6:$AE$653,4,))*$F120))</f>
        <v>0</v>
      </c>
      <c r="S120" s="63">
        <f t="shared" si="45"/>
        <v>0</v>
      </c>
      <c r="T120" s="63">
        <f t="shared" si="45"/>
        <v>0</v>
      </c>
      <c r="U120" s="63">
        <f t="shared" si="45"/>
        <v>0</v>
      </c>
      <c r="V120" s="63">
        <f t="shared" si="45"/>
        <v>0</v>
      </c>
      <c r="W120" s="63">
        <f t="shared" si="45"/>
        <v>0</v>
      </c>
      <c r="X120" s="63">
        <f t="shared" si="45"/>
        <v>0</v>
      </c>
      <c r="Y120" s="63">
        <f t="shared" si="45"/>
        <v>0</v>
      </c>
      <c r="Z120" s="63">
        <f t="shared" si="45"/>
        <v>0</v>
      </c>
      <c r="AA120" s="63">
        <f t="shared" si="45"/>
        <v>0</v>
      </c>
      <c r="AB120" s="63">
        <f t="shared" si="45"/>
        <v>0</v>
      </c>
      <c r="AC120" s="63">
        <f t="shared" si="45"/>
        <v>0</v>
      </c>
      <c r="AD120" s="63">
        <f t="shared" si="45"/>
        <v>0</v>
      </c>
      <c r="AE120" s="63">
        <f t="shared" si="45"/>
        <v>0</v>
      </c>
      <c r="AF120" s="63">
        <f>SUM(H120:AE120)</f>
        <v>0</v>
      </c>
      <c r="AG120" s="58" t="str">
        <f>IF(ABS(AF120-F120)&lt;1,"ok","err")</f>
        <v>ok</v>
      </c>
    </row>
    <row r="121" spans="1:33">
      <c r="A121" s="60" t="s">
        <v>156</v>
      </c>
      <c r="B121" s="60"/>
      <c r="C121" s="44" t="s">
        <v>5</v>
      </c>
      <c r="D121" s="44" t="s">
        <v>18</v>
      </c>
      <c r="F121" s="78">
        <v>0</v>
      </c>
      <c r="H121" s="63">
        <f t="shared" si="44"/>
        <v>0</v>
      </c>
      <c r="I121" s="63">
        <f t="shared" si="44"/>
        <v>0</v>
      </c>
      <c r="J121" s="63">
        <f t="shared" si="44"/>
        <v>0</v>
      </c>
      <c r="K121" s="63">
        <f t="shared" si="44"/>
        <v>0</v>
      </c>
      <c r="L121" s="63">
        <f t="shared" si="44"/>
        <v>0</v>
      </c>
      <c r="M121" s="63">
        <f t="shared" si="44"/>
        <v>0</v>
      </c>
      <c r="N121" s="63">
        <f t="shared" si="44"/>
        <v>0</v>
      </c>
      <c r="O121" s="63">
        <f t="shared" si="44"/>
        <v>0</v>
      </c>
      <c r="P121" s="63">
        <f t="shared" si="44"/>
        <v>0</v>
      </c>
      <c r="Q121" s="63">
        <f t="shared" si="44"/>
        <v>0</v>
      </c>
      <c r="R121" s="63">
        <f t="shared" si="45"/>
        <v>0</v>
      </c>
      <c r="S121" s="63">
        <f t="shared" si="45"/>
        <v>0</v>
      </c>
      <c r="T121" s="63">
        <f t="shared" si="45"/>
        <v>0</v>
      </c>
      <c r="U121" s="63">
        <f t="shared" si="45"/>
        <v>0</v>
      </c>
      <c r="V121" s="63">
        <f t="shared" si="45"/>
        <v>0</v>
      </c>
      <c r="W121" s="63">
        <f t="shared" si="45"/>
        <v>0</v>
      </c>
      <c r="X121" s="63">
        <f t="shared" si="45"/>
        <v>0</v>
      </c>
      <c r="Y121" s="63">
        <f t="shared" si="45"/>
        <v>0</v>
      </c>
      <c r="Z121" s="63">
        <f t="shared" si="45"/>
        <v>0</v>
      </c>
      <c r="AA121" s="63">
        <f t="shared" si="45"/>
        <v>0</v>
      </c>
      <c r="AB121" s="63">
        <f t="shared" si="45"/>
        <v>0</v>
      </c>
      <c r="AC121" s="63">
        <f t="shared" si="45"/>
        <v>0</v>
      </c>
      <c r="AD121" s="63">
        <f t="shared" si="45"/>
        <v>0</v>
      </c>
      <c r="AE121" s="63">
        <f t="shared" si="45"/>
        <v>0</v>
      </c>
      <c r="AF121" s="63">
        <f>SUM(H121:AE121)</f>
        <v>0</v>
      </c>
      <c r="AG121" s="58" t="str">
        <f>IF(ABS(AF121-F121)&lt;1,"ok","err")</f>
        <v>ok</v>
      </c>
    </row>
    <row r="122" spans="1:33">
      <c r="A122" s="60"/>
      <c r="B122" s="60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58"/>
    </row>
    <row r="123" spans="1:33">
      <c r="A123" s="60" t="s">
        <v>1068</v>
      </c>
      <c r="B123" s="60"/>
      <c r="F123" s="79">
        <f t="shared" ref="F123:M123" si="46">SUM(F120:F121)</f>
        <v>0</v>
      </c>
      <c r="G123" s="64"/>
      <c r="H123" s="64">
        <f t="shared" si="46"/>
        <v>0</v>
      </c>
      <c r="I123" s="64">
        <f t="shared" si="46"/>
        <v>0</v>
      </c>
      <c r="J123" s="64">
        <f t="shared" si="46"/>
        <v>0</v>
      </c>
      <c r="K123" s="64">
        <f t="shared" si="46"/>
        <v>0</v>
      </c>
      <c r="L123" s="64">
        <f t="shared" si="46"/>
        <v>0</v>
      </c>
      <c r="M123" s="64">
        <f t="shared" si="46"/>
        <v>0</v>
      </c>
      <c r="N123" s="64">
        <f>SUM(N120:N121)</f>
        <v>0</v>
      </c>
      <c r="O123" s="64">
        <f>SUM(O120:O121)</f>
        <v>0</v>
      </c>
      <c r="P123" s="64">
        <f>SUM(P120:P121)</f>
        <v>0</v>
      </c>
      <c r="Q123" s="64">
        <f t="shared" ref="Q123:AB123" si="47">SUM(Q120:Q121)</f>
        <v>0</v>
      </c>
      <c r="R123" s="64">
        <f t="shared" si="47"/>
        <v>0</v>
      </c>
      <c r="S123" s="64">
        <f t="shared" si="47"/>
        <v>0</v>
      </c>
      <c r="T123" s="64">
        <f t="shared" si="47"/>
        <v>0</v>
      </c>
      <c r="U123" s="64">
        <f t="shared" si="47"/>
        <v>0</v>
      </c>
      <c r="V123" s="64">
        <f t="shared" si="47"/>
        <v>0</v>
      </c>
      <c r="W123" s="64">
        <f t="shared" si="47"/>
        <v>0</v>
      </c>
      <c r="X123" s="64">
        <f t="shared" si="47"/>
        <v>0</v>
      </c>
      <c r="Y123" s="64">
        <f t="shared" si="47"/>
        <v>0</v>
      </c>
      <c r="Z123" s="64">
        <f t="shared" si="47"/>
        <v>0</v>
      </c>
      <c r="AA123" s="64">
        <f t="shared" si="47"/>
        <v>0</v>
      </c>
      <c r="AB123" s="64">
        <f t="shared" si="47"/>
        <v>0</v>
      </c>
      <c r="AC123" s="64">
        <f>SUM(AC120:AC121)</f>
        <v>0</v>
      </c>
      <c r="AD123" s="64">
        <f>SUM(AD120:AD121)</f>
        <v>0</v>
      </c>
      <c r="AE123" s="64">
        <f>SUM(AE120:AE121)</f>
        <v>0</v>
      </c>
      <c r="AF123" s="63">
        <f>SUM(H123:AE123)</f>
        <v>0</v>
      </c>
      <c r="AG123" s="58" t="str">
        <f>IF(ABS(AF123-F123)&lt;1,"ok","err")</f>
        <v>ok</v>
      </c>
    </row>
    <row r="124" spans="1:33">
      <c r="A124" s="60" t="s">
        <v>600</v>
      </c>
      <c r="B124" s="60"/>
      <c r="C124" s="44" t="s">
        <v>908</v>
      </c>
      <c r="D124" s="44" t="s">
        <v>819</v>
      </c>
      <c r="F124" s="75">
        <v>2369448.1870918632</v>
      </c>
      <c r="H124" s="63">
        <f t="shared" ref="H124:AE124" si="48">IF(VLOOKUP($D124,$C$6:$AE$653,H$2,)=0,0,((VLOOKUP($D124,$C$6:$AE$653,H$2,)/VLOOKUP($D124,$C$6:$AE$653,4,))*$F124))</f>
        <v>0</v>
      </c>
      <c r="I124" s="63">
        <f t="shared" si="48"/>
        <v>0</v>
      </c>
      <c r="J124" s="63">
        <f t="shared" si="48"/>
        <v>0</v>
      </c>
      <c r="K124" s="63">
        <f t="shared" si="48"/>
        <v>0</v>
      </c>
      <c r="L124" s="63">
        <f t="shared" si="48"/>
        <v>0</v>
      </c>
      <c r="M124" s="63">
        <f t="shared" si="48"/>
        <v>0</v>
      </c>
      <c r="N124" s="63">
        <f t="shared" si="48"/>
        <v>0</v>
      </c>
      <c r="O124" s="63">
        <f t="shared" si="48"/>
        <v>0</v>
      </c>
      <c r="P124" s="63">
        <f t="shared" si="48"/>
        <v>0</v>
      </c>
      <c r="Q124" s="63">
        <f t="shared" si="48"/>
        <v>0</v>
      </c>
      <c r="R124" s="63">
        <f t="shared" si="48"/>
        <v>0</v>
      </c>
      <c r="S124" s="63">
        <f t="shared" si="48"/>
        <v>0</v>
      </c>
      <c r="T124" s="63">
        <f t="shared" si="48"/>
        <v>698499.7347674988</v>
      </c>
      <c r="U124" s="63">
        <f t="shared" si="48"/>
        <v>1143045.104798879</v>
      </c>
      <c r="V124" s="63">
        <f t="shared" si="48"/>
        <v>194887.80009719159</v>
      </c>
      <c r="W124" s="63">
        <f t="shared" si="48"/>
        <v>333015.54742829397</v>
      </c>
      <c r="X124" s="63">
        <f t="shared" si="48"/>
        <v>0</v>
      </c>
      <c r="Y124" s="63">
        <f t="shared" si="48"/>
        <v>0</v>
      </c>
      <c r="Z124" s="63">
        <f t="shared" si="48"/>
        <v>0</v>
      </c>
      <c r="AA124" s="63">
        <f t="shared" si="48"/>
        <v>0</v>
      </c>
      <c r="AB124" s="63">
        <f t="shared" si="48"/>
        <v>0</v>
      </c>
      <c r="AC124" s="63">
        <f t="shared" si="48"/>
        <v>0</v>
      </c>
      <c r="AD124" s="63">
        <f t="shared" si="48"/>
        <v>0</v>
      </c>
      <c r="AE124" s="63">
        <f t="shared" si="48"/>
        <v>0</v>
      </c>
      <c r="AF124" s="63">
        <f>SUM(H124:AE124)</f>
        <v>2369448.1870918637</v>
      </c>
      <c r="AG124" s="58" t="str">
        <f>IF(ABS(AF124-F124)&lt;1,"ok","err")</f>
        <v>ok</v>
      </c>
    </row>
    <row r="125" spans="1:33">
      <c r="A125" s="60" t="s">
        <v>675</v>
      </c>
      <c r="B125" s="60"/>
      <c r="F125" s="75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58"/>
    </row>
    <row r="126" spans="1:33">
      <c r="A126" s="68" t="s">
        <v>1090</v>
      </c>
      <c r="B126" s="60"/>
      <c r="C126" s="44" t="s">
        <v>601</v>
      </c>
      <c r="D126" s="44" t="s">
        <v>886</v>
      </c>
      <c r="F126" s="75">
        <v>939385876.00808799</v>
      </c>
      <c r="H126" s="63">
        <f t="shared" ref="H126:Q129" si="49">IF(VLOOKUP($D126,$C$6:$AE$653,H$2,)=0,0,((VLOOKUP($D126,$C$6:$AE$653,H$2,)/VLOOKUP($D126,$C$6:$AE$653,4,))*$F126))</f>
        <v>573183521.57846332</v>
      </c>
      <c r="I126" s="63">
        <f t="shared" si="49"/>
        <v>0</v>
      </c>
      <c r="J126" s="63">
        <f t="shared" si="49"/>
        <v>0</v>
      </c>
      <c r="K126" s="63">
        <f t="shared" si="49"/>
        <v>0</v>
      </c>
      <c r="L126" s="63">
        <f t="shared" si="49"/>
        <v>0</v>
      </c>
      <c r="M126" s="63">
        <f t="shared" si="49"/>
        <v>0</v>
      </c>
      <c r="N126" s="63">
        <f t="shared" si="49"/>
        <v>88030256.695778817</v>
      </c>
      <c r="O126" s="63">
        <f t="shared" si="49"/>
        <v>0</v>
      </c>
      <c r="P126" s="63">
        <f t="shared" si="49"/>
        <v>0</v>
      </c>
      <c r="Q126" s="63">
        <f t="shared" si="49"/>
        <v>0</v>
      </c>
      <c r="R126" s="63">
        <f t="shared" ref="R126:AE129" si="50">IF(VLOOKUP($D126,$C$6:$AE$653,R$2,)=0,0,((VLOOKUP($D126,$C$6:$AE$653,R$2,)/VLOOKUP($D126,$C$6:$AE$653,4,))*$F126))</f>
        <v>34688531.779739842</v>
      </c>
      <c r="S126" s="63">
        <f t="shared" si="50"/>
        <v>0</v>
      </c>
      <c r="T126" s="63">
        <f t="shared" si="50"/>
        <v>53253094.393487722</v>
      </c>
      <c r="U126" s="63">
        <f t="shared" si="50"/>
        <v>87144899.034399867</v>
      </c>
      <c r="V126" s="63">
        <f t="shared" si="50"/>
        <v>14858099.292148527</v>
      </c>
      <c r="W126" s="63">
        <f t="shared" si="50"/>
        <v>25388854.854183827</v>
      </c>
      <c r="X126" s="63">
        <f t="shared" si="50"/>
        <v>18202008.47739581</v>
      </c>
      <c r="Y126" s="63">
        <f t="shared" si="50"/>
        <v>10145943.4310783</v>
      </c>
      <c r="Z126" s="63">
        <f t="shared" si="50"/>
        <v>6487021.7077955706</v>
      </c>
      <c r="AA126" s="63">
        <f t="shared" si="50"/>
        <v>6615642.9713065913</v>
      </c>
      <c r="AB126" s="63">
        <f t="shared" si="50"/>
        <v>21388001.792309914</v>
      </c>
      <c r="AC126" s="63">
        <f t="shared" si="50"/>
        <v>0</v>
      </c>
      <c r="AD126" s="63">
        <f t="shared" si="50"/>
        <v>0</v>
      </c>
      <c r="AE126" s="63">
        <f t="shared" si="50"/>
        <v>0</v>
      </c>
      <c r="AF126" s="63">
        <f>SUM(H126:AE126)</f>
        <v>939385876.00808799</v>
      </c>
      <c r="AG126" s="58" t="str">
        <f>IF(ABS(AF126-F126)&lt;1,"ok","err")</f>
        <v>ok</v>
      </c>
    </row>
    <row r="127" spans="1:33" s="60" customFormat="1">
      <c r="A127" s="68" t="s">
        <v>1091</v>
      </c>
      <c r="C127" s="60" t="s">
        <v>601</v>
      </c>
      <c r="D127" s="60" t="s">
        <v>886</v>
      </c>
      <c r="F127" s="75">
        <v>0</v>
      </c>
      <c r="H127" s="78">
        <f t="shared" si="49"/>
        <v>0</v>
      </c>
      <c r="I127" s="78">
        <f t="shared" si="49"/>
        <v>0</v>
      </c>
      <c r="J127" s="78">
        <f t="shared" si="49"/>
        <v>0</v>
      </c>
      <c r="K127" s="78">
        <f t="shared" si="49"/>
        <v>0</v>
      </c>
      <c r="L127" s="78">
        <f t="shared" si="49"/>
        <v>0</v>
      </c>
      <c r="M127" s="78">
        <f t="shared" si="49"/>
        <v>0</v>
      </c>
      <c r="N127" s="78">
        <f t="shared" si="49"/>
        <v>0</v>
      </c>
      <c r="O127" s="78">
        <f t="shared" si="49"/>
        <v>0</v>
      </c>
      <c r="P127" s="78">
        <f t="shared" si="49"/>
        <v>0</v>
      </c>
      <c r="Q127" s="78">
        <f t="shared" si="49"/>
        <v>0</v>
      </c>
      <c r="R127" s="78">
        <f t="shared" si="50"/>
        <v>0</v>
      </c>
      <c r="S127" s="78">
        <f t="shared" si="50"/>
        <v>0</v>
      </c>
      <c r="T127" s="78">
        <f t="shared" si="50"/>
        <v>0</v>
      </c>
      <c r="U127" s="78">
        <f t="shared" si="50"/>
        <v>0</v>
      </c>
      <c r="V127" s="78">
        <f t="shared" si="50"/>
        <v>0</v>
      </c>
      <c r="W127" s="78">
        <f t="shared" si="50"/>
        <v>0</v>
      </c>
      <c r="X127" s="78">
        <f t="shared" si="50"/>
        <v>0</v>
      </c>
      <c r="Y127" s="78">
        <f t="shared" si="50"/>
        <v>0</v>
      </c>
      <c r="Z127" s="78">
        <f t="shared" si="50"/>
        <v>0</v>
      </c>
      <c r="AA127" s="78">
        <f t="shared" si="50"/>
        <v>0</v>
      </c>
      <c r="AB127" s="78">
        <f t="shared" si="50"/>
        <v>0</v>
      </c>
      <c r="AC127" s="78">
        <f t="shared" si="50"/>
        <v>0</v>
      </c>
      <c r="AD127" s="78">
        <f t="shared" si="50"/>
        <v>0</v>
      </c>
      <c r="AE127" s="78">
        <f t="shared" si="50"/>
        <v>0</v>
      </c>
      <c r="AF127" s="78">
        <f>SUM(H127:AE127)</f>
        <v>0</v>
      </c>
      <c r="AG127" s="92" t="str">
        <f>IF(ABS(AF127-F127)&lt;1,"ok","err")</f>
        <v>ok</v>
      </c>
    </row>
    <row r="128" spans="1:33" s="60" customFormat="1">
      <c r="A128" s="68" t="s">
        <v>1092</v>
      </c>
      <c r="C128" s="60" t="s">
        <v>601</v>
      </c>
      <c r="D128" s="60" t="s">
        <v>886</v>
      </c>
      <c r="F128" s="75">
        <v>0</v>
      </c>
      <c r="H128" s="78">
        <f t="shared" si="49"/>
        <v>0</v>
      </c>
      <c r="I128" s="78">
        <f t="shared" si="49"/>
        <v>0</v>
      </c>
      <c r="J128" s="78">
        <f t="shared" si="49"/>
        <v>0</v>
      </c>
      <c r="K128" s="78">
        <f t="shared" si="49"/>
        <v>0</v>
      </c>
      <c r="L128" s="78">
        <f t="shared" si="49"/>
        <v>0</v>
      </c>
      <c r="M128" s="78">
        <f t="shared" si="49"/>
        <v>0</v>
      </c>
      <c r="N128" s="78">
        <f t="shared" si="49"/>
        <v>0</v>
      </c>
      <c r="O128" s="78">
        <f t="shared" si="49"/>
        <v>0</v>
      </c>
      <c r="P128" s="78">
        <f t="shared" si="49"/>
        <v>0</v>
      </c>
      <c r="Q128" s="78">
        <f t="shared" si="49"/>
        <v>0</v>
      </c>
      <c r="R128" s="78">
        <f t="shared" si="50"/>
        <v>0</v>
      </c>
      <c r="S128" s="78">
        <f t="shared" si="50"/>
        <v>0</v>
      </c>
      <c r="T128" s="78">
        <f t="shared" si="50"/>
        <v>0</v>
      </c>
      <c r="U128" s="78">
        <f t="shared" si="50"/>
        <v>0</v>
      </c>
      <c r="V128" s="78">
        <f t="shared" si="50"/>
        <v>0</v>
      </c>
      <c r="W128" s="78">
        <f t="shared" si="50"/>
        <v>0</v>
      </c>
      <c r="X128" s="78">
        <f t="shared" si="50"/>
        <v>0</v>
      </c>
      <c r="Y128" s="78">
        <f t="shared" si="50"/>
        <v>0</v>
      </c>
      <c r="Z128" s="78">
        <f t="shared" si="50"/>
        <v>0</v>
      </c>
      <c r="AA128" s="78">
        <f t="shared" si="50"/>
        <v>0</v>
      </c>
      <c r="AB128" s="78">
        <f t="shared" si="50"/>
        <v>0</v>
      </c>
      <c r="AC128" s="78">
        <f t="shared" si="50"/>
        <v>0</v>
      </c>
      <c r="AD128" s="78">
        <f t="shared" si="50"/>
        <v>0</v>
      </c>
      <c r="AE128" s="78">
        <f t="shared" si="50"/>
        <v>0</v>
      </c>
      <c r="AF128" s="78">
        <f>SUM(H128:AE128)</f>
        <v>0</v>
      </c>
      <c r="AG128" s="92" t="str">
        <f>IF(ABS(AF128-F128)&lt;1,"ok","err")</f>
        <v>ok</v>
      </c>
    </row>
    <row r="129" spans="1:33" s="60" customFormat="1">
      <c r="A129" s="68" t="s">
        <v>1093</v>
      </c>
      <c r="C129" s="60" t="s">
        <v>601</v>
      </c>
      <c r="D129" s="60" t="s">
        <v>886</v>
      </c>
      <c r="F129" s="75">
        <v>0</v>
      </c>
      <c r="H129" s="78">
        <f t="shared" si="49"/>
        <v>0</v>
      </c>
      <c r="I129" s="78">
        <f t="shared" si="49"/>
        <v>0</v>
      </c>
      <c r="J129" s="78">
        <f t="shared" si="49"/>
        <v>0</v>
      </c>
      <c r="K129" s="78">
        <f t="shared" si="49"/>
        <v>0</v>
      </c>
      <c r="L129" s="78">
        <f t="shared" si="49"/>
        <v>0</v>
      </c>
      <c r="M129" s="78">
        <f t="shared" si="49"/>
        <v>0</v>
      </c>
      <c r="N129" s="78">
        <f t="shared" si="49"/>
        <v>0</v>
      </c>
      <c r="O129" s="78">
        <f t="shared" si="49"/>
        <v>0</v>
      </c>
      <c r="P129" s="78">
        <f t="shared" si="49"/>
        <v>0</v>
      </c>
      <c r="Q129" s="78">
        <f t="shared" si="49"/>
        <v>0</v>
      </c>
      <c r="R129" s="78">
        <f t="shared" si="50"/>
        <v>0</v>
      </c>
      <c r="S129" s="78">
        <f t="shared" si="50"/>
        <v>0</v>
      </c>
      <c r="T129" s="78">
        <f t="shared" si="50"/>
        <v>0</v>
      </c>
      <c r="U129" s="78">
        <f t="shared" si="50"/>
        <v>0</v>
      </c>
      <c r="V129" s="78">
        <f t="shared" si="50"/>
        <v>0</v>
      </c>
      <c r="W129" s="78">
        <f t="shared" si="50"/>
        <v>0</v>
      </c>
      <c r="X129" s="78">
        <f t="shared" si="50"/>
        <v>0</v>
      </c>
      <c r="Y129" s="78">
        <f t="shared" si="50"/>
        <v>0</v>
      </c>
      <c r="Z129" s="78">
        <f t="shared" si="50"/>
        <v>0</v>
      </c>
      <c r="AA129" s="78">
        <f t="shared" si="50"/>
        <v>0</v>
      </c>
      <c r="AB129" s="78">
        <f t="shared" si="50"/>
        <v>0</v>
      </c>
      <c r="AC129" s="78">
        <f t="shared" si="50"/>
        <v>0</v>
      </c>
      <c r="AD129" s="78">
        <f t="shared" si="50"/>
        <v>0</v>
      </c>
      <c r="AE129" s="78">
        <f t="shared" si="50"/>
        <v>0</v>
      </c>
      <c r="AF129" s="78">
        <f>SUM(H129:AE129)</f>
        <v>0</v>
      </c>
      <c r="AG129" s="92" t="str">
        <f>IF(ABS(AF129-F129)&lt;1,"ok","err")</f>
        <v>ok</v>
      </c>
    </row>
    <row r="130" spans="1:33" s="60" customFormat="1">
      <c r="A130" s="68"/>
      <c r="F130" s="75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92"/>
    </row>
    <row r="131" spans="1:33">
      <c r="A131" s="60" t="s">
        <v>680</v>
      </c>
      <c r="B131" s="60"/>
      <c r="F131" s="75">
        <f>SUM(F126:F129)</f>
        <v>939385876.00808799</v>
      </c>
      <c r="G131" s="75"/>
      <c r="H131" s="75">
        <f t="shared" ref="H131:AE131" si="51">SUM(H126:H129)</f>
        <v>573183521.57846332</v>
      </c>
      <c r="I131" s="75">
        <f t="shared" si="51"/>
        <v>0</v>
      </c>
      <c r="J131" s="75">
        <f t="shared" si="51"/>
        <v>0</v>
      </c>
      <c r="K131" s="75">
        <f t="shared" si="51"/>
        <v>0</v>
      </c>
      <c r="L131" s="75">
        <f t="shared" si="51"/>
        <v>0</v>
      </c>
      <c r="M131" s="75">
        <f t="shared" si="51"/>
        <v>0</v>
      </c>
      <c r="N131" s="75">
        <f t="shared" si="51"/>
        <v>88030256.695778817</v>
      </c>
      <c r="O131" s="75">
        <f t="shared" si="51"/>
        <v>0</v>
      </c>
      <c r="P131" s="75">
        <f t="shared" si="51"/>
        <v>0</v>
      </c>
      <c r="Q131" s="75">
        <f t="shared" si="51"/>
        <v>0</v>
      </c>
      <c r="R131" s="75">
        <f t="shared" si="51"/>
        <v>34688531.779739842</v>
      </c>
      <c r="S131" s="75">
        <f t="shared" si="51"/>
        <v>0</v>
      </c>
      <c r="T131" s="75">
        <f t="shared" si="51"/>
        <v>53253094.393487722</v>
      </c>
      <c r="U131" s="75">
        <f t="shared" si="51"/>
        <v>87144899.034399867</v>
      </c>
      <c r="V131" s="75">
        <f t="shared" si="51"/>
        <v>14858099.292148527</v>
      </c>
      <c r="W131" s="75">
        <f t="shared" si="51"/>
        <v>25388854.854183827</v>
      </c>
      <c r="X131" s="75">
        <f t="shared" si="51"/>
        <v>18202008.47739581</v>
      </c>
      <c r="Y131" s="75">
        <f t="shared" si="51"/>
        <v>10145943.4310783</v>
      </c>
      <c r="Z131" s="75">
        <f t="shared" si="51"/>
        <v>6487021.7077955706</v>
      </c>
      <c r="AA131" s="75">
        <f t="shared" si="51"/>
        <v>6615642.9713065913</v>
      </c>
      <c r="AB131" s="75">
        <f t="shared" si="51"/>
        <v>21388001.792309914</v>
      </c>
      <c r="AC131" s="75">
        <f t="shared" si="51"/>
        <v>0</v>
      </c>
      <c r="AD131" s="75">
        <f t="shared" si="51"/>
        <v>0</v>
      </c>
      <c r="AE131" s="75">
        <f t="shared" si="51"/>
        <v>0</v>
      </c>
      <c r="AF131" s="63">
        <f>SUM(H131:AE131)</f>
        <v>939385876.00808799</v>
      </c>
      <c r="AG131" s="58" t="str">
        <f>IF(ABS(AF131-F131)&lt;1,"ok","err")</f>
        <v>ok</v>
      </c>
    </row>
    <row r="132" spans="1:33">
      <c r="A132" s="60"/>
      <c r="B132" s="60"/>
      <c r="F132" s="75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58"/>
    </row>
    <row r="133" spans="1:33">
      <c r="A133" s="60" t="s">
        <v>681</v>
      </c>
      <c r="B133" s="60"/>
      <c r="F133" s="75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3"/>
      <c r="AG133" s="58"/>
    </row>
    <row r="134" spans="1:33">
      <c r="A134" s="68" t="s">
        <v>677</v>
      </c>
      <c r="B134" s="60"/>
      <c r="C134" s="44" t="s">
        <v>601</v>
      </c>
      <c r="D134" s="44" t="s">
        <v>616</v>
      </c>
      <c r="F134" s="75">
        <v>0</v>
      </c>
      <c r="H134" s="63">
        <f t="shared" ref="H134:Q137" si="52">IF(VLOOKUP($D134,$C$6:$AE$653,H$2,)=0,0,((VLOOKUP($D134,$C$6:$AE$653,H$2,)/VLOOKUP($D134,$C$6:$AE$653,4,))*$F134))</f>
        <v>0</v>
      </c>
      <c r="I134" s="63">
        <f t="shared" si="52"/>
        <v>0</v>
      </c>
      <c r="J134" s="63">
        <f t="shared" si="52"/>
        <v>0</v>
      </c>
      <c r="K134" s="63">
        <f t="shared" si="52"/>
        <v>0</v>
      </c>
      <c r="L134" s="63">
        <f t="shared" si="52"/>
        <v>0</v>
      </c>
      <c r="M134" s="63">
        <f t="shared" si="52"/>
        <v>0</v>
      </c>
      <c r="N134" s="63">
        <f t="shared" si="52"/>
        <v>0</v>
      </c>
      <c r="O134" s="63">
        <f t="shared" si="52"/>
        <v>0</v>
      </c>
      <c r="P134" s="63">
        <f t="shared" si="52"/>
        <v>0</v>
      </c>
      <c r="Q134" s="63">
        <f t="shared" si="52"/>
        <v>0</v>
      </c>
      <c r="R134" s="63">
        <f t="shared" ref="R134:AE137" si="53">IF(VLOOKUP($D134,$C$6:$AE$653,R$2,)=0,0,((VLOOKUP($D134,$C$6:$AE$653,R$2,)/VLOOKUP($D134,$C$6:$AE$653,4,))*$F134))</f>
        <v>0</v>
      </c>
      <c r="S134" s="63">
        <f t="shared" si="53"/>
        <v>0</v>
      </c>
      <c r="T134" s="63">
        <f t="shared" si="53"/>
        <v>0</v>
      </c>
      <c r="U134" s="63">
        <f t="shared" si="53"/>
        <v>0</v>
      </c>
      <c r="V134" s="63">
        <f t="shared" si="53"/>
        <v>0</v>
      </c>
      <c r="W134" s="63">
        <f t="shared" si="53"/>
        <v>0</v>
      </c>
      <c r="X134" s="63">
        <f t="shared" si="53"/>
        <v>0</v>
      </c>
      <c r="Y134" s="63">
        <f t="shared" si="53"/>
        <v>0</v>
      </c>
      <c r="Z134" s="63">
        <f t="shared" si="53"/>
        <v>0</v>
      </c>
      <c r="AA134" s="63">
        <f t="shared" si="53"/>
        <v>0</v>
      </c>
      <c r="AB134" s="63">
        <f t="shared" si="53"/>
        <v>0</v>
      </c>
      <c r="AC134" s="63">
        <f t="shared" si="53"/>
        <v>0</v>
      </c>
      <c r="AD134" s="63">
        <f t="shared" si="53"/>
        <v>0</v>
      </c>
      <c r="AE134" s="63">
        <f t="shared" si="53"/>
        <v>0</v>
      </c>
      <c r="AF134" s="63">
        <f>SUM(H134:AE134)</f>
        <v>0</v>
      </c>
      <c r="AG134" s="58" t="str">
        <f>IF(ABS(AF134-F134)&lt;1,"ok","err")</f>
        <v>ok</v>
      </c>
    </row>
    <row r="135" spans="1:33">
      <c r="A135" s="68" t="s">
        <v>676</v>
      </c>
      <c r="B135" s="60"/>
      <c r="C135" s="44" t="s">
        <v>601</v>
      </c>
      <c r="D135" s="44" t="s">
        <v>1087</v>
      </c>
      <c r="F135" s="78">
        <v>0</v>
      </c>
      <c r="H135" s="63">
        <f t="shared" si="52"/>
        <v>0</v>
      </c>
      <c r="I135" s="63">
        <f t="shared" si="52"/>
        <v>0</v>
      </c>
      <c r="J135" s="63">
        <f t="shared" si="52"/>
        <v>0</v>
      </c>
      <c r="K135" s="63">
        <f t="shared" si="52"/>
        <v>0</v>
      </c>
      <c r="L135" s="63">
        <f t="shared" si="52"/>
        <v>0</v>
      </c>
      <c r="M135" s="63">
        <f t="shared" si="52"/>
        <v>0</v>
      </c>
      <c r="N135" s="63">
        <f t="shared" si="52"/>
        <v>0</v>
      </c>
      <c r="O135" s="63">
        <f t="shared" si="52"/>
        <v>0</v>
      </c>
      <c r="P135" s="63">
        <f t="shared" si="52"/>
        <v>0</v>
      </c>
      <c r="Q135" s="63">
        <f t="shared" si="52"/>
        <v>0</v>
      </c>
      <c r="R135" s="63">
        <f t="shared" si="53"/>
        <v>0</v>
      </c>
      <c r="S135" s="63">
        <f t="shared" si="53"/>
        <v>0</v>
      </c>
      <c r="T135" s="63">
        <f t="shared" si="53"/>
        <v>0</v>
      </c>
      <c r="U135" s="63">
        <f t="shared" si="53"/>
        <v>0</v>
      </c>
      <c r="V135" s="63">
        <f t="shared" si="53"/>
        <v>0</v>
      </c>
      <c r="W135" s="63">
        <f t="shared" si="53"/>
        <v>0</v>
      </c>
      <c r="X135" s="63">
        <f t="shared" si="53"/>
        <v>0</v>
      </c>
      <c r="Y135" s="63">
        <f t="shared" si="53"/>
        <v>0</v>
      </c>
      <c r="Z135" s="63">
        <f t="shared" si="53"/>
        <v>0</v>
      </c>
      <c r="AA135" s="63">
        <f t="shared" si="53"/>
        <v>0</v>
      </c>
      <c r="AB135" s="63">
        <f t="shared" si="53"/>
        <v>0</v>
      </c>
      <c r="AC135" s="63">
        <f t="shared" si="53"/>
        <v>0</v>
      </c>
      <c r="AD135" s="63">
        <f t="shared" si="53"/>
        <v>0</v>
      </c>
      <c r="AE135" s="63">
        <f t="shared" si="53"/>
        <v>0</v>
      </c>
      <c r="AF135" s="63">
        <f>SUM(H135:AE135)</f>
        <v>0</v>
      </c>
      <c r="AG135" s="58" t="str">
        <f>IF(ABS(AF135-F135)&lt;1,"ok","err")</f>
        <v>ok</v>
      </c>
    </row>
    <row r="136" spans="1:33">
      <c r="A136" s="68" t="s">
        <v>678</v>
      </c>
      <c r="B136" s="60"/>
      <c r="C136" s="44" t="s">
        <v>601</v>
      </c>
      <c r="D136" s="44" t="s">
        <v>861</v>
      </c>
      <c r="F136" s="78">
        <v>0</v>
      </c>
      <c r="H136" s="63">
        <f t="shared" si="52"/>
        <v>0</v>
      </c>
      <c r="I136" s="63">
        <f t="shared" si="52"/>
        <v>0</v>
      </c>
      <c r="J136" s="63">
        <f t="shared" si="52"/>
        <v>0</v>
      </c>
      <c r="K136" s="63">
        <f t="shared" si="52"/>
        <v>0</v>
      </c>
      <c r="L136" s="63">
        <f t="shared" si="52"/>
        <v>0</v>
      </c>
      <c r="M136" s="63">
        <f t="shared" si="52"/>
        <v>0</v>
      </c>
      <c r="N136" s="63">
        <f t="shared" si="52"/>
        <v>0</v>
      </c>
      <c r="O136" s="63">
        <f t="shared" si="52"/>
        <v>0</v>
      </c>
      <c r="P136" s="63">
        <f t="shared" si="52"/>
        <v>0</v>
      </c>
      <c r="Q136" s="63">
        <f t="shared" si="52"/>
        <v>0</v>
      </c>
      <c r="R136" s="63">
        <f t="shared" si="53"/>
        <v>0</v>
      </c>
      <c r="S136" s="63">
        <f t="shared" si="53"/>
        <v>0</v>
      </c>
      <c r="T136" s="63">
        <f t="shared" si="53"/>
        <v>0</v>
      </c>
      <c r="U136" s="63">
        <f t="shared" si="53"/>
        <v>0</v>
      </c>
      <c r="V136" s="63">
        <f t="shared" si="53"/>
        <v>0</v>
      </c>
      <c r="W136" s="63">
        <f t="shared" si="53"/>
        <v>0</v>
      </c>
      <c r="X136" s="63">
        <f t="shared" si="53"/>
        <v>0</v>
      </c>
      <c r="Y136" s="63">
        <f t="shared" si="53"/>
        <v>0</v>
      </c>
      <c r="Z136" s="63">
        <f t="shared" si="53"/>
        <v>0</v>
      </c>
      <c r="AA136" s="63">
        <f t="shared" si="53"/>
        <v>0</v>
      </c>
      <c r="AB136" s="63">
        <f t="shared" si="53"/>
        <v>0</v>
      </c>
      <c r="AC136" s="63">
        <f t="shared" si="53"/>
        <v>0</v>
      </c>
      <c r="AD136" s="63">
        <f t="shared" si="53"/>
        <v>0</v>
      </c>
      <c r="AE136" s="63">
        <f t="shared" si="53"/>
        <v>0</v>
      </c>
      <c r="AF136" s="63">
        <f>SUM(H136:AE136)</f>
        <v>0</v>
      </c>
      <c r="AG136" s="58" t="str">
        <f>IF(ABS(AF136-F136)&lt;1,"ok","err")</f>
        <v>ok</v>
      </c>
    </row>
    <row r="137" spans="1:33">
      <c r="A137" s="68" t="s">
        <v>679</v>
      </c>
      <c r="B137" s="60"/>
      <c r="C137" s="44" t="s">
        <v>601</v>
      </c>
      <c r="D137" s="44" t="s">
        <v>1089</v>
      </c>
      <c r="F137" s="78">
        <v>0</v>
      </c>
      <c r="H137" s="63">
        <f t="shared" si="52"/>
        <v>0</v>
      </c>
      <c r="I137" s="63">
        <f t="shared" si="52"/>
        <v>0</v>
      </c>
      <c r="J137" s="63">
        <f t="shared" si="52"/>
        <v>0</v>
      </c>
      <c r="K137" s="63">
        <f t="shared" si="52"/>
        <v>0</v>
      </c>
      <c r="L137" s="63">
        <f t="shared" si="52"/>
        <v>0</v>
      </c>
      <c r="M137" s="63">
        <f t="shared" si="52"/>
        <v>0</v>
      </c>
      <c r="N137" s="63">
        <f t="shared" si="52"/>
        <v>0</v>
      </c>
      <c r="O137" s="63">
        <f t="shared" si="52"/>
        <v>0</v>
      </c>
      <c r="P137" s="63">
        <f t="shared" si="52"/>
        <v>0</v>
      </c>
      <c r="Q137" s="63">
        <f t="shared" si="52"/>
        <v>0</v>
      </c>
      <c r="R137" s="63">
        <f t="shared" si="53"/>
        <v>0</v>
      </c>
      <c r="S137" s="63">
        <f t="shared" si="53"/>
        <v>0</v>
      </c>
      <c r="T137" s="63">
        <f t="shared" si="53"/>
        <v>0</v>
      </c>
      <c r="U137" s="63">
        <f t="shared" si="53"/>
        <v>0</v>
      </c>
      <c r="V137" s="63">
        <f t="shared" si="53"/>
        <v>0</v>
      </c>
      <c r="W137" s="63">
        <f t="shared" si="53"/>
        <v>0</v>
      </c>
      <c r="X137" s="63">
        <f t="shared" si="53"/>
        <v>0</v>
      </c>
      <c r="Y137" s="63">
        <f t="shared" si="53"/>
        <v>0</v>
      </c>
      <c r="Z137" s="63">
        <f t="shared" si="53"/>
        <v>0</v>
      </c>
      <c r="AA137" s="63">
        <f t="shared" si="53"/>
        <v>0</v>
      </c>
      <c r="AB137" s="63">
        <f t="shared" si="53"/>
        <v>0</v>
      </c>
      <c r="AC137" s="63">
        <f t="shared" si="53"/>
        <v>0</v>
      </c>
      <c r="AD137" s="63">
        <f t="shared" si="53"/>
        <v>0</v>
      </c>
      <c r="AE137" s="63">
        <f t="shared" si="53"/>
        <v>0</v>
      </c>
      <c r="AF137" s="63">
        <f>SUM(H137:AE137)</f>
        <v>0</v>
      </c>
      <c r="AG137" s="58" t="str">
        <f>IF(ABS(AF137-F137)&lt;1,"ok","err")</f>
        <v>ok</v>
      </c>
    </row>
    <row r="138" spans="1:33">
      <c r="A138" s="68"/>
      <c r="B138" s="60"/>
      <c r="F138" s="75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58"/>
    </row>
    <row r="139" spans="1:33">
      <c r="A139" s="60" t="s">
        <v>682</v>
      </c>
      <c r="B139" s="60"/>
      <c r="F139" s="75">
        <f>SUM(F134:F137)</f>
        <v>0</v>
      </c>
      <c r="H139" s="62">
        <f t="shared" ref="H139:M139" si="54">SUM(H134:H137)</f>
        <v>0</v>
      </c>
      <c r="I139" s="62">
        <f t="shared" si="54"/>
        <v>0</v>
      </c>
      <c r="J139" s="62">
        <f t="shared" si="54"/>
        <v>0</v>
      </c>
      <c r="K139" s="62">
        <f t="shared" si="54"/>
        <v>0</v>
      </c>
      <c r="L139" s="62">
        <f t="shared" si="54"/>
        <v>0</v>
      </c>
      <c r="M139" s="62">
        <f t="shared" si="54"/>
        <v>0</v>
      </c>
      <c r="N139" s="62">
        <f>SUM(N134:N137)</f>
        <v>0</v>
      </c>
      <c r="O139" s="62">
        <f>SUM(O134:O137)</f>
        <v>0</v>
      </c>
      <c r="P139" s="62">
        <f>SUM(P134:P137)</f>
        <v>0</v>
      </c>
      <c r="Q139" s="62">
        <f t="shared" ref="Q139:AB139" si="55">SUM(Q134:Q137)</f>
        <v>0</v>
      </c>
      <c r="R139" s="62">
        <f t="shared" si="55"/>
        <v>0</v>
      </c>
      <c r="S139" s="62">
        <f t="shared" si="55"/>
        <v>0</v>
      </c>
      <c r="T139" s="62">
        <f t="shared" si="55"/>
        <v>0</v>
      </c>
      <c r="U139" s="62">
        <f t="shared" si="55"/>
        <v>0</v>
      </c>
      <c r="V139" s="62">
        <f t="shared" si="55"/>
        <v>0</v>
      </c>
      <c r="W139" s="62">
        <f t="shared" si="55"/>
        <v>0</v>
      </c>
      <c r="X139" s="62">
        <f t="shared" si="55"/>
        <v>0</v>
      </c>
      <c r="Y139" s="62">
        <f t="shared" si="55"/>
        <v>0</v>
      </c>
      <c r="Z139" s="62">
        <f t="shared" si="55"/>
        <v>0</v>
      </c>
      <c r="AA139" s="62">
        <f t="shared" si="55"/>
        <v>0</v>
      </c>
      <c r="AB139" s="62">
        <f t="shared" si="55"/>
        <v>0</v>
      </c>
      <c r="AC139" s="62">
        <f>SUM(AC134:AC137)</f>
        <v>0</v>
      </c>
      <c r="AD139" s="62">
        <f>SUM(AD134:AD137)</f>
        <v>0</v>
      </c>
      <c r="AE139" s="62">
        <f>SUM(AE134:AE137)</f>
        <v>0</v>
      </c>
      <c r="AF139" s="63">
        <f>SUM(H139:AE139)</f>
        <v>0</v>
      </c>
      <c r="AG139" s="58" t="str">
        <f>IF(ABS(AF139-F139)&lt;1,"ok","err")</f>
        <v>ok</v>
      </c>
    </row>
    <row r="140" spans="1:33">
      <c r="A140" s="68"/>
      <c r="B140" s="60"/>
      <c r="F140" s="75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58"/>
    </row>
    <row r="141" spans="1:33" ht="15">
      <c r="A141" s="65" t="s">
        <v>909</v>
      </c>
      <c r="B141" s="60"/>
      <c r="C141" s="44" t="s">
        <v>910</v>
      </c>
      <c r="F141" s="79">
        <f>F110+F117+F123-F124-F131-F139</f>
        <v>3460077816.160141</v>
      </c>
      <c r="G141" s="64"/>
      <c r="H141" s="64">
        <f t="shared" ref="H141:M141" si="56">H98-H108+H117+H123-H124-H131-H139</f>
        <v>2009588145.2784369</v>
      </c>
      <c r="I141" s="64">
        <f t="shared" si="56"/>
        <v>0</v>
      </c>
      <c r="J141" s="64">
        <f t="shared" si="56"/>
        <v>0</v>
      </c>
      <c r="K141" s="64">
        <f t="shared" si="56"/>
        <v>78365698.835726827</v>
      </c>
      <c r="L141" s="64">
        <f t="shared" si="56"/>
        <v>0</v>
      </c>
      <c r="M141" s="64">
        <f t="shared" si="56"/>
        <v>0</v>
      </c>
      <c r="N141" s="64">
        <f>N98-N108+N117+N123-N124-N131-N139</f>
        <v>346878037.48055124</v>
      </c>
      <c r="O141" s="64">
        <f>O98-O108+O117+O123-O124-O131-O139</f>
        <v>0</v>
      </c>
      <c r="P141" s="64">
        <f>P98-P108+P117+P123-P124-P131-P139</f>
        <v>0</v>
      </c>
      <c r="Q141" s="64">
        <f t="shared" ref="Q141:AB141" si="57">Q98-Q108+Q117+Q123-Q124-Q131-Q139</f>
        <v>0</v>
      </c>
      <c r="R141" s="64">
        <f t="shared" si="57"/>
        <v>127246319.14306201</v>
      </c>
      <c r="S141" s="64">
        <f t="shared" si="57"/>
        <v>0</v>
      </c>
      <c r="T141" s="64">
        <f t="shared" si="57"/>
        <v>194814176.9478766</v>
      </c>
      <c r="U141" s="64">
        <f t="shared" si="57"/>
        <v>318901473.53138095</v>
      </c>
      <c r="V141" s="64">
        <f t="shared" si="57"/>
        <v>54455747.298117355</v>
      </c>
      <c r="W141" s="64">
        <f t="shared" si="57"/>
        <v>93072232.121397987</v>
      </c>
      <c r="X141" s="64">
        <f t="shared" si="57"/>
        <v>66122625.303167246</v>
      </c>
      <c r="Y141" s="64">
        <f t="shared" si="57"/>
        <v>36857274.11199981</v>
      </c>
      <c r="Z141" s="64">
        <f t="shared" si="57"/>
        <v>23551953.643023651</v>
      </c>
      <c r="AA141" s="64">
        <f t="shared" si="57"/>
        <v>26834744.844464965</v>
      </c>
      <c r="AB141" s="64">
        <f t="shared" si="57"/>
        <v>77771356.537982255</v>
      </c>
      <c r="AC141" s="64">
        <f>AC98-AC108+AC117+AC123-AC124-AC131-AC139</f>
        <v>4604270.2204592507</v>
      </c>
      <c r="AD141" s="64">
        <f>AD98-AD108+AD117+AD123-AD124-AD131-AD139</f>
        <v>1013760.8624949354</v>
      </c>
      <c r="AE141" s="64">
        <f>AE98-AE108+AE117+AE123-AE124-AE131-AE139</f>
        <v>0</v>
      </c>
      <c r="AF141" s="63">
        <f>SUM(H141:AE141)</f>
        <v>3460077816.1601424</v>
      </c>
      <c r="AG141" s="58" t="str">
        <f>IF(ABS(AF141-F141)&lt;1,"ok","err")</f>
        <v>ok</v>
      </c>
    </row>
    <row r="142" spans="1:33">
      <c r="A142" s="60"/>
      <c r="F142" s="79"/>
      <c r="W142" s="44"/>
      <c r="AG142" s="58"/>
    </row>
    <row r="143" spans="1:33">
      <c r="A143" s="60"/>
      <c r="W143" s="44"/>
      <c r="AG143" s="58"/>
    </row>
    <row r="144" spans="1:33" ht="15">
      <c r="A144" s="59" t="s">
        <v>901</v>
      </c>
      <c r="W144" s="44"/>
      <c r="AG144" s="58"/>
    </row>
    <row r="145" spans="1:33" ht="15">
      <c r="A145" s="59"/>
      <c r="W145" s="44"/>
      <c r="AG145" s="58"/>
    </row>
    <row r="146" spans="1:33" ht="15">
      <c r="A146" s="65" t="s">
        <v>207</v>
      </c>
      <c r="W146" s="44"/>
      <c r="AG146" s="58"/>
    </row>
    <row r="147" spans="1:33">
      <c r="A147" s="60">
        <v>500</v>
      </c>
      <c r="B147" s="44" t="s">
        <v>199</v>
      </c>
      <c r="C147" s="44" t="s">
        <v>200</v>
      </c>
      <c r="D147" s="44" t="s">
        <v>629</v>
      </c>
      <c r="F147" s="75">
        <v>5359918.9999999898</v>
      </c>
      <c r="H147" s="63">
        <f t="shared" ref="H147:Q154" si="58">IF(VLOOKUP($D147,$C$6:$AE$653,H$2,)=0,0,((VLOOKUP($D147,$C$6:$AE$653,H$2,)/VLOOKUP($D147,$C$6:$AE$653,4,))*$F147))</f>
        <v>4681924.591937134</v>
      </c>
      <c r="I147" s="63">
        <f t="shared" si="58"/>
        <v>0</v>
      </c>
      <c r="J147" s="63">
        <f t="shared" si="58"/>
        <v>0</v>
      </c>
      <c r="K147" s="63">
        <f t="shared" si="58"/>
        <v>677994.40806285548</v>
      </c>
      <c r="L147" s="63">
        <f t="shared" si="58"/>
        <v>0</v>
      </c>
      <c r="M147" s="63">
        <f t="shared" si="58"/>
        <v>0</v>
      </c>
      <c r="N147" s="63">
        <f t="shared" si="58"/>
        <v>0</v>
      </c>
      <c r="O147" s="63">
        <f t="shared" si="58"/>
        <v>0</v>
      </c>
      <c r="P147" s="63">
        <f t="shared" si="58"/>
        <v>0</v>
      </c>
      <c r="Q147" s="63">
        <f t="shared" si="58"/>
        <v>0</v>
      </c>
      <c r="R147" s="63">
        <f t="shared" ref="R147:AE154" si="59">IF(VLOOKUP($D147,$C$6:$AE$653,R$2,)=0,0,((VLOOKUP($D147,$C$6:$AE$653,R$2,)/VLOOKUP($D147,$C$6:$AE$653,4,))*$F147))</f>
        <v>0</v>
      </c>
      <c r="S147" s="63">
        <f t="shared" si="59"/>
        <v>0</v>
      </c>
      <c r="T147" s="63">
        <f t="shared" si="59"/>
        <v>0</v>
      </c>
      <c r="U147" s="63">
        <f t="shared" si="59"/>
        <v>0</v>
      </c>
      <c r="V147" s="63">
        <f t="shared" si="59"/>
        <v>0</v>
      </c>
      <c r="W147" s="63">
        <f t="shared" si="59"/>
        <v>0</v>
      </c>
      <c r="X147" s="63">
        <f t="shared" si="59"/>
        <v>0</v>
      </c>
      <c r="Y147" s="63">
        <f t="shared" si="59"/>
        <v>0</v>
      </c>
      <c r="Z147" s="63">
        <f t="shared" si="59"/>
        <v>0</v>
      </c>
      <c r="AA147" s="63">
        <f t="shared" si="59"/>
        <v>0</v>
      </c>
      <c r="AB147" s="63">
        <f t="shared" si="59"/>
        <v>0</v>
      </c>
      <c r="AC147" s="63">
        <f t="shared" si="59"/>
        <v>0</v>
      </c>
      <c r="AD147" s="63">
        <f t="shared" si="59"/>
        <v>0</v>
      </c>
      <c r="AE147" s="63">
        <f t="shared" si="59"/>
        <v>0</v>
      </c>
      <c r="AF147" s="63">
        <f t="shared" ref="AF147:AF154" si="60">SUM(H147:AE147)</f>
        <v>5359918.9999999898</v>
      </c>
      <c r="AG147" s="58" t="str">
        <f t="shared" ref="AG147:AG154" si="61">IF(ABS(AF147-F147)&lt;1,"ok","err")</f>
        <v>ok</v>
      </c>
    </row>
    <row r="148" spans="1:33">
      <c r="A148" s="248">
        <v>501</v>
      </c>
      <c r="B148" s="44" t="s">
        <v>201</v>
      </c>
      <c r="C148" s="44" t="s">
        <v>202</v>
      </c>
      <c r="D148" s="44" t="s">
        <v>856</v>
      </c>
      <c r="F148" s="78">
        <f>235364259.070788+18801513</f>
        <v>254165772.070788</v>
      </c>
      <c r="H148" s="63">
        <f t="shared" si="58"/>
        <v>0</v>
      </c>
      <c r="I148" s="63">
        <f t="shared" si="58"/>
        <v>0</v>
      </c>
      <c r="J148" s="63">
        <f t="shared" si="58"/>
        <v>0</v>
      </c>
      <c r="K148" s="63">
        <f t="shared" si="58"/>
        <v>254165772.070788</v>
      </c>
      <c r="L148" s="63">
        <f t="shared" si="58"/>
        <v>0</v>
      </c>
      <c r="M148" s="63">
        <f t="shared" si="58"/>
        <v>0</v>
      </c>
      <c r="N148" s="63">
        <f t="shared" si="58"/>
        <v>0</v>
      </c>
      <c r="O148" s="63">
        <f t="shared" si="58"/>
        <v>0</v>
      </c>
      <c r="P148" s="63">
        <f t="shared" si="58"/>
        <v>0</v>
      </c>
      <c r="Q148" s="63">
        <f t="shared" si="58"/>
        <v>0</v>
      </c>
      <c r="R148" s="63">
        <f t="shared" si="59"/>
        <v>0</v>
      </c>
      <c r="S148" s="63">
        <f t="shared" si="59"/>
        <v>0</v>
      </c>
      <c r="T148" s="63">
        <f t="shared" si="59"/>
        <v>0</v>
      </c>
      <c r="U148" s="63">
        <f t="shared" si="59"/>
        <v>0</v>
      </c>
      <c r="V148" s="63">
        <f t="shared" si="59"/>
        <v>0</v>
      </c>
      <c r="W148" s="63">
        <f t="shared" si="59"/>
        <v>0</v>
      </c>
      <c r="X148" s="63">
        <f t="shared" si="59"/>
        <v>0</v>
      </c>
      <c r="Y148" s="63">
        <f t="shared" si="59"/>
        <v>0</v>
      </c>
      <c r="Z148" s="63">
        <f t="shared" si="59"/>
        <v>0</v>
      </c>
      <c r="AA148" s="63">
        <f t="shared" si="59"/>
        <v>0</v>
      </c>
      <c r="AB148" s="63">
        <f t="shared" si="59"/>
        <v>0</v>
      </c>
      <c r="AC148" s="63">
        <f t="shared" si="59"/>
        <v>0</v>
      </c>
      <c r="AD148" s="63">
        <f t="shared" si="59"/>
        <v>0</v>
      </c>
      <c r="AE148" s="63">
        <f t="shared" si="59"/>
        <v>0</v>
      </c>
      <c r="AF148" s="63">
        <f t="shared" si="60"/>
        <v>254165772.070788</v>
      </c>
      <c r="AG148" s="58" t="str">
        <f t="shared" si="61"/>
        <v>ok</v>
      </c>
    </row>
    <row r="149" spans="1:33">
      <c r="A149" s="60">
        <v>502</v>
      </c>
      <c r="B149" s="44" t="s">
        <v>203</v>
      </c>
      <c r="C149" s="44" t="s">
        <v>204</v>
      </c>
      <c r="D149" s="44" t="s">
        <v>624</v>
      </c>
      <c r="F149" s="78">
        <f>19277414-592250</f>
        <v>18685164</v>
      </c>
      <c r="H149" s="63">
        <f t="shared" si="58"/>
        <v>18685164</v>
      </c>
      <c r="I149" s="63">
        <f t="shared" si="58"/>
        <v>0</v>
      </c>
      <c r="J149" s="63">
        <f t="shared" si="58"/>
        <v>0</v>
      </c>
      <c r="K149" s="63">
        <f t="shared" si="58"/>
        <v>0</v>
      </c>
      <c r="L149" s="63">
        <f t="shared" si="58"/>
        <v>0</v>
      </c>
      <c r="M149" s="63">
        <f t="shared" si="58"/>
        <v>0</v>
      </c>
      <c r="N149" s="63">
        <f t="shared" si="58"/>
        <v>0</v>
      </c>
      <c r="O149" s="63">
        <f t="shared" si="58"/>
        <v>0</v>
      </c>
      <c r="P149" s="63">
        <f t="shared" si="58"/>
        <v>0</v>
      </c>
      <c r="Q149" s="63">
        <f t="shared" si="58"/>
        <v>0</v>
      </c>
      <c r="R149" s="63">
        <f t="shared" si="59"/>
        <v>0</v>
      </c>
      <c r="S149" s="63">
        <f t="shared" si="59"/>
        <v>0</v>
      </c>
      <c r="T149" s="63">
        <f t="shared" si="59"/>
        <v>0</v>
      </c>
      <c r="U149" s="63">
        <f t="shared" si="59"/>
        <v>0</v>
      </c>
      <c r="V149" s="63">
        <f t="shared" si="59"/>
        <v>0</v>
      </c>
      <c r="W149" s="63">
        <f t="shared" si="59"/>
        <v>0</v>
      </c>
      <c r="X149" s="63">
        <f t="shared" si="59"/>
        <v>0</v>
      </c>
      <c r="Y149" s="63">
        <f t="shared" si="59"/>
        <v>0</v>
      </c>
      <c r="Z149" s="63">
        <f t="shared" si="59"/>
        <v>0</v>
      </c>
      <c r="AA149" s="63">
        <f t="shared" si="59"/>
        <v>0</v>
      </c>
      <c r="AB149" s="63">
        <f t="shared" si="59"/>
        <v>0</v>
      </c>
      <c r="AC149" s="63">
        <f t="shared" si="59"/>
        <v>0</v>
      </c>
      <c r="AD149" s="63">
        <f t="shared" si="59"/>
        <v>0</v>
      </c>
      <c r="AE149" s="63">
        <f t="shared" si="59"/>
        <v>0</v>
      </c>
      <c r="AF149" s="63">
        <f t="shared" si="60"/>
        <v>18685164</v>
      </c>
      <c r="AG149" s="58" t="str">
        <f t="shared" si="61"/>
        <v>ok</v>
      </c>
    </row>
    <row r="150" spans="1:33">
      <c r="A150" s="60">
        <v>504</v>
      </c>
      <c r="B150" s="60" t="s">
        <v>1178</v>
      </c>
      <c r="C150" s="44" t="s">
        <v>1176</v>
      </c>
      <c r="D150" s="44" t="s">
        <v>624</v>
      </c>
      <c r="F150" s="78">
        <v>0</v>
      </c>
      <c r="H150" s="63">
        <f t="shared" si="58"/>
        <v>0</v>
      </c>
      <c r="I150" s="63">
        <f t="shared" si="58"/>
        <v>0</v>
      </c>
      <c r="J150" s="63">
        <f t="shared" si="58"/>
        <v>0</v>
      </c>
      <c r="K150" s="63">
        <f t="shared" si="58"/>
        <v>0</v>
      </c>
      <c r="L150" s="63">
        <f t="shared" si="58"/>
        <v>0</v>
      </c>
      <c r="M150" s="63">
        <f t="shared" si="58"/>
        <v>0</v>
      </c>
      <c r="N150" s="63">
        <f t="shared" si="58"/>
        <v>0</v>
      </c>
      <c r="O150" s="63">
        <f t="shared" si="58"/>
        <v>0</v>
      </c>
      <c r="P150" s="63">
        <f t="shared" si="58"/>
        <v>0</v>
      </c>
      <c r="Q150" s="63">
        <f t="shared" si="58"/>
        <v>0</v>
      </c>
      <c r="R150" s="63">
        <f t="shared" si="59"/>
        <v>0</v>
      </c>
      <c r="S150" s="63">
        <f t="shared" si="59"/>
        <v>0</v>
      </c>
      <c r="T150" s="63">
        <f t="shared" si="59"/>
        <v>0</v>
      </c>
      <c r="U150" s="63">
        <f t="shared" si="59"/>
        <v>0</v>
      </c>
      <c r="V150" s="63">
        <f t="shared" si="59"/>
        <v>0</v>
      </c>
      <c r="W150" s="63">
        <f t="shared" si="59"/>
        <v>0</v>
      </c>
      <c r="X150" s="63">
        <f t="shared" si="59"/>
        <v>0</v>
      </c>
      <c r="Y150" s="63">
        <f t="shared" si="59"/>
        <v>0</v>
      </c>
      <c r="Z150" s="63">
        <f t="shared" si="59"/>
        <v>0</v>
      </c>
      <c r="AA150" s="63">
        <f t="shared" si="59"/>
        <v>0</v>
      </c>
      <c r="AB150" s="63">
        <f t="shared" si="59"/>
        <v>0</v>
      </c>
      <c r="AC150" s="63">
        <f t="shared" si="59"/>
        <v>0</v>
      </c>
      <c r="AD150" s="63">
        <f t="shared" si="59"/>
        <v>0</v>
      </c>
      <c r="AE150" s="63">
        <f t="shared" si="59"/>
        <v>0</v>
      </c>
      <c r="AF150" s="63">
        <f>SUM(H150:AE150)</f>
        <v>0</v>
      </c>
      <c r="AG150" s="58" t="str">
        <f>IF(ABS(AF150-F150)&lt;1,"ok","err")</f>
        <v>ok</v>
      </c>
    </row>
    <row r="151" spans="1:33">
      <c r="A151" s="60">
        <v>505</v>
      </c>
      <c r="B151" s="44" t="s">
        <v>205</v>
      </c>
      <c r="C151" s="44" t="s">
        <v>206</v>
      </c>
      <c r="D151" s="44" t="s">
        <v>624</v>
      </c>
      <c r="F151" s="78">
        <v>2353024</v>
      </c>
      <c r="H151" s="63">
        <f t="shared" si="58"/>
        <v>2353024</v>
      </c>
      <c r="I151" s="63">
        <f t="shared" si="58"/>
        <v>0</v>
      </c>
      <c r="J151" s="63">
        <f t="shared" si="58"/>
        <v>0</v>
      </c>
      <c r="K151" s="63">
        <f t="shared" si="58"/>
        <v>0</v>
      </c>
      <c r="L151" s="63">
        <f t="shared" si="58"/>
        <v>0</v>
      </c>
      <c r="M151" s="63">
        <f t="shared" si="58"/>
        <v>0</v>
      </c>
      <c r="N151" s="63">
        <f t="shared" si="58"/>
        <v>0</v>
      </c>
      <c r="O151" s="63">
        <f t="shared" si="58"/>
        <v>0</v>
      </c>
      <c r="P151" s="63">
        <f t="shared" si="58"/>
        <v>0</v>
      </c>
      <c r="Q151" s="63">
        <f t="shared" si="58"/>
        <v>0</v>
      </c>
      <c r="R151" s="63">
        <f t="shared" si="59"/>
        <v>0</v>
      </c>
      <c r="S151" s="63">
        <f t="shared" si="59"/>
        <v>0</v>
      </c>
      <c r="T151" s="63">
        <f t="shared" si="59"/>
        <v>0</v>
      </c>
      <c r="U151" s="63">
        <f t="shared" si="59"/>
        <v>0</v>
      </c>
      <c r="V151" s="63">
        <f t="shared" si="59"/>
        <v>0</v>
      </c>
      <c r="W151" s="63">
        <f t="shared" si="59"/>
        <v>0</v>
      </c>
      <c r="X151" s="63">
        <f t="shared" si="59"/>
        <v>0</v>
      </c>
      <c r="Y151" s="63">
        <f t="shared" si="59"/>
        <v>0</v>
      </c>
      <c r="Z151" s="63">
        <f t="shared" si="59"/>
        <v>0</v>
      </c>
      <c r="AA151" s="63">
        <f t="shared" si="59"/>
        <v>0</v>
      </c>
      <c r="AB151" s="63">
        <f t="shared" si="59"/>
        <v>0</v>
      </c>
      <c r="AC151" s="63">
        <f t="shared" si="59"/>
        <v>0</v>
      </c>
      <c r="AD151" s="63">
        <f t="shared" si="59"/>
        <v>0</v>
      </c>
      <c r="AE151" s="63">
        <f t="shared" si="59"/>
        <v>0</v>
      </c>
      <c r="AF151" s="63">
        <f t="shared" si="60"/>
        <v>2353024</v>
      </c>
      <c r="AG151" s="58" t="str">
        <f t="shared" si="61"/>
        <v>ok</v>
      </c>
    </row>
    <row r="152" spans="1:33">
      <c r="A152" s="60">
        <v>506</v>
      </c>
      <c r="B152" s="44" t="s">
        <v>208</v>
      </c>
      <c r="C152" s="44" t="s">
        <v>209</v>
      </c>
      <c r="D152" s="44" t="s">
        <v>624</v>
      </c>
      <c r="F152" s="78">
        <v>16437786</v>
      </c>
      <c r="H152" s="63">
        <f t="shared" si="58"/>
        <v>16437786</v>
      </c>
      <c r="I152" s="63">
        <f t="shared" si="58"/>
        <v>0</v>
      </c>
      <c r="J152" s="63">
        <f t="shared" si="58"/>
        <v>0</v>
      </c>
      <c r="K152" s="63">
        <f t="shared" si="58"/>
        <v>0</v>
      </c>
      <c r="L152" s="63">
        <f t="shared" si="58"/>
        <v>0</v>
      </c>
      <c r="M152" s="63">
        <f t="shared" si="58"/>
        <v>0</v>
      </c>
      <c r="N152" s="63">
        <f t="shared" si="58"/>
        <v>0</v>
      </c>
      <c r="O152" s="63">
        <f t="shared" si="58"/>
        <v>0</v>
      </c>
      <c r="P152" s="63">
        <f t="shared" si="58"/>
        <v>0</v>
      </c>
      <c r="Q152" s="63">
        <f t="shared" si="58"/>
        <v>0</v>
      </c>
      <c r="R152" s="63">
        <f t="shared" si="59"/>
        <v>0</v>
      </c>
      <c r="S152" s="63">
        <f t="shared" si="59"/>
        <v>0</v>
      </c>
      <c r="T152" s="63">
        <f t="shared" si="59"/>
        <v>0</v>
      </c>
      <c r="U152" s="63">
        <f t="shared" si="59"/>
        <v>0</v>
      </c>
      <c r="V152" s="63">
        <f t="shared" si="59"/>
        <v>0</v>
      </c>
      <c r="W152" s="63">
        <f t="shared" si="59"/>
        <v>0</v>
      </c>
      <c r="X152" s="63">
        <f t="shared" si="59"/>
        <v>0</v>
      </c>
      <c r="Y152" s="63">
        <f t="shared" si="59"/>
        <v>0</v>
      </c>
      <c r="Z152" s="63">
        <f t="shared" si="59"/>
        <v>0</v>
      </c>
      <c r="AA152" s="63">
        <f t="shared" si="59"/>
        <v>0</v>
      </c>
      <c r="AB152" s="63">
        <f t="shared" si="59"/>
        <v>0</v>
      </c>
      <c r="AC152" s="63">
        <f t="shared" si="59"/>
        <v>0</v>
      </c>
      <c r="AD152" s="63">
        <f t="shared" si="59"/>
        <v>0</v>
      </c>
      <c r="AE152" s="63">
        <f t="shared" si="59"/>
        <v>0</v>
      </c>
      <c r="AF152" s="63">
        <f t="shared" si="60"/>
        <v>16437786</v>
      </c>
      <c r="AG152" s="58" t="str">
        <f t="shared" si="61"/>
        <v>ok</v>
      </c>
    </row>
    <row r="153" spans="1:33">
      <c r="A153" s="60">
        <v>507</v>
      </c>
      <c r="B153" s="44" t="s">
        <v>930</v>
      </c>
      <c r="C153" s="44" t="s">
        <v>332</v>
      </c>
      <c r="D153" s="44" t="s">
        <v>624</v>
      </c>
      <c r="F153" s="78">
        <v>0</v>
      </c>
      <c r="H153" s="63">
        <f t="shared" si="58"/>
        <v>0</v>
      </c>
      <c r="I153" s="63">
        <f t="shared" si="58"/>
        <v>0</v>
      </c>
      <c r="J153" s="63">
        <f t="shared" si="58"/>
        <v>0</v>
      </c>
      <c r="K153" s="63">
        <f t="shared" si="58"/>
        <v>0</v>
      </c>
      <c r="L153" s="63">
        <f t="shared" si="58"/>
        <v>0</v>
      </c>
      <c r="M153" s="63">
        <f t="shared" si="58"/>
        <v>0</v>
      </c>
      <c r="N153" s="63">
        <f t="shared" si="58"/>
        <v>0</v>
      </c>
      <c r="O153" s="63">
        <f t="shared" si="58"/>
        <v>0</v>
      </c>
      <c r="P153" s="63">
        <f t="shared" si="58"/>
        <v>0</v>
      </c>
      <c r="Q153" s="63">
        <f t="shared" si="58"/>
        <v>0</v>
      </c>
      <c r="R153" s="63">
        <f t="shared" si="59"/>
        <v>0</v>
      </c>
      <c r="S153" s="63">
        <f t="shared" si="59"/>
        <v>0</v>
      </c>
      <c r="T153" s="63">
        <f t="shared" si="59"/>
        <v>0</v>
      </c>
      <c r="U153" s="63">
        <f t="shared" si="59"/>
        <v>0</v>
      </c>
      <c r="V153" s="63">
        <f t="shared" si="59"/>
        <v>0</v>
      </c>
      <c r="W153" s="63">
        <f t="shared" si="59"/>
        <v>0</v>
      </c>
      <c r="X153" s="63">
        <f t="shared" si="59"/>
        <v>0</v>
      </c>
      <c r="Y153" s="63">
        <f t="shared" si="59"/>
        <v>0</v>
      </c>
      <c r="Z153" s="63">
        <f t="shared" si="59"/>
        <v>0</v>
      </c>
      <c r="AA153" s="63">
        <f t="shared" si="59"/>
        <v>0</v>
      </c>
      <c r="AB153" s="63">
        <f t="shared" si="59"/>
        <v>0</v>
      </c>
      <c r="AC153" s="63">
        <f t="shared" si="59"/>
        <v>0</v>
      </c>
      <c r="AD153" s="63">
        <f t="shared" si="59"/>
        <v>0</v>
      </c>
      <c r="AE153" s="63">
        <f t="shared" si="59"/>
        <v>0</v>
      </c>
      <c r="AF153" s="63">
        <f>SUM(H153:AE153)</f>
        <v>0</v>
      </c>
      <c r="AG153" s="58" t="str">
        <f t="shared" si="61"/>
        <v>ok</v>
      </c>
    </row>
    <row r="154" spans="1:33">
      <c r="A154" s="60">
        <v>509</v>
      </c>
      <c r="B154" s="44" t="s">
        <v>575</v>
      </c>
      <c r="C154" s="44" t="s">
        <v>574</v>
      </c>
      <c r="D154" s="44" t="s">
        <v>624</v>
      </c>
      <c r="F154" s="78">
        <v>0</v>
      </c>
      <c r="H154" s="63">
        <f t="shared" si="58"/>
        <v>0</v>
      </c>
      <c r="I154" s="63">
        <f t="shared" si="58"/>
        <v>0</v>
      </c>
      <c r="J154" s="63">
        <f t="shared" si="58"/>
        <v>0</v>
      </c>
      <c r="K154" s="63">
        <f t="shared" si="58"/>
        <v>0</v>
      </c>
      <c r="L154" s="63">
        <f t="shared" si="58"/>
        <v>0</v>
      </c>
      <c r="M154" s="63">
        <f t="shared" si="58"/>
        <v>0</v>
      </c>
      <c r="N154" s="63">
        <f t="shared" si="58"/>
        <v>0</v>
      </c>
      <c r="O154" s="63">
        <f t="shared" si="58"/>
        <v>0</v>
      </c>
      <c r="P154" s="63">
        <f t="shared" si="58"/>
        <v>0</v>
      </c>
      <c r="Q154" s="63">
        <f t="shared" si="58"/>
        <v>0</v>
      </c>
      <c r="R154" s="63">
        <f t="shared" si="59"/>
        <v>0</v>
      </c>
      <c r="S154" s="63">
        <f t="shared" si="59"/>
        <v>0</v>
      </c>
      <c r="T154" s="63">
        <f t="shared" si="59"/>
        <v>0</v>
      </c>
      <c r="U154" s="63">
        <f t="shared" si="59"/>
        <v>0</v>
      </c>
      <c r="V154" s="63">
        <f t="shared" si="59"/>
        <v>0</v>
      </c>
      <c r="W154" s="63">
        <f t="shared" si="59"/>
        <v>0</v>
      </c>
      <c r="X154" s="63">
        <f t="shared" si="59"/>
        <v>0</v>
      </c>
      <c r="Y154" s="63">
        <f t="shared" si="59"/>
        <v>0</v>
      </c>
      <c r="Z154" s="63">
        <f t="shared" si="59"/>
        <v>0</v>
      </c>
      <c r="AA154" s="63">
        <f t="shared" si="59"/>
        <v>0</v>
      </c>
      <c r="AB154" s="63">
        <f t="shared" si="59"/>
        <v>0</v>
      </c>
      <c r="AC154" s="63">
        <f t="shared" si="59"/>
        <v>0</v>
      </c>
      <c r="AD154" s="63">
        <f t="shared" si="59"/>
        <v>0</v>
      </c>
      <c r="AE154" s="63">
        <f t="shared" si="59"/>
        <v>0</v>
      </c>
      <c r="AF154" s="63">
        <f t="shared" si="60"/>
        <v>0</v>
      </c>
      <c r="AG154" s="58" t="str">
        <f t="shared" si="61"/>
        <v>ok</v>
      </c>
    </row>
    <row r="155" spans="1:33">
      <c r="A155" s="60"/>
      <c r="F155" s="75"/>
      <c r="W155" s="44"/>
      <c r="AG155" s="58"/>
    </row>
    <row r="156" spans="1:33">
      <c r="A156" s="60"/>
      <c r="B156" s="44" t="s">
        <v>210</v>
      </c>
      <c r="F156" s="75">
        <f>SUM(F147:F155)</f>
        <v>297001665.07078803</v>
      </c>
      <c r="H156" s="62">
        <f>SUM(H147:H155)</f>
        <v>42157898.591937132</v>
      </c>
      <c r="I156" s="62">
        <f t="shared" ref="I156:AF156" si="62">SUM(I147:I155)</f>
        <v>0</v>
      </c>
      <c r="J156" s="62">
        <f t="shared" si="62"/>
        <v>0</v>
      </c>
      <c r="K156" s="62">
        <f t="shared" si="62"/>
        <v>254843766.47885084</v>
      </c>
      <c r="L156" s="62">
        <f t="shared" si="62"/>
        <v>0</v>
      </c>
      <c r="M156" s="62">
        <f t="shared" si="62"/>
        <v>0</v>
      </c>
      <c r="N156" s="62">
        <f t="shared" si="62"/>
        <v>0</v>
      </c>
      <c r="O156" s="62">
        <f>SUM(O147:O155)</f>
        <v>0</v>
      </c>
      <c r="P156" s="62">
        <f>SUM(P147:P155)</f>
        <v>0</v>
      </c>
      <c r="Q156" s="62">
        <f t="shared" si="62"/>
        <v>0</v>
      </c>
      <c r="R156" s="62">
        <f t="shared" si="62"/>
        <v>0</v>
      </c>
      <c r="S156" s="62">
        <f t="shared" si="62"/>
        <v>0</v>
      </c>
      <c r="T156" s="62">
        <f t="shared" si="62"/>
        <v>0</v>
      </c>
      <c r="U156" s="62">
        <f>SUM(U147:U155)</f>
        <v>0</v>
      </c>
      <c r="V156" s="62">
        <f>SUM(V147:V155)</f>
        <v>0</v>
      </c>
      <c r="W156" s="62">
        <f>SUM(W147:W155)</f>
        <v>0</v>
      </c>
      <c r="X156" s="62">
        <f t="shared" si="62"/>
        <v>0</v>
      </c>
      <c r="Y156" s="62">
        <f t="shared" si="62"/>
        <v>0</v>
      </c>
      <c r="Z156" s="62">
        <f>SUM(Z147:Z155)</f>
        <v>0</v>
      </c>
      <c r="AA156" s="62">
        <f>SUM(AA147:AA155)</f>
        <v>0</v>
      </c>
      <c r="AB156" s="62">
        <f t="shared" si="62"/>
        <v>0</v>
      </c>
      <c r="AC156" s="62">
        <f t="shared" si="62"/>
        <v>0</v>
      </c>
      <c r="AD156" s="62">
        <f t="shared" si="62"/>
        <v>0</v>
      </c>
      <c r="AE156" s="62">
        <f t="shared" si="62"/>
        <v>0</v>
      </c>
      <c r="AF156" s="62">
        <f t="shared" si="62"/>
        <v>297001665.07078803</v>
      </c>
      <c r="AG156" s="58" t="str">
        <f>IF(ABS(AF156-F156)&lt;1,"ok","err")</f>
        <v>ok</v>
      </c>
    </row>
    <row r="157" spans="1:33">
      <c r="A157" s="60"/>
      <c r="F157" s="75"/>
      <c r="W157" s="44"/>
      <c r="AG157" s="58"/>
    </row>
    <row r="158" spans="1:33" ht="15">
      <c r="A158" s="65" t="s">
        <v>211</v>
      </c>
      <c r="F158" s="75"/>
      <c r="W158" s="44"/>
      <c r="AG158" s="58"/>
    </row>
    <row r="159" spans="1:33">
      <c r="A159" s="60">
        <v>510</v>
      </c>
      <c r="B159" s="44" t="s">
        <v>214</v>
      </c>
      <c r="C159" s="44" t="s">
        <v>212</v>
      </c>
      <c r="D159" s="44" t="s">
        <v>86</v>
      </c>
      <c r="F159" s="75">
        <v>8141536</v>
      </c>
      <c r="H159" s="63">
        <f t="shared" ref="H159:Q163" si="63">IF(VLOOKUP($D159,$C$6:$AE$653,H$2,)=0,0,((VLOOKUP($D159,$C$6:$AE$653,H$2,)/VLOOKUP($D159,$C$6:$AE$653,4,))*$F159))</f>
        <v>31953.473259009832</v>
      </c>
      <c r="I159" s="63">
        <f t="shared" si="63"/>
        <v>0</v>
      </c>
      <c r="J159" s="63">
        <f t="shared" si="63"/>
        <v>0</v>
      </c>
      <c r="K159" s="63">
        <f t="shared" si="63"/>
        <v>8109582.5267409896</v>
      </c>
      <c r="L159" s="63">
        <f t="shared" si="63"/>
        <v>0</v>
      </c>
      <c r="M159" s="63">
        <f t="shared" si="63"/>
        <v>0</v>
      </c>
      <c r="N159" s="63">
        <f t="shared" si="63"/>
        <v>0</v>
      </c>
      <c r="O159" s="63">
        <f t="shared" si="63"/>
        <v>0</v>
      </c>
      <c r="P159" s="63">
        <f t="shared" si="63"/>
        <v>0</v>
      </c>
      <c r="Q159" s="63">
        <f t="shared" si="63"/>
        <v>0</v>
      </c>
      <c r="R159" s="63">
        <f t="shared" ref="R159:AE163" si="64">IF(VLOOKUP($D159,$C$6:$AE$653,R$2,)=0,0,((VLOOKUP($D159,$C$6:$AE$653,R$2,)/VLOOKUP($D159,$C$6:$AE$653,4,))*$F159))</f>
        <v>0</v>
      </c>
      <c r="S159" s="63">
        <f t="shared" si="64"/>
        <v>0</v>
      </c>
      <c r="T159" s="63">
        <f t="shared" si="64"/>
        <v>0</v>
      </c>
      <c r="U159" s="63">
        <f t="shared" si="64"/>
        <v>0</v>
      </c>
      <c r="V159" s="63">
        <f t="shared" si="64"/>
        <v>0</v>
      </c>
      <c r="W159" s="63">
        <f t="shared" si="64"/>
        <v>0</v>
      </c>
      <c r="X159" s="63">
        <f t="shared" si="64"/>
        <v>0</v>
      </c>
      <c r="Y159" s="63">
        <f t="shared" si="64"/>
        <v>0</v>
      </c>
      <c r="Z159" s="63">
        <f t="shared" si="64"/>
        <v>0</v>
      </c>
      <c r="AA159" s="63">
        <f t="shared" si="64"/>
        <v>0</v>
      </c>
      <c r="AB159" s="63">
        <f t="shared" si="64"/>
        <v>0</v>
      </c>
      <c r="AC159" s="63">
        <f t="shared" si="64"/>
        <v>0</v>
      </c>
      <c r="AD159" s="63">
        <f t="shared" si="64"/>
        <v>0</v>
      </c>
      <c r="AE159" s="63">
        <f t="shared" si="64"/>
        <v>0</v>
      </c>
      <c r="AF159" s="63">
        <f>SUM(H159:AE159)</f>
        <v>8141535.9999999991</v>
      </c>
      <c r="AG159" s="58" t="str">
        <f>IF(ABS(AF159-F159)&lt;1,"ok","err")</f>
        <v>ok</v>
      </c>
    </row>
    <row r="160" spans="1:33">
      <c r="A160" s="60">
        <v>511</v>
      </c>
      <c r="B160" s="44" t="s">
        <v>213</v>
      </c>
      <c r="C160" s="44" t="s">
        <v>215</v>
      </c>
      <c r="D160" s="44" t="s">
        <v>624</v>
      </c>
      <c r="F160" s="78">
        <v>3444669</v>
      </c>
      <c r="H160" s="63">
        <f t="shared" si="63"/>
        <v>3444669</v>
      </c>
      <c r="I160" s="63">
        <f t="shared" si="63"/>
        <v>0</v>
      </c>
      <c r="J160" s="63">
        <f t="shared" si="63"/>
        <v>0</v>
      </c>
      <c r="K160" s="63">
        <f t="shared" si="63"/>
        <v>0</v>
      </c>
      <c r="L160" s="63">
        <f t="shared" si="63"/>
        <v>0</v>
      </c>
      <c r="M160" s="63">
        <f t="shared" si="63"/>
        <v>0</v>
      </c>
      <c r="N160" s="63">
        <f t="shared" si="63"/>
        <v>0</v>
      </c>
      <c r="O160" s="63">
        <f t="shared" si="63"/>
        <v>0</v>
      </c>
      <c r="P160" s="63">
        <f t="shared" si="63"/>
        <v>0</v>
      </c>
      <c r="Q160" s="63">
        <f t="shared" si="63"/>
        <v>0</v>
      </c>
      <c r="R160" s="63">
        <f t="shared" si="64"/>
        <v>0</v>
      </c>
      <c r="S160" s="63">
        <f t="shared" si="64"/>
        <v>0</v>
      </c>
      <c r="T160" s="63">
        <f t="shared" si="64"/>
        <v>0</v>
      </c>
      <c r="U160" s="63">
        <f t="shared" si="64"/>
        <v>0</v>
      </c>
      <c r="V160" s="63">
        <f t="shared" si="64"/>
        <v>0</v>
      </c>
      <c r="W160" s="63">
        <f t="shared" si="64"/>
        <v>0</v>
      </c>
      <c r="X160" s="63">
        <f t="shared" si="64"/>
        <v>0</v>
      </c>
      <c r="Y160" s="63">
        <f t="shared" si="64"/>
        <v>0</v>
      </c>
      <c r="Z160" s="63">
        <f t="shared" si="64"/>
        <v>0</v>
      </c>
      <c r="AA160" s="63">
        <f t="shared" si="64"/>
        <v>0</v>
      </c>
      <c r="AB160" s="63">
        <f t="shared" si="64"/>
        <v>0</v>
      </c>
      <c r="AC160" s="63">
        <f t="shared" si="64"/>
        <v>0</v>
      </c>
      <c r="AD160" s="63">
        <f t="shared" si="64"/>
        <v>0</v>
      </c>
      <c r="AE160" s="63">
        <f t="shared" si="64"/>
        <v>0</v>
      </c>
      <c r="AF160" s="63">
        <f>SUM(H160:AE160)</f>
        <v>3444669</v>
      </c>
      <c r="AG160" s="58" t="str">
        <f>IF(ABS(AF160-F160)&lt;1,"ok","err")</f>
        <v>ok</v>
      </c>
    </row>
    <row r="161" spans="1:33">
      <c r="A161" s="60">
        <v>512</v>
      </c>
      <c r="B161" s="44" t="s">
        <v>216</v>
      </c>
      <c r="C161" s="44" t="s">
        <v>218</v>
      </c>
      <c r="D161" s="44" t="s">
        <v>856</v>
      </c>
      <c r="F161" s="78">
        <f>35468576-1126079</f>
        <v>34342497</v>
      </c>
      <c r="H161" s="63">
        <f t="shared" si="63"/>
        <v>0</v>
      </c>
      <c r="I161" s="63">
        <f t="shared" si="63"/>
        <v>0</v>
      </c>
      <c r="J161" s="63">
        <f t="shared" si="63"/>
        <v>0</v>
      </c>
      <c r="K161" s="63">
        <f t="shared" si="63"/>
        <v>34342497</v>
      </c>
      <c r="L161" s="63">
        <f t="shared" si="63"/>
        <v>0</v>
      </c>
      <c r="M161" s="63">
        <f t="shared" si="63"/>
        <v>0</v>
      </c>
      <c r="N161" s="63">
        <f t="shared" si="63"/>
        <v>0</v>
      </c>
      <c r="O161" s="63">
        <f t="shared" si="63"/>
        <v>0</v>
      </c>
      <c r="P161" s="63">
        <f t="shared" si="63"/>
        <v>0</v>
      </c>
      <c r="Q161" s="63">
        <f t="shared" si="63"/>
        <v>0</v>
      </c>
      <c r="R161" s="63">
        <f t="shared" si="64"/>
        <v>0</v>
      </c>
      <c r="S161" s="63">
        <f t="shared" si="64"/>
        <v>0</v>
      </c>
      <c r="T161" s="63">
        <f t="shared" si="64"/>
        <v>0</v>
      </c>
      <c r="U161" s="63">
        <f t="shared" si="64"/>
        <v>0</v>
      </c>
      <c r="V161" s="63">
        <f t="shared" si="64"/>
        <v>0</v>
      </c>
      <c r="W161" s="63">
        <f t="shared" si="64"/>
        <v>0</v>
      </c>
      <c r="X161" s="63">
        <f t="shared" si="64"/>
        <v>0</v>
      </c>
      <c r="Y161" s="63">
        <f t="shared" si="64"/>
        <v>0</v>
      </c>
      <c r="Z161" s="63">
        <f t="shared" si="64"/>
        <v>0</v>
      </c>
      <c r="AA161" s="63">
        <f t="shared" si="64"/>
        <v>0</v>
      </c>
      <c r="AB161" s="63">
        <f t="shared" si="64"/>
        <v>0</v>
      </c>
      <c r="AC161" s="63">
        <f t="shared" si="64"/>
        <v>0</v>
      </c>
      <c r="AD161" s="63">
        <f t="shared" si="64"/>
        <v>0</v>
      </c>
      <c r="AE161" s="63">
        <f t="shared" si="64"/>
        <v>0</v>
      </c>
      <c r="AF161" s="63">
        <f>SUM(H161:AE161)</f>
        <v>34342497</v>
      </c>
      <c r="AG161" s="58" t="str">
        <f>IF(ABS(AF161-F161)&lt;1,"ok","err")</f>
        <v>ok</v>
      </c>
    </row>
    <row r="162" spans="1:33">
      <c r="A162" s="60">
        <v>513</v>
      </c>
      <c r="B162" s="44" t="s">
        <v>217</v>
      </c>
      <c r="C162" s="44" t="s">
        <v>219</v>
      </c>
      <c r="D162" s="44" t="s">
        <v>856</v>
      </c>
      <c r="F162" s="78">
        <v>14018415</v>
      </c>
      <c r="H162" s="63">
        <f t="shared" si="63"/>
        <v>0</v>
      </c>
      <c r="I162" s="63">
        <f t="shared" si="63"/>
        <v>0</v>
      </c>
      <c r="J162" s="63">
        <f t="shared" si="63"/>
        <v>0</v>
      </c>
      <c r="K162" s="63">
        <f t="shared" si="63"/>
        <v>14018415</v>
      </c>
      <c r="L162" s="63">
        <f t="shared" si="63"/>
        <v>0</v>
      </c>
      <c r="M162" s="63">
        <f t="shared" si="63"/>
        <v>0</v>
      </c>
      <c r="N162" s="63">
        <f t="shared" si="63"/>
        <v>0</v>
      </c>
      <c r="O162" s="63">
        <f t="shared" si="63"/>
        <v>0</v>
      </c>
      <c r="P162" s="63">
        <f t="shared" si="63"/>
        <v>0</v>
      </c>
      <c r="Q162" s="63">
        <f t="shared" si="63"/>
        <v>0</v>
      </c>
      <c r="R162" s="63">
        <f t="shared" si="64"/>
        <v>0</v>
      </c>
      <c r="S162" s="63">
        <f t="shared" si="64"/>
        <v>0</v>
      </c>
      <c r="T162" s="63">
        <f t="shared" si="64"/>
        <v>0</v>
      </c>
      <c r="U162" s="63">
        <f t="shared" si="64"/>
        <v>0</v>
      </c>
      <c r="V162" s="63">
        <f t="shared" si="64"/>
        <v>0</v>
      </c>
      <c r="W162" s="63">
        <f t="shared" si="64"/>
        <v>0</v>
      </c>
      <c r="X162" s="63">
        <f t="shared" si="64"/>
        <v>0</v>
      </c>
      <c r="Y162" s="63">
        <f t="shared" si="64"/>
        <v>0</v>
      </c>
      <c r="Z162" s="63">
        <f t="shared" si="64"/>
        <v>0</v>
      </c>
      <c r="AA162" s="63">
        <f t="shared" si="64"/>
        <v>0</v>
      </c>
      <c r="AB162" s="63">
        <f t="shared" si="64"/>
        <v>0</v>
      </c>
      <c r="AC162" s="63">
        <f t="shared" si="64"/>
        <v>0</v>
      </c>
      <c r="AD162" s="63">
        <f t="shared" si="64"/>
        <v>0</v>
      </c>
      <c r="AE162" s="63">
        <f t="shared" si="64"/>
        <v>0</v>
      </c>
      <c r="AF162" s="63">
        <f>SUM(H162:AE162)</f>
        <v>14018415</v>
      </c>
      <c r="AG162" s="58" t="str">
        <f>IF(ABS(AF162-F162)&lt;1,"ok","err")</f>
        <v>ok</v>
      </c>
    </row>
    <row r="163" spans="1:33">
      <c r="A163" s="60">
        <v>514</v>
      </c>
      <c r="B163" s="44" t="s">
        <v>220</v>
      </c>
      <c r="C163" s="44" t="s">
        <v>221</v>
      </c>
      <c r="D163" s="44" t="s">
        <v>856</v>
      </c>
      <c r="F163" s="78">
        <v>1551793</v>
      </c>
      <c r="H163" s="63">
        <f t="shared" si="63"/>
        <v>0</v>
      </c>
      <c r="I163" s="63">
        <f t="shared" si="63"/>
        <v>0</v>
      </c>
      <c r="J163" s="63">
        <f t="shared" si="63"/>
        <v>0</v>
      </c>
      <c r="K163" s="63">
        <f t="shared" si="63"/>
        <v>1551793</v>
      </c>
      <c r="L163" s="63">
        <f t="shared" si="63"/>
        <v>0</v>
      </c>
      <c r="M163" s="63">
        <f t="shared" si="63"/>
        <v>0</v>
      </c>
      <c r="N163" s="63">
        <f t="shared" si="63"/>
        <v>0</v>
      </c>
      <c r="O163" s="63">
        <f t="shared" si="63"/>
        <v>0</v>
      </c>
      <c r="P163" s="63">
        <f t="shared" si="63"/>
        <v>0</v>
      </c>
      <c r="Q163" s="63">
        <f t="shared" si="63"/>
        <v>0</v>
      </c>
      <c r="R163" s="63">
        <f t="shared" si="64"/>
        <v>0</v>
      </c>
      <c r="S163" s="63">
        <f t="shared" si="64"/>
        <v>0</v>
      </c>
      <c r="T163" s="63">
        <f t="shared" si="64"/>
        <v>0</v>
      </c>
      <c r="U163" s="63">
        <f t="shared" si="64"/>
        <v>0</v>
      </c>
      <c r="V163" s="63">
        <f t="shared" si="64"/>
        <v>0</v>
      </c>
      <c r="W163" s="63">
        <f t="shared" si="64"/>
        <v>0</v>
      </c>
      <c r="X163" s="63">
        <f t="shared" si="64"/>
        <v>0</v>
      </c>
      <c r="Y163" s="63">
        <f t="shared" si="64"/>
        <v>0</v>
      </c>
      <c r="Z163" s="63">
        <f t="shared" si="64"/>
        <v>0</v>
      </c>
      <c r="AA163" s="63">
        <f t="shared" si="64"/>
        <v>0</v>
      </c>
      <c r="AB163" s="63">
        <f t="shared" si="64"/>
        <v>0</v>
      </c>
      <c r="AC163" s="63">
        <f t="shared" si="64"/>
        <v>0</v>
      </c>
      <c r="AD163" s="63">
        <f t="shared" si="64"/>
        <v>0</v>
      </c>
      <c r="AE163" s="63">
        <f t="shared" si="64"/>
        <v>0</v>
      </c>
      <c r="AF163" s="63">
        <f>SUM(H163:AE163)</f>
        <v>1551793</v>
      </c>
      <c r="AG163" s="58" t="str">
        <f>IF(ABS(AF163-F163)&lt;1,"ok","err")</f>
        <v>ok</v>
      </c>
    </row>
    <row r="164" spans="1:33">
      <c r="A164" s="60"/>
      <c r="F164" s="75"/>
      <c r="W164" s="44"/>
      <c r="AF164" s="63"/>
      <c r="AG164" s="58"/>
    </row>
    <row r="165" spans="1:33">
      <c r="A165" s="60"/>
      <c r="B165" s="44" t="s">
        <v>222</v>
      </c>
      <c r="F165" s="75">
        <f>SUM(F159:F164)</f>
        <v>61498910</v>
      </c>
      <c r="H165" s="62">
        <f t="shared" ref="H165:M165" si="65">SUM(H159:H164)</f>
        <v>3476622.4732590099</v>
      </c>
      <c r="I165" s="62">
        <f t="shared" si="65"/>
        <v>0</v>
      </c>
      <c r="J165" s="62">
        <f t="shared" si="65"/>
        <v>0</v>
      </c>
      <c r="K165" s="62">
        <f t="shared" si="65"/>
        <v>58022287.526740991</v>
      </c>
      <c r="L165" s="62">
        <f t="shared" si="65"/>
        <v>0</v>
      </c>
      <c r="M165" s="62">
        <f t="shared" si="65"/>
        <v>0</v>
      </c>
      <c r="N165" s="62">
        <f>SUM(N159:N164)</f>
        <v>0</v>
      </c>
      <c r="O165" s="62">
        <f>SUM(O159:O164)</f>
        <v>0</v>
      </c>
      <c r="P165" s="62">
        <f>SUM(P159:P164)</f>
        <v>0</v>
      </c>
      <c r="Q165" s="62">
        <f t="shared" ref="Q165:AB165" si="66">SUM(Q159:Q164)</f>
        <v>0</v>
      </c>
      <c r="R165" s="62">
        <f t="shared" si="66"/>
        <v>0</v>
      </c>
      <c r="S165" s="62">
        <f t="shared" si="66"/>
        <v>0</v>
      </c>
      <c r="T165" s="62">
        <f t="shared" si="66"/>
        <v>0</v>
      </c>
      <c r="U165" s="62">
        <f t="shared" si="66"/>
        <v>0</v>
      </c>
      <c r="V165" s="62">
        <f t="shared" si="66"/>
        <v>0</v>
      </c>
      <c r="W165" s="62">
        <f t="shared" si="66"/>
        <v>0</v>
      </c>
      <c r="X165" s="62">
        <f t="shared" si="66"/>
        <v>0</v>
      </c>
      <c r="Y165" s="62">
        <f t="shared" si="66"/>
        <v>0</v>
      </c>
      <c r="Z165" s="62">
        <f t="shared" si="66"/>
        <v>0</v>
      </c>
      <c r="AA165" s="62">
        <f t="shared" si="66"/>
        <v>0</v>
      </c>
      <c r="AB165" s="62">
        <f t="shared" si="66"/>
        <v>0</v>
      </c>
      <c r="AC165" s="62">
        <f>SUM(AC159:AC164)</f>
        <v>0</v>
      </c>
      <c r="AD165" s="62">
        <f>SUM(AD159:AD164)</f>
        <v>0</v>
      </c>
      <c r="AE165" s="62">
        <f>SUM(AE159:AE164)</f>
        <v>0</v>
      </c>
      <c r="AF165" s="63">
        <f>SUM(H165:AE165)</f>
        <v>61498910</v>
      </c>
      <c r="AG165" s="58" t="str">
        <f>IF(ABS(AF165-F165)&lt;1,"ok","err")</f>
        <v>ok</v>
      </c>
    </row>
    <row r="166" spans="1:33">
      <c r="A166" s="60"/>
      <c r="F166" s="75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3"/>
      <c r="AG166" s="58"/>
    </row>
    <row r="167" spans="1:33">
      <c r="A167" s="60"/>
      <c r="B167" s="44" t="s">
        <v>223</v>
      </c>
      <c r="F167" s="75">
        <f>F156+F165</f>
        <v>358500575.07078803</v>
      </c>
      <c r="H167" s="62">
        <f t="shared" ref="H167:M167" si="67">H156+H165</f>
        <v>45634521.065196142</v>
      </c>
      <c r="I167" s="62">
        <f t="shared" si="67"/>
        <v>0</v>
      </c>
      <c r="J167" s="62">
        <f t="shared" si="67"/>
        <v>0</v>
      </c>
      <c r="K167" s="62">
        <f t="shared" si="67"/>
        <v>312866054.00559181</v>
      </c>
      <c r="L167" s="62">
        <f t="shared" si="67"/>
        <v>0</v>
      </c>
      <c r="M167" s="62">
        <f t="shared" si="67"/>
        <v>0</v>
      </c>
      <c r="N167" s="62">
        <f>N156+N165</f>
        <v>0</v>
      </c>
      <c r="O167" s="62">
        <f>O156+O165</f>
        <v>0</v>
      </c>
      <c r="P167" s="62">
        <f>P156+P165</f>
        <v>0</v>
      </c>
      <c r="Q167" s="62">
        <f t="shared" ref="Q167:AB167" si="68">Q156+Q165</f>
        <v>0</v>
      </c>
      <c r="R167" s="62">
        <f t="shared" si="68"/>
        <v>0</v>
      </c>
      <c r="S167" s="62">
        <f t="shared" si="68"/>
        <v>0</v>
      </c>
      <c r="T167" s="62">
        <f t="shared" si="68"/>
        <v>0</v>
      </c>
      <c r="U167" s="62">
        <f t="shared" si="68"/>
        <v>0</v>
      </c>
      <c r="V167" s="62">
        <f t="shared" si="68"/>
        <v>0</v>
      </c>
      <c r="W167" s="62">
        <f t="shared" si="68"/>
        <v>0</v>
      </c>
      <c r="X167" s="62">
        <f t="shared" si="68"/>
        <v>0</v>
      </c>
      <c r="Y167" s="62">
        <f t="shared" si="68"/>
        <v>0</v>
      </c>
      <c r="Z167" s="62">
        <f t="shared" si="68"/>
        <v>0</v>
      </c>
      <c r="AA167" s="62">
        <f t="shared" si="68"/>
        <v>0</v>
      </c>
      <c r="AB167" s="62">
        <f t="shared" si="68"/>
        <v>0</v>
      </c>
      <c r="AC167" s="62">
        <f>AC156+AC165</f>
        <v>0</v>
      </c>
      <c r="AD167" s="62">
        <f>AD156+AD165</f>
        <v>0</v>
      </c>
      <c r="AE167" s="62">
        <f>AE156+AE165</f>
        <v>0</v>
      </c>
      <c r="AF167" s="63">
        <f>SUM(H167:AE167)</f>
        <v>358500575.07078797</v>
      </c>
      <c r="AG167" s="58" t="str">
        <f>IF(ABS(AF167-F167)&lt;1,"ok","err")</f>
        <v>ok</v>
      </c>
    </row>
    <row r="168" spans="1:33">
      <c r="A168" s="60"/>
      <c r="F168" s="75"/>
      <c r="W168" s="44"/>
      <c r="AG168" s="58"/>
    </row>
    <row r="169" spans="1:33" ht="15">
      <c r="A169" s="65" t="s">
        <v>309</v>
      </c>
      <c r="W169" s="44"/>
      <c r="AG169" s="58"/>
    </row>
    <row r="170" spans="1:33">
      <c r="A170" s="70">
        <v>535</v>
      </c>
      <c r="B170" s="44" t="s">
        <v>199</v>
      </c>
      <c r="C170" s="44" t="s">
        <v>319</v>
      </c>
      <c r="D170" s="44" t="s">
        <v>630</v>
      </c>
      <c r="F170" s="75">
        <v>116778</v>
      </c>
      <c r="H170" s="63">
        <f t="shared" ref="H170:Q175" si="69">IF(VLOOKUP($D170,$C$6:$AE$653,H$2,)=0,0,((VLOOKUP($D170,$C$6:$AE$653,H$2,)/VLOOKUP($D170,$C$6:$AE$653,4,))*$F170))</f>
        <v>116778</v>
      </c>
      <c r="I170" s="63">
        <f t="shared" si="69"/>
        <v>0</v>
      </c>
      <c r="J170" s="63">
        <f t="shared" si="69"/>
        <v>0</v>
      </c>
      <c r="K170" s="63">
        <f t="shared" si="69"/>
        <v>0</v>
      </c>
      <c r="L170" s="63">
        <f t="shared" si="69"/>
        <v>0</v>
      </c>
      <c r="M170" s="63">
        <f t="shared" si="69"/>
        <v>0</v>
      </c>
      <c r="N170" s="63">
        <f t="shared" si="69"/>
        <v>0</v>
      </c>
      <c r="O170" s="63">
        <f t="shared" si="69"/>
        <v>0</v>
      </c>
      <c r="P170" s="63">
        <f t="shared" si="69"/>
        <v>0</v>
      </c>
      <c r="Q170" s="63">
        <f t="shared" si="69"/>
        <v>0</v>
      </c>
      <c r="R170" s="63">
        <f t="shared" ref="R170:AE175" si="70">IF(VLOOKUP($D170,$C$6:$AE$653,R$2,)=0,0,((VLOOKUP($D170,$C$6:$AE$653,R$2,)/VLOOKUP($D170,$C$6:$AE$653,4,))*$F170))</f>
        <v>0</v>
      </c>
      <c r="S170" s="63">
        <f t="shared" si="70"/>
        <v>0</v>
      </c>
      <c r="T170" s="63">
        <f t="shared" si="70"/>
        <v>0</v>
      </c>
      <c r="U170" s="63">
        <f t="shared" si="70"/>
        <v>0</v>
      </c>
      <c r="V170" s="63">
        <f t="shared" si="70"/>
        <v>0</v>
      </c>
      <c r="W170" s="63">
        <f t="shared" si="70"/>
        <v>0</v>
      </c>
      <c r="X170" s="63">
        <f t="shared" si="70"/>
        <v>0</v>
      </c>
      <c r="Y170" s="63">
        <f t="shared" si="70"/>
        <v>0</v>
      </c>
      <c r="Z170" s="63">
        <f t="shared" si="70"/>
        <v>0</v>
      </c>
      <c r="AA170" s="63">
        <f t="shared" si="70"/>
        <v>0</v>
      </c>
      <c r="AB170" s="63">
        <f t="shared" si="70"/>
        <v>0</v>
      </c>
      <c r="AC170" s="63">
        <f t="shared" si="70"/>
        <v>0</v>
      </c>
      <c r="AD170" s="63">
        <f t="shared" si="70"/>
        <v>0</v>
      </c>
      <c r="AE170" s="63">
        <f t="shared" si="70"/>
        <v>0</v>
      </c>
      <c r="AF170" s="63">
        <f t="shared" ref="AF170:AF175" si="71">SUM(H170:AE170)</f>
        <v>116778</v>
      </c>
      <c r="AG170" s="58" t="str">
        <f t="shared" ref="AG170:AG175" si="72">IF(ABS(AF170-F170)&lt;1,"ok","err")</f>
        <v>ok</v>
      </c>
    </row>
    <row r="171" spans="1:33">
      <c r="A171" s="249">
        <v>536</v>
      </c>
      <c r="B171" s="44" t="s">
        <v>316</v>
      </c>
      <c r="C171" s="44" t="s">
        <v>320</v>
      </c>
      <c r="D171" s="44" t="s">
        <v>624</v>
      </c>
      <c r="F171" s="78">
        <v>43212</v>
      </c>
      <c r="H171" s="63">
        <f t="shared" si="69"/>
        <v>43212</v>
      </c>
      <c r="I171" s="63">
        <f t="shared" si="69"/>
        <v>0</v>
      </c>
      <c r="J171" s="63">
        <f t="shared" si="69"/>
        <v>0</v>
      </c>
      <c r="K171" s="63">
        <f t="shared" si="69"/>
        <v>0</v>
      </c>
      <c r="L171" s="63">
        <f t="shared" si="69"/>
        <v>0</v>
      </c>
      <c r="M171" s="63">
        <f t="shared" si="69"/>
        <v>0</v>
      </c>
      <c r="N171" s="63">
        <f t="shared" si="69"/>
        <v>0</v>
      </c>
      <c r="O171" s="63">
        <f t="shared" si="69"/>
        <v>0</v>
      </c>
      <c r="P171" s="63">
        <f t="shared" si="69"/>
        <v>0</v>
      </c>
      <c r="Q171" s="63">
        <f t="shared" si="69"/>
        <v>0</v>
      </c>
      <c r="R171" s="63">
        <f t="shared" si="70"/>
        <v>0</v>
      </c>
      <c r="S171" s="63">
        <f t="shared" si="70"/>
        <v>0</v>
      </c>
      <c r="T171" s="63">
        <f t="shared" si="70"/>
        <v>0</v>
      </c>
      <c r="U171" s="63">
        <f t="shared" si="70"/>
        <v>0</v>
      </c>
      <c r="V171" s="63">
        <f t="shared" si="70"/>
        <v>0</v>
      </c>
      <c r="W171" s="63">
        <f t="shared" si="70"/>
        <v>0</v>
      </c>
      <c r="X171" s="63">
        <f t="shared" si="70"/>
        <v>0</v>
      </c>
      <c r="Y171" s="63">
        <f t="shared" si="70"/>
        <v>0</v>
      </c>
      <c r="Z171" s="63">
        <f t="shared" si="70"/>
        <v>0</v>
      </c>
      <c r="AA171" s="63">
        <f t="shared" si="70"/>
        <v>0</v>
      </c>
      <c r="AB171" s="63">
        <f t="shared" si="70"/>
        <v>0</v>
      </c>
      <c r="AC171" s="63">
        <f t="shared" si="70"/>
        <v>0</v>
      </c>
      <c r="AD171" s="63">
        <f t="shared" si="70"/>
        <v>0</v>
      </c>
      <c r="AE171" s="63">
        <f t="shared" si="70"/>
        <v>0</v>
      </c>
      <c r="AF171" s="63">
        <f t="shared" si="71"/>
        <v>43212</v>
      </c>
      <c r="AG171" s="58" t="str">
        <f t="shared" si="72"/>
        <v>ok</v>
      </c>
    </row>
    <row r="172" spans="1:33">
      <c r="A172" s="60">
        <v>537</v>
      </c>
      <c r="B172" s="44" t="s">
        <v>315</v>
      </c>
      <c r="C172" s="44" t="s">
        <v>321</v>
      </c>
      <c r="D172" s="44" t="s">
        <v>624</v>
      </c>
      <c r="F172" s="78">
        <v>0</v>
      </c>
      <c r="H172" s="63">
        <f t="shared" si="69"/>
        <v>0</v>
      </c>
      <c r="I172" s="63">
        <f t="shared" si="69"/>
        <v>0</v>
      </c>
      <c r="J172" s="63">
        <f t="shared" si="69"/>
        <v>0</v>
      </c>
      <c r="K172" s="63">
        <f t="shared" si="69"/>
        <v>0</v>
      </c>
      <c r="L172" s="63">
        <f t="shared" si="69"/>
        <v>0</v>
      </c>
      <c r="M172" s="63">
        <f t="shared" si="69"/>
        <v>0</v>
      </c>
      <c r="N172" s="63">
        <f t="shared" si="69"/>
        <v>0</v>
      </c>
      <c r="O172" s="63">
        <f t="shared" si="69"/>
        <v>0</v>
      </c>
      <c r="P172" s="63">
        <f t="shared" si="69"/>
        <v>0</v>
      </c>
      <c r="Q172" s="63">
        <f t="shared" si="69"/>
        <v>0</v>
      </c>
      <c r="R172" s="63">
        <f t="shared" si="70"/>
        <v>0</v>
      </c>
      <c r="S172" s="63">
        <f t="shared" si="70"/>
        <v>0</v>
      </c>
      <c r="T172" s="63">
        <f t="shared" si="70"/>
        <v>0</v>
      </c>
      <c r="U172" s="63">
        <f t="shared" si="70"/>
        <v>0</v>
      </c>
      <c r="V172" s="63">
        <f t="shared" si="70"/>
        <v>0</v>
      </c>
      <c r="W172" s="63">
        <f t="shared" si="70"/>
        <v>0</v>
      </c>
      <c r="X172" s="63">
        <f t="shared" si="70"/>
        <v>0</v>
      </c>
      <c r="Y172" s="63">
        <f t="shared" si="70"/>
        <v>0</v>
      </c>
      <c r="Z172" s="63">
        <f t="shared" si="70"/>
        <v>0</v>
      </c>
      <c r="AA172" s="63">
        <f t="shared" si="70"/>
        <v>0</v>
      </c>
      <c r="AB172" s="63">
        <f t="shared" si="70"/>
        <v>0</v>
      </c>
      <c r="AC172" s="63">
        <f t="shared" si="70"/>
        <v>0</v>
      </c>
      <c r="AD172" s="63">
        <f t="shared" si="70"/>
        <v>0</v>
      </c>
      <c r="AE172" s="63">
        <f t="shared" si="70"/>
        <v>0</v>
      </c>
      <c r="AF172" s="63">
        <f t="shared" si="71"/>
        <v>0</v>
      </c>
      <c r="AG172" s="58" t="str">
        <f t="shared" si="72"/>
        <v>ok</v>
      </c>
    </row>
    <row r="173" spans="1:33">
      <c r="A173" s="248">
        <v>538</v>
      </c>
      <c r="B173" s="44" t="s">
        <v>205</v>
      </c>
      <c r="C173" s="44" t="s">
        <v>322</v>
      </c>
      <c r="D173" s="44" t="s">
        <v>624</v>
      </c>
      <c r="F173" s="78">
        <v>324155</v>
      </c>
      <c r="H173" s="63">
        <f t="shared" si="69"/>
        <v>324155</v>
      </c>
      <c r="I173" s="63">
        <f t="shared" si="69"/>
        <v>0</v>
      </c>
      <c r="J173" s="63">
        <f t="shared" si="69"/>
        <v>0</v>
      </c>
      <c r="K173" s="63">
        <f t="shared" si="69"/>
        <v>0</v>
      </c>
      <c r="L173" s="63">
        <f t="shared" si="69"/>
        <v>0</v>
      </c>
      <c r="M173" s="63">
        <f t="shared" si="69"/>
        <v>0</v>
      </c>
      <c r="N173" s="63">
        <f t="shared" si="69"/>
        <v>0</v>
      </c>
      <c r="O173" s="63">
        <f t="shared" si="69"/>
        <v>0</v>
      </c>
      <c r="P173" s="63">
        <f t="shared" si="69"/>
        <v>0</v>
      </c>
      <c r="Q173" s="63">
        <f t="shared" si="69"/>
        <v>0</v>
      </c>
      <c r="R173" s="63">
        <f t="shared" si="70"/>
        <v>0</v>
      </c>
      <c r="S173" s="63">
        <f t="shared" si="70"/>
        <v>0</v>
      </c>
      <c r="T173" s="63">
        <f t="shared" si="70"/>
        <v>0</v>
      </c>
      <c r="U173" s="63">
        <f t="shared" si="70"/>
        <v>0</v>
      </c>
      <c r="V173" s="63">
        <f t="shared" si="70"/>
        <v>0</v>
      </c>
      <c r="W173" s="63">
        <f t="shared" si="70"/>
        <v>0</v>
      </c>
      <c r="X173" s="63">
        <f t="shared" si="70"/>
        <v>0</v>
      </c>
      <c r="Y173" s="63">
        <f t="shared" si="70"/>
        <v>0</v>
      </c>
      <c r="Z173" s="63">
        <f t="shared" si="70"/>
        <v>0</v>
      </c>
      <c r="AA173" s="63">
        <f t="shared" si="70"/>
        <v>0</v>
      </c>
      <c r="AB173" s="63">
        <f t="shared" si="70"/>
        <v>0</v>
      </c>
      <c r="AC173" s="63">
        <f t="shared" si="70"/>
        <v>0</v>
      </c>
      <c r="AD173" s="63">
        <f t="shared" si="70"/>
        <v>0</v>
      </c>
      <c r="AE173" s="63">
        <f t="shared" si="70"/>
        <v>0</v>
      </c>
      <c r="AF173" s="63">
        <f t="shared" si="71"/>
        <v>324155</v>
      </c>
      <c r="AG173" s="58" t="str">
        <f t="shared" si="72"/>
        <v>ok</v>
      </c>
    </row>
    <row r="174" spans="1:33">
      <c r="A174" s="60">
        <v>539</v>
      </c>
      <c r="B174" s="44" t="s">
        <v>317</v>
      </c>
      <c r="C174" s="44" t="s">
        <v>323</v>
      </c>
      <c r="D174" s="44" t="s">
        <v>624</v>
      </c>
      <c r="F174" s="78">
        <v>213613</v>
      </c>
      <c r="H174" s="63">
        <f t="shared" si="69"/>
        <v>213613</v>
      </c>
      <c r="I174" s="63">
        <f t="shared" si="69"/>
        <v>0</v>
      </c>
      <c r="J174" s="63">
        <f t="shared" si="69"/>
        <v>0</v>
      </c>
      <c r="K174" s="63">
        <f t="shared" si="69"/>
        <v>0</v>
      </c>
      <c r="L174" s="63">
        <f t="shared" si="69"/>
        <v>0</v>
      </c>
      <c r="M174" s="63">
        <f t="shared" si="69"/>
        <v>0</v>
      </c>
      <c r="N174" s="63">
        <f t="shared" si="69"/>
        <v>0</v>
      </c>
      <c r="O174" s="63">
        <f t="shared" si="69"/>
        <v>0</v>
      </c>
      <c r="P174" s="63">
        <f t="shared" si="69"/>
        <v>0</v>
      </c>
      <c r="Q174" s="63">
        <f t="shared" si="69"/>
        <v>0</v>
      </c>
      <c r="R174" s="63">
        <f t="shared" si="70"/>
        <v>0</v>
      </c>
      <c r="S174" s="63">
        <f t="shared" si="70"/>
        <v>0</v>
      </c>
      <c r="T174" s="63">
        <f t="shared" si="70"/>
        <v>0</v>
      </c>
      <c r="U174" s="63">
        <f t="shared" si="70"/>
        <v>0</v>
      </c>
      <c r="V174" s="63">
        <f t="shared" si="70"/>
        <v>0</v>
      </c>
      <c r="W174" s="63">
        <f t="shared" si="70"/>
        <v>0</v>
      </c>
      <c r="X174" s="63">
        <f t="shared" si="70"/>
        <v>0</v>
      </c>
      <c r="Y174" s="63">
        <f t="shared" si="70"/>
        <v>0</v>
      </c>
      <c r="Z174" s="63">
        <f t="shared" si="70"/>
        <v>0</v>
      </c>
      <c r="AA174" s="63">
        <f t="shared" si="70"/>
        <v>0</v>
      </c>
      <c r="AB174" s="63">
        <f t="shared" si="70"/>
        <v>0</v>
      </c>
      <c r="AC174" s="63">
        <f t="shared" si="70"/>
        <v>0</v>
      </c>
      <c r="AD174" s="63">
        <f t="shared" si="70"/>
        <v>0</v>
      </c>
      <c r="AE174" s="63">
        <f t="shared" si="70"/>
        <v>0</v>
      </c>
      <c r="AF174" s="63">
        <f t="shared" si="71"/>
        <v>213613</v>
      </c>
      <c r="AG174" s="58" t="str">
        <f t="shared" si="72"/>
        <v>ok</v>
      </c>
    </row>
    <row r="175" spans="1:33">
      <c r="A175" s="248">
        <v>540</v>
      </c>
      <c r="B175" s="44" t="s">
        <v>930</v>
      </c>
      <c r="D175" s="44" t="s">
        <v>624</v>
      </c>
      <c r="F175" s="78">
        <v>568902</v>
      </c>
      <c r="H175" s="63">
        <f t="shared" si="69"/>
        <v>568902</v>
      </c>
      <c r="I175" s="63">
        <f t="shared" si="69"/>
        <v>0</v>
      </c>
      <c r="J175" s="63">
        <f t="shared" si="69"/>
        <v>0</v>
      </c>
      <c r="K175" s="63">
        <f t="shared" si="69"/>
        <v>0</v>
      </c>
      <c r="L175" s="63">
        <f t="shared" si="69"/>
        <v>0</v>
      </c>
      <c r="M175" s="63">
        <f t="shared" si="69"/>
        <v>0</v>
      </c>
      <c r="N175" s="63">
        <f t="shared" si="69"/>
        <v>0</v>
      </c>
      <c r="O175" s="63">
        <f t="shared" si="69"/>
        <v>0</v>
      </c>
      <c r="P175" s="63">
        <f t="shared" si="69"/>
        <v>0</v>
      </c>
      <c r="Q175" s="63">
        <f t="shared" si="69"/>
        <v>0</v>
      </c>
      <c r="R175" s="63">
        <f t="shared" si="70"/>
        <v>0</v>
      </c>
      <c r="S175" s="63">
        <f t="shared" si="70"/>
        <v>0</v>
      </c>
      <c r="T175" s="63">
        <f t="shared" si="70"/>
        <v>0</v>
      </c>
      <c r="U175" s="63">
        <f t="shared" si="70"/>
        <v>0</v>
      </c>
      <c r="V175" s="63">
        <f t="shared" si="70"/>
        <v>0</v>
      </c>
      <c r="W175" s="63">
        <f t="shared" si="70"/>
        <v>0</v>
      </c>
      <c r="X175" s="63">
        <f t="shared" si="70"/>
        <v>0</v>
      </c>
      <c r="Y175" s="63">
        <f t="shared" si="70"/>
        <v>0</v>
      </c>
      <c r="Z175" s="63">
        <f t="shared" si="70"/>
        <v>0</v>
      </c>
      <c r="AA175" s="63">
        <f t="shared" si="70"/>
        <v>0</v>
      </c>
      <c r="AB175" s="63">
        <f t="shared" si="70"/>
        <v>0</v>
      </c>
      <c r="AC175" s="63">
        <f t="shared" si="70"/>
        <v>0</v>
      </c>
      <c r="AD175" s="63">
        <f t="shared" si="70"/>
        <v>0</v>
      </c>
      <c r="AE175" s="63">
        <f t="shared" si="70"/>
        <v>0</v>
      </c>
      <c r="AF175" s="63">
        <f t="shared" si="71"/>
        <v>568902</v>
      </c>
      <c r="AG175" s="58" t="str">
        <f t="shared" si="72"/>
        <v>ok</v>
      </c>
    </row>
    <row r="176" spans="1:33">
      <c r="A176" s="60"/>
      <c r="F176" s="78"/>
      <c r="W176" s="44"/>
      <c r="AF176" s="63"/>
      <c r="AG176" s="58"/>
    </row>
    <row r="177" spans="1:33">
      <c r="A177" s="60"/>
      <c r="B177" s="44" t="s">
        <v>312</v>
      </c>
      <c r="F177" s="75">
        <f>SUM(F170:F176)</f>
        <v>1266660</v>
      </c>
      <c r="H177" s="62">
        <f t="shared" ref="H177:M177" si="73">SUM(H170:H176)</f>
        <v>1266660</v>
      </c>
      <c r="I177" s="62">
        <f t="shared" si="73"/>
        <v>0</v>
      </c>
      <c r="J177" s="62">
        <f t="shared" si="73"/>
        <v>0</v>
      </c>
      <c r="K177" s="62">
        <f t="shared" si="73"/>
        <v>0</v>
      </c>
      <c r="L177" s="62">
        <f t="shared" si="73"/>
        <v>0</v>
      </c>
      <c r="M177" s="62">
        <f t="shared" si="73"/>
        <v>0</v>
      </c>
      <c r="N177" s="62">
        <f>SUM(N170:N176)</f>
        <v>0</v>
      </c>
      <c r="O177" s="62">
        <f>SUM(O170:O176)</f>
        <v>0</v>
      </c>
      <c r="P177" s="62">
        <f>SUM(P170:P176)</f>
        <v>0</v>
      </c>
      <c r="Q177" s="62">
        <f t="shared" ref="Q177:AB177" si="74">SUM(Q170:Q176)</f>
        <v>0</v>
      </c>
      <c r="R177" s="62">
        <f t="shared" si="74"/>
        <v>0</v>
      </c>
      <c r="S177" s="62">
        <f t="shared" si="74"/>
        <v>0</v>
      </c>
      <c r="T177" s="62">
        <f t="shared" si="74"/>
        <v>0</v>
      </c>
      <c r="U177" s="62">
        <f t="shared" si="74"/>
        <v>0</v>
      </c>
      <c r="V177" s="62">
        <f t="shared" si="74"/>
        <v>0</v>
      </c>
      <c r="W177" s="62">
        <f t="shared" si="74"/>
        <v>0</v>
      </c>
      <c r="X177" s="62">
        <f t="shared" si="74"/>
        <v>0</v>
      </c>
      <c r="Y177" s="62">
        <f t="shared" si="74"/>
        <v>0</v>
      </c>
      <c r="Z177" s="62">
        <f t="shared" si="74"/>
        <v>0</v>
      </c>
      <c r="AA177" s="62">
        <f t="shared" si="74"/>
        <v>0</v>
      </c>
      <c r="AB177" s="62">
        <f t="shared" si="74"/>
        <v>0</v>
      </c>
      <c r="AC177" s="62">
        <f>SUM(AC170:AC176)</f>
        <v>0</v>
      </c>
      <c r="AD177" s="62">
        <f>SUM(AD170:AD176)</f>
        <v>0</v>
      </c>
      <c r="AE177" s="62">
        <f>SUM(AE170:AE176)</f>
        <v>0</v>
      </c>
      <c r="AF177" s="63">
        <f>SUM(H177:AE177)</f>
        <v>1266660</v>
      </c>
      <c r="AG177" s="58" t="str">
        <f>IF(ABS(AF177-F177)&lt;1,"ok","err")</f>
        <v>ok</v>
      </c>
    </row>
    <row r="178" spans="1:33">
      <c r="A178" s="60"/>
      <c r="F178" s="75"/>
      <c r="W178" s="44"/>
      <c r="AG178" s="58"/>
    </row>
    <row r="179" spans="1:33" ht="15">
      <c r="A179" s="65" t="s">
        <v>310</v>
      </c>
      <c r="F179" s="75"/>
      <c r="W179" s="44"/>
      <c r="AG179" s="58"/>
    </row>
    <row r="180" spans="1:33">
      <c r="A180" s="70">
        <v>541</v>
      </c>
      <c r="B180" s="44" t="s">
        <v>214</v>
      </c>
      <c r="C180" s="44" t="s">
        <v>324</v>
      </c>
      <c r="D180" s="44" t="s">
        <v>631</v>
      </c>
      <c r="F180" s="75">
        <v>0</v>
      </c>
      <c r="H180" s="63">
        <f t="shared" ref="H180:Q184" si="75">IF(VLOOKUP($D180,$C$6:$AE$653,H$2,)=0,0,((VLOOKUP($D180,$C$6:$AE$653,H$2,)/VLOOKUP($D180,$C$6:$AE$653,4,))*$F180))</f>
        <v>0</v>
      </c>
      <c r="I180" s="63">
        <f t="shared" si="75"/>
        <v>0</v>
      </c>
      <c r="J180" s="63">
        <f t="shared" si="75"/>
        <v>0</v>
      </c>
      <c r="K180" s="63">
        <f t="shared" si="75"/>
        <v>0</v>
      </c>
      <c r="L180" s="63">
        <f t="shared" si="75"/>
        <v>0</v>
      </c>
      <c r="M180" s="63">
        <f t="shared" si="75"/>
        <v>0</v>
      </c>
      <c r="N180" s="63">
        <f t="shared" si="75"/>
        <v>0</v>
      </c>
      <c r="O180" s="63">
        <f t="shared" si="75"/>
        <v>0</v>
      </c>
      <c r="P180" s="63">
        <f t="shared" si="75"/>
        <v>0</v>
      </c>
      <c r="Q180" s="63">
        <f t="shared" si="75"/>
        <v>0</v>
      </c>
      <c r="R180" s="63">
        <f t="shared" ref="R180:AE184" si="76">IF(VLOOKUP($D180,$C$6:$AE$653,R$2,)=0,0,((VLOOKUP($D180,$C$6:$AE$653,R$2,)/VLOOKUP($D180,$C$6:$AE$653,4,))*$F180))</f>
        <v>0</v>
      </c>
      <c r="S180" s="63">
        <f t="shared" si="76"/>
        <v>0</v>
      </c>
      <c r="T180" s="63">
        <f t="shared" si="76"/>
        <v>0</v>
      </c>
      <c r="U180" s="63">
        <f t="shared" si="76"/>
        <v>0</v>
      </c>
      <c r="V180" s="63">
        <f t="shared" si="76"/>
        <v>0</v>
      </c>
      <c r="W180" s="63">
        <f t="shared" si="76"/>
        <v>0</v>
      </c>
      <c r="X180" s="63">
        <f t="shared" si="76"/>
        <v>0</v>
      </c>
      <c r="Y180" s="63">
        <f t="shared" si="76"/>
        <v>0</v>
      </c>
      <c r="Z180" s="63">
        <f t="shared" si="76"/>
        <v>0</v>
      </c>
      <c r="AA180" s="63">
        <f t="shared" si="76"/>
        <v>0</v>
      </c>
      <c r="AB180" s="63">
        <f t="shared" si="76"/>
        <v>0</v>
      </c>
      <c r="AC180" s="63">
        <f t="shared" si="76"/>
        <v>0</v>
      </c>
      <c r="AD180" s="63">
        <f t="shared" si="76"/>
        <v>0</v>
      </c>
      <c r="AE180" s="63">
        <f t="shared" si="76"/>
        <v>0</v>
      </c>
      <c r="AF180" s="63">
        <f>SUM(H180:AE180)</f>
        <v>0</v>
      </c>
      <c r="AG180" s="58" t="str">
        <f>IF(ABS(AF180-F180)&lt;1,"ok","err")</f>
        <v>ok</v>
      </c>
    </row>
    <row r="181" spans="1:33">
      <c r="A181" s="70">
        <v>542</v>
      </c>
      <c r="B181" s="44" t="s">
        <v>213</v>
      </c>
      <c r="C181" s="44" t="s">
        <v>325</v>
      </c>
      <c r="D181" s="44" t="s">
        <v>624</v>
      </c>
      <c r="F181" s="78">
        <v>323993</v>
      </c>
      <c r="H181" s="63">
        <f t="shared" si="75"/>
        <v>323993</v>
      </c>
      <c r="I181" s="63">
        <f t="shared" si="75"/>
        <v>0</v>
      </c>
      <c r="J181" s="63">
        <f t="shared" si="75"/>
        <v>0</v>
      </c>
      <c r="K181" s="63">
        <f t="shared" si="75"/>
        <v>0</v>
      </c>
      <c r="L181" s="63">
        <f t="shared" si="75"/>
        <v>0</v>
      </c>
      <c r="M181" s="63">
        <f t="shared" si="75"/>
        <v>0</v>
      </c>
      <c r="N181" s="63">
        <f t="shared" si="75"/>
        <v>0</v>
      </c>
      <c r="O181" s="63">
        <f t="shared" si="75"/>
        <v>0</v>
      </c>
      <c r="P181" s="63">
        <f t="shared" si="75"/>
        <v>0</v>
      </c>
      <c r="Q181" s="63">
        <f t="shared" si="75"/>
        <v>0</v>
      </c>
      <c r="R181" s="63">
        <f t="shared" si="76"/>
        <v>0</v>
      </c>
      <c r="S181" s="63">
        <f t="shared" si="76"/>
        <v>0</v>
      </c>
      <c r="T181" s="63">
        <f t="shared" si="76"/>
        <v>0</v>
      </c>
      <c r="U181" s="63">
        <f t="shared" si="76"/>
        <v>0</v>
      </c>
      <c r="V181" s="63">
        <f t="shared" si="76"/>
        <v>0</v>
      </c>
      <c r="W181" s="63">
        <f t="shared" si="76"/>
        <v>0</v>
      </c>
      <c r="X181" s="63">
        <f t="shared" si="76"/>
        <v>0</v>
      </c>
      <c r="Y181" s="63">
        <f t="shared" si="76"/>
        <v>0</v>
      </c>
      <c r="Z181" s="63">
        <f t="shared" si="76"/>
        <v>0</v>
      </c>
      <c r="AA181" s="63">
        <f t="shared" si="76"/>
        <v>0</v>
      </c>
      <c r="AB181" s="63">
        <f t="shared" si="76"/>
        <v>0</v>
      </c>
      <c r="AC181" s="63">
        <f t="shared" si="76"/>
        <v>0</v>
      </c>
      <c r="AD181" s="63">
        <f t="shared" si="76"/>
        <v>0</v>
      </c>
      <c r="AE181" s="63">
        <f t="shared" si="76"/>
        <v>0</v>
      </c>
      <c r="AF181" s="63">
        <f>SUM(H181:AE181)</f>
        <v>323993</v>
      </c>
      <c r="AG181" s="58" t="str">
        <f>IF(ABS(AF181-F181)&lt;1,"ok","err")</f>
        <v>ok</v>
      </c>
    </row>
    <row r="182" spans="1:33">
      <c r="A182" s="70">
        <v>543</v>
      </c>
      <c r="B182" s="44" t="s">
        <v>311</v>
      </c>
      <c r="C182" s="44" t="s">
        <v>326</v>
      </c>
      <c r="D182" s="44" t="s">
        <v>624</v>
      </c>
      <c r="F182" s="78">
        <v>222489</v>
      </c>
      <c r="H182" s="63">
        <f t="shared" si="75"/>
        <v>222489</v>
      </c>
      <c r="I182" s="63">
        <f t="shared" si="75"/>
        <v>0</v>
      </c>
      <c r="J182" s="63">
        <f t="shared" si="75"/>
        <v>0</v>
      </c>
      <c r="K182" s="63">
        <f t="shared" si="75"/>
        <v>0</v>
      </c>
      <c r="L182" s="63">
        <f t="shared" si="75"/>
        <v>0</v>
      </c>
      <c r="M182" s="63">
        <f t="shared" si="75"/>
        <v>0</v>
      </c>
      <c r="N182" s="63">
        <f t="shared" si="75"/>
        <v>0</v>
      </c>
      <c r="O182" s="63">
        <f t="shared" si="75"/>
        <v>0</v>
      </c>
      <c r="P182" s="63">
        <f t="shared" si="75"/>
        <v>0</v>
      </c>
      <c r="Q182" s="63">
        <f t="shared" si="75"/>
        <v>0</v>
      </c>
      <c r="R182" s="63">
        <f t="shared" si="76"/>
        <v>0</v>
      </c>
      <c r="S182" s="63">
        <f t="shared" si="76"/>
        <v>0</v>
      </c>
      <c r="T182" s="63">
        <f t="shared" si="76"/>
        <v>0</v>
      </c>
      <c r="U182" s="63">
        <f t="shared" si="76"/>
        <v>0</v>
      </c>
      <c r="V182" s="63">
        <f t="shared" si="76"/>
        <v>0</v>
      </c>
      <c r="W182" s="63">
        <f t="shared" si="76"/>
        <v>0</v>
      </c>
      <c r="X182" s="63">
        <f t="shared" si="76"/>
        <v>0</v>
      </c>
      <c r="Y182" s="63">
        <f t="shared" si="76"/>
        <v>0</v>
      </c>
      <c r="Z182" s="63">
        <f t="shared" si="76"/>
        <v>0</v>
      </c>
      <c r="AA182" s="63">
        <f t="shared" si="76"/>
        <v>0</v>
      </c>
      <c r="AB182" s="63">
        <f t="shared" si="76"/>
        <v>0</v>
      </c>
      <c r="AC182" s="63">
        <f t="shared" si="76"/>
        <v>0</v>
      </c>
      <c r="AD182" s="63">
        <f t="shared" si="76"/>
        <v>0</v>
      </c>
      <c r="AE182" s="63">
        <f t="shared" si="76"/>
        <v>0</v>
      </c>
      <c r="AF182" s="63">
        <f>SUM(H182:AE182)</f>
        <v>222489</v>
      </c>
      <c r="AG182" s="58" t="str">
        <f>IF(ABS(AF182-F182)&lt;1,"ok","err")</f>
        <v>ok</v>
      </c>
    </row>
    <row r="183" spans="1:33">
      <c r="A183" s="60">
        <v>544</v>
      </c>
      <c r="B183" s="44" t="s">
        <v>217</v>
      </c>
      <c r="C183" s="44" t="s">
        <v>327</v>
      </c>
      <c r="D183" s="44" t="s">
        <v>856</v>
      </c>
      <c r="F183" s="78">
        <v>327894</v>
      </c>
      <c r="H183" s="63">
        <f t="shared" si="75"/>
        <v>0</v>
      </c>
      <c r="I183" s="63">
        <f t="shared" si="75"/>
        <v>0</v>
      </c>
      <c r="J183" s="63">
        <f t="shared" si="75"/>
        <v>0</v>
      </c>
      <c r="K183" s="63">
        <f t="shared" si="75"/>
        <v>327894</v>
      </c>
      <c r="L183" s="63">
        <f t="shared" si="75"/>
        <v>0</v>
      </c>
      <c r="M183" s="63">
        <f t="shared" si="75"/>
        <v>0</v>
      </c>
      <c r="N183" s="63">
        <f t="shared" si="75"/>
        <v>0</v>
      </c>
      <c r="O183" s="63">
        <f t="shared" si="75"/>
        <v>0</v>
      </c>
      <c r="P183" s="63">
        <f t="shared" si="75"/>
        <v>0</v>
      </c>
      <c r="Q183" s="63">
        <f t="shared" si="75"/>
        <v>0</v>
      </c>
      <c r="R183" s="63">
        <f t="shared" si="76"/>
        <v>0</v>
      </c>
      <c r="S183" s="63">
        <f t="shared" si="76"/>
        <v>0</v>
      </c>
      <c r="T183" s="63">
        <f t="shared" si="76"/>
        <v>0</v>
      </c>
      <c r="U183" s="63">
        <f t="shared" si="76"/>
        <v>0</v>
      </c>
      <c r="V183" s="63">
        <f t="shared" si="76"/>
        <v>0</v>
      </c>
      <c r="W183" s="63">
        <f t="shared" si="76"/>
        <v>0</v>
      </c>
      <c r="X183" s="63">
        <f t="shared" si="76"/>
        <v>0</v>
      </c>
      <c r="Y183" s="63">
        <f t="shared" si="76"/>
        <v>0</v>
      </c>
      <c r="Z183" s="63">
        <f t="shared" si="76"/>
        <v>0</v>
      </c>
      <c r="AA183" s="63">
        <f t="shared" si="76"/>
        <v>0</v>
      </c>
      <c r="AB183" s="63">
        <f t="shared" si="76"/>
        <v>0</v>
      </c>
      <c r="AC183" s="63">
        <f t="shared" si="76"/>
        <v>0</v>
      </c>
      <c r="AD183" s="63">
        <f t="shared" si="76"/>
        <v>0</v>
      </c>
      <c r="AE183" s="63">
        <f t="shared" si="76"/>
        <v>0</v>
      </c>
      <c r="AF183" s="63">
        <f>SUM(H183:AE183)</f>
        <v>327894</v>
      </c>
      <c r="AG183" s="58" t="str">
        <f>IF(ABS(AF183-F183)&lt;1,"ok","err")</f>
        <v>ok</v>
      </c>
    </row>
    <row r="184" spans="1:33">
      <c r="A184" s="60">
        <v>545</v>
      </c>
      <c r="B184" s="44" t="s">
        <v>318</v>
      </c>
      <c r="C184" s="44" t="s">
        <v>328</v>
      </c>
      <c r="D184" s="44" t="s">
        <v>856</v>
      </c>
      <c r="F184" s="78">
        <v>56196</v>
      </c>
      <c r="H184" s="63">
        <f t="shared" si="75"/>
        <v>0</v>
      </c>
      <c r="I184" s="63">
        <f t="shared" si="75"/>
        <v>0</v>
      </c>
      <c r="J184" s="63">
        <f t="shared" si="75"/>
        <v>0</v>
      </c>
      <c r="K184" s="63">
        <f t="shared" si="75"/>
        <v>56196</v>
      </c>
      <c r="L184" s="63">
        <f t="shared" si="75"/>
        <v>0</v>
      </c>
      <c r="M184" s="63">
        <f t="shared" si="75"/>
        <v>0</v>
      </c>
      <c r="N184" s="63">
        <f t="shared" si="75"/>
        <v>0</v>
      </c>
      <c r="O184" s="63">
        <f t="shared" si="75"/>
        <v>0</v>
      </c>
      <c r="P184" s="63">
        <f t="shared" si="75"/>
        <v>0</v>
      </c>
      <c r="Q184" s="63">
        <f t="shared" si="75"/>
        <v>0</v>
      </c>
      <c r="R184" s="63">
        <f t="shared" si="76"/>
        <v>0</v>
      </c>
      <c r="S184" s="63">
        <f t="shared" si="76"/>
        <v>0</v>
      </c>
      <c r="T184" s="63">
        <f t="shared" si="76"/>
        <v>0</v>
      </c>
      <c r="U184" s="63">
        <f t="shared" si="76"/>
        <v>0</v>
      </c>
      <c r="V184" s="63">
        <f t="shared" si="76"/>
        <v>0</v>
      </c>
      <c r="W184" s="63">
        <f t="shared" si="76"/>
        <v>0</v>
      </c>
      <c r="X184" s="63">
        <f t="shared" si="76"/>
        <v>0</v>
      </c>
      <c r="Y184" s="63">
        <f t="shared" si="76"/>
        <v>0</v>
      </c>
      <c r="Z184" s="63">
        <f t="shared" si="76"/>
        <v>0</v>
      </c>
      <c r="AA184" s="63">
        <f t="shared" si="76"/>
        <v>0</v>
      </c>
      <c r="AB184" s="63">
        <f t="shared" si="76"/>
        <v>0</v>
      </c>
      <c r="AC184" s="63">
        <f t="shared" si="76"/>
        <v>0</v>
      </c>
      <c r="AD184" s="63">
        <f t="shared" si="76"/>
        <v>0</v>
      </c>
      <c r="AE184" s="63">
        <f t="shared" si="76"/>
        <v>0</v>
      </c>
      <c r="AF184" s="63">
        <f>SUM(H184:AE184)</f>
        <v>56196</v>
      </c>
      <c r="AG184" s="58" t="str">
        <f>IF(ABS(AF184-F184)&lt;1,"ok","err")</f>
        <v>ok</v>
      </c>
    </row>
    <row r="185" spans="1:33">
      <c r="A185" s="60"/>
      <c r="F185" s="75"/>
      <c r="W185" s="44"/>
      <c r="AG185" s="58"/>
    </row>
    <row r="186" spans="1:33">
      <c r="A186" s="60"/>
      <c r="B186" s="44" t="s">
        <v>314</v>
      </c>
      <c r="F186" s="75">
        <f>SUM(F180:F185)</f>
        <v>930572</v>
      </c>
      <c r="H186" s="62">
        <f t="shared" ref="H186:M186" si="77">SUM(H180:H185)</f>
        <v>546482</v>
      </c>
      <c r="I186" s="62">
        <f t="shared" si="77"/>
        <v>0</v>
      </c>
      <c r="J186" s="62">
        <f t="shared" si="77"/>
        <v>0</v>
      </c>
      <c r="K186" s="62">
        <f t="shared" si="77"/>
        <v>384090</v>
      </c>
      <c r="L186" s="62">
        <f t="shared" si="77"/>
        <v>0</v>
      </c>
      <c r="M186" s="62">
        <f t="shared" si="77"/>
        <v>0</v>
      </c>
      <c r="N186" s="62">
        <f>SUM(N180:N185)</f>
        <v>0</v>
      </c>
      <c r="O186" s="62">
        <f>SUM(O180:O185)</f>
        <v>0</v>
      </c>
      <c r="P186" s="62">
        <f>SUM(P180:P185)</f>
        <v>0</v>
      </c>
      <c r="Q186" s="62">
        <f t="shared" ref="Q186:AB186" si="78">SUM(Q180:Q185)</f>
        <v>0</v>
      </c>
      <c r="R186" s="62">
        <f t="shared" si="78"/>
        <v>0</v>
      </c>
      <c r="S186" s="62">
        <f t="shared" si="78"/>
        <v>0</v>
      </c>
      <c r="T186" s="62">
        <f t="shared" si="78"/>
        <v>0</v>
      </c>
      <c r="U186" s="62">
        <f t="shared" si="78"/>
        <v>0</v>
      </c>
      <c r="V186" s="62">
        <f t="shared" si="78"/>
        <v>0</v>
      </c>
      <c r="W186" s="62">
        <f t="shared" si="78"/>
        <v>0</v>
      </c>
      <c r="X186" s="62">
        <f t="shared" si="78"/>
        <v>0</v>
      </c>
      <c r="Y186" s="62">
        <f t="shared" si="78"/>
        <v>0</v>
      </c>
      <c r="Z186" s="62">
        <f t="shared" si="78"/>
        <v>0</v>
      </c>
      <c r="AA186" s="62">
        <f t="shared" si="78"/>
        <v>0</v>
      </c>
      <c r="AB186" s="62">
        <f t="shared" si="78"/>
        <v>0</v>
      </c>
      <c r="AC186" s="62">
        <f>SUM(AC180:AC185)</f>
        <v>0</v>
      </c>
      <c r="AD186" s="62">
        <f>SUM(AD180:AD185)</f>
        <v>0</v>
      </c>
      <c r="AE186" s="62">
        <f>SUM(AE180:AE185)</f>
        <v>0</v>
      </c>
      <c r="AF186" s="63">
        <f>SUM(H186:AE186)</f>
        <v>930572</v>
      </c>
      <c r="AG186" s="58" t="str">
        <f>IF(ABS(AF186-F186)&lt;1,"ok","err")</f>
        <v>ok</v>
      </c>
    </row>
    <row r="187" spans="1:33">
      <c r="A187" s="60"/>
      <c r="F187" s="75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3"/>
      <c r="AG187" s="58"/>
    </row>
    <row r="188" spans="1:33">
      <c r="A188" s="60"/>
      <c r="B188" s="44" t="s">
        <v>313</v>
      </c>
      <c r="F188" s="75">
        <f>F177+F186</f>
        <v>2197232</v>
      </c>
      <c r="H188" s="62">
        <f t="shared" ref="H188:M188" si="79">H177+H186</f>
        <v>1813142</v>
      </c>
      <c r="I188" s="62">
        <f t="shared" si="79"/>
        <v>0</v>
      </c>
      <c r="J188" s="62">
        <f t="shared" si="79"/>
        <v>0</v>
      </c>
      <c r="K188" s="62">
        <f t="shared" si="79"/>
        <v>384090</v>
      </c>
      <c r="L188" s="62">
        <f t="shared" si="79"/>
        <v>0</v>
      </c>
      <c r="M188" s="62">
        <f t="shared" si="79"/>
        <v>0</v>
      </c>
      <c r="N188" s="62">
        <f>N177+N186</f>
        <v>0</v>
      </c>
      <c r="O188" s="62">
        <f>O177+O186</f>
        <v>0</v>
      </c>
      <c r="P188" s="62">
        <f>P177+P186</f>
        <v>0</v>
      </c>
      <c r="Q188" s="62">
        <f t="shared" ref="Q188:AB188" si="80">Q177+Q186</f>
        <v>0</v>
      </c>
      <c r="R188" s="62">
        <f t="shared" si="80"/>
        <v>0</v>
      </c>
      <c r="S188" s="62">
        <f t="shared" si="80"/>
        <v>0</v>
      </c>
      <c r="T188" s="62">
        <f t="shared" si="80"/>
        <v>0</v>
      </c>
      <c r="U188" s="62">
        <f t="shared" si="80"/>
        <v>0</v>
      </c>
      <c r="V188" s="62">
        <f t="shared" si="80"/>
        <v>0</v>
      </c>
      <c r="W188" s="62">
        <f t="shared" si="80"/>
        <v>0</v>
      </c>
      <c r="X188" s="62">
        <f t="shared" si="80"/>
        <v>0</v>
      </c>
      <c r="Y188" s="62">
        <f t="shared" si="80"/>
        <v>0</v>
      </c>
      <c r="Z188" s="62">
        <f t="shared" si="80"/>
        <v>0</v>
      </c>
      <c r="AA188" s="62">
        <f t="shared" si="80"/>
        <v>0</v>
      </c>
      <c r="AB188" s="62">
        <f t="shared" si="80"/>
        <v>0</v>
      </c>
      <c r="AC188" s="62">
        <f>AC177+AC186</f>
        <v>0</v>
      </c>
      <c r="AD188" s="62">
        <f>AD177+AD186</f>
        <v>0</v>
      </c>
      <c r="AE188" s="62">
        <f>AE177+AE186</f>
        <v>0</v>
      </c>
      <c r="AF188" s="63">
        <f>SUM(H188:AE188)</f>
        <v>2197232</v>
      </c>
      <c r="AG188" s="58" t="str">
        <f>IF(ABS(AF188-F188)&lt;1,"ok","err")</f>
        <v>ok</v>
      </c>
    </row>
    <row r="189" spans="1:33">
      <c r="A189" s="60"/>
      <c r="F189" s="75"/>
      <c r="W189" s="44"/>
      <c r="AG189" s="58"/>
    </row>
    <row r="190" spans="1:33" ht="15">
      <c r="A190" s="65" t="s">
        <v>224</v>
      </c>
      <c r="F190" s="75"/>
      <c r="W190" s="44"/>
      <c r="AG190" s="58"/>
    </row>
    <row r="191" spans="1:33">
      <c r="A191" s="60">
        <v>546</v>
      </c>
      <c r="B191" s="44" t="s">
        <v>199</v>
      </c>
      <c r="C191" s="44" t="s">
        <v>225</v>
      </c>
      <c r="D191" s="44" t="s">
        <v>632</v>
      </c>
      <c r="F191" s="75">
        <v>187484</v>
      </c>
      <c r="H191" s="63">
        <f t="shared" ref="H191:Q195" si="81">IF(VLOOKUP($D191,$C$6:$AE$653,H$2,)=0,0,((VLOOKUP($D191,$C$6:$AE$653,H$2,)/VLOOKUP($D191,$C$6:$AE$653,4,))*$F191))</f>
        <v>187484</v>
      </c>
      <c r="I191" s="63">
        <f t="shared" si="81"/>
        <v>0</v>
      </c>
      <c r="J191" s="63">
        <f t="shared" si="81"/>
        <v>0</v>
      </c>
      <c r="K191" s="63">
        <f t="shared" si="81"/>
        <v>0</v>
      </c>
      <c r="L191" s="63">
        <f t="shared" si="81"/>
        <v>0</v>
      </c>
      <c r="M191" s="63">
        <f t="shared" si="81"/>
        <v>0</v>
      </c>
      <c r="N191" s="63">
        <f t="shared" si="81"/>
        <v>0</v>
      </c>
      <c r="O191" s="63">
        <f t="shared" si="81"/>
        <v>0</v>
      </c>
      <c r="P191" s="63">
        <f t="shared" si="81"/>
        <v>0</v>
      </c>
      <c r="Q191" s="63">
        <f t="shared" si="81"/>
        <v>0</v>
      </c>
      <c r="R191" s="63">
        <f t="shared" ref="R191:AE195" si="82">IF(VLOOKUP($D191,$C$6:$AE$653,R$2,)=0,0,((VLOOKUP($D191,$C$6:$AE$653,R$2,)/VLOOKUP($D191,$C$6:$AE$653,4,))*$F191))</f>
        <v>0</v>
      </c>
      <c r="S191" s="63">
        <f t="shared" si="82"/>
        <v>0</v>
      </c>
      <c r="T191" s="63">
        <f t="shared" si="82"/>
        <v>0</v>
      </c>
      <c r="U191" s="63">
        <f t="shared" si="82"/>
        <v>0</v>
      </c>
      <c r="V191" s="63">
        <f t="shared" si="82"/>
        <v>0</v>
      </c>
      <c r="W191" s="63">
        <f t="shared" si="82"/>
        <v>0</v>
      </c>
      <c r="X191" s="63">
        <f t="shared" si="82"/>
        <v>0</v>
      </c>
      <c r="Y191" s="63">
        <f t="shared" si="82"/>
        <v>0</v>
      </c>
      <c r="Z191" s="63">
        <f t="shared" si="82"/>
        <v>0</v>
      </c>
      <c r="AA191" s="63">
        <f t="shared" si="82"/>
        <v>0</v>
      </c>
      <c r="AB191" s="63">
        <f t="shared" si="82"/>
        <v>0</v>
      </c>
      <c r="AC191" s="63">
        <f t="shared" si="82"/>
        <v>0</v>
      </c>
      <c r="AD191" s="63">
        <f t="shared" si="82"/>
        <v>0</v>
      </c>
      <c r="AE191" s="63">
        <f t="shared" si="82"/>
        <v>0</v>
      </c>
      <c r="AF191" s="63">
        <f>SUM(H191:AE191)</f>
        <v>187484</v>
      </c>
      <c r="AG191" s="58" t="str">
        <f>IF(ABS(AF191-F191)&lt;1,"ok","err")</f>
        <v>ok</v>
      </c>
    </row>
    <row r="192" spans="1:33">
      <c r="A192" s="60">
        <v>547</v>
      </c>
      <c r="B192" s="44" t="s">
        <v>201</v>
      </c>
      <c r="C192" s="44" t="s">
        <v>226</v>
      </c>
      <c r="D192" s="44" t="s">
        <v>856</v>
      </c>
      <c r="F192" s="78">
        <v>43921446.457389697</v>
      </c>
      <c r="H192" s="63">
        <f t="shared" si="81"/>
        <v>0</v>
      </c>
      <c r="I192" s="63">
        <f t="shared" si="81"/>
        <v>0</v>
      </c>
      <c r="J192" s="63">
        <f t="shared" si="81"/>
        <v>0</v>
      </c>
      <c r="K192" s="63">
        <f t="shared" si="81"/>
        <v>43921446.457389697</v>
      </c>
      <c r="L192" s="63">
        <f t="shared" si="81"/>
        <v>0</v>
      </c>
      <c r="M192" s="63">
        <f t="shared" si="81"/>
        <v>0</v>
      </c>
      <c r="N192" s="63">
        <f t="shared" si="81"/>
        <v>0</v>
      </c>
      <c r="O192" s="63">
        <f t="shared" si="81"/>
        <v>0</v>
      </c>
      <c r="P192" s="63">
        <f t="shared" si="81"/>
        <v>0</v>
      </c>
      <c r="Q192" s="63">
        <f t="shared" si="81"/>
        <v>0</v>
      </c>
      <c r="R192" s="63">
        <f t="shared" si="82"/>
        <v>0</v>
      </c>
      <c r="S192" s="63">
        <f t="shared" si="82"/>
        <v>0</v>
      </c>
      <c r="T192" s="63">
        <f t="shared" si="82"/>
        <v>0</v>
      </c>
      <c r="U192" s="63">
        <f t="shared" si="82"/>
        <v>0</v>
      </c>
      <c r="V192" s="63">
        <f t="shared" si="82"/>
        <v>0</v>
      </c>
      <c r="W192" s="63">
        <f t="shared" si="82"/>
        <v>0</v>
      </c>
      <c r="X192" s="63">
        <f t="shared" si="82"/>
        <v>0</v>
      </c>
      <c r="Y192" s="63">
        <f t="shared" si="82"/>
        <v>0</v>
      </c>
      <c r="Z192" s="63">
        <f t="shared" si="82"/>
        <v>0</v>
      </c>
      <c r="AA192" s="63">
        <f t="shared" si="82"/>
        <v>0</v>
      </c>
      <c r="AB192" s="63">
        <f t="shared" si="82"/>
        <v>0</v>
      </c>
      <c r="AC192" s="63">
        <f t="shared" si="82"/>
        <v>0</v>
      </c>
      <c r="AD192" s="63">
        <f t="shared" si="82"/>
        <v>0</v>
      </c>
      <c r="AE192" s="63">
        <f t="shared" si="82"/>
        <v>0</v>
      </c>
      <c r="AF192" s="63">
        <f>SUM(H192:AE192)</f>
        <v>43921446.457389697</v>
      </c>
      <c r="AG192" s="58" t="str">
        <f>IF(ABS(AF192-F192)&lt;1,"ok","err")</f>
        <v>ok</v>
      </c>
    </row>
    <row r="193" spans="1:33">
      <c r="A193" s="60">
        <v>548</v>
      </c>
      <c r="B193" s="44" t="s">
        <v>227</v>
      </c>
      <c r="C193" s="44" t="s">
        <v>228</v>
      </c>
      <c r="D193" s="44" t="s">
        <v>624</v>
      </c>
      <c r="F193" s="78">
        <v>300829</v>
      </c>
      <c r="H193" s="63">
        <f t="shared" si="81"/>
        <v>300829</v>
      </c>
      <c r="I193" s="63">
        <f t="shared" si="81"/>
        <v>0</v>
      </c>
      <c r="J193" s="63">
        <f t="shared" si="81"/>
        <v>0</v>
      </c>
      <c r="K193" s="63">
        <f t="shared" si="81"/>
        <v>0</v>
      </c>
      <c r="L193" s="63">
        <f t="shared" si="81"/>
        <v>0</v>
      </c>
      <c r="M193" s="63">
        <f t="shared" si="81"/>
        <v>0</v>
      </c>
      <c r="N193" s="63">
        <f t="shared" si="81"/>
        <v>0</v>
      </c>
      <c r="O193" s="63">
        <f t="shared" si="81"/>
        <v>0</v>
      </c>
      <c r="P193" s="63">
        <f t="shared" si="81"/>
        <v>0</v>
      </c>
      <c r="Q193" s="63">
        <f t="shared" si="81"/>
        <v>0</v>
      </c>
      <c r="R193" s="63">
        <f t="shared" si="82"/>
        <v>0</v>
      </c>
      <c r="S193" s="63">
        <f t="shared" si="82"/>
        <v>0</v>
      </c>
      <c r="T193" s="63">
        <f t="shared" si="82"/>
        <v>0</v>
      </c>
      <c r="U193" s="63">
        <f t="shared" si="82"/>
        <v>0</v>
      </c>
      <c r="V193" s="63">
        <f t="shared" si="82"/>
        <v>0</v>
      </c>
      <c r="W193" s="63">
        <f t="shared" si="82"/>
        <v>0</v>
      </c>
      <c r="X193" s="63">
        <f t="shared" si="82"/>
        <v>0</v>
      </c>
      <c r="Y193" s="63">
        <f t="shared" si="82"/>
        <v>0</v>
      </c>
      <c r="Z193" s="63">
        <f t="shared" si="82"/>
        <v>0</v>
      </c>
      <c r="AA193" s="63">
        <f t="shared" si="82"/>
        <v>0</v>
      </c>
      <c r="AB193" s="63">
        <f t="shared" si="82"/>
        <v>0</v>
      </c>
      <c r="AC193" s="63">
        <f t="shared" si="82"/>
        <v>0</v>
      </c>
      <c r="AD193" s="63">
        <f t="shared" si="82"/>
        <v>0</v>
      </c>
      <c r="AE193" s="63">
        <f t="shared" si="82"/>
        <v>0</v>
      </c>
      <c r="AF193" s="63">
        <f>SUM(H193:AE193)</f>
        <v>300829</v>
      </c>
      <c r="AG193" s="58" t="str">
        <f>IF(ABS(AF193-F193)&lt;1,"ok","err")</f>
        <v>ok</v>
      </c>
    </row>
    <row r="194" spans="1:33">
      <c r="A194" s="60">
        <v>549</v>
      </c>
      <c r="B194" s="44" t="s">
        <v>229</v>
      </c>
      <c r="C194" s="44" t="s">
        <v>230</v>
      </c>
      <c r="D194" s="44" t="s">
        <v>624</v>
      </c>
      <c r="F194" s="78">
        <v>1742424</v>
      </c>
      <c r="H194" s="63">
        <f t="shared" si="81"/>
        <v>1742424</v>
      </c>
      <c r="I194" s="63">
        <f t="shared" si="81"/>
        <v>0</v>
      </c>
      <c r="J194" s="63">
        <f t="shared" si="81"/>
        <v>0</v>
      </c>
      <c r="K194" s="63">
        <f t="shared" si="81"/>
        <v>0</v>
      </c>
      <c r="L194" s="63">
        <f t="shared" si="81"/>
        <v>0</v>
      </c>
      <c r="M194" s="63">
        <f t="shared" si="81"/>
        <v>0</v>
      </c>
      <c r="N194" s="63">
        <f t="shared" si="81"/>
        <v>0</v>
      </c>
      <c r="O194" s="63">
        <f t="shared" si="81"/>
        <v>0</v>
      </c>
      <c r="P194" s="63">
        <f t="shared" si="81"/>
        <v>0</v>
      </c>
      <c r="Q194" s="63">
        <f t="shared" si="81"/>
        <v>0</v>
      </c>
      <c r="R194" s="63">
        <f t="shared" si="82"/>
        <v>0</v>
      </c>
      <c r="S194" s="63">
        <f t="shared" si="82"/>
        <v>0</v>
      </c>
      <c r="T194" s="63">
        <f t="shared" si="82"/>
        <v>0</v>
      </c>
      <c r="U194" s="63">
        <f t="shared" si="82"/>
        <v>0</v>
      </c>
      <c r="V194" s="63">
        <f t="shared" si="82"/>
        <v>0</v>
      </c>
      <c r="W194" s="63">
        <f t="shared" si="82"/>
        <v>0</v>
      </c>
      <c r="X194" s="63">
        <f t="shared" si="82"/>
        <v>0</v>
      </c>
      <c r="Y194" s="63">
        <f t="shared" si="82"/>
        <v>0</v>
      </c>
      <c r="Z194" s="63">
        <f t="shared" si="82"/>
        <v>0</v>
      </c>
      <c r="AA194" s="63">
        <f t="shared" si="82"/>
        <v>0</v>
      </c>
      <c r="AB194" s="63">
        <f t="shared" si="82"/>
        <v>0</v>
      </c>
      <c r="AC194" s="63">
        <f t="shared" si="82"/>
        <v>0</v>
      </c>
      <c r="AD194" s="63">
        <f t="shared" si="82"/>
        <v>0</v>
      </c>
      <c r="AE194" s="63">
        <f t="shared" si="82"/>
        <v>0</v>
      </c>
      <c r="AF194" s="63">
        <f>SUM(H194:AE194)</f>
        <v>1742424</v>
      </c>
      <c r="AG194" s="58" t="str">
        <f>IF(ABS(AF194-F194)&lt;1,"ok","err")</f>
        <v>ok</v>
      </c>
    </row>
    <row r="195" spans="1:33">
      <c r="A195" s="60">
        <v>550</v>
      </c>
      <c r="B195" s="44" t="s">
        <v>930</v>
      </c>
      <c r="C195" s="44" t="s">
        <v>231</v>
      </c>
      <c r="D195" s="44" t="s">
        <v>624</v>
      </c>
      <c r="F195" s="78">
        <v>11652</v>
      </c>
      <c r="H195" s="63">
        <f t="shared" si="81"/>
        <v>11652</v>
      </c>
      <c r="I195" s="63">
        <f t="shared" si="81"/>
        <v>0</v>
      </c>
      <c r="J195" s="63">
        <f t="shared" si="81"/>
        <v>0</v>
      </c>
      <c r="K195" s="63">
        <f t="shared" si="81"/>
        <v>0</v>
      </c>
      <c r="L195" s="63">
        <f t="shared" si="81"/>
        <v>0</v>
      </c>
      <c r="M195" s="63">
        <f t="shared" si="81"/>
        <v>0</v>
      </c>
      <c r="N195" s="63">
        <f t="shared" si="81"/>
        <v>0</v>
      </c>
      <c r="O195" s="63">
        <f t="shared" si="81"/>
        <v>0</v>
      </c>
      <c r="P195" s="63">
        <f t="shared" si="81"/>
        <v>0</v>
      </c>
      <c r="Q195" s="63">
        <f t="shared" si="81"/>
        <v>0</v>
      </c>
      <c r="R195" s="63">
        <f t="shared" si="82"/>
        <v>0</v>
      </c>
      <c r="S195" s="63">
        <f t="shared" si="82"/>
        <v>0</v>
      </c>
      <c r="T195" s="63">
        <f t="shared" si="82"/>
        <v>0</v>
      </c>
      <c r="U195" s="63">
        <f t="shared" si="82"/>
        <v>0</v>
      </c>
      <c r="V195" s="63">
        <f t="shared" si="82"/>
        <v>0</v>
      </c>
      <c r="W195" s="63">
        <f t="shared" si="82"/>
        <v>0</v>
      </c>
      <c r="X195" s="63">
        <f t="shared" si="82"/>
        <v>0</v>
      </c>
      <c r="Y195" s="63">
        <f t="shared" si="82"/>
        <v>0</v>
      </c>
      <c r="Z195" s="63">
        <f t="shared" si="82"/>
        <v>0</v>
      </c>
      <c r="AA195" s="63">
        <f t="shared" si="82"/>
        <v>0</v>
      </c>
      <c r="AB195" s="63">
        <f t="shared" si="82"/>
        <v>0</v>
      </c>
      <c r="AC195" s="63">
        <f t="shared" si="82"/>
        <v>0</v>
      </c>
      <c r="AD195" s="63">
        <f t="shared" si="82"/>
        <v>0</v>
      </c>
      <c r="AE195" s="63">
        <f t="shared" si="82"/>
        <v>0</v>
      </c>
      <c r="AF195" s="63">
        <f>SUM(H195:AE195)</f>
        <v>11652</v>
      </c>
      <c r="AG195" s="58" t="str">
        <f>IF(ABS(AF195-F195)&lt;1,"ok","err")</f>
        <v>ok</v>
      </c>
    </row>
    <row r="196" spans="1:33">
      <c r="A196" s="60"/>
      <c r="F196" s="75"/>
      <c r="W196" s="44"/>
      <c r="AF196" s="63"/>
      <c r="AG196" s="58"/>
    </row>
    <row r="197" spans="1:33">
      <c r="A197" s="60"/>
      <c r="B197" s="44" t="s">
        <v>232</v>
      </c>
      <c r="F197" s="75">
        <f>SUM(F191:F196)</f>
        <v>46163835.457389697</v>
      </c>
      <c r="H197" s="62">
        <f t="shared" ref="H197:M197" si="83">SUM(H191:H196)</f>
        <v>2242389</v>
      </c>
      <c r="I197" s="62">
        <f t="shared" si="83"/>
        <v>0</v>
      </c>
      <c r="J197" s="62">
        <f t="shared" si="83"/>
        <v>0</v>
      </c>
      <c r="K197" s="62">
        <f t="shared" si="83"/>
        <v>43921446.457389697</v>
      </c>
      <c r="L197" s="62">
        <f t="shared" si="83"/>
        <v>0</v>
      </c>
      <c r="M197" s="62">
        <f t="shared" si="83"/>
        <v>0</v>
      </c>
      <c r="N197" s="62">
        <f>SUM(N191:N196)</f>
        <v>0</v>
      </c>
      <c r="O197" s="62">
        <f>SUM(O191:O196)</f>
        <v>0</v>
      </c>
      <c r="P197" s="62">
        <f>SUM(P191:P196)</f>
        <v>0</v>
      </c>
      <c r="Q197" s="62">
        <f t="shared" ref="Q197:AB197" si="84">SUM(Q191:Q196)</f>
        <v>0</v>
      </c>
      <c r="R197" s="62">
        <f t="shared" si="84"/>
        <v>0</v>
      </c>
      <c r="S197" s="62">
        <f t="shared" si="84"/>
        <v>0</v>
      </c>
      <c r="T197" s="62">
        <f t="shared" si="84"/>
        <v>0</v>
      </c>
      <c r="U197" s="62">
        <f t="shared" si="84"/>
        <v>0</v>
      </c>
      <c r="V197" s="62">
        <f t="shared" si="84"/>
        <v>0</v>
      </c>
      <c r="W197" s="62">
        <f t="shared" si="84"/>
        <v>0</v>
      </c>
      <c r="X197" s="62">
        <f t="shared" si="84"/>
        <v>0</v>
      </c>
      <c r="Y197" s="62">
        <f t="shared" si="84"/>
        <v>0</v>
      </c>
      <c r="Z197" s="62">
        <f t="shared" si="84"/>
        <v>0</v>
      </c>
      <c r="AA197" s="62">
        <f t="shared" si="84"/>
        <v>0</v>
      </c>
      <c r="AB197" s="62">
        <f t="shared" si="84"/>
        <v>0</v>
      </c>
      <c r="AC197" s="62">
        <f>SUM(AC191:AC196)</f>
        <v>0</v>
      </c>
      <c r="AD197" s="62">
        <f>SUM(AD191:AD196)</f>
        <v>0</v>
      </c>
      <c r="AE197" s="62">
        <f>SUM(AE191:AE196)</f>
        <v>0</v>
      </c>
      <c r="AF197" s="63">
        <f>SUM(H197:AE197)</f>
        <v>46163835.457389697</v>
      </c>
      <c r="AG197" s="58" t="str">
        <f>IF(ABS(AF197-F197)&lt;1,"ok","err")</f>
        <v>ok</v>
      </c>
    </row>
    <row r="198" spans="1:33">
      <c r="A198" s="60"/>
      <c r="F198" s="75"/>
      <c r="W198" s="44"/>
      <c r="AG198" s="58"/>
    </row>
    <row r="199" spans="1:33" ht="15">
      <c r="A199" s="59" t="s">
        <v>950</v>
      </c>
      <c r="F199" s="75"/>
      <c r="W199" s="44"/>
      <c r="AG199" s="58"/>
    </row>
    <row r="200" spans="1:33">
      <c r="A200" s="60"/>
      <c r="F200" s="75"/>
      <c r="W200" s="44"/>
      <c r="AG200" s="58"/>
    </row>
    <row r="201" spans="1:33" ht="15">
      <c r="A201" s="65" t="s">
        <v>233</v>
      </c>
      <c r="F201" s="75"/>
      <c r="W201" s="44"/>
      <c r="AG201" s="58"/>
    </row>
    <row r="202" spans="1:33">
      <c r="A202" s="60">
        <v>551</v>
      </c>
      <c r="B202" s="44" t="s">
        <v>214</v>
      </c>
      <c r="C202" s="44" t="s">
        <v>234</v>
      </c>
      <c r="D202" s="44" t="s">
        <v>624</v>
      </c>
      <c r="F202" s="75">
        <v>272764</v>
      </c>
      <c r="H202" s="63">
        <f t="shared" ref="H202:Q205" si="85">IF(VLOOKUP($D202,$C$6:$AE$653,H$2,)=0,0,((VLOOKUP($D202,$C$6:$AE$653,H$2,)/VLOOKUP($D202,$C$6:$AE$653,4,))*$F202))</f>
        <v>272764</v>
      </c>
      <c r="I202" s="63">
        <f t="shared" si="85"/>
        <v>0</v>
      </c>
      <c r="J202" s="63">
        <f t="shared" si="85"/>
        <v>0</v>
      </c>
      <c r="K202" s="63">
        <f t="shared" si="85"/>
        <v>0</v>
      </c>
      <c r="L202" s="63">
        <f t="shared" si="85"/>
        <v>0</v>
      </c>
      <c r="M202" s="63">
        <f t="shared" si="85"/>
        <v>0</v>
      </c>
      <c r="N202" s="63">
        <f t="shared" si="85"/>
        <v>0</v>
      </c>
      <c r="O202" s="63">
        <f t="shared" si="85"/>
        <v>0</v>
      </c>
      <c r="P202" s="63">
        <f t="shared" si="85"/>
        <v>0</v>
      </c>
      <c r="Q202" s="63">
        <f t="shared" si="85"/>
        <v>0</v>
      </c>
      <c r="R202" s="63">
        <f t="shared" ref="R202:AE205" si="86">IF(VLOOKUP($D202,$C$6:$AE$653,R$2,)=0,0,((VLOOKUP($D202,$C$6:$AE$653,R$2,)/VLOOKUP($D202,$C$6:$AE$653,4,))*$F202))</f>
        <v>0</v>
      </c>
      <c r="S202" s="63">
        <f t="shared" si="86"/>
        <v>0</v>
      </c>
      <c r="T202" s="63">
        <f t="shared" si="86"/>
        <v>0</v>
      </c>
      <c r="U202" s="63">
        <f t="shared" si="86"/>
        <v>0</v>
      </c>
      <c r="V202" s="63">
        <f t="shared" si="86"/>
        <v>0</v>
      </c>
      <c r="W202" s="63">
        <f t="shared" si="86"/>
        <v>0</v>
      </c>
      <c r="X202" s="63">
        <f t="shared" si="86"/>
        <v>0</v>
      </c>
      <c r="Y202" s="63">
        <f t="shared" si="86"/>
        <v>0</v>
      </c>
      <c r="Z202" s="63">
        <f t="shared" si="86"/>
        <v>0</v>
      </c>
      <c r="AA202" s="63">
        <f t="shared" si="86"/>
        <v>0</v>
      </c>
      <c r="AB202" s="63">
        <f t="shared" si="86"/>
        <v>0</v>
      </c>
      <c r="AC202" s="63">
        <f t="shared" si="86"/>
        <v>0</v>
      </c>
      <c r="AD202" s="63">
        <f t="shared" si="86"/>
        <v>0</v>
      </c>
      <c r="AE202" s="63">
        <f t="shared" si="86"/>
        <v>0</v>
      </c>
      <c r="AF202" s="63">
        <f>SUM(H202:AE202)</f>
        <v>272764</v>
      </c>
      <c r="AG202" s="58" t="str">
        <f>IF(ABS(AF202-F202)&lt;1,"ok","err")</f>
        <v>ok</v>
      </c>
    </row>
    <row r="203" spans="1:33">
      <c r="A203" s="60">
        <v>552</v>
      </c>
      <c r="B203" s="44" t="s">
        <v>213</v>
      </c>
      <c r="C203" s="44" t="s">
        <v>235</v>
      </c>
      <c r="D203" s="44" t="s">
        <v>624</v>
      </c>
      <c r="F203" s="78">
        <v>235911</v>
      </c>
      <c r="H203" s="63">
        <f t="shared" si="85"/>
        <v>235911</v>
      </c>
      <c r="I203" s="63">
        <f t="shared" si="85"/>
        <v>0</v>
      </c>
      <c r="J203" s="63">
        <f t="shared" si="85"/>
        <v>0</v>
      </c>
      <c r="K203" s="63">
        <f t="shared" si="85"/>
        <v>0</v>
      </c>
      <c r="L203" s="63">
        <f t="shared" si="85"/>
        <v>0</v>
      </c>
      <c r="M203" s="63">
        <f t="shared" si="85"/>
        <v>0</v>
      </c>
      <c r="N203" s="63">
        <f t="shared" si="85"/>
        <v>0</v>
      </c>
      <c r="O203" s="63">
        <f t="shared" si="85"/>
        <v>0</v>
      </c>
      <c r="P203" s="63">
        <f t="shared" si="85"/>
        <v>0</v>
      </c>
      <c r="Q203" s="63">
        <f t="shared" si="85"/>
        <v>0</v>
      </c>
      <c r="R203" s="63">
        <f t="shared" si="86"/>
        <v>0</v>
      </c>
      <c r="S203" s="63">
        <f t="shared" si="86"/>
        <v>0</v>
      </c>
      <c r="T203" s="63">
        <f t="shared" si="86"/>
        <v>0</v>
      </c>
      <c r="U203" s="63">
        <f t="shared" si="86"/>
        <v>0</v>
      </c>
      <c r="V203" s="63">
        <f t="shared" si="86"/>
        <v>0</v>
      </c>
      <c r="W203" s="63">
        <f t="shared" si="86"/>
        <v>0</v>
      </c>
      <c r="X203" s="63">
        <f t="shared" si="86"/>
        <v>0</v>
      </c>
      <c r="Y203" s="63">
        <f t="shared" si="86"/>
        <v>0</v>
      </c>
      <c r="Z203" s="63">
        <f t="shared" si="86"/>
        <v>0</v>
      </c>
      <c r="AA203" s="63">
        <f t="shared" si="86"/>
        <v>0</v>
      </c>
      <c r="AB203" s="63">
        <f t="shared" si="86"/>
        <v>0</v>
      </c>
      <c r="AC203" s="63">
        <f t="shared" si="86"/>
        <v>0</v>
      </c>
      <c r="AD203" s="63">
        <f t="shared" si="86"/>
        <v>0</v>
      </c>
      <c r="AE203" s="63">
        <f t="shared" si="86"/>
        <v>0</v>
      </c>
      <c r="AF203" s="63">
        <f>SUM(H203:AE203)</f>
        <v>235911</v>
      </c>
      <c r="AG203" s="58" t="str">
        <f>IF(ABS(AF203-F203)&lt;1,"ok","err")</f>
        <v>ok</v>
      </c>
    </row>
    <row r="204" spans="1:33">
      <c r="A204" s="60">
        <v>553</v>
      </c>
      <c r="B204" s="44" t="s">
        <v>236</v>
      </c>
      <c r="C204" s="44" t="s">
        <v>237</v>
      </c>
      <c r="D204" s="44" t="s">
        <v>624</v>
      </c>
      <c r="F204" s="78">
        <v>3098761</v>
      </c>
      <c r="H204" s="63">
        <f t="shared" si="85"/>
        <v>3098761</v>
      </c>
      <c r="I204" s="63">
        <f t="shared" si="85"/>
        <v>0</v>
      </c>
      <c r="J204" s="63">
        <f t="shared" si="85"/>
        <v>0</v>
      </c>
      <c r="K204" s="63">
        <f t="shared" si="85"/>
        <v>0</v>
      </c>
      <c r="L204" s="63">
        <f t="shared" si="85"/>
        <v>0</v>
      </c>
      <c r="M204" s="63">
        <f t="shared" si="85"/>
        <v>0</v>
      </c>
      <c r="N204" s="63">
        <f t="shared" si="85"/>
        <v>0</v>
      </c>
      <c r="O204" s="63">
        <f t="shared" si="85"/>
        <v>0</v>
      </c>
      <c r="P204" s="63">
        <f t="shared" si="85"/>
        <v>0</v>
      </c>
      <c r="Q204" s="63">
        <f t="shared" si="85"/>
        <v>0</v>
      </c>
      <c r="R204" s="63">
        <f t="shared" si="86"/>
        <v>0</v>
      </c>
      <c r="S204" s="63">
        <f t="shared" si="86"/>
        <v>0</v>
      </c>
      <c r="T204" s="63">
        <f t="shared" si="86"/>
        <v>0</v>
      </c>
      <c r="U204" s="63">
        <f t="shared" si="86"/>
        <v>0</v>
      </c>
      <c r="V204" s="63">
        <f t="shared" si="86"/>
        <v>0</v>
      </c>
      <c r="W204" s="63">
        <f t="shared" si="86"/>
        <v>0</v>
      </c>
      <c r="X204" s="63">
        <f t="shared" si="86"/>
        <v>0</v>
      </c>
      <c r="Y204" s="63">
        <f t="shared" si="86"/>
        <v>0</v>
      </c>
      <c r="Z204" s="63">
        <f t="shared" si="86"/>
        <v>0</v>
      </c>
      <c r="AA204" s="63">
        <f t="shared" si="86"/>
        <v>0</v>
      </c>
      <c r="AB204" s="63">
        <f t="shared" si="86"/>
        <v>0</v>
      </c>
      <c r="AC204" s="63">
        <f t="shared" si="86"/>
        <v>0</v>
      </c>
      <c r="AD204" s="63">
        <f t="shared" si="86"/>
        <v>0</v>
      </c>
      <c r="AE204" s="63">
        <f t="shared" si="86"/>
        <v>0</v>
      </c>
      <c r="AF204" s="63">
        <f>SUM(H204:AE204)</f>
        <v>3098761</v>
      </c>
      <c r="AG204" s="58" t="str">
        <f>IF(ABS(AF204-F204)&lt;1,"ok","err")</f>
        <v>ok</v>
      </c>
    </row>
    <row r="205" spans="1:33">
      <c r="A205" s="60">
        <v>554</v>
      </c>
      <c r="B205" s="44" t="s">
        <v>238</v>
      </c>
      <c r="C205" s="44" t="s">
        <v>239</v>
      </c>
      <c r="D205" s="44" t="s">
        <v>624</v>
      </c>
      <c r="F205" s="78">
        <v>1896208.99999999</v>
      </c>
      <c r="H205" s="63">
        <f t="shared" si="85"/>
        <v>1896208.99999999</v>
      </c>
      <c r="I205" s="63">
        <f t="shared" si="85"/>
        <v>0</v>
      </c>
      <c r="J205" s="63">
        <f t="shared" si="85"/>
        <v>0</v>
      </c>
      <c r="K205" s="63">
        <f t="shared" si="85"/>
        <v>0</v>
      </c>
      <c r="L205" s="63">
        <f t="shared" si="85"/>
        <v>0</v>
      </c>
      <c r="M205" s="63">
        <f t="shared" si="85"/>
        <v>0</v>
      </c>
      <c r="N205" s="63">
        <f t="shared" si="85"/>
        <v>0</v>
      </c>
      <c r="O205" s="63">
        <f t="shared" si="85"/>
        <v>0</v>
      </c>
      <c r="P205" s="63">
        <f t="shared" si="85"/>
        <v>0</v>
      </c>
      <c r="Q205" s="63">
        <f t="shared" si="85"/>
        <v>0</v>
      </c>
      <c r="R205" s="63">
        <f t="shared" si="86"/>
        <v>0</v>
      </c>
      <c r="S205" s="63">
        <f t="shared" si="86"/>
        <v>0</v>
      </c>
      <c r="T205" s="63">
        <f t="shared" si="86"/>
        <v>0</v>
      </c>
      <c r="U205" s="63">
        <f t="shared" si="86"/>
        <v>0</v>
      </c>
      <c r="V205" s="63">
        <f t="shared" si="86"/>
        <v>0</v>
      </c>
      <c r="W205" s="63">
        <f t="shared" si="86"/>
        <v>0</v>
      </c>
      <c r="X205" s="63">
        <f t="shared" si="86"/>
        <v>0</v>
      </c>
      <c r="Y205" s="63">
        <f t="shared" si="86"/>
        <v>0</v>
      </c>
      <c r="Z205" s="63">
        <f t="shared" si="86"/>
        <v>0</v>
      </c>
      <c r="AA205" s="63">
        <f t="shared" si="86"/>
        <v>0</v>
      </c>
      <c r="AB205" s="63">
        <f t="shared" si="86"/>
        <v>0</v>
      </c>
      <c r="AC205" s="63">
        <f t="shared" si="86"/>
        <v>0</v>
      </c>
      <c r="AD205" s="63">
        <f t="shared" si="86"/>
        <v>0</v>
      </c>
      <c r="AE205" s="63">
        <f t="shared" si="86"/>
        <v>0</v>
      </c>
      <c r="AF205" s="63">
        <f>SUM(H205:AE205)</f>
        <v>1896208.99999999</v>
      </c>
      <c r="AG205" s="58" t="str">
        <f>IF(ABS(AF205-F205)&lt;1,"ok","err")</f>
        <v>ok</v>
      </c>
    </row>
    <row r="206" spans="1:33">
      <c r="A206" s="60"/>
      <c r="F206" s="75"/>
      <c r="W206" s="44"/>
      <c r="AG206" s="58"/>
    </row>
    <row r="207" spans="1:33">
      <c r="A207" s="60"/>
      <c r="B207" s="44" t="s">
        <v>241</v>
      </c>
      <c r="F207" s="75">
        <f>SUM(F202:F206)</f>
        <v>5503644.9999999898</v>
      </c>
      <c r="H207" s="62">
        <f t="shared" ref="H207:M207" si="87">SUM(H202:H206)</f>
        <v>5503644.9999999898</v>
      </c>
      <c r="I207" s="62">
        <f t="shared" si="87"/>
        <v>0</v>
      </c>
      <c r="J207" s="62">
        <f t="shared" si="87"/>
        <v>0</v>
      </c>
      <c r="K207" s="62">
        <f t="shared" si="87"/>
        <v>0</v>
      </c>
      <c r="L207" s="62">
        <f t="shared" si="87"/>
        <v>0</v>
      </c>
      <c r="M207" s="62">
        <f t="shared" si="87"/>
        <v>0</v>
      </c>
      <c r="N207" s="62">
        <f>SUM(N202:N206)</f>
        <v>0</v>
      </c>
      <c r="O207" s="62">
        <f>SUM(O202:O206)</f>
        <v>0</v>
      </c>
      <c r="P207" s="62">
        <f>SUM(P202:P206)</f>
        <v>0</v>
      </c>
      <c r="Q207" s="62">
        <f t="shared" ref="Q207:AB207" si="88">SUM(Q202:Q206)</f>
        <v>0</v>
      </c>
      <c r="R207" s="62">
        <f t="shared" si="88"/>
        <v>0</v>
      </c>
      <c r="S207" s="62">
        <f t="shared" si="88"/>
        <v>0</v>
      </c>
      <c r="T207" s="62">
        <f t="shared" si="88"/>
        <v>0</v>
      </c>
      <c r="U207" s="62">
        <f t="shared" si="88"/>
        <v>0</v>
      </c>
      <c r="V207" s="62">
        <f t="shared" si="88"/>
        <v>0</v>
      </c>
      <c r="W207" s="62">
        <f t="shared" si="88"/>
        <v>0</v>
      </c>
      <c r="X207" s="62">
        <f t="shared" si="88"/>
        <v>0</v>
      </c>
      <c r="Y207" s="62">
        <f t="shared" si="88"/>
        <v>0</v>
      </c>
      <c r="Z207" s="62">
        <f t="shared" si="88"/>
        <v>0</v>
      </c>
      <c r="AA207" s="62">
        <f t="shared" si="88"/>
        <v>0</v>
      </c>
      <c r="AB207" s="62">
        <f t="shared" si="88"/>
        <v>0</v>
      </c>
      <c r="AC207" s="62">
        <f>SUM(AC202:AC206)</f>
        <v>0</v>
      </c>
      <c r="AD207" s="62">
        <f>SUM(AD202:AD206)</f>
        <v>0</v>
      </c>
      <c r="AE207" s="62">
        <f>SUM(AE202:AE206)</f>
        <v>0</v>
      </c>
      <c r="AF207" s="63">
        <f>SUM(H207:AE207)</f>
        <v>5503644.9999999898</v>
      </c>
      <c r="AG207" s="58" t="str">
        <f>IF(ABS(AF207-F207)&lt;1,"ok","err")</f>
        <v>ok</v>
      </c>
    </row>
    <row r="208" spans="1:33">
      <c r="A208" s="60"/>
      <c r="F208" s="75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3"/>
      <c r="AG208" s="58"/>
    </row>
    <row r="209" spans="1:33">
      <c r="A209" s="60"/>
      <c r="B209" s="44" t="s">
        <v>240</v>
      </c>
      <c r="F209" s="75">
        <f>F197+F207</f>
        <v>51667480.45738969</v>
      </c>
      <c r="H209" s="62">
        <f t="shared" ref="H209:M209" si="89">H197+H207</f>
        <v>7746033.9999999898</v>
      </c>
      <c r="I209" s="62">
        <f t="shared" si="89"/>
        <v>0</v>
      </c>
      <c r="J209" s="62">
        <f t="shared" si="89"/>
        <v>0</v>
      </c>
      <c r="K209" s="62">
        <f t="shared" si="89"/>
        <v>43921446.457389697</v>
      </c>
      <c r="L209" s="62">
        <f t="shared" si="89"/>
        <v>0</v>
      </c>
      <c r="M209" s="62">
        <f t="shared" si="89"/>
        <v>0</v>
      </c>
      <c r="N209" s="62">
        <f>N197+N207</f>
        <v>0</v>
      </c>
      <c r="O209" s="62">
        <f>O197+O207</f>
        <v>0</v>
      </c>
      <c r="P209" s="62">
        <f>P197+P207</f>
        <v>0</v>
      </c>
      <c r="Q209" s="62">
        <f t="shared" ref="Q209:AB209" si="90">Q197+Q207</f>
        <v>0</v>
      </c>
      <c r="R209" s="62">
        <f t="shared" si="90"/>
        <v>0</v>
      </c>
      <c r="S209" s="62">
        <f t="shared" si="90"/>
        <v>0</v>
      </c>
      <c r="T209" s="62">
        <f t="shared" si="90"/>
        <v>0</v>
      </c>
      <c r="U209" s="62">
        <f t="shared" si="90"/>
        <v>0</v>
      </c>
      <c r="V209" s="62">
        <f t="shared" si="90"/>
        <v>0</v>
      </c>
      <c r="W209" s="62">
        <f t="shared" si="90"/>
        <v>0</v>
      </c>
      <c r="X209" s="62">
        <f t="shared" si="90"/>
        <v>0</v>
      </c>
      <c r="Y209" s="62">
        <f t="shared" si="90"/>
        <v>0</v>
      </c>
      <c r="Z209" s="62">
        <f t="shared" si="90"/>
        <v>0</v>
      </c>
      <c r="AA209" s="62">
        <f t="shared" si="90"/>
        <v>0</v>
      </c>
      <c r="AB209" s="62">
        <f t="shared" si="90"/>
        <v>0</v>
      </c>
      <c r="AC209" s="62">
        <f>AC197+AC207</f>
        <v>0</v>
      </c>
      <c r="AD209" s="62">
        <f>AD197+AD207</f>
        <v>0</v>
      </c>
      <c r="AE209" s="62">
        <f>AE197+AE207</f>
        <v>0</v>
      </c>
      <c r="AF209" s="63">
        <f>SUM(H209:AE209)</f>
        <v>51667480.45738969</v>
      </c>
      <c r="AG209" s="58" t="str">
        <f>IF(ABS(AF209-F209)&lt;1,"ok","err")</f>
        <v>ok</v>
      </c>
    </row>
    <row r="210" spans="1:33">
      <c r="A210" s="60"/>
      <c r="F210" s="75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3"/>
      <c r="AG210" s="58"/>
    </row>
    <row r="211" spans="1:33">
      <c r="A211" s="60"/>
      <c r="B211" s="44" t="s">
        <v>242</v>
      </c>
      <c r="F211" s="75">
        <f>F167+F188+F209</f>
        <v>412365287.52817774</v>
      </c>
      <c r="H211" s="62">
        <f t="shared" ref="H211:M211" si="91">H167+H188+H209</f>
        <v>55193697.065196134</v>
      </c>
      <c r="I211" s="62">
        <f t="shared" si="91"/>
        <v>0</v>
      </c>
      <c r="J211" s="62">
        <f t="shared" si="91"/>
        <v>0</v>
      </c>
      <c r="K211" s="62">
        <f t="shared" si="91"/>
        <v>357171590.46298152</v>
      </c>
      <c r="L211" s="62">
        <f t="shared" si="91"/>
        <v>0</v>
      </c>
      <c r="M211" s="62">
        <f t="shared" si="91"/>
        <v>0</v>
      </c>
      <c r="N211" s="62">
        <f>N167+N188+N209</f>
        <v>0</v>
      </c>
      <c r="O211" s="62">
        <f>O167+O188+O209</f>
        <v>0</v>
      </c>
      <c r="P211" s="62">
        <f>P167+P188+P209</f>
        <v>0</v>
      </c>
      <c r="Q211" s="62">
        <f t="shared" ref="Q211:AB211" si="92">Q167+Q188+Q209</f>
        <v>0</v>
      </c>
      <c r="R211" s="62">
        <f t="shared" si="92"/>
        <v>0</v>
      </c>
      <c r="S211" s="62">
        <f t="shared" si="92"/>
        <v>0</v>
      </c>
      <c r="T211" s="62">
        <f t="shared" si="92"/>
        <v>0</v>
      </c>
      <c r="U211" s="62">
        <f t="shared" si="92"/>
        <v>0</v>
      </c>
      <c r="V211" s="62">
        <f t="shared" si="92"/>
        <v>0</v>
      </c>
      <c r="W211" s="62">
        <f t="shared" si="92"/>
        <v>0</v>
      </c>
      <c r="X211" s="62">
        <f t="shared" si="92"/>
        <v>0</v>
      </c>
      <c r="Y211" s="62">
        <f t="shared" si="92"/>
        <v>0</v>
      </c>
      <c r="Z211" s="62">
        <f t="shared" si="92"/>
        <v>0</v>
      </c>
      <c r="AA211" s="62">
        <f t="shared" si="92"/>
        <v>0</v>
      </c>
      <c r="AB211" s="62">
        <f t="shared" si="92"/>
        <v>0</v>
      </c>
      <c r="AC211" s="62">
        <f>AC167+AC188+AC209</f>
        <v>0</v>
      </c>
      <c r="AD211" s="62">
        <f>AD167+AD188+AD209</f>
        <v>0</v>
      </c>
      <c r="AE211" s="62">
        <f>AE167+AE188+AE209</f>
        <v>0</v>
      </c>
      <c r="AF211" s="63">
        <f>SUM(H211:AE211)</f>
        <v>412365287.52817768</v>
      </c>
      <c r="AG211" s="58" t="str">
        <f>IF(ABS(AF211-F211)&lt;1,"ok","err")</f>
        <v>ok</v>
      </c>
    </row>
    <row r="212" spans="1:33">
      <c r="A212" s="60"/>
      <c r="W212" s="44"/>
      <c r="AG212" s="58"/>
    </row>
    <row r="213" spans="1:33" ht="15">
      <c r="A213" s="65" t="s">
        <v>243</v>
      </c>
      <c r="W213" s="44"/>
      <c r="AG213" s="58"/>
    </row>
    <row r="214" spans="1:33">
      <c r="A214" s="60">
        <v>555</v>
      </c>
      <c r="B214" s="44" t="s">
        <v>1077</v>
      </c>
      <c r="C214" s="44" t="s">
        <v>6</v>
      </c>
      <c r="D214" s="44" t="s">
        <v>912</v>
      </c>
      <c r="F214" s="75">
        <f>44518297.2428655-1241626</f>
        <v>43276671.242865503</v>
      </c>
      <c r="G214" s="62"/>
      <c r="H214" s="63">
        <f t="shared" ref="H214:Q220" si="93">IF(VLOOKUP($D214,$C$6:$AE$653,H$2,)=0,0,((VLOOKUP($D214,$C$6:$AE$653,H$2,)/VLOOKUP($D214,$C$6:$AE$653,4,))*$F214))</f>
        <v>23686710.739299577</v>
      </c>
      <c r="I214" s="63">
        <f t="shared" si="93"/>
        <v>0</v>
      </c>
      <c r="J214" s="63">
        <f t="shared" si="93"/>
        <v>0</v>
      </c>
      <c r="K214" s="63">
        <f t="shared" si="93"/>
        <v>19589960.50356593</v>
      </c>
      <c r="L214" s="63">
        <f t="shared" si="93"/>
        <v>0</v>
      </c>
      <c r="M214" s="63">
        <f t="shared" si="93"/>
        <v>0</v>
      </c>
      <c r="N214" s="63">
        <f t="shared" si="93"/>
        <v>0</v>
      </c>
      <c r="O214" s="63">
        <f t="shared" si="93"/>
        <v>0</v>
      </c>
      <c r="P214" s="63">
        <f t="shared" si="93"/>
        <v>0</v>
      </c>
      <c r="Q214" s="63">
        <f t="shared" si="93"/>
        <v>0</v>
      </c>
      <c r="R214" s="63">
        <f t="shared" ref="R214:AE220" si="94">IF(VLOOKUP($D214,$C$6:$AE$653,R$2,)=0,0,((VLOOKUP($D214,$C$6:$AE$653,R$2,)/VLOOKUP($D214,$C$6:$AE$653,4,))*$F214))</f>
        <v>0</v>
      </c>
      <c r="S214" s="63">
        <f t="shared" si="94"/>
        <v>0</v>
      </c>
      <c r="T214" s="63">
        <f t="shared" si="94"/>
        <v>0</v>
      </c>
      <c r="U214" s="63">
        <f t="shared" si="94"/>
        <v>0</v>
      </c>
      <c r="V214" s="63">
        <f t="shared" si="94"/>
        <v>0</v>
      </c>
      <c r="W214" s="63">
        <f t="shared" si="94"/>
        <v>0</v>
      </c>
      <c r="X214" s="63">
        <f t="shared" si="94"/>
        <v>0</v>
      </c>
      <c r="Y214" s="63">
        <f t="shared" si="94"/>
        <v>0</v>
      </c>
      <c r="Z214" s="63">
        <f t="shared" si="94"/>
        <v>0</v>
      </c>
      <c r="AA214" s="63">
        <f t="shared" si="94"/>
        <v>0</v>
      </c>
      <c r="AB214" s="63">
        <f t="shared" si="94"/>
        <v>0</v>
      </c>
      <c r="AC214" s="63">
        <f t="shared" si="94"/>
        <v>0</v>
      </c>
      <c r="AD214" s="63">
        <f t="shared" si="94"/>
        <v>0</v>
      </c>
      <c r="AE214" s="63">
        <f t="shared" si="94"/>
        <v>0</v>
      </c>
      <c r="AF214" s="63">
        <f t="shared" ref="AF214:AF220" si="95">SUM(H214:AE214)</f>
        <v>43276671.242865503</v>
      </c>
      <c r="AG214" s="58" t="str">
        <f t="shared" ref="AG214:AG220" si="96">IF(ABS(AF214-F214)&lt;1,"ok","err")</f>
        <v>ok</v>
      </c>
    </row>
    <row r="215" spans="1:33">
      <c r="A215" s="60">
        <v>555</v>
      </c>
      <c r="B215" s="44" t="s">
        <v>244</v>
      </c>
      <c r="C215" s="44" t="s">
        <v>245</v>
      </c>
      <c r="D215" s="44" t="s">
        <v>912</v>
      </c>
      <c r="F215" s="78">
        <v>0</v>
      </c>
      <c r="G215" s="62"/>
      <c r="H215" s="63">
        <f t="shared" si="93"/>
        <v>0</v>
      </c>
      <c r="I215" s="63">
        <f t="shared" si="93"/>
        <v>0</v>
      </c>
      <c r="J215" s="63">
        <f t="shared" si="93"/>
        <v>0</v>
      </c>
      <c r="K215" s="63">
        <f t="shared" si="93"/>
        <v>0</v>
      </c>
      <c r="L215" s="63">
        <f t="shared" si="93"/>
        <v>0</v>
      </c>
      <c r="M215" s="63">
        <f t="shared" si="93"/>
        <v>0</v>
      </c>
      <c r="N215" s="63">
        <f t="shared" si="93"/>
        <v>0</v>
      </c>
      <c r="O215" s="63">
        <f t="shared" si="93"/>
        <v>0</v>
      </c>
      <c r="P215" s="63">
        <f t="shared" si="93"/>
        <v>0</v>
      </c>
      <c r="Q215" s="63">
        <f t="shared" si="93"/>
        <v>0</v>
      </c>
      <c r="R215" s="63">
        <f t="shared" si="94"/>
        <v>0</v>
      </c>
      <c r="S215" s="63">
        <f t="shared" si="94"/>
        <v>0</v>
      </c>
      <c r="T215" s="63">
        <f t="shared" si="94"/>
        <v>0</v>
      </c>
      <c r="U215" s="63">
        <f t="shared" si="94"/>
        <v>0</v>
      </c>
      <c r="V215" s="63">
        <f t="shared" si="94"/>
        <v>0</v>
      </c>
      <c r="W215" s="63">
        <f t="shared" si="94"/>
        <v>0</v>
      </c>
      <c r="X215" s="63">
        <f t="shared" si="94"/>
        <v>0</v>
      </c>
      <c r="Y215" s="63">
        <f t="shared" si="94"/>
        <v>0</v>
      </c>
      <c r="Z215" s="63">
        <f t="shared" si="94"/>
        <v>0</v>
      </c>
      <c r="AA215" s="63">
        <f t="shared" si="94"/>
        <v>0</v>
      </c>
      <c r="AB215" s="63">
        <f t="shared" si="94"/>
        <v>0</v>
      </c>
      <c r="AC215" s="63">
        <f t="shared" si="94"/>
        <v>0</v>
      </c>
      <c r="AD215" s="63">
        <f t="shared" si="94"/>
        <v>0</v>
      </c>
      <c r="AE215" s="63">
        <f t="shared" si="94"/>
        <v>0</v>
      </c>
      <c r="AF215" s="63">
        <f t="shared" si="95"/>
        <v>0</v>
      </c>
      <c r="AG215" s="58" t="str">
        <f t="shared" si="96"/>
        <v>ok</v>
      </c>
    </row>
    <row r="216" spans="1:33">
      <c r="A216" s="60">
        <v>555</v>
      </c>
      <c r="B216" s="44" t="s">
        <v>246</v>
      </c>
      <c r="C216" s="44" t="s">
        <v>247</v>
      </c>
      <c r="D216" s="44" t="s">
        <v>912</v>
      </c>
      <c r="F216" s="78">
        <v>0</v>
      </c>
      <c r="G216" s="62"/>
      <c r="H216" s="63">
        <f t="shared" si="93"/>
        <v>0</v>
      </c>
      <c r="I216" s="63">
        <f t="shared" si="93"/>
        <v>0</v>
      </c>
      <c r="J216" s="63">
        <f t="shared" si="93"/>
        <v>0</v>
      </c>
      <c r="K216" s="63">
        <f t="shared" si="93"/>
        <v>0</v>
      </c>
      <c r="L216" s="63">
        <f t="shared" si="93"/>
        <v>0</v>
      </c>
      <c r="M216" s="63">
        <f t="shared" si="93"/>
        <v>0</v>
      </c>
      <c r="N216" s="63">
        <f t="shared" si="93"/>
        <v>0</v>
      </c>
      <c r="O216" s="63">
        <f t="shared" si="93"/>
        <v>0</v>
      </c>
      <c r="P216" s="63">
        <f t="shared" si="93"/>
        <v>0</v>
      </c>
      <c r="Q216" s="63">
        <f t="shared" si="93"/>
        <v>0</v>
      </c>
      <c r="R216" s="63">
        <f t="shared" si="94"/>
        <v>0</v>
      </c>
      <c r="S216" s="63">
        <f t="shared" si="94"/>
        <v>0</v>
      </c>
      <c r="T216" s="63">
        <f t="shared" si="94"/>
        <v>0</v>
      </c>
      <c r="U216" s="63">
        <f t="shared" si="94"/>
        <v>0</v>
      </c>
      <c r="V216" s="63">
        <f t="shared" si="94"/>
        <v>0</v>
      </c>
      <c r="W216" s="63">
        <f t="shared" si="94"/>
        <v>0</v>
      </c>
      <c r="X216" s="63">
        <f t="shared" si="94"/>
        <v>0</v>
      </c>
      <c r="Y216" s="63">
        <f t="shared" si="94"/>
        <v>0</v>
      </c>
      <c r="Z216" s="63">
        <f t="shared" si="94"/>
        <v>0</v>
      </c>
      <c r="AA216" s="63">
        <f t="shared" si="94"/>
        <v>0</v>
      </c>
      <c r="AB216" s="63">
        <f t="shared" si="94"/>
        <v>0</v>
      </c>
      <c r="AC216" s="63">
        <f t="shared" si="94"/>
        <v>0</v>
      </c>
      <c r="AD216" s="63">
        <f t="shared" si="94"/>
        <v>0</v>
      </c>
      <c r="AE216" s="63">
        <f t="shared" si="94"/>
        <v>0</v>
      </c>
      <c r="AF216" s="63">
        <f t="shared" si="95"/>
        <v>0</v>
      </c>
      <c r="AG216" s="58" t="str">
        <f t="shared" si="96"/>
        <v>ok</v>
      </c>
    </row>
    <row r="217" spans="1:33">
      <c r="A217" s="60">
        <v>555</v>
      </c>
      <c r="B217" s="44" t="s">
        <v>248</v>
      </c>
      <c r="C217" s="44" t="s">
        <v>249</v>
      </c>
      <c r="D217" s="44" t="s">
        <v>912</v>
      </c>
      <c r="F217" s="78">
        <v>0</v>
      </c>
      <c r="G217" s="62"/>
      <c r="H217" s="63">
        <f t="shared" si="93"/>
        <v>0</v>
      </c>
      <c r="I217" s="63">
        <f t="shared" si="93"/>
        <v>0</v>
      </c>
      <c r="J217" s="63">
        <f t="shared" si="93"/>
        <v>0</v>
      </c>
      <c r="K217" s="63">
        <f t="shared" si="93"/>
        <v>0</v>
      </c>
      <c r="L217" s="63">
        <f t="shared" si="93"/>
        <v>0</v>
      </c>
      <c r="M217" s="63">
        <f t="shared" si="93"/>
        <v>0</v>
      </c>
      <c r="N217" s="63">
        <f t="shared" si="93"/>
        <v>0</v>
      </c>
      <c r="O217" s="63">
        <f t="shared" si="93"/>
        <v>0</v>
      </c>
      <c r="P217" s="63">
        <f t="shared" si="93"/>
        <v>0</v>
      </c>
      <c r="Q217" s="63">
        <f t="shared" si="93"/>
        <v>0</v>
      </c>
      <c r="R217" s="63">
        <f t="shared" si="94"/>
        <v>0</v>
      </c>
      <c r="S217" s="63">
        <f t="shared" si="94"/>
        <v>0</v>
      </c>
      <c r="T217" s="63">
        <f t="shared" si="94"/>
        <v>0</v>
      </c>
      <c r="U217" s="63">
        <f t="shared" si="94"/>
        <v>0</v>
      </c>
      <c r="V217" s="63">
        <f t="shared" si="94"/>
        <v>0</v>
      </c>
      <c r="W217" s="63">
        <f t="shared" si="94"/>
        <v>0</v>
      </c>
      <c r="X217" s="63">
        <f t="shared" si="94"/>
        <v>0</v>
      </c>
      <c r="Y217" s="63">
        <f t="shared" si="94"/>
        <v>0</v>
      </c>
      <c r="Z217" s="63">
        <f t="shared" si="94"/>
        <v>0</v>
      </c>
      <c r="AA217" s="63">
        <f t="shared" si="94"/>
        <v>0</v>
      </c>
      <c r="AB217" s="63">
        <f t="shared" si="94"/>
        <v>0</v>
      </c>
      <c r="AC217" s="63">
        <f t="shared" si="94"/>
        <v>0</v>
      </c>
      <c r="AD217" s="63">
        <f t="shared" si="94"/>
        <v>0</v>
      </c>
      <c r="AE217" s="63">
        <f t="shared" si="94"/>
        <v>0</v>
      </c>
      <c r="AF217" s="63">
        <f t="shared" si="95"/>
        <v>0</v>
      </c>
      <c r="AG217" s="58" t="str">
        <f t="shared" si="96"/>
        <v>ok</v>
      </c>
    </row>
    <row r="218" spans="1:33">
      <c r="A218" s="60">
        <v>556</v>
      </c>
      <c r="B218" s="44" t="s">
        <v>250</v>
      </c>
      <c r="C218" s="44" t="s">
        <v>251</v>
      </c>
      <c r="D218" s="44" t="s">
        <v>624</v>
      </c>
      <c r="F218" s="78">
        <v>1775596.99999999</v>
      </c>
      <c r="G218" s="62"/>
      <c r="H218" s="63">
        <f t="shared" si="93"/>
        <v>1775596.99999999</v>
      </c>
      <c r="I218" s="63">
        <f t="shared" si="93"/>
        <v>0</v>
      </c>
      <c r="J218" s="63">
        <f t="shared" si="93"/>
        <v>0</v>
      </c>
      <c r="K218" s="63">
        <f t="shared" si="93"/>
        <v>0</v>
      </c>
      <c r="L218" s="63">
        <f t="shared" si="93"/>
        <v>0</v>
      </c>
      <c r="M218" s="63">
        <f t="shared" si="93"/>
        <v>0</v>
      </c>
      <c r="N218" s="63">
        <f t="shared" si="93"/>
        <v>0</v>
      </c>
      <c r="O218" s="63">
        <f t="shared" si="93"/>
        <v>0</v>
      </c>
      <c r="P218" s="63">
        <f t="shared" si="93"/>
        <v>0</v>
      </c>
      <c r="Q218" s="63">
        <f t="shared" si="93"/>
        <v>0</v>
      </c>
      <c r="R218" s="63">
        <f t="shared" si="94"/>
        <v>0</v>
      </c>
      <c r="S218" s="63">
        <f t="shared" si="94"/>
        <v>0</v>
      </c>
      <c r="T218" s="63">
        <f t="shared" si="94"/>
        <v>0</v>
      </c>
      <c r="U218" s="63">
        <f t="shared" si="94"/>
        <v>0</v>
      </c>
      <c r="V218" s="63">
        <f t="shared" si="94"/>
        <v>0</v>
      </c>
      <c r="W218" s="63">
        <f t="shared" si="94"/>
        <v>0</v>
      </c>
      <c r="X218" s="63">
        <f t="shared" si="94"/>
        <v>0</v>
      </c>
      <c r="Y218" s="63">
        <f t="shared" si="94"/>
        <v>0</v>
      </c>
      <c r="Z218" s="63">
        <f t="shared" si="94"/>
        <v>0</v>
      </c>
      <c r="AA218" s="63">
        <f t="shared" si="94"/>
        <v>0</v>
      </c>
      <c r="AB218" s="63">
        <f t="shared" si="94"/>
        <v>0</v>
      </c>
      <c r="AC218" s="63">
        <f t="shared" si="94"/>
        <v>0</v>
      </c>
      <c r="AD218" s="63">
        <f t="shared" si="94"/>
        <v>0</v>
      </c>
      <c r="AE218" s="63">
        <f t="shared" si="94"/>
        <v>0</v>
      </c>
      <c r="AF218" s="63">
        <f t="shared" si="95"/>
        <v>1775596.99999999</v>
      </c>
      <c r="AG218" s="58" t="str">
        <f t="shared" si="96"/>
        <v>ok</v>
      </c>
    </row>
    <row r="219" spans="1:33">
      <c r="A219" s="60">
        <v>557</v>
      </c>
      <c r="B219" s="44" t="s">
        <v>7</v>
      </c>
      <c r="C219" s="44" t="s">
        <v>8</v>
      </c>
      <c r="D219" s="44" t="s">
        <v>624</v>
      </c>
      <c r="F219" s="78">
        <f>194885-71936</f>
        <v>122949</v>
      </c>
      <c r="G219" s="62"/>
      <c r="H219" s="63">
        <f t="shared" si="93"/>
        <v>122949</v>
      </c>
      <c r="I219" s="63">
        <f t="shared" si="93"/>
        <v>0</v>
      </c>
      <c r="J219" s="63">
        <f t="shared" si="93"/>
        <v>0</v>
      </c>
      <c r="K219" s="63">
        <f t="shared" si="93"/>
        <v>0</v>
      </c>
      <c r="L219" s="63">
        <f t="shared" si="93"/>
        <v>0</v>
      </c>
      <c r="M219" s="63">
        <f t="shared" si="93"/>
        <v>0</v>
      </c>
      <c r="N219" s="63">
        <f t="shared" si="93"/>
        <v>0</v>
      </c>
      <c r="O219" s="63">
        <f t="shared" si="93"/>
        <v>0</v>
      </c>
      <c r="P219" s="63">
        <f t="shared" si="93"/>
        <v>0</v>
      </c>
      <c r="Q219" s="63">
        <f t="shared" si="93"/>
        <v>0</v>
      </c>
      <c r="R219" s="63">
        <f t="shared" si="94"/>
        <v>0</v>
      </c>
      <c r="S219" s="63">
        <f t="shared" si="94"/>
        <v>0</v>
      </c>
      <c r="T219" s="63">
        <f t="shared" si="94"/>
        <v>0</v>
      </c>
      <c r="U219" s="63">
        <f t="shared" si="94"/>
        <v>0</v>
      </c>
      <c r="V219" s="63">
        <f t="shared" si="94"/>
        <v>0</v>
      </c>
      <c r="W219" s="63">
        <f t="shared" si="94"/>
        <v>0</v>
      </c>
      <c r="X219" s="63">
        <f t="shared" si="94"/>
        <v>0</v>
      </c>
      <c r="Y219" s="63">
        <f t="shared" si="94"/>
        <v>0</v>
      </c>
      <c r="Z219" s="63">
        <f t="shared" si="94"/>
        <v>0</v>
      </c>
      <c r="AA219" s="63">
        <f t="shared" si="94"/>
        <v>0</v>
      </c>
      <c r="AB219" s="63">
        <f t="shared" si="94"/>
        <v>0</v>
      </c>
      <c r="AC219" s="63">
        <f t="shared" si="94"/>
        <v>0</v>
      </c>
      <c r="AD219" s="63">
        <f t="shared" si="94"/>
        <v>0</v>
      </c>
      <c r="AE219" s="63">
        <f t="shared" si="94"/>
        <v>0</v>
      </c>
      <c r="AF219" s="63">
        <f>SUM(H219:AE219)</f>
        <v>122949</v>
      </c>
      <c r="AG219" s="58" t="str">
        <f t="shared" si="96"/>
        <v>ok</v>
      </c>
    </row>
    <row r="220" spans="1:33">
      <c r="A220" s="60">
        <v>558</v>
      </c>
      <c r="B220" s="44" t="s">
        <v>643</v>
      </c>
      <c r="C220" s="44" t="s">
        <v>576</v>
      </c>
      <c r="D220" s="44" t="s">
        <v>856</v>
      </c>
      <c r="F220" s="78">
        <v>0</v>
      </c>
      <c r="G220" s="62"/>
      <c r="H220" s="63">
        <f t="shared" si="93"/>
        <v>0</v>
      </c>
      <c r="I220" s="63">
        <f t="shared" si="93"/>
        <v>0</v>
      </c>
      <c r="J220" s="63">
        <f t="shared" si="93"/>
        <v>0</v>
      </c>
      <c r="K220" s="63">
        <f t="shared" si="93"/>
        <v>0</v>
      </c>
      <c r="L220" s="63">
        <f t="shared" si="93"/>
        <v>0</v>
      </c>
      <c r="M220" s="63">
        <f t="shared" si="93"/>
        <v>0</v>
      </c>
      <c r="N220" s="63">
        <f t="shared" si="93"/>
        <v>0</v>
      </c>
      <c r="O220" s="63">
        <f t="shared" si="93"/>
        <v>0</v>
      </c>
      <c r="P220" s="63">
        <f t="shared" si="93"/>
        <v>0</v>
      </c>
      <c r="Q220" s="63">
        <f t="shared" si="93"/>
        <v>0</v>
      </c>
      <c r="R220" s="63">
        <f t="shared" si="94"/>
        <v>0</v>
      </c>
      <c r="S220" s="63">
        <f t="shared" si="94"/>
        <v>0</v>
      </c>
      <c r="T220" s="63">
        <f t="shared" si="94"/>
        <v>0</v>
      </c>
      <c r="U220" s="63">
        <f t="shared" si="94"/>
        <v>0</v>
      </c>
      <c r="V220" s="63">
        <f t="shared" si="94"/>
        <v>0</v>
      </c>
      <c r="W220" s="63">
        <f t="shared" si="94"/>
        <v>0</v>
      </c>
      <c r="X220" s="63">
        <f t="shared" si="94"/>
        <v>0</v>
      </c>
      <c r="Y220" s="63">
        <f t="shared" si="94"/>
        <v>0</v>
      </c>
      <c r="Z220" s="63">
        <f t="shared" si="94"/>
        <v>0</v>
      </c>
      <c r="AA220" s="63">
        <f t="shared" si="94"/>
        <v>0</v>
      </c>
      <c r="AB220" s="63">
        <f t="shared" si="94"/>
        <v>0</v>
      </c>
      <c r="AC220" s="63">
        <f t="shared" si="94"/>
        <v>0</v>
      </c>
      <c r="AD220" s="63">
        <f t="shared" si="94"/>
        <v>0</v>
      </c>
      <c r="AE220" s="63">
        <f t="shared" si="94"/>
        <v>0</v>
      </c>
      <c r="AF220" s="63">
        <f t="shared" si="95"/>
        <v>0</v>
      </c>
      <c r="AG220" s="58" t="str">
        <f t="shared" si="96"/>
        <v>ok</v>
      </c>
    </row>
    <row r="221" spans="1:33">
      <c r="A221" s="60"/>
      <c r="F221" s="78"/>
      <c r="G221" s="62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58"/>
    </row>
    <row r="222" spans="1:33">
      <c r="A222" s="60"/>
      <c r="B222" s="44" t="s">
        <v>265</v>
      </c>
      <c r="C222" s="44" t="s">
        <v>9</v>
      </c>
      <c r="F222" s="75">
        <f>SUM(F214:F221)</f>
        <v>45175217.242865495</v>
      </c>
      <c r="G222" s="62"/>
      <c r="H222" s="62">
        <f t="shared" ref="H222:M222" si="97">SUM(H214:H221)</f>
        <v>25585256.739299566</v>
      </c>
      <c r="I222" s="62">
        <f t="shared" si="97"/>
        <v>0</v>
      </c>
      <c r="J222" s="62">
        <f t="shared" si="97"/>
        <v>0</v>
      </c>
      <c r="K222" s="62">
        <f t="shared" si="97"/>
        <v>19589960.50356593</v>
      </c>
      <c r="L222" s="62">
        <f t="shared" si="97"/>
        <v>0</v>
      </c>
      <c r="M222" s="62">
        <f t="shared" si="97"/>
        <v>0</v>
      </c>
      <c r="N222" s="62">
        <f>SUM(N214:N221)</f>
        <v>0</v>
      </c>
      <c r="O222" s="62">
        <f>SUM(O214:O221)</f>
        <v>0</v>
      </c>
      <c r="P222" s="62">
        <f>SUM(P214:P221)</f>
        <v>0</v>
      </c>
      <c r="Q222" s="62">
        <f t="shared" ref="Q222:AB222" si="98">SUM(Q214:Q221)</f>
        <v>0</v>
      </c>
      <c r="R222" s="62">
        <f t="shared" si="98"/>
        <v>0</v>
      </c>
      <c r="S222" s="62">
        <f t="shared" si="98"/>
        <v>0</v>
      </c>
      <c r="T222" s="62">
        <f t="shared" si="98"/>
        <v>0</v>
      </c>
      <c r="U222" s="62">
        <f t="shared" si="98"/>
        <v>0</v>
      </c>
      <c r="V222" s="62">
        <f t="shared" si="98"/>
        <v>0</v>
      </c>
      <c r="W222" s="62">
        <f t="shared" si="98"/>
        <v>0</v>
      </c>
      <c r="X222" s="62">
        <f t="shared" si="98"/>
        <v>0</v>
      </c>
      <c r="Y222" s="62">
        <f t="shared" si="98"/>
        <v>0</v>
      </c>
      <c r="Z222" s="62">
        <f t="shared" si="98"/>
        <v>0</v>
      </c>
      <c r="AA222" s="62">
        <f t="shared" si="98"/>
        <v>0</v>
      </c>
      <c r="AB222" s="62">
        <f t="shared" si="98"/>
        <v>0</v>
      </c>
      <c r="AC222" s="62">
        <f>SUM(AC214:AC221)</f>
        <v>0</v>
      </c>
      <c r="AD222" s="62">
        <f>SUM(AD214:AD221)</f>
        <v>0</v>
      </c>
      <c r="AE222" s="62">
        <f>SUM(AE214:AE221)</f>
        <v>0</v>
      </c>
      <c r="AF222" s="63">
        <f>SUM(H222:AE222)</f>
        <v>45175217.242865495</v>
      </c>
      <c r="AG222" s="58" t="str">
        <f>IF(ABS(AF222-F222)&lt;1,"ok","err")</f>
        <v>ok</v>
      </c>
    </row>
    <row r="223" spans="1:33">
      <c r="A223" s="60"/>
      <c r="F223" s="75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3"/>
      <c r="AG223" s="58"/>
    </row>
    <row r="224" spans="1:33">
      <c r="A224" s="60"/>
      <c r="B224" s="44" t="s">
        <v>252</v>
      </c>
      <c r="F224" s="75">
        <f>F211+F222</f>
        <v>457540504.77104324</v>
      </c>
      <c r="G224" s="62"/>
      <c r="H224" s="62">
        <f t="shared" ref="H224:M224" si="99">H211+H222</f>
        <v>80778953.804495692</v>
      </c>
      <c r="I224" s="62">
        <f t="shared" si="99"/>
        <v>0</v>
      </c>
      <c r="J224" s="62">
        <f t="shared" si="99"/>
        <v>0</v>
      </c>
      <c r="K224" s="62">
        <f t="shared" si="99"/>
        <v>376761550.96654743</v>
      </c>
      <c r="L224" s="62">
        <f t="shared" si="99"/>
        <v>0</v>
      </c>
      <c r="M224" s="62">
        <f t="shared" si="99"/>
        <v>0</v>
      </c>
      <c r="N224" s="62">
        <f>N211+N222</f>
        <v>0</v>
      </c>
      <c r="O224" s="62">
        <f>O211+O222</f>
        <v>0</v>
      </c>
      <c r="P224" s="62">
        <f>P211+P222</f>
        <v>0</v>
      </c>
      <c r="Q224" s="62">
        <f t="shared" ref="Q224:AB224" si="100">Q211+Q222</f>
        <v>0</v>
      </c>
      <c r="R224" s="62">
        <f t="shared" si="100"/>
        <v>0</v>
      </c>
      <c r="S224" s="62">
        <f t="shared" si="100"/>
        <v>0</v>
      </c>
      <c r="T224" s="62">
        <f t="shared" si="100"/>
        <v>0</v>
      </c>
      <c r="U224" s="62">
        <f t="shared" si="100"/>
        <v>0</v>
      </c>
      <c r="V224" s="62">
        <f t="shared" si="100"/>
        <v>0</v>
      </c>
      <c r="W224" s="62">
        <f t="shared" si="100"/>
        <v>0</v>
      </c>
      <c r="X224" s="62">
        <f t="shared" si="100"/>
        <v>0</v>
      </c>
      <c r="Y224" s="62">
        <f t="shared" si="100"/>
        <v>0</v>
      </c>
      <c r="Z224" s="62">
        <f t="shared" si="100"/>
        <v>0</v>
      </c>
      <c r="AA224" s="62">
        <f t="shared" si="100"/>
        <v>0</v>
      </c>
      <c r="AB224" s="62">
        <f t="shared" si="100"/>
        <v>0</v>
      </c>
      <c r="AC224" s="62">
        <f>AC211+AC222</f>
        <v>0</v>
      </c>
      <c r="AD224" s="62">
        <f>AD211+AD222</f>
        <v>0</v>
      </c>
      <c r="AE224" s="62">
        <f>AE211+AE222</f>
        <v>0</v>
      </c>
      <c r="AF224" s="63">
        <f>SUM(H224:AE224)</f>
        <v>457540504.77104312</v>
      </c>
      <c r="AG224" s="58" t="str">
        <f>IF(ABS(AF224-F224)&lt;1,"ok","err")</f>
        <v>ok</v>
      </c>
    </row>
    <row r="225" spans="1:33">
      <c r="A225" s="60"/>
      <c r="F225" s="75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58"/>
    </row>
    <row r="226" spans="1:33" ht="15">
      <c r="A226" s="65" t="s">
        <v>1069</v>
      </c>
      <c r="F226" s="75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3"/>
      <c r="AG226" s="58"/>
    </row>
    <row r="227" spans="1:33">
      <c r="A227" s="60">
        <v>560</v>
      </c>
      <c r="B227" s="44" t="s">
        <v>1072</v>
      </c>
      <c r="C227" s="44" t="s">
        <v>11</v>
      </c>
      <c r="D227" s="44" t="s">
        <v>644</v>
      </c>
      <c r="F227" s="75">
        <v>1374229</v>
      </c>
      <c r="G227" s="62"/>
      <c r="H227" s="63">
        <f t="shared" ref="H227:Q240" si="101">IF(VLOOKUP($D227,$C$6:$AE$653,H$2,)=0,0,((VLOOKUP($D227,$C$6:$AE$653,H$2,)/VLOOKUP($D227,$C$6:$AE$653,4,))*$F227))</f>
        <v>0</v>
      </c>
      <c r="I227" s="63">
        <f t="shared" si="101"/>
        <v>0</v>
      </c>
      <c r="J227" s="63">
        <f t="shared" si="101"/>
        <v>0</v>
      </c>
      <c r="K227" s="63">
        <f t="shared" si="101"/>
        <v>0</v>
      </c>
      <c r="L227" s="63">
        <f t="shared" si="101"/>
        <v>0</v>
      </c>
      <c r="M227" s="63">
        <f t="shared" si="101"/>
        <v>0</v>
      </c>
      <c r="N227" s="63">
        <f t="shared" si="101"/>
        <v>1374229</v>
      </c>
      <c r="O227" s="63">
        <f t="shared" si="101"/>
        <v>0</v>
      </c>
      <c r="P227" s="63">
        <f t="shared" si="101"/>
        <v>0</v>
      </c>
      <c r="Q227" s="63">
        <f t="shared" si="101"/>
        <v>0</v>
      </c>
      <c r="R227" s="63">
        <f t="shared" ref="R227:AE240" si="102">IF(VLOOKUP($D227,$C$6:$AE$653,R$2,)=0,0,((VLOOKUP($D227,$C$6:$AE$653,R$2,)/VLOOKUP($D227,$C$6:$AE$653,4,))*$F227))</f>
        <v>0</v>
      </c>
      <c r="S227" s="63">
        <f t="shared" si="102"/>
        <v>0</v>
      </c>
      <c r="T227" s="63">
        <f t="shared" si="102"/>
        <v>0</v>
      </c>
      <c r="U227" s="63">
        <f t="shared" si="102"/>
        <v>0</v>
      </c>
      <c r="V227" s="63">
        <f t="shared" si="102"/>
        <v>0</v>
      </c>
      <c r="W227" s="63">
        <f t="shared" si="102"/>
        <v>0</v>
      </c>
      <c r="X227" s="63">
        <f t="shared" si="102"/>
        <v>0</v>
      </c>
      <c r="Y227" s="63">
        <f t="shared" si="102"/>
        <v>0</v>
      </c>
      <c r="Z227" s="63">
        <f t="shared" si="102"/>
        <v>0</v>
      </c>
      <c r="AA227" s="63">
        <f t="shared" si="102"/>
        <v>0</v>
      </c>
      <c r="AB227" s="63">
        <f t="shared" si="102"/>
        <v>0</v>
      </c>
      <c r="AC227" s="63">
        <f t="shared" si="102"/>
        <v>0</v>
      </c>
      <c r="AD227" s="63">
        <f t="shared" si="102"/>
        <v>0</v>
      </c>
      <c r="AE227" s="63">
        <f t="shared" si="102"/>
        <v>0</v>
      </c>
      <c r="AF227" s="63">
        <f t="shared" ref="AF227:AF232" si="103">SUM(H227:AE227)</f>
        <v>1374229</v>
      </c>
      <c r="AG227" s="58" t="str">
        <f t="shared" ref="AG227:AG240" si="104">IF(ABS(AF227-F227)&lt;1,"ok","err")</f>
        <v>ok</v>
      </c>
    </row>
    <row r="228" spans="1:33">
      <c r="A228" s="60">
        <v>561</v>
      </c>
      <c r="B228" s="44" t="s">
        <v>916</v>
      </c>
      <c r="C228" s="44" t="s">
        <v>12</v>
      </c>
      <c r="D228" s="44" t="s">
        <v>644</v>
      </c>
      <c r="F228" s="78">
        <v>2719716</v>
      </c>
      <c r="G228" s="62"/>
      <c r="H228" s="63">
        <f t="shared" si="101"/>
        <v>0</v>
      </c>
      <c r="I228" s="63">
        <f t="shared" si="101"/>
        <v>0</v>
      </c>
      <c r="J228" s="63">
        <f t="shared" si="101"/>
        <v>0</v>
      </c>
      <c r="K228" s="63">
        <f t="shared" si="101"/>
        <v>0</v>
      </c>
      <c r="L228" s="63">
        <f t="shared" si="101"/>
        <v>0</v>
      </c>
      <c r="M228" s="63">
        <f t="shared" si="101"/>
        <v>0</v>
      </c>
      <c r="N228" s="63">
        <f t="shared" si="101"/>
        <v>2719716</v>
      </c>
      <c r="O228" s="63">
        <f t="shared" si="101"/>
        <v>0</v>
      </c>
      <c r="P228" s="63">
        <f t="shared" si="101"/>
        <v>0</v>
      </c>
      <c r="Q228" s="63">
        <f t="shared" si="101"/>
        <v>0</v>
      </c>
      <c r="R228" s="63">
        <f t="shared" si="102"/>
        <v>0</v>
      </c>
      <c r="S228" s="63">
        <f t="shared" si="102"/>
        <v>0</v>
      </c>
      <c r="T228" s="63">
        <f t="shared" si="102"/>
        <v>0</v>
      </c>
      <c r="U228" s="63">
        <f t="shared" si="102"/>
        <v>0</v>
      </c>
      <c r="V228" s="63">
        <f t="shared" si="102"/>
        <v>0</v>
      </c>
      <c r="W228" s="63">
        <f t="shared" si="102"/>
        <v>0</v>
      </c>
      <c r="X228" s="63">
        <f t="shared" si="102"/>
        <v>0</v>
      </c>
      <c r="Y228" s="63">
        <f t="shared" si="102"/>
        <v>0</v>
      </c>
      <c r="Z228" s="63">
        <f t="shared" si="102"/>
        <v>0</v>
      </c>
      <c r="AA228" s="63">
        <f t="shared" si="102"/>
        <v>0</v>
      </c>
      <c r="AB228" s="63">
        <f t="shared" si="102"/>
        <v>0</v>
      </c>
      <c r="AC228" s="63">
        <f t="shared" si="102"/>
        <v>0</v>
      </c>
      <c r="AD228" s="63">
        <f t="shared" si="102"/>
        <v>0</v>
      </c>
      <c r="AE228" s="63">
        <f t="shared" si="102"/>
        <v>0</v>
      </c>
      <c r="AF228" s="63">
        <f t="shared" si="103"/>
        <v>2719716</v>
      </c>
      <c r="AG228" s="58" t="str">
        <f t="shared" si="104"/>
        <v>ok</v>
      </c>
    </row>
    <row r="229" spans="1:33">
      <c r="A229" s="60">
        <v>562</v>
      </c>
      <c r="B229" s="44" t="s">
        <v>1070</v>
      </c>
      <c r="C229" s="44" t="s">
        <v>13</v>
      </c>
      <c r="D229" s="44" t="s">
        <v>644</v>
      </c>
      <c r="F229" s="78">
        <v>1022714</v>
      </c>
      <c r="G229" s="62"/>
      <c r="H229" s="63">
        <f t="shared" si="101"/>
        <v>0</v>
      </c>
      <c r="I229" s="63">
        <f t="shared" si="101"/>
        <v>0</v>
      </c>
      <c r="J229" s="63">
        <f t="shared" si="101"/>
        <v>0</v>
      </c>
      <c r="K229" s="63">
        <f t="shared" si="101"/>
        <v>0</v>
      </c>
      <c r="L229" s="63">
        <f t="shared" si="101"/>
        <v>0</v>
      </c>
      <c r="M229" s="63">
        <f t="shared" si="101"/>
        <v>0</v>
      </c>
      <c r="N229" s="63">
        <f t="shared" si="101"/>
        <v>1022714</v>
      </c>
      <c r="O229" s="63">
        <f t="shared" si="101"/>
        <v>0</v>
      </c>
      <c r="P229" s="63">
        <f t="shared" si="101"/>
        <v>0</v>
      </c>
      <c r="Q229" s="63">
        <f t="shared" si="101"/>
        <v>0</v>
      </c>
      <c r="R229" s="63">
        <f t="shared" si="102"/>
        <v>0</v>
      </c>
      <c r="S229" s="63">
        <f t="shared" si="102"/>
        <v>0</v>
      </c>
      <c r="T229" s="63">
        <f t="shared" si="102"/>
        <v>0</v>
      </c>
      <c r="U229" s="63">
        <f t="shared" si="102"/>
        <v>0</v>
      </c>
      <c r="V229" s="63">
        <f t="shared" si="102"/>
        <v>0</v>
      </c>
      <c r="W229" s="63">
        <f t="shared" si="102"/>
        <v>0</v>
      </c>
      <c r="X229" s="63">
        <f t="shared" si="102"/>
        <v>0</v>
      </c>
      <c r="Y229" s="63">
        <f t="shared" si="102"/>
        <v>0</v>
      </c>
      <c r="Z229" s="63">
        <f t="shared" si="102"/>
        <v>0</v>
      </c>
      <c r="AA229" s="63">
        <f t="shared" si="102"/>
        <v>0</v>
      </c>
      <c r="AB229" s="63">
        <f t="shared" si="102"/>
        <v>0</v>
      </c>
      <c r="AC229" s="63">
        <f t="shared" si="102"/>
        <v>0</v>
      </c>
      <c r="AD229" s="63">
        <f t="shared" si="102"/>
        <v>0</v>
      </c>
      <c r="AE229" s="63">
        <f t="shared" si="102"/>
        <v>0</v>
      </c>
      <c r="AF229" s="63">
        <f t="shared" si="103"/>
        <v>1022714</v>
      </c>
      <c r="AG229" s="58" t="str">
        <f t="shared" si="104"/>
        <v>ok</v>
      </c>
    </row>
    <row r="230" spans="1:33">
      <c r="A230" s="60">
        <v>563</v>
      </c>
      <c r="B230" s="44" t="s">
        <v>918</v>
      </c>
      <c r="C230" s="44" t="s">
        <v>14</v>
      </c>
      <c r="D230" s="44" t="s">
        <v>644</v>
      </c>
      <c r="F230" s="78">
        <v>293742</v>
      </c>
      <c r="G230" s="62"/>
      <c r="H230" s="63">
        <f t="shared" si="101"/>
        <v>0</v>
      </c>
      <c r="I230" s="63">
        <f t="shared" si="101"/>
        <v>0</v>
      </c>
      <c r="J230" s="63">
        <f t="shared" si="101"/>
        <v>0</v>
      </c>
      <c r="K230" s="63">
        <f t="shared" si="101"/>
        <v>0</v>
      </c>
      <c r="L230" s="63">
        <f t="shared" si="101"/>
        <v>0</v>
      </c>
      <c r="M230" s="63">
        <f t="shared" si="101"/>
        <v>0</v>
      </c>
      <c r="N230" s="63">
        <f t="shared" si="101"/>
        <v>293742</v>
      </c>
      <c r="O230" s="63">
        <f t="shared" si="101"/>
        <v>0</v>
      </c>
      <c r="P230" s="63">
        <f t="shared" si="101"/>
        <v>0</v>
      </c>
      <c r="Q230" s="63">
        <f t="shared" si="101"/>
        <v>0</v>
      </c>
      <c r="R230" s="63">
        <f t="shared" si="102"/>
        <v>0</v>
      </c>
      <c r="S230" s="63">
        <f t="shared" si="102"/>
        <v>0</v>
      </c>
      <c r="T230" s="63">
        <f t="shared" si="102"/>
        <v>0</v>
      </c>
      <c r="U230" s="63">
        <f t="shared" si="102"/>
        <v>0</v>
      </c>
      <c r="V230" s="63">
        <f t="shared" si="102"/>
        <v>0</v>
      </c>
      <c r="W230" s="63">
        <f t="shared" si="102"/>
        <v>0</v>
      </c>
      <c r="X230" s="63">
        <f t="shared" si="102"/>
        <v>0</v>
      </c>
      <c r="Y230" s="63">
        <f t="shared" si="102"/>
        <v>0</v>
      </c>
      <c r="Z230" s="63">
        <f t="shared" si="102"/>
        <v>0</v>
      </c>
      <c r="AA230" s="63">
        <f t="shared" si="102"/>
        <v>0</v>
      </c>
      <c r="AB230" s="63">
        <f t="shared" si="102"/>
        <v>0</v>
      </c>
      <c r="AC230" s="63">
        <f t="shared" si="102"/>
        <v>0</v>
      </c>
      <c r="AD230" s="63">
        <f t="shared" si="102"/>
        <v>0</v>
      </c>
      <c r="AE230" s="63">
        <f t="shared" si="102"/>
        <v>0</v>
      </c>
      <c r="AF230" s="63">
        <f t="shared" si="103"/>
        <v>293742</v>
      </c>
      <c r="AG230" s="58" t="str">
        <f t="shared" si="104"/>
        <v>ok</v>
      </c>
    </row>
    <row r="231" spans="1:33">
      <c r="A231" s="60">
        <v>565</v>
      </c>
      <c r="B231" s="44" t="s">
        <v>253</v>
      </c>
      <c r="C231" s="44" t="s">
        <v>254</v>
      </c>
      <c r="D231" s="44" t="s">
        <v>644</v>
      </c>
      <c r="F231" s="78">
        <f>998725-986881</f>
        <v>11844</v>
      </c>
      <c r="G231" s="62"/>
      <c r="H231" s="63">
        <f t="shared" si="101"/>
        <v>0</v>
      </c>
      <c r="I231" s="63">
        <f t="shared" si="101"/>
        <v>0</v>
      </c>
      <c r="J231" s="63">
        <f t="shared" si="101"/>
        <v>0</v>
      </c>
      <c r="K231" s="63">
        <f t="shared" si="101"/>
        <v>0</v>
      </c>
      <c r="L231" s="63">
        <f t="shared" si="101"/>
        <v>0</v>
      </c>
      <c r="M231" s="63">
        <f t="shared" si="101"/>
        <v>0</v>
      </c>
      <c r="N231" s="63">
        <f t="shared" si="101"/>
        <v>11844</v>
      </c>
      <c r="O231" s="63">
        <f t="shared" si="101"/>
        <v>0</v>
      </c>
      <c r="P231" s="63">
        <f t="shared" si="101"/>
        <v>0</v>
      </c>
      <c r="Q231" s="63">
        <f t="shared" si="101"/>
        <v>0</v>
      </c>
      <c r="R231" s="63">
        <f t="shared" si="102"/>
        <v>0</v>
      </c>
      <c r="S231" s="63">
        <f t="shared" si="102"/>
        <v>0</v>
      </c>
      <c r="T231" s="63">
        <f t="shared" si="102"/>
        <v>0</v>
      </c>
      <c r="U231" s="63">
        <f t="shared" si="102"/>
        <v>0</v>
      </c>
      <c r="V231" s="63">
        <f t="shared" si="102"/>
        <v>0</v>
      </c>
      <c r="W231" s="63">
        <f t="shared" si="102"/>
        <v>0</v>
      </c>
      <c r="X231" s="63">
        <f t="shared" si="102"/>
        <v>0</v>
      </c>
      <c r="Y231" s="63">
        <f t="shared" si="102"/>
        <v>0</v>
      </c>
      <c r="Z231" s="63">
        <f t="shared" si="102"/>
        <v>0</v>
      </c>
      <c r="AA231" s="63">
        <f t="shared" si="102"/>
        <v>0</v>
      </c>
      <c r="AB231" s="63">
        <f t="shared" si="102"/>
        <v>0</v>
      </c>
      <c r="AC231" s="63">
        <f t="shared" si="102"/>
        <v>0</v>
      </c>
      <c r="AD231" s="63">
        <f t="shared" si="102"/>
        <v>0</v>
      </c>
      <c r="AE231" s="63">
        <f t="shared" si="102"/>
        <v>0</v>
      </c>
      <c r="AF231" s="63">
        <f t="shared" si="103"/>
        <v>11844</v>
      </c>
      <c r="AG231" s="58" t="str">
        <f t="shared" si="104"/>
        <v>ok</v>
      </c>
    </row>
    <row r="232" spans="1:33">
      <c r="A232" s="60">
        <v>566</v>
      </c>
      <c r="B232" s="44" t="s">
        <v>145</v>
      </c>
      <c r="C232" s="44" t="s">
        <v>146</v>
      </c>
      <c r="D232" s="44" t="s">
        <v>1087</v>
      </c>
      <c r="F232" s="78">
        <v>12977685.999999899</v>
      </c>
      <c r="G232" s="62"/>
      <c r="H232" s="63">
        <f t="shared" si="101"/>
        <v>0</v>
      </c>
      <c r="I232" s="63">
        <f t="shared" si="101"/>
        <v>0</v>
      </c>
      <c r="J232" s="63">
        <f t="shared" si="101"/>
        <v>0</v>
      </c>
      <c r="K232" s="63">
        <f t="shared" si="101"/>
        <v>0</v>
      </c>
      <c r="L232" s="63">
        <f t="shared" si="101"/>
        <v>0</v>
      </c>
      <c r="M232" s="63">
        <f t="shared" si="101"/>
        <v>0</v>
      </c>
      <c r="N232" s="63">
        <f t="shared" si="101"/>
        <v>12977685.999999899</v>
      </c>
      <c r="O232" s="63">
        <f t="shared" si="101"/>
        <v>0</v>
      </c>
      <c r="P232" s="63">
        <f t="shared" si="101"/>
        <v>0</v>
      </c>
      <c r="Q232" s="63">
        <f t="shared" si="101"/>
        <v>0</v>
      </c>
      <c r="R232" s="63">
        <f t="shared" si="102"/>
        <v>0</v>
      </c>
      <c r="S232" s="63">
        <f t="shared" si="102"/>
        <v>0</v>
      </c>
      <c r="T232" s="63">
        <f t="shared" si="102"/>
        <v>0</v>
      </c>
      <c r="U232" s="63">
        <f t="shared" si="102"/>
        <v>0</v>
      </c>
      <c r="V232" s="63">
        <f t="shared" si="102"/>
        <v>0</v>
      </c>
      <c r="W232" s="63">
        <f t="shared" si="102"/>
        <v>0</v>
      </c>
      <c r="X232" s="63">
        <f t="shared" si="102"/>
        <v>0</v>
      </c>
      <c r="Y232" s="63">
        <f t="shared" si="102"/>
        <v>0</v>
      </c>
      <c r="Z232" s="63">
        <f t="shared" si="102"/>
        <v>0</v>
      </c>
      <c r="AA232" s="63">
        <f t="shared" si="102"/>
        <v>0</v>
      </c>
      <c r="AB232" s="63">
        <f t="shared" si="102"/>
        <v>0</v>
      </c>
      <c r="AC232" s="63">
        <f t="shared" si="102"/>
        <v>0</v>
      </c>
      <c r="AD232" s="63">
        <f t="shared" si="102"/>
        <v>0</v>
      </c>
      <c r="AE232" s="63">
        <f t="shared" si="102"/>
        <v>0</v>
      </c>
      <c r="AF232" s="63">
        <f t="shared" si="103"/>
        <v>12977685.999999899</v>
      </c>
      <c r="AG232" s="58" t="str">
        <f t="shared" si="104"/>
        <v>ok</v>
      </c>
    </row>
    <row r="233" spans="1:33">
      <c r="A233" s="60">
        <v>567</v>
      </c>
      <c r="B233" s="44" t="s">
        <v>930</v>
      </c>
      <c r="C233" s="44" t="s">
        <v>255</v>
      </c>
      <c r="D233" s="44" t="s">
        <v>1087</v>
      </c>
      <c r="F233" s="78">
        <v>61385</v>
      </c>
      <c r="G233" s="62"/>
      <c r="H233" s="63">
        <f t="shared" si="101"/>
        <v>0</v>
      </c>
      <c r="I233" s="63">
        <f t="shared" si="101"/>
        <v>0</v>
      </c>
      <c r="J233" s="63">
        <f t="shared" si="101"/>
        <v>0</v>
      </c>
      <c r="K233" s="63">
        <f t="shared" si="101"/>
        <v>0</v>
      </c>
      <c r="L233" s="63">
        <f t="shared" si="101"/>
        <v>0</v>
      </c>
      <c r="M233" s="63">
        <f t="shared" si="101"/>
        <v>0</v>
      </c>
      <c r="N233" s="63">
        <f t="shared" si="101"/>
        <v>61385</v>
      </c>
      <c r="O233" s="63">
        <f t="shared" si="101"/>
        <v>0</v>
      </c>
      <c r="P233" s="63">
        <f t="shared" si="101"/>
        <v>0</v>
      </c>
      <c r="Q233" s="63">
        <f t="shared" si="101"/>
        <v>0</v>
      </c>
      <c r="R233" s="63">
        <f t="shared" si="102"/>
        <v>0</v>
      </c>
      <c r="S233" s="63">
        <f t="shared" si="102"/>
        <v>0</v>
      </c>
      <c r="T233" s="63">
        <f t="shared" si="102"/>
        <v>0</v>
      </c>
      <c r="U233" s="63">
        <f t="shared" si="102"/>
        <v>0</v>
      </c>
      <c r="V233" s="63">
        <f t="shared" si="102"/>
        <v>0</v>
      </c>
      <c r="W233" s="63">
        <f t="shared" si="102"/>
        <v>0</v>
      </c>
      <c r="X233" s="63">
        <f t="shared" si="102"/>
        <v>0</v>
      </c>
      <c r="Y233" s="63">
        <f t="shared" si="102"/>
        <v>0</v>
      </c>
      <c r="Z233" s="63">
        <f t="shared" si="102"/>
        <v>0</v>
      </c>
      <c r="AA233" s="63">
        <f t="shared" si="102"/>
        <v>0</v>
      </c>
      <c r="AB233" s="63">
        <f t="shared" si="102"/>
        <v>0</v>
      </c>
      <c r="AC233" s="63">
        <f t="shared" si="102"/>
        <v>0</v>
      </c>
      <c r="AD233" s="63">
        <f t="shared" si="102"/>
        <v>0</v>
      </c>
      <c r="AE233" s="63">
        <f t="shared" si="102"/>
        <v>0</v>
      </c>
      <c r="AF233" s="63">
        <f t="shared" ref="AF233:AF239" si="105">SUM(H233:AE233)</f>
        <v>61385</v>
      </c>
      <c r="AG233" s="58" t="str">
        <f t="shared" si="104"/>
        <v>ok</v>
      </c>
    </row>
    <row r="234" spans="1:33">
      <c r="A234" s="60">
        <v>568</v>
      </c>
      <c r="B234" s="44" t="s">
        <v>1071</v>
      </c>
      <c r="C234" s="44" t="s">
        <v>15</v>
      </c>
      <c r="D234" s="44" t="s">
        <v>644</v>
      </c>
      <c r="F234" s="78">
        <v>0</v>
      </c>
      <c r="G234" s="62"/>
      <c r="H234" s="63">
        <f t="shared" si="101"/>
        <v>0</v>
      </c>
      <c r="I234" s="63">
        <f t="shared" si="101"/>
        <v>0</v>
      </c>
      <c r="J234" s="63">
        <f t="shared" si="101"/>
        <v>0</v>
      </c>
      <c r="K234" s="63">
        <f t="shared" si="101"/>
        <v>0</v>
      </c>
      <c r="L234" s="63">
        <f t="shared" si="101"/>
        <v>0</v>
      </c>
      <c r="M234" s="63">
        <f t="shared" si="101"/>
        <v>0</v>
      </c>
      <c r="N234" s="63">
        <f t="shared" si="101"/>
        <v>0</v>
      </c>
      <c r="O234" s="63">
        <f t="shared" si="101"/>
        <v>0</v>
      </c>
      <c r="P234" s="63">
        <f t="shared" si="101"/>
        <v>0</v>
      </c>
      <c r="Q234" s="63">
        <f t="shared" si="101"/>
        <v>0</v>
      </c>
      <c r="R234" s="63">
        <f t="shared" si="102"/>
        <v>0</v>
      </c>
      <c r="S234" s="63">
        <f t="shared" si="102"/>
        <v>0</v>
      </c>
      <c r="T234" s="63">
        <f t="shared" si="102"/>
        <v>0</v>
      </c>
      <c r="U234" s="63">
        <f t="shared" si="102"/>
        <v>0</v>
      </c>
      <c r="V234" s="63">
        <f t="shared" si="102"/>
        <v>0</v>
      </c>
      <c r="W234" s="63">
        <f t="shared" si="102"/>
        <v>0</v>
      </c>
      <c r="X234" s="63">
        <f t="shared" si="102"/>
        <v>0</v>
      </c>
      <c r="Y234" s="63">
        <f t="shared" si="102"/>
        <v>0</v>
      </c>
      <c r="Z234" s="63">
        <f t="shared" si="102"/>
        <v>0</v>
      </c>
      <c r="AA234" s="63">
        <f t="shared" si="102"/>
        <v>0</v>
      </c>
      <c r="AB234" s="63">
        <f t="shared" si="102"/>
        <v>0</v>
      </c>
      <c r="AC234" s="63">
        <f t="shared" si="102"/>
        <v>0</v>
      </c>
      <c r="AD234" s="63">
        <f t="shared" si="102"/>
        <v>0</v>
      </c>
      <c r="AE234" s="63">
        <f t="shared" si="102"/>
        <v>0</v>
      </c>
      <c r="AF234" s="63">
        <f t="shared" si="105"/>
        <v>0</v>
      </c>
      <c r="AG234" s="58" t="str">
        <f t="shared" si="104"/>
        <v>ok</v>
      </c>
    </row>
    <row r="235" spans="1:33">
      <c r="A235" s="60">
        <v>569</v>
      </c>
      <c r="B235" s="44" t="s">
        <v>256</v>
      </c>
      <c r="C235" s="44" t="s">
        <v>257</v>
      </c>
      <c r="D235" s="44" t="s">
        <v>644</v>
      </c>
      <c r="F235" s="78">
        <v>0</v>
      </c>
      <c r="G235" s="62"/>
      <c r="H235" s="63">
        <f t="shared" si="101"/>
        <v>0</v>
      </c>
      <c r="I235" s="63">
        <f t="shared" si="101"/>
        <v>0</v>
      </c>
      <c r="J235" s="63">
        <f t="shared" si="101"/>
        <v>0</v>
      </c>
      <c r="K235" s="63">
        <f t="shared" si="101"/>
        <v>0</v>
      </c>
      <c r="L235" s="63">
        <f t="shared" si="101"/>
        <v>0</v>
      </c>
      <c r="M235" s="63">
        <f t="shared" si="101"/>
        <v>0</v>
      </c>
      <c r="N235" s="63">
        <f t="shared" si="101"/>
        <v>0</v>
      </c>
      <c r="O235" s="63">
        <f t="shared" si="101"/>
        <v>0</v>
      </c>
      <c r="P235" s="63">
        <f t="shared" si="101"/>
        <v>0</v>
      </c>
      <c r="Q235" s="63">
        <f t="shared" si="101"/>
        <v>0</v>
      </c>
      <c r="R235" s="63">
        <f t="shared" si="102"/>
        <v>0</v>
      </c>
      <c r="S235" s="63">
        <f t="shared" si="102"/>
        <v>0</v>
      </c>
      <c r="T235" s="63">
        <f t="shared" si="102"/>
        <v>0</v>
      </c>
      <c r="U235" s="63">
        <f t="shared" si="102"/>
        <v>0</v>
      </c>
      <c r="V235" s="63">
        <f t="shared" si="102"/>
        <v>0</v>
      </c>
      <c r="W235" s="63">
        <f t="shared" si="102"/>
        <v>0</v>
      </c>
      <c r="X235" s="63">
        <f t="shared" si="102"/>
        <v>0</v>
      </c>
      <c r="Y235" s="63">
        <f t="shared" si="102"/>
        <v>0</v>
      </c>
      <c r="Z235" s="63">
        <f t="shared" si="102"/>
        <v>0</v>
      </c>
      <c r="AA235" s="63">
        <f t="shared" si="102"/>
        <v>0</v>
      </c>
      <c r="AB235" s="63">
        <f t="shared" si="102"/>
        <v>0</v>
      </c>
      <c r="AC235" s="63">
        <f t="shared" si="102"/>
        <v>0</v>
      </c>
      <c r="AD235" s="63">
        <f t="shared" si="102"/>
        <v>0</v>
      </c>
      <c r="AE235" s="63">
        <f t="shared" si="102"/>
        <v>0</v>
      </c>
      <c r="AF235" s="63">
        <f t="shared" si="105"/>
        <v>0</v>
      </c>
      <c r="AG235" s="58" t="str">
        <f t="shared" si="104"/>
        <v>ok</v>
      </c>
    </row>
    <row r="236" spans="1:33">
      <c r="A236" s="60">
        <v>570</v>
      </c>
      <c r="B236" s="44" t="s">
        <v>1073</v>
      </c>
      <c r="C236" s="44" t="s">
        <v>16</v>
      </c>
      <c r="D236" s="44" t="s">
        <v>644</v>
      </c>
      <c r="F236" s="78">
        <v>1720071</v>
      </c>
      <c r="G236" s="62"/>
      <c r="H236" s="63">
        <f t="shared" si="101"/>
        <v>0</v>
      </c>
      <c r="I236" s="63">
        <f t="shared" si="101"/>
        <v>0</v>
      </c>
      <c r="J236" s="63">
        <f t="shared" si="101"/>
        <v>0</v>
      </c>
      <c r="K236" s="63">
        <f t="shared" si="101"/>
        <v>0</v>
      </c>
      <c r="L236" s="63">
        <f t="shared" si="101"/>
        <v>0</v>
      </c>
      <c r="M236" s="63">
        <f t="shared" si="101"/>
        <v>0</v>
      </c>
      <c r="N236" s="63">
        <f t="shared" si="101"/>
        <v>1720071</v>
      </c>
      <c r="O236" s="63">
        <f t="shared" si="101"/>
        <v>0</v>
      </c>
      <c r="P236" s="63">
        <f t="shared" si="101"/>
        <v>0</v>
      </c>
      <c r="Q236" s="63">
        <f t="shared" si="101"/>
        <v>0</v>
      </c>
      <c r="R236" s="63">
        <f t="shared" si="102"/>
        <v>0</v>
      </c>
      <c r="S236" s="63">
        <f t="shared" si="102"/>
        <v>0</v>
      </c>
      <c r="T236" s="63">
        <f t="shared" si="102"/>
        <v>0</v>
      </c>
      <c r="U236" s="63">
        <f t="shared" si="102"/>
        <v>0</v>
      </c>
      <c r="V236" s="63">
        <f t="shared" si="102"/>
        <v>0</v>
      </c>
      <c r="W236" s="63">
        <f t="shared" si="102"/>
        <v>0</v>
      </c>
      <c r="X236" s="63">
        <f t="shared" si="102"/>
        <v>0</v>
      </c>
      <c r="Y236" s="63">
        <f t="shared" si="102"/>
        <v>0</v>
      </c>
      <c r="Z236" s="63">
        <f t="shared" si="102"/>
        <v>0</v>
      </c>
      <c r="AA236" s="63">
        <f t="shared" si="102"/>
        <v>0</v>
      </c>
      <c r="AB236" s="63">
        <f t="shared" si="102"/>
        <v>0</v>
      </c>
      <c r="AC236" s="63">
        <f t="shared" si="102"/>
        <v>0</v>
      </c>
      <c r="AD236" s="63">
        <f t="shared" si="102"/>
        <v>0</v>
      </c>
      <c r="AE236" s="63">
        <f t="shared" si="102"/>
        <v>0</v>
      </c>
      <c r="AF236" s="63">
        <f t="shared" si="105"/>
        <v>1720071</v>
      </c>
      <c r="AG236" s="58" t="str">
        <f t="shared" si="104"/>
        <v>ok</v>
      </c>
    </row>
    <row r="237" spans="1:33">
      <c r="A237" s="60">
        <v>571</v>
      </c>
      <c r="B237" s="44" t="s">
        <v>1074</v>
      </c>
      <c r="C237" s="44" t="s">
        <v>17</v>
      </c>
      <c r="D237" s="44" t="s">
        <v>644</v>
      </c>
      <c r="F237" s="78">
        <v>7356001</v>
      </c>
      <c r="G237" s="62"/>
      <c r="H237" s="63">
        <f t="shared" si="101"/>
        <v>0</v>
      </c>
      <c r="I237" s="63">
        <f t="shared" si="101"/>
        <v>0</v>
      </c>
      <c r="J237" s="63">
        <f t="shared" si="101"/>
        <v>0</v>
      </c>
      <c r="K237" s="63">
        <f t="shared" si="101"/>
        <v>0</v>
      </c>
      <c r="L237" s="63">
        <f t="shared" si="101"/>
        <v>0</v>
      </c>
      <c r="M237" s="63">
        <f t="shared" si="101"/>
        <v>0</v>
      </c>
      <c r="N237" s="63">
        <f t="shared" si="101"/>
        <v>7356001</v>
      </c>
      <c r="O237" s="63">
        <f t="shared" si="101"/>
        <v>0</v>
      </c>
      <c r="P237" s="63">
        <f t="shared" si="101"/>
        <v>0</v>
      </c>
      <c r="Q237" s="63">
        <f t="shared" si="101"/>
        <v>0</v>
      </c>
      <c r="R237" s="63">
        <f t="shared" si="102"/>
        <v>0</v>
      </c>
      <c r="S237" s="63">
        <f t="shared" si="102"/>
        <v>0</v>
      </c>
      <c r="T237" s="63">
        <f t="shared" si="102"/>
        <v>0</v>
      </c>
      <c r="U237" s="63">
        <f t="shared" si="102"/>
        <v>0</v>
      </c>
      <c r="V237" s="63">
        <f t="shared" si="102"/>
        <v>0</v>
      </c>
      <c r="W237" s="63">
        <f t="shared" si="102"/>
        <v>0</v>
      </c>
      <c r="X237" s="63">
        <f t="shared" si="102"/>
        <v>0</v>
      </c>
      <c r="Y237" s="63">
        <f t="shared" si="102"/>
        <v>0</v>
      </c>
      <c r="Z237" s="63">
        <f t="shared" si="102"/>
        <v>0</v>
      </c>
      <c r="AA237" s="63">
        <f t="shared" si="102"/>
        <v>0</v>
      </c>
      <c r="AB237" s="63">
        <f t="shared" si="102"/>
        <v>0</v>
      </c>
      <c r="AC237" s="63">
        <f t="shared" si="102"/>
        <v>0</v>
      </c>
      <c r="AD237" s="63">
        <f t="shared" si="102"/>
        <v>0</v>
      </c>
      <c r="AE237" s="63">
        <f t="shared" si="102"/>
        <v>0</v>
      </c>
      <c r="AF237" s="63">
        <f t="shared" si="105"/>
        <v>7356001</v>
      </c>
      <c r="AG237" s="58" t="str">
        <f t="shared" si="104"/>
        <v>ok</v>
      </c>
    </row>
    <row r="238" spans="1:33">
      <c r="A238" s="60">
        <v>572</v>
      </c>
      <c r="B238" s="44" t="s">
        <v>258</v>
      </c>
      <c r="C238" s="44" t="s">
        <v>259</v>
      </c>
      <c r="D238" s="44" t="s">
        <v>644</v>
      </c>
      <c r="F238" s="78">
        <v>0</v>
      </c>
      <c r="G238" s="62"/>
      <c r="H238" s="63">
        <f t="shared" si="101"/>
        <v>0</v>
      </c>
      <c r="I238" s="63">
        <f t="shared" si="101"/>
        <v>0</v>
      </c>
      <c r="J238" s="63">
        <f t="shared" si="101"/>
        <v>0</v>
      </c>
      <c r="K238" s="63">
        <f t="shared" si="101"/>
        <v>0</v>
      </c>
      <c r="L238" s="63">
        <f t="shared" si="101"/>
        <v>0</v>
      </c>
      <c r="M238" s="63">
        <f t="shared" si="101"/>
        <v>0</v>
      </c>
      <c r="N238" s="63">
        <f t="shared" si="101"/>
        <v>0</v>
      </c>
      <c r="O238" s="63">
        <f t="shared" si="101"/>
        <v>0</v>
      </c>
      <c r="P238" s="63">
        <f t="shared" si="101"/>
        <v>0</v>
      </c>
      <c r="Q238" s="63">
        <f t="shared" si="101"/>
        <v>0</v>
      </c>
      <c r="R238" s="63">
        <f t="shared" si="102"/>
        <v>0</v>
      </c>
      <c r="S238" s="63">
        <f t="shared" si="102"/>
        <v>0</v>
      </c>
      <c r="T238" s="63">
        <f t="shared" si="102"/>
        <v>0</v>
      </c>
      <c r="U238" s="63">
        <f t="shared" si="102"/>
        <v>0</v>
      </c>
      <c r="V238" s="63">
        <f t="shared" si="102"/>
        <v>0</v>
      </c>
      <c r="W238" s="63">
        <f t="shared" si="102"/>
        <v>0</v>
      </c>
      <c r="X238" s="63">
        <f t="shared" si="102"/>
        <v>0</v>
      </c>
      <c r="Y238" s="63">
        <f t="shared" si="102"/>
        <v>0</v>
      </c>
      <c r="Z238" s="63">
        <f t="shared" si="102"/>
        <v>0</v>
      </c>
      <c r="AA238" s="63">
        <f t="shared" si="102"/>
        <v>0</v>
      </c>
      <c r="AB238" s="63">
        <f t="shared" si="102"/>
        <v>0</v>
      </c>
      <c r="AC238" s="63">
        <f t="shared" si="102"/>
        <v>0</v>
      </c>
      <c r="AD238" s="63">
        <f t="shared" si="102"/>
        <v>0</v>
      </c>
      <c r="AE238" s="63">
        <f t="shared" si="102"/>
        <v>0</v>
      </c>
      <c r="AF238" s="63">
        <f t="shared" si="105"/>
        <v>0</v>
      </c>
      <c r="AG238" s="58" t="str">
        <f t="shared" si="104"/>
        <v>ok</v>
      </c>
    </row>
    <row r="239" spans="1:33">
      <c r="A239" s="60">
        <v>573</v>
      </c>
      <c r="B239" s="44" t="s">
        <v>260</v>
      </c>
      <c r="C239" s="44" t="s">
        <v>261</v>
      </c>
      <c r="D239" s="44" t="s">
        <v>1087</v>
      </c>
      <c r="F239" s="78">
        <v>236184.99999999901</v>
      </c>
      <c r="G239" s="62"/>
      <c r="H239" s="63">
        <f t="shared" si="101"/>
        <v>0</v>
      </c>
      <c r="I239" s="63">
        <f t="shared" si="101"/>
        <v>0</v>
      </c>
      <c r="J239" s="63">
        <f t="shared" si="101"/>
        <v>0</v>
      </c>
      <c r="K239" s="63">
        <f t="shared" si="101"/>
        <v>0</v>
      </c>
      <c r="L239" s="63">
        <f t="shared" si="101"/>
        <v>0</v>
      </c>
      <c r="M239" s="63">
        <f t="shared" si="101"/>
        <v>0</v>
      </c>
      <c r="N239" s="63">
        <f t="shared" si="101"/>
        <v>236184.99999999901</v>
      </c>
      <c r="O239" s="63">
        <f t="shared" si="101"/>
        <v>0</v>
      </c>
      <c r="P239" s="63">
        <f t="shared" si="101"/>
        <v>0</v>
      </c>
      <c r="Q239" s="63">
        <f t="shared" si="101"/>
        <v>0</v>
      </c>
      <c r="R239" s="63">
        <f t="shared" si="102"/>
        <v>0</v>
      </c>
      <c r="S239" s="63">
        <f t="shared" si="102"/>
        <v>0</v>
      </c>
      <c r="T239" s="63">
        <f t="shared" si="102"/>
        <v>0</v>
      </c>
      <c r="U239" s="63">
        <f t="shared" si="102"/>
        <v>0</v>
      </c>
      <c r="V239" s="63">
        <f t="shared" si="102"/>
        <v>0</v>
      </c>
      <c r="W239" s="63">
        <f t="shared" si="102"/>
        <v>0</v>
      </c>
      <c r="X239" s="63">
        <f t="shared" si="102"/>
        <v>0</v>
      </c>
      <c r="Y239" s="63">
        <f t="shared" si="102"/>
        <v>0</v>
      </c>
      <c r="Z239" s="63">
        <f t="shared" si="102"/>
        <v>0</v>
      </c>
      <c r="AA239" s="63">
        <f t="shared" si="102"/>
        <v>0</v>
      </c>
      <c r="AB239" s="63">
        <f t="shared" si="102"/>
        <v>0</v>
      </c>
      <c r="AC239" s="63">
        <f t="shared" si="102"/>
        <v>0</v>
      </c>
      <c r="AD239" s="63">
        <f t="shared" si="102"/>
        <v>0</v>
      </c>
      <c r="AE239" s="63">
        <f t="shared" si="102"/>
        <v>0</v>
      </c>
      <c r="AF239" s="63">
        <f t="shared" si="105"/>
        <v>236184.99999999901</v>
      </c>
      <c r="AG239" s="58" t="str">
        <f t="shared" si="104"/>
        <v>ok</v>
      </c>
    </row>
    <row r="240" spans="1:33">
      <c r="A240" s="60">
        <v>575</v>
      </c>
      <c r="B240" s="60" t="s">
        <v>1243</v>
      </c>
      <c r="C240" s="60" t="s">
        <v>845</v>
      </c>
      <c r="D240" s="44" t="s">
        <v>644</v>
      </c>
      <c r="F240" s="78">
        <v>0</v>
      </c>
      <c r="G240" s="62"/>
      <c r="H240" s="63">
        <f t="shared" si="101"/>
        <v>0</v>
      </c>
      <c r="I240" s="63">
        <f t="shared" si="101"/>
        <v>0</v>
      </c>
      <c r="J240" s="63">
        <f t="shared" si="101"/>
        <v>0</v>
      </c>
      <c r="K240" s="63">
        <f t="shared" si="101"/>
        <v>0</v>
      </c>
      <c r="L240" s="63">
        <f t="shared" si="101"/>
        <v>0</v>
      </c>
      <c r="M240" s="63">
        <f t="shared" si="101"/>
        <v>0</v>
      </c>
      <c r="N240" s="63">
        <f t="shared" si="101"/>
        <v>0</v>
      </c>
      <c r="O240" s="63">
        <f t="shared" si="101"/>
        <v>0</v>
      </c>
      <c r="P240" s="63">
        <f t="shared" si="101"/>
        <v>0</v>
      </c>
      <c r="Q240" s="63">
        <f t="shared" si="101"/>
        <v>0</v>
      </c>
      <c r="R240" s="63">
        <f t="shared" si="102"/>
        <v>0</v>
      </c>
      <c r="S240" s="63">
        <f t="shared" si="102"/>
        <v>0</v>
      </c>
      <c r="T240" s="63">
        <f t="shared" si="102"/>
        <v>0</v>
      </c>
      <c r="U240" s="63">
        <f t="shared" si="102"/>
        <v>0</v>
      </c>
      <c r="V240" s="63">
        <f t="shared" si="102"/>
        <v>0</v>
      </c>
      <c r="W240" s="63">
        <f t="shared" si="102"/>
        <v>0</v>
      </c>
      <c r="X240" s="63">
        <f t="shared" si="102"/>
        <v>0</v>
      </c>
      <c r="Y240" s="63">
        <f t="shared" si="102"/>
        <v>0</v>
      </c>
      <c r="Z240" s="63">
        <f t="shared" si="102"/>
        <v>0</v>
      </c>
      <c r="AA240" s="63">
        <f t="shared" si="102"/>
        <v>0</v>
      </c>
      <c r="AB240" s="63">
        <f t="shared" si="102"/>
        <v>0</v>
      </c>
      <c r="AC240" s="63">
        <f t="shared" si="102"/>
        <v>0</v>
      </c>
      <c r="AD240" s="63">
        <f t="shared" si="102"/>
        <v>0</v>
      </c>
      <c r="AE240" s="63">
        <f t="shared" si="102"/>
        <v>0</v>
      </c>
      <c r="AF240" s="63">
        <f>SUM(H240:AE240)</f>
        <v>0</v>
      </c>
      <c r="AG240" s="58" t="str">
        <f t="shared" si="104"/>
        <v>ok</v>
      </c>
    </row>
    <row r="241" spans="1:33">
      <c r="A241" s="60"/>
      <c r="F241" s="75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3"/>
      <c r="AG241" s="58"/>
    </row>
    <row r="242" spans="1:33">
      <c r="A242" s="60" t="s">
        <v>1075</v>
      </c>
      <c r="F242" s="79">
        <f>SUM(F227:F240)</f>
        <v>27773572.999999899</v>
      </c>
      <c r="G242" s="64">
        <f>SUM(G227:G237)</f>
        <v>0</v>
      </c>
      <c r="H242" s="64">
        <f t="shared" ref="H242:N242" si="106">SUM(H227:H240)</f>
        <v>0</v>
      </c>
      <c r="I242" s="64">
        <f t="shared" si="106"/>
        <v>0</v>
      </c>
      <c r="J242" s="64">
        <f t="shared" si="106"/>
        <v>0</v>
      </c>
      <c r="K242" s="64">
        <f t="shared" si="106"/>
        <v>0</v>
      </c>
      <c r="L242" s="64">
        <f t="shared" si="106"/>
        <v>0</v>
      </c>
      <c r="M242" s="64">
        <f t="shared" si="106"/>
        <v>0</v>
      </c>
      <c r="N242" s="64">
        <f t="shared" si="106"/>
        <v>27773572.999999899</v>
      </c>
      <c r="O242" s="64">
        <f t="shared" ref="O242:AE242" si="107">SUM(O227:O240)</f>
        <v>0</v>
      </c>
      <c r="P242" s="64">
        <f t="shared" si="107"/>
        <v>0</v>
      </c>
      <c r="Q242" s="64">
        <f t="shared" si="107"/>
        <v>0</v>
      </c>
      <c r="R242" s="64">
        <f t="shared" si="107"/>
        <v>0</v>
      </c>
      <c r="S242" s="64">
        <f t="shared" si="107"/>
        <v>0</v>
      </c>
      <c r="T242" s="64">
        <f t="shared" si="107"/>
        <v>0</v>
      </c>
      <c r="U242" s="64">
        <f t="shared" si="107"/>
        <v>0</v>
      </c>
      <c r="V242" s="64">
        <f t="shared" si="107"/>
        <v>0</v>
      </c>
      <c r="W242" s="64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7"/>
        <v>0</v>
      </c>
      <c r="AB242" s="64">
        <f t="shared" si="107"/>
        <v>0</v>
      </c>
      <c r="AC242" s="64">
        <f t="shared" si="107"/>
        <v>0</v>
      </c>
      <c r="AD242" s="64">
        <f t="shared" si="107"/>
        <v>0</v>
      </c>
      <c r="AE242" s="64">
        <f t="shared" si="107"/>
        <v>0</v>
      </c>
      <c r="AF242" s="62">
        <f>SUM(H242:AE242)</f>
        <v>27773572.999999899</v>
      </c>
      <c r="AG242" s="58" t="str">
        <f>IF(ABS(AF242-F242)&lt;1,"ok","err")</f>
        <v>ok</v>
      </c>
    </row>
    <row r="243" spans="1:33">
      <c r="A243" s="60"/>
      <c r="W243" s="44"/>
      <c r="AG243" s="58"/>
    </row>
    <row r="244" spans="1:33" ht="15">
      <c r="A244" s="59" t="s">
        <v>950</v>
      </c>
      <c r="W244" s="44"/>
      <c r="AG244" s="58"/>
    </row>
    <row r="245" spans="1:33">
      <c r="A245" s="60"/>
      <c r="W245" s="44"/>
      <c r="AG245" s="58"/>
    </row>
    <row r="246" spans="1:33" ht="15">
      <c r="A246" s="65" t="s">
        <v>913</v>
      </c>
      <c r="W246" s="44"/>
      <c r="AG246" s="58"/>
    </row>
    <row r="247" spans="1:33">
      <c r="A247" s="60">
        <v>580</v>
      </c>
      <c r="B247" s="44" t="s">
        <v>914</v>
      </c>
      <c r="C247" s="44" t="s">
        <v>915</v>
      </c>
      <c r="D247" s="44" t="s">
        <v>63</v>
      </c>
      <c r="F247" s="75">
        <v>2397038.9999999902</v>
      </c>
      <c r="H247" s="63">
        <f t="shared" ref="H247:Q258" si="108">IF(VLOOKUP($D247,$C$6:$AE$653,H$2,)=0,0,((VLOOKUP($D247,$C$6:$AE$653,H$2,)/VLOOKUP($D247,$C$6:$AE$653,4,))*$F247))</f>
        <v>0</v>
      </c>
      <c r="I247" s="63">
        <f t="shared" si="108"/>
        <v>0</v>
      </c>
      <c r="J247" s="63">
        <f t="shared" si="108"/>
        <v>0</v>
      </c>
      <c r="K247" s="63">
        <f t="shared" si="108"/>
        <v>0</v>
      </c>
      <c r="L247" s="63">
        <f t="shared" si="108"/>
        <v>0</v>
      </c>
      <c r="M247" s="63">
        <f t="shared" si="108"/>
        <v>0</v>
      </c>
      <c r="N247" s="63">
        <f t="shared" si="108"/>
        <v>0</v>
      </c>
      <c r="O247" s="63">
        <f t="shared" si="108"/>
        <v>0</v>
      </c>
      <c r="P247" s="63">
        <f t="shared" si="108"/>
        <v>0</v>
      </c>
      <c r="Q247" s="63">
        <f t="shared" si="108"/>
        <v>0</v>
      </c>
      <c r="R247" s="63">
        <f t="shared" ref="R247:AE258" si="109">IF(VLOOKUP($D247,$C$6:$AE$653,R$2,)=0,0,((VLOOKUP($D247,$C$6:$AE$653,R$2,)/VLOOKUP($D247,$C$6:$AE$653,4,))*$F247))</f>
        <v>355546.79536342807</v>
      </c>
      <c r="S247" s="63">
        <f t="shared" si="109"/>
        <v>0</v>
      </c>
      <c r="T247" s="63">
        <f t="shared" si="109"/>
        <v>283564.99025400804</v>
      </c>
      <c r="U247" s="63">
        <f t="shared" si="109"/>
        <v>481035.82290190202</v>
      </c>
      <c r="V247" s="63">
        <f t="shared" si="109"/>
        <v>95931.746562976186</v>
      </c>
      <c r="W247" s="63">
        <f t="shared" si="109"/>
        <v>167374.56875640605</v>
      </c>
      <c r="X247" s="63">
        <f t="shared" si="109"/>
        <v>28596.913980191181</v>
      </c>
      <c r="Y247" s="63">
        <f t="shared" si="109"/>
        <v>15940.145940858454</v>
      </c>
      <c r="Z247" s="63">
        <f t="shared" si="109"/>
        <v>10191.666595246186</v>
      </c>
      <c r="AA247" s="63">
        <f t="shared" si="109"/>
        <v>925253.96734620654</v>
      </c>
      <c r="AB247" s="63">
        <f t="shared" si="109"/>
        <v>33602.38229876753</v>
      </c>
      <c r="AC247" s="63">
        <f t="shared" si="109"/>
        <v>0</v>
      </c>
      <c r="AD247" s="63">
        <f t="shared" si="109"/>
        <v>0</v>
      </c>
      <c r="AE247" s="63">
        <f t="shared" si="109"/>
        <v>0</v>
      </c>
      <c r="AF247" s="63">
        <f t="shared" ref="AF247:AF258" si="110">SUM(H247:AE247)</f>
        <v>2397038.9999999898</v>
      </c>
      <c r="AG247" s="58" t="str">
        <f t="shared" ref="AG247:AG258" si="111">IF(ABS(AF247-F247)&lt;1,"ok","err")</f>
        <v>ok</v>
      </c>
    </row>
    <row r="248" spans="1:33">
      <c r="A248" s="60">
        <v>581</v>
      </c>
      <c r="B248" s="44" t="s">
        <v>916</v>
      </c>
      <c r="C248" s="44" t="s">
        <v>917</v>
      </c>
      <c r="D248" s="44" t="s">
        <v>865</v>
      </c>
      <c r="F248" s="78">
        <v>292953</v>
      </c>
      <c r="H248" s="63">
        <f t="shared" si="108"/>
        <v>0</v>
      </c>
      <c r="I248" s="63">
        <f t="shared" si="108"/>
        <v>0</v>
      </c>
      <c r="J248" s="63">
        <f t="shared" si="108"/>
        <v>0</v>
      </c>
      <c r="K248" s="63">
        <f t="shared" si="108"/>
        <v>0</v>
      </c>
      <c r="L248" s="63">
        <f t="shared" si="108"/>
        <v>0</v>
      </c>
      <c r="M248" s="63">
        <f t="shared" si="108"/>
        <v>0</v>
      </c>
      <c r="N248" s="63">
        <f t="shared" si="108"/>
        <v>0</v>
      </c>
      <c r="O248" s="63">
        <f t="shared" si="108"/>
        <v>0</v>
      </c>
      <c r="P248" s="63">
        <f t="shared" si="108"/>
        <v>0</v>
      </c>
      <c r="Q248" s="63">
        <f t="shared" si="108"/>
        <v>0</v>
      </c>
      <c r="R248" s="63">
        <f t="shared" si="109"/>
        <v>292953</v>
      </c>
      <c r="S248" s="63">
        <f t="shared" si="109"/>
        <v>0</v>
      </c>
      <c r="T248" s="63">
        <f t="shared" si="109"/>
        <v>0</v>
      </c>
      <c r="U248" s="63">
        <f t="shared" si="109"/>
        <v>0</v>
      </c>
      <c r="V248" s="63">
        <f t="shared" si="109"/>
        <v>0</v>
      </c>
      <c r="W248" s="63">
        <f t="shared" si="109"/>
        <v>0</v>
      </c>
      <c r="X248" s="63">
        <f t="shared" si="109"/>
        <v>0</v>
      </c>
      <c r="Y248" s="63">
        <f t="shared" si="109"/>
        <v>0</v>
      </c>
      <c r="Z248" s="63">
        <f t="shared" si="109"/>
        <v>0</v>
      </c>
      <c r="AA248" s="63">
        <f t="shared" si="109"/>
        <v>0</v>
      </c>
      <c r="AB248" s="63">
        <f t="shared" si="109"/>
        <v>0</v>
      </c>
      <c r="AC248" s="63">
        <f t="shared" si="109"/>
        <v>0</v>
      </c>
      <c r="AD248" s="63">
        <f t="shared" si="109"/>
        <v>0</v>
      </c>
      <c r="AE248" s="63">
        <f t="shared" si="109"/>
        <v>0</v>
      </c>
      <c r="AF248" s="63">
        <f t="shared" si="110"/>
        <v>292953</v>
      </c>
      <c r="AG248" s="58" t="str">
        <f t="shared" si="111"/>
        <v>ok</v>
      </c>
    </row>
    <row r="249" spans="1:33">
      <c r="A249" s="60">
        <v>582</v>
      </c>
      <c r="B249" s="44" t="s">
        <v>1070</v>
      </c>
      <c r="C249" s="44" t="s">
        <v>1076</v>
      </c>
      <c r="D249" s="44" t="s">
        <v>865</v>
      </c>
      <c r="F249" s="78">
        <v>1764640</v>
      </c>
      <c r="H249" s="63">
        <f t="shared" si="108"/>
        <v>0</v>
      </c>
      <c r="I249" s="63">
        <f t="shared" si="108"/>
        <v>0</v>
      </c>
      <c r="J249" s="63">
        <f t="shared" si="108"/>
        <v>0</v>
      </c>
      <c r="K249" s="63">
        <f t="shared" si="108"/>
        <v>0</v>
      </c>
      <c r="L249" s="63">
        <f t="shared" si="108"/>
        <v>0</v>
      </c>
      <c r="M249" s="63">
        <f t="shared" si="108"/>
        <v>0</v>
      </c>
      <c r="N249" s="63">
        <f t="shared" si="108"/>
        <v>0</v>
      </c>
      <c r="O249" s="63">
        <f t="shared" si="108"/>
        <v>0</v>
      </c>
      <c r="P249" s="63">
        <f t="shared" si="108"/>
        <v>0</v>
      </c>
      <c r="Q249" s="63">
        <f t="shared" si="108"/>
        <v>0</v>
      </c>
      <c r="R249" s="63">
        <f t="shared" si="109"/>
        <v>1764640</v>
      </c>
      <c r="S249" s="63">
        <f t="shared" si="109"/>
        <v>0</v>
      </c>
      <c r="T249" s="63">
        <f t="shared" si="109"/>
        <v>0</v>
      </c>
      <c r="U249" s="63">
        <f t="shared" si="109"/>
        <v>0</v>
      </c>
      <c r="V249" s="63">
        <f t="shared" si="109"/>
        <v>0</v>
      </c>
      <c r="W249" s="63">
        <f t="shared" si="109"/>
        <v>0</v>
      </c>
      <c r="X249" s="63">
        <f t="shared" si="109"/>
        <v>0</v>
      </c>
      <c r="Y249" s="63">
        <f t="shared" si="109"/>
        <v>0</v>
      </c>
      <c r="Z249" s="63">
        <f t="shared" si="109"/>
        <v>0</v>
      </c>
      <c r="AA249" s="63">
        <f t="shared" si="109"/>
        <v>0</v>
      </c>
      <c r="AB249" s="63">
        <f t="shared" si="109"/>
        <v>0</v>
      </c>
      <c r="AC249" s="63">
        <f t="shared" si="109"/>
        <v>0</v>
      </c>
      <c r="AD249" s="63">
        <f t="shared" si="109"/>
        <v>0</v>
      </c>
      <c r="AE249" s="63">
        <f t="shared" si="109"/>
        <v>0</v>
      </c>
      <c r="AF249" s="63">
        <f t="shared" si="110"/>
        <v>1764640</v>
      </c>
      <c r="AG249" s="58" t="str">
        <f t="shared" si="111"/>
        <v>ok</v>
      </c>
    </row>
    <row r="250" spans="1:33">
      <c r="A250" s="60">
        <v>583</v>
      </c>
      <c r="B250" s="44" t="s">
        <v>918</v>
      </c>
      <c r="C250" s="44" t="s">
        <v>919</v>
      </c>
      <c r="D250" s="44" t="s">
        <v>868</v>
      </c>
      <c r="F250" s="78">
        <v>5783699.9999999898</v>
      </c>
      <c r="H250" s="63">
        <f t="shared" si="108"/>
        <v>0</v>
      </c>
      <c r="I250" s="63">
        <f t="shared" si="108"/>
        <v>0</v>
      </c>
      <c r="J250" s="63">
        <f t="shared" si="108"/>
        <v>0</v>
      </c>
      <c r="K250" s="63">
        <f t="shared" si="108"/>
        <v>0</v>
      </c>
      <c r="L250" s="63">
        <f t="shared" si="108"/>
        <v>0</v>
      </c>
      <c r="M250" s="63">
        <f t="shared" si="108"/>
        <v>0</v>
      </c>
      <c r="N250" s="63">
        <f t="shared" si="108"/>
        <v>0</v>
      </c>
      <c r="O250" s="63">
        <f t="shared" si="108"/>
        <v>0</v>
      </c>
      <c r="P250" s="63">
        <f t="shared" si="108"/>
        <v>0</v>
      </c>
      <c r="Q250" s="63">
        <f t="shared" si="108"/>
        <v>0</v>
      </c>
      <c r="R250" s="63">
        <f t="shared" si="109"/>
        <v>0</v>
      </c>
      <c r="S250" s="63">
        <f t="shared" si="109"/>
        <v>0</v>
      </c>
      <c r="T250" s="63">
        <f t="shared" si="109"/>
        <v>1468727.3529239974</v>
      </c>
      <c r="U250" s="63">
        <f t="shared" si="109"/>
        <v>2609937.8870759956</v>
      </c>
      <c r="V250" s="63">
        <f t="shared" si="109"/>
        <v>613983.01707599894</v>
      </c>
      <c r="W250" s="63">
        <f t="shared" si="109"/>
        <v>1091051.742923998</v>
      </c>
      <c r="X250" s="63">
        <f t="shared" si="109"/>
        <v>0</v>
      </c>
      <c r="Y250" s="63">
        <f t="shared" si="109"/>
        <v>0</v>
      </c>
      <c r="Z250" s="63">
        <f t="shared" si="109"/>
        <v>0</v>
      </c>
      <c r="AA250" s="63">
        <f t="shared" si="109"/>
        <v>0</v>
      </c>
      <c r="AB250" s="63">
        <f t="shared" si="109"/>
        <v>0</v>
      </c>
      <c r="AC250" s="63">
        <f t="shared" si="109"/>
        <v>0</v>
      </c>
      <c r="AD250" s="63">
        <f t="shared" si="109"/>
        <v>0</v>
      </c>
      <c r="AE250" s="63">
        <f t="shared" si="109"/>
        <v>0</v>
      </c>
      <c r="AF250" s="63">
        <f t="shared" si="110"/>
        <v>5783699.9999999898</v>
      </c>
      <c r="AG250" s="58" t="str">
        <f t="shared" si="111"/>
        <v>ok</v>
      </c>
    </row>
    <row r="251" spans="1:33">
      <c r="A251" s="60">
        <v>584</v>
      </c>
      <c r="B251" s="44" t="s">
        <v>920</v>
      </c>
      <c r="C251" s="44" t="s">
        <v>921</v>
      </c>
      <c r="D251" s="44" t="s">
        <v>871</v>
      </c>
      <c r="F251" s="78">
        <v>6320821</v>
      </c>
      <c r="H251" s="63">
        <f t="shared" si="108"/>
        <v>0</v>
      </c>
      <c r="I251" s="63">
        <f t="shared" si="108"/>
        <v>0</v>
      </c>
      <c r="J251" s="63">
        <f t="shared" si="108"/>
        <v>0</v>
      </c>
      <c r="K251" s="63">
        <f t="shared" si="108"/>
        <v>0</v>
      </c>
      <c r="L251" s="63">
        <f t="shared" si="108"/>
        <v>0</v>
      </c>
      <c r="M251" s="63">
        <f t="shared" si="108"/>
        <v>0</v>
      </c>
      <c r="N251" s="63">
        <f t="shared" si="108"/>
        <v>0</v>
      </c>
      <c r="O251" s="63">
        <f t="shared" si="108"/>
        <v>0</v>
      </c>
      <c r="P251" s="63">
        <f t="shared" si="108"/>
        <v>0</v>
      </c>
      <c r="Q251" s="63">
        <f t="shared" si="108"/>
        <v>0</v>
      </c>
      <c r="R251" s="63">
        <f t="shared" si="109"/>
        <v>0</v>
      </c>
      <c r="S251" s="63">
        <f t="shared" si="109"/>
        <v>0</v>
      </c>
      <c r="T251" s="63">
        <f t="shared" si="109"/>
        <v>2234492.2677565799</v>
      </c>
      <c r="U251" s="63">
        <f t="shared" si="109"/>
        <v>3332254.7869434203</v>
      </c>
      <c r="V251" s="63">
        <f t="shared" si="109"/>
        <v>302685.28164341999</v>
      </c>
      <c r="W251" s="63">
        <f t="shared" si="109"/>
        <v>451388.66365657991</v>
      </c>
      <c r="X251" s="63">
        <f t="shared" si="109"/>
        <v>0</v>
      </c>
      <c r="Y251" s="63">
        <f t="shared" si="109"/>
        <v>0</v>
      </c>
      <c r="Z251" s="63">
        <f t="shared" si="109"/>
        <v>0</v>
      </c>
      <c r="AA251" s="63">
        <f t="shared" si="109"/>
        <v>0</v>
      </c>
      <c r="AB251" s="63">
        <f t="shared" si="109"/>
        <v>0</v>
      </c>
      <c r="AC251" s="63">
        <f t="shared" si="109"/>
        <v>0</v>
      </c>
      <c r="AD251" s="63">
        <f t="shared" si="109"/>
        <v>0</v>
      </c>
      <c r="AE251" s="63">
        <f t="shared" si="109"/>
        <v>0</v>
      </c>
      <c r="AF251" s="63">
        <f t="shared" si="110"/>
        <v>6320821.0000000009</v>
      </c>
      <c r="AG251" s="58" t="str">
        <f t="shared" si="111"/>
        <v>ok</v>
      </c>
    </row>
    <row r="252" spans="1:33">
      <c r="A252" s="60">
        <v>585</v>
      </c>
      <c r="B252" s="44" t="s">
        <v>922</v>
      </c>
      <c r="C252" s="44" t="s">
        <v>923</v>
      </c>
      <c r="D252" s="44" t="s">
        <v>879</v>
      </c>
      <c r="F252" s="78">
        <v>0</v>
      </c>
      <c r="H252" s="63">
        <f t="shared" si="108"/>
        <v>0</v>
      </c>
      <c r="I252" s="63">
        <f t="shared" si="108"/>
        <v>0</v>
      </c>
      <c r="J252" s="63">
        <f t="shared" si="108"/>
        <v>0</v>
      </c>
      <c r="K252" s="63">
        <f t="shared" si="108"/>
        <v>0</v>
      </c>
      <c r="L252" s="63">
        <f t="shared" si="108"/>
        <v>0</v>
      </c>
      <c r="M252" s="63">
        <f t="shared" si="108"/>
        <v>0</v>
      </c>
      <c r="N252" s="63">
        <f t="shared" si="108"/>
        <v>0</v>
      </c>
      <c r="O252" s="63">
        <f t="shared" si="108"/>
        <v>0</v>
      </c>
      <c r="P252" s="63">
        <f t="shared" si="108"/>
        <v>0</v>
      </c>
      <c r="Q252" s="63">
        <f t="shared" si="108"/>
        <v>0</v>
      </c>
      <c r="R252" s="63">
        <f t="shared" si="109"/>
        <v>0</v>
      </c>
      <c r="S252" s="63">
        <f t="shared" si="109"/>
        <v>0</v>
      </c>
      <c r="T252" s="63">
        <f t="shared" si="109"/>
        <v>0</v>
      </c>
      <c r="U252" s="63">
        <f t="shared" si="109"/>
        <v>0</v>
      </c>
      <c r="V252" s="63">
        <f t="shared" si="109"/>
        <v>0</v>
      </c>
      <c r="W252" s="63">
        <f t="shared" si="109"/>
        <v>0</v>
      </c>
      <c r="X252" s="63">
        <f t="shared" si="109"/>
        <v>0</v>
      </c>
      <c r="Y252" s="63">
        <f t="shared" si="109"/>
        <v>0</v>
      </c>
      <c r="Z252" s="63">
        <f t="shared" si="109"/>
        <v>0</v>
      </c>
      <c r="AA252" s="63">
        <f t="shared" si="109"/>
        <v>0</v>
      </c>
      <c r="AB252" s="63">
        <f t="shared" si="109"/>
        <v>0</v>
      </c>
      <c r="AC252" s="63">
        <f t="shared" si="109"/>
        <v>0</v>
      </c>
      <c r="AD252" s="63">
        <f t="shared" si="109"/>
        <v>0</v>
      </c>
      <c r="AE252" s="63">
        <f t="shared" si="109"/>
        <v>0</v>
      </c>
      <c r="AF252" s="63">
        <f t="shared" si="110"/>
        <v>0</v>
      </c>
      <c r="AG252" s="58" t="str">
        <f t="shared" si="111"/>
        <v>ok</v>
      </c>
    </row>
    <row r="253" spans="1:33">
      <c r="A253" s="60">
        <v>586</v>
      </c>
      <c r="B253" s="44" t="s">
        <v>924</v>
      </c>
      <c r="C253" s="44" t="s">
        <v>925</v>
      </c>
      <c r="D253" s="44" t="s">
        <v>876</v>
      </c>
      <c r="F253" s="78">
        <v>7932375</v>
      </c>
      <c r="H253" s="63">
        <f t="shared" si="108"/>
        <v>0</v>
      </c>
      <c r="I253" s="63">
        <f t="shared" si="108"/>
        <v>0</v>
      </c>
      <c r="J253" s="63">
        <f t="shared" si="108"/>
        <v>0</v>
      </c>
      <c r="K253" s="63">
        <f t="shared" si="108"/>
        <v>0</v>
      </c>
      <c r="L253" s="63">
        <f t="shared" si="108"/>
        <v>0</v>
      </c>
      <c r="M253" s="63">
        <f t="shared" si="108"/>
        <v>0</v>
      </c>
      <c r="N253" s="63">
        <f t="shared" si="108"/>
        <v>0</v>
      </c>
      <c r="O253" s="63">
        <f t="shared" si="108"/>
        <v>0</v>
      </c>
      <c r="P253" s="63">
        <f t="shared" si="108"/>
        <v>0</v>
      </c>
      <c r="Q253" s="63">
        <f t="shared" si="108"/>
        <v>0</v>
      </c>
      <c r="R253" s="63">
        <f t="shared" si="109"/>
        <v>0</v>
      </c>
      <c r="S253" s="63">
        <f t="shared" si="109"/>
        <v>0</v>
      </c>
      <c r="T253" s="63">
        <f t="shared" si="109"/>
        <v>0</v>
      </c>
      <c r="U253" s="63">
        <f t="shared" si="109"/>
        <v>0</v>
      </c>
      <c r="V253" s="63">
        <f t="shared" si="109"/>
        <v>0</v>
      </c>
      <c r="W253" s="63">
        <f t="shared" si="109"/>
        <v>0</v>
      </c>
      <c r="X253" s="63">
        <f t="shared" si="109"/>
        <v>0</v>
      </c>
      <c r="Y253" s="63">
        <f t="shared" si="109"/>
        <v>0</v>
      </c>
      <c r="Z253" s="63">
        <f t="shared" si="109"/>
        <v>0</v>
      </c>
      <c r="AA253" s="63">
        <f t="shared" si="109"/>
        <v>7932375</v>
      </c>
      <c r="AB253" s="63">
        <f t="shared" si="109"/>
        <v>0</v>
      </c>
      <c r="AC253" s="63">
        <f t="shared" si="109"/>
        <v>0</v>
      </c>
      <c r="AD253" s="63">
        <f t="shared" si="109"/>
        <v>0</v>
      </c>
      <c r="AE253" s="63">
        <f t="shared" si="109"/>
        <v>0</v>
      </c>
      <c r="AF253" s="63">
        <f t="shared" si="110"/>
        <v>7932375</v>
      </c>
      <c r="AG253" s="58" t="str">
        <f t="shared" si="111"/>
        <v>ok</v>
      </c>
    </row>
    <row r="254" spans="1:33">
      <c r="A254" s="60">
        <v>586</v>
      </c>
      <c r="B254" s="44" t="s">
        <v>26</v>
      </c>
      <c r="C254" s="44" t="s">
        <v>27</v>
      </c>
      <c r="D254" s="44" t="s">
        <v>41</v>
      </c>
      <c r="F254" s="78">
        <v>0</v>
      </c>
      <c r="H254" s="63">
        <f t="shared" si="108"/>
        <v>0</v>
      </c>
      <c r="I254" s="63">
        <f t="shared" si="108"/>
        <v>0</v>
      </c>
      <c r="J254" s="63">
        <f t="shared" si="108"/>
        <v>0</v>
      </c>
      <c r="K254" s="63">
        <f t="shared" si="108"/>
        <v>0</v>
      </c>
      <c r="L254" s="63">
        <f t="shared" si="108"/>
        <v>0</v>
      </c>
      <c r="M254" s="63">
        <f t="shared" si="108"/>
        <v>0</v>
      </c>
      <c r="N254" s="63">
        <f t="shared" si="108"/>
        <v>0</v>
      </c>
      <c r="O254" s="63">
        <f t="shared" si="108"/>
        <v>0</v>
      </c>
      <c r="P254" s="63">
        <f t="shared" si="108"/>
        <v>0</v>
      </c>
      <c r="Q254" s="63">
        <f t="shared" si="108"/>
        <v>0</v>
      </c>
      <c r="R254" s="63">
        <f t="shared" si="109"/>
        <v>0</v>
      </c>
      <c r="S254" s="63">
        <f t="shared" si="109"/>
        <v>0</v>
      </c>
      <c r="T254" s="63">
        <f t="shared" si="109"/>
        <v>0</v>
      </c>
      <c r="U254" s="63">
        <f t="shared" si="109"/>
        <v>0</v>
      </c>
      <c r="V254" s="63">
        <f t="shared" si="109"/>
        <v>0</v>
      </c>
      <c r="W254" s="63">
        <f t="shared" si="109"/>
        <v>0</v>
      </c>
      <c r="X254" s="63">
        <f t="shared" si="109"/>
        <v>0</v>
      </c>
      <c r="Y254" s="63">
        <f t="shared" si="109"/>
        <v>0</v>
      </c>
      <c r="Z254" s="63">
        <f t="shared" si="109"/>
        <v>0</v>
      </c>
      <c r="AA254" s="63">
        <f t="shared" si="109"/>
        <v>0</v>
      </c>
      <c r="AB254" s="63">
        <f t="shared" si="109"/>
        <v>0</v>
      </c>
      <c r="AC254" s="63">
        <f t="shared" si="109"/>
        <v>0</v>
      </c>
      <c r="AD254" s="63">
        <f t="shared" si="109"/>
        <v>0</v>
      </c>
      <c r="AE254" s="63">
        <f t="shared" si="109"/>
        <v>0</v>
      </c>
      <c r="AF254" s="63">
        <f t="shared" si="110"/>
        <v>0</v>
      </c>
      <c r="AG254" s="58" t="str">
        <f t="shared" si="111"/>
        <v>ok</v>
      </c>
    </row>
    <row r="255" spans="1:33">
      <c r="A255" s="60">
        <v>587</v>
      </c>
      <c r="B255" s="44" t="s">
        <v>926</v>
      </c>
      <c r="C255" s="44" t="s">
        <v>927</v>
      </c>
      <c r="D255" s="44" t="s">
        <v>861</v>
      </c>
      <c r="F255" s="78">
        <v>0</v>
      </c>
      <c r="H255" s="63">
        <f t="shared" si="108"/>
        <v>0</v>
      </c>
      <c r="I255" s="63">
        <f t="shared" si="108"/>
        <v>0</v>
      </c>
      <c r="J255" s="63">
        <f t="shared" si="108"/>
        <v>0</v>
      </c>
      <c r="K255" s="63">
        <f t="shared" si="108"/>
        <v>0</v>
      </c>
      <c r="L255" s="63">
        <f t="shared" si="108"/>
        <v>0</v>
      </c>
      <c r="M255" s="63">
        <f t="shared" si="108"/>
        <v>0</v>
      </c>
      <c r="N255" s="63">
        <f t="shared" si="108"/>
        <v>0</v>
      </c>
      <c r="O255" s="63">
        <f t="shared" si="108"/>
        <v>0</v>
      </c>
      <c r="P255" s="63">
        <f t="shared" si="108"/>
        <v>0</v>
      </c>
      <c r="Q255" s="63">
        <f t="shared" si="108"/>
        <v>0</v>
      </c>
      <c r="R255" s="63">
        <f t="shared" si="109"/>
        <v>0</v>
      </c>
      <c r="S255" s="63">
        <f t="shared" si="109"/>
        <v>0</v>
      </c>
      <c r="T255" s="63">
        <f t="shared" si="109"/>
        <v>0</v>
      </c>
      <c r="U255" s="63">
        <f t="shared" si="109"/>
        <v>0</v>
      </c>
      <c r="V255" s="63">
        <f t="shared" si="109"/>
        <v>0</v>
      </c>
      <c r="W255" s="63">
        <f t="shared" si="109"/>
        <v>0</v>
      </c>
      <c r="X255" s="63">
        <f t="shared" si="109"/>
        <v>0</v>
      </c>
      <c r="Y255" s="63">
        <f t="shared" si="109"/>
        <v>0</v>
      </c>
      <c r="Z255" s="63">
        <f t="shared" si="109"/>
        <v>0</v>
      </c>
      <c r="AA255" s="63">
        <f t="shared" si="109"/>
        <v>0</v>
      </c>
      <c r="AB255" s="63">
        <f t="shared" si="109"/>
        <v>0</v>
      </c>
      <c r="AC255" s="63">
        <f t="shared" si="109"/>
        <v>0</v>
      </c>
      <c r="AD255" s="63">
        <f t="shared" si="109"/>
        <v>0</v>
      </c>
      <c r="AE255" s="63">
        <f t="shared" si="109"/>
        <v>0</v>
      </c>
      <c r="AF255" s="63">
        <f t="shared" si="110"/>
        <v>0</v>
      </c>
      <c r="AG255" s="58" t="str">
        <f t="shared" si="111"/>
        <v>ok</v>
      </c>
    </row>
    <row r="256" spans="1:33">
      <c r="A256" s="60">
        <v>588</v>
      </c>
      <c r="B256" s="44" t="s">
        <v>928</v>
      </c>
      <c r="C256" s="44" t="s">
        <v>929</v>
      </c>
      <c r="D256" s="44" t="s">
        <v>861</v>
      </c>
      <c r="F256" s="78">
        <v>7395817</v>
      </c>
      <c r="H256" s="63">
        <f t="shared" si="108"/>
        <v>0</v>
      </c>
      <c r="I256" s="63">
        <f t="shared" si="108"/>
        <v>0</v>
      </c>
      <c r="J256" s="63">
        <f t="shared" si="108"/>
        <v>0</v>
      </c>
      <c r="K256" s="63">
        <f t="shared" si="108"/>
        <v>0</v>
      </c>
      <c r="L256" s="63">
        <f t="shared" si="108"/>
        <v>0</v>
      </c>
      <c r="M256" s="63">
        <f t="shared" si="108"/>
        <v>0</v>
      </c>
      <c r="N256" s="63">
        <f t="shared" si="108"/>
        <v>0</v>
      </c>
      <c r="O256" s="63">
        <f t="shared" si="108"/>
        <v>0</v>
      </c>
      <c r="P256" s="63">
        <f t="shared" si="108"/>
        <v>0</v>
      </c>
      <c r="Q256" s="63">
        <f t="shared" si="108"/>
        <v>0</v>
      </c>
      <c r="R256" s="63">
        <f t="shared" si="109"/>
        <v>922270.9075843629</v>
      </c>
      <c r="S256" s="63">
        <f t="shared" si="109"/>
        <v>0</v>
      </c>
      <c r="T256" s="63">
        <f t="shared" si="109"/>
        <v>1415850.633569998</v>
      </c>
      <c r="U256" s="63">
        <f t="shared" si="109"/>
        <v>2316938.797932785</v>
      </c>
      <c r="V256" s="63">
        <f t="shared" si="109"/>
        <v>395035.24698476511</v>
      </c>
      <c r="W256" s="63">
        <f t="shared" si="109"/>
        <v>675018.54381083243</v>
      </c>
      <c r="X256" s="63">
        <f t="shared" si="109"/>
        <v>483940.42690820392</v>
      </c>
      <c r="Y256" s="63">
        <f t="shared" si="109"/>
        <v>269752.22001022863</v>
      </c>
      <c r="Z256" s="63">
        <f t="shared" si="109"/>
        <v>172471.73895847585</v>
      </c>
      <c r="AA256" s="63">
        <f t="shared" si="109"/>
        <v>175891.4181246676</v>
      </c>
      <c r="AB256" s="63">
        <f t="shared" si="109"/>
        <v>568647.06611568155</v>
      </c>
      <c r="AC256" s="63">
        <f t="shared" si="109"/>
        <v>0</v>
      </c>
      <c r="AD256" s="63">
        <f t="shared" si="109"/>
        <v>0</v>
      </c>
      <c r="AE256" s="63">
        <f t="shared" si="109"/>
        <v>0</v>
      </c>
      <c r="AF256" s="63">
        <f t="shared" si="110"/>
        <v>7395817</v>
      </c>
      <c r="AG256" s="58" t="str">
        <f t="shared" si="111"/>
        <v>ok</v>
      </c>
    </row>
    <row r="257" spans="1:33">
      <c r="A257" s="60">
        <v>588</v>
      </c>
      <c r="B257" s="44" t="s">
        <v>171</v>
      </c>
      <c r="C257" s="44" t="s">
        <v>117</v>
      </c>
      <c r="D257" s="44" t="s">
        <v>861</v>
      </c>
      <c r="F257" s="78">
        <v>0</v>
      </c>
      <c r="H257" s="63">
        <f t="shared" si="108"/>
        <v>0</v>
      </c>
      <c r="I257" s="63">
        <f t="shared" si="108"/>
        <v>0</v>
      </c>
      <c r="J257" s="63">
        <f t="shared" si="108"/>
        <v>0</v>
      </c>
      <c r="K257" s="63">
        <f t="shared" si="108"/>
        <v>0</v>
      </c>
      <c r="L257" s="63">
        <f t="shared" si="108"/>
        <v>0</v>
      </c>
      <c r="M257" s="63">
        <f t="shared" si="108"/>
        <v>0</v>
      </c>
      <c r="N257" s="63">
        <f t="shared" si="108"/>
        <v>0</v>
      </c>
      <c r="O257" s="63">
        <f t="shared" si="108"/>
        <v>0</v>
      </c>
      <c r="P257" s="63">
        <f t="shared" si="108"/>
        <v>0</v>
      </c>
      <c r="Q257" s="63">
        <f t="shared" si="108"/>
        <v>0</v>
      </c>
      <c r="R257" s="63">
        <f t="shared" si="109"/>
        <v>0</v>
      </c>
      <c r="S257" s="63">
        <f t="shared" si="109"/>
        <v>0</v>
      </c>
      <c r="T257" s="63">
        <f t="shared" si="109"/>
        <v>0</v>
      </c>
      <c r="U257" s="63">
        <f t="shared" si="109"/>
        <v>0</v>
      </c>
      <c r="V257" s="63">
        <f t="shared" si="109"/>
        <v>0</v>
      </c>
      <c r="W257" s="63">
        <f t="shared" si="109"/>
        <v>0</v>
      </c>
      <c r="X257" s="63">
        <f t="shared" si="109"/>
        <v>0</v>
      </c>
      <c r="Y257" s="63">
        <f t="shared" si="109"/>
        <v>0</v>
      </c>
      <c r="Z257" s="63">
        <f t="shared" si="109"/>
        <v>0</v>
      </c>
      <c r="AA257" s="63">
        <f t="shared" si="109"/>
        <v>0</v>
      </c>
      <c r="AB257" s="63">
        <f t="shared" si="109"/>
        <v>0</v>
      </c>
      <c r="AC257" s="63">
        <f t="shared" si="109"/>
        <v>0</v>
      </c>
      <c r="AD257" s="63">
        <f t="shared" si="109"/>
        <v>0</v>
      </c>
      <c r="AE257" s="63">
        <f t="shared" si="109"/>
        <v>0</v>
      </c>
      <c r="AF257" s="63">
        <f t="shared" si="110"/>
        <v>0</v>
      </c>
      <c r="AG257" s="58" t="str">
        <f t="shared" si="111"/>
        <v>ok</v>
      </c>
    </row>
    <row r="258" spans="1:33">
      <c r="A258" s="60">
        <v>589</v>
      </c>
      <c r="B258" s="44" t="s">
        <v>930</v>
      </c>
      <c r="C258" s="44" t="s">
        <v>931</v>
      </c>
      <c r="D258" s="44" t="s">
        <v>861</v>
      </c>
      <c r="F258" s="78">
        <v>35725</v>
      </c>
      <c r="H258" s="63">
        <f t="shared" si="108"/>
        <v>0</v>
      </c>
      <c r="I258" s="63">
        <f t="shared" si="108"/>
        <v>0</v>
      </c>
      <c r="J258" s="63">
        <f t="shared" si="108"/>
        <v>0</v>
      </c>
      <c r="K258" s="63">
        <f t="shared" si="108"/>
        <v>0</v>
      </c>
      <c r="L258" s="63">
        <f t="shared" si="108"/>
        <v>0</v>
      </c>
      <c r="M258" s="63">
        <f t="shared" si="108"/>
        <v>0</v>
      </c>
      <c r="N258" s="63">
        <f t="shared" si="108"/>
        <v>0</v>
      </c>
      <c r="O258" s="63">
        <f t="shared" si="108"/>
        <v>0</v>
      </c>
      <c r="P258" s="63">
        <f t="shared" si="108"/>
        <v>0</v>
      </c>
      <c r="Q258" s="63">
        <f t="shared" si="108"/>
        <v>0</v>
      </c>
      <c r="R258" s="63">
        <f t="shared" si="109"/>
        <v>4454.9680141425033</v>
      </c>
      <c r="S258" s="63">
        <f t="shared" si="109"/>
        <v>0</v>
      </c>
      <c r="T258" s="63">
        <f t="shared" si="109"/>
        <v>6839.1719108636917</v>
      </c>
      <c r="U258" s="63">
        <f t="shared" si="109"/>
        <v>11191.818098818392</v>
      </c>
      <c r="V258" s="63">
        <f t="shared" si="109"/>
        <v>1908.1913733845408</v>
      </c>
      <c r="W258" s="63">
        <f t="shared" si="109"/>
        <v>3260.6319866543467</v>
      </c>
      <c r="X258" s="63">
        <f t="shared" si="109"/>
        <v>2337.6419064040638</v>
      </c>
      <c r="Y258" s="63">
        <f t="shared" si="109"/>
        <v>1303.0200801162898</v>
      </c>
      <c r="Z258" s="63">
        <f t="shared" si="109"/>
        <v>833.11321444156204</v>
      </c>
      <c r="AA258" s="63">
        <f t="shared" si="109"/>
        <v>849.6317462294902</v>
      </c>
      <c r="AB258" s="63">
        <f t="shared" si="109"/>
        <v>2746.8116689451244</v>
      </c>
      <c r="AC258" s="63">
        <f t="shared" si="109"/>
        <v>0</v>
      </c>
      <c r="AD258" s="63">
        <f t="shared" si="109"/>
        <v>0</v>
      </c>
      <c r="AE258" s="63">
        <f t="shared" si="109"/>
        <v>0</v>
      </c>
      <c r="AF258" s="63">
        <f t="shared" si="110"/>
        <v>35725.000000000007</v>
      </c>
      <c r="AG258" s="58" t="str">
        <f t="shared" si="111"/>
        <v>ok</v>
      </c>
    </row>
    <row r="259" spans="1:33">
      <c r="A259" s="60"/>
      <c r="F259" s="78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G259" s="58"/>
    </row>
    <row r="260" spans="1:33">
      <c r="A260" s="60" t="s">
        <v>932</v>
      </c>
      <c r="C260" s="44" t="s">
        <v>933</v>
      </c>
      <c r="F260" s="75">
        <f t="shared" ref="F260:M260" si="112">SUM(F247:F259)</f>
        <v>31923069.999999981</v>
      </c>
      <c r="G260" s="62">
        <f t="shared" si="112"/>
        <v>0</v>
      </c>
      <c r="H260" s="62">
        <f t="shared" si="112"/>
        <v>0</v>
      </c>
      <c r="I260" s="62">
        <f t="shared" si="112"/>
        <v>0</v>
      </c>
      <c r="J260" s="62">
        <f t="shared" si="112"/>
        <v>0</v>
      </c>
      <c r="K260" s="62">
        <f t="shared" si="112"/>
        <v>0</v>
      </c>
      <c r="L260" s="62">
        <f t="shared" si="112"/>
        <v>0</v>
      </c>
      <c r="M260" s="62">
        <f t="shared" si="112"/>
        <v>0</v>
      </c>
      <c r="N260" s="62">
        <f>SUM(N247:N259)</f>
        <v>0</v>
      </c>
      <c r="O260" s="62">
        <f>SUM(O247:O259)</f>
        <v>0</v>
      </c>
      <c r="P260" s="62">
        <f>SUM(P247:P259)</f>
        <v>0</v>
      </c>
      <c r="Q260" s="62">
        <f t="shared" ref="Q260:AB260" si="113">SUM(Q247:Q259)</f>
        <v>0</v>
      </c>
      <c r="R260" s="62">
        <f t="shared" si="113"/>
        <v>3339865.6709619332</v>
      </c>
      <c r="S260" s="62">
        <f t="shared" si="113"/>
        <v>0</v>
      </c>
      <c r="T260" s="62">
        <f t="shared" si="113"/>
        <v>5409474.4164154464</v>
      </c>
      <c r="U260" s="62">
        <f t="shared" si="113"/>
        <v>8751359.1129529215</v>
      </c>
      <c r="V260" s="62">
        <f t="shared" si="113"/>
        <v>1409543.4836405448</v>
      </c>
      <c r="W260" s="62">
        <f t="shared" si="113"/>
        <v>2388094.1511344705</v>
      </c>
      <c r="X260" s="62">
        <f t="shared" si="113"/>
        <v>514874.98279479914</v>
      </c>
      <c r="Y260" s="62">
        <f t="shared" si="113"/>
        <v>286995.38603120338</v>
      </c>
      <c r="Z260" s="62">
        <f t="shared" si="113"/>
        <v>183496.5187681636</v>
      </c>
      <c r="AA260" s="62">
        <f t="shared" si="113"/>
        <v>9034370.0172171034</v>
      </c>
      <c r="AB260" s="62">
        <f t="shared" si="113"/>
        <v>604996.26008339424</v>
      </c>
      <c r="AC260" s="62">
        <f>SUM(AC247:AC259)</f>
        <v>0</v>
      </c>
      <c r="AD260" s="62">
        <f>SUM(AD247:AD259)</f>
        <v>0</v>
      </c>
      <c r="AE260" s="62">
        <f>SUM(AE247:AE259)</f>
        <v>0</v>
      </c>
      <c r="AF260" s="63">
        <f>SUM(H260:AE260)</f>
        <v>31923069.999999981</v>
      </c>
      <c r="AG260" s="58" t="str">
        <f>IF(ABS(AF260-F260)&lt;1,"ok","err")</f>
        <v>ok</v>
      </c>
    </row>
    <row r="261" spans="1:33">
      <c r="A261" s="60"/>
      <c r="F261" s="75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3"/>
      <c r="AG261" s="58"/>
    </row>
    <row r="262" spans="1:33">
      <c r="A262" s="60"/>
      <c r="F262" s="78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G262" s="58"/>
    </row>
    <row r="263" spans="1:33" ht="15">
      <c r="A263" s="65" t="s">
        <v>934</v>
      </c>
      <c r="F263" s="78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G263" s="58"/>
    </row>
    <row r="264" spans="1:33">
      <c r="A264" s="60">
        <v>590</v>
      </c>
      <c r="B264" s="60" t="s">
        <v>935</v>
      </c>
      <c r="C264" s="44" t="s">
        <v>936</v>
      </c>
      <c r="D264" s="44" t="s">
        <v>72</v>
      </c>
      <c r="F264" s="75">
        <v>47090</v>
      </c>
      <c r="H264" s="63">
        <f t="shared" ref="H264:Q272" si="114">IF(VLOOKUP($D264,$C$6:$AE$653,H$2,)=0,0,((VLOOKUP($D264,$C$6:$AE$653,H$2,)/VLOOKUP($D264,$C$6:$AE$653,4,))*$F264))</f>
        <v>0</v>
      </c>
      <c r="I264" s="63">
        <f t="shared" si="114"/>
        <v>0</v>
      </c>
      <c r="J264" s="63">
        <f t="shared" si="114"/>
        <v>0</v>
      </c>
      <c r="K264" s="63">
        <f t="shared" si="114"/>
        <v>0</v>
      </c>
      <c r="L264" s="63">
        <f t="shared" si="114"/>
        <v>0</v>
      </c>
      <c r="M264" s="63">
        <f t="shared" si="114"/>
        <v>0</v>
      </c>
      <c r="N264" s="63">
        <f t="shared" si="114"/>
        <v>0</v>
      </c>
      <c r="O264" s="63">
        <f t="shared" si="114"/>
        <v>0</v>
      </c>
      <c r="P264" s="63">
        <f t="shared" si="114"/>
        <v>0</v>
      </c>
      <c r="Q264" s="63">
        <f t="shared" si="114"/>
        <v>0</v>
      </c>
      <c r="R264" s="63">
        <f t="shared" ref="R264:AE272" si="115">IF(VLOOKUP($D264,$C$6:$AE$653,R$2,)=0,0,((VLOOKUP($D264,$C$6:$AE$653,R$2,)/VLOOKUP($D264,$C$6:$AE$653,4,))*$F264))</f>
        <v>6497.5184993039165</v>
      </c>
      <c r="S264" s="63">
        <f t="shared" si="115"/>
        <v>0</v>
      </c>
      <c r="T264" s="63">
        <f t="shared" si="115"/>
        <v>11032.081939717484</v>
      </c>
      <c r="U264" s="63">
        <f t="shared" si="115"/>
        <v>18518.660586996375</v>
      </c>
      <c r="V264" s="63">
        <f t="shared" si="115"/>
        <v>3538.3657082550412</v>
      </c>
      <c r="W264" s="63">
        <f t="shared" si="115"/>
        <v>6140.6670744758485</v>
      </c>
      <c r="X264" s="63">
        <f t="shared" si="115"/>
        <v>808.45294089537072</v>
      </c>
      <c r="Y264" s="63">
        <f t="shared" si="115"/>
        <v>450.63806091507035</v>
      </c>
      <c r="Z264" s="63">
        <f t="shared" si="115"/>
        <v>0</v>
      </c>
      <c r="AA264" s="63">
        <f t="shared" si="115"/>
        <v>0</v>
      </c>
      <c r="AB264" s="63">
        <f t="shared" si="115"/>
        <v>103.61518944089887</v>
      </c>
      <c r="AC264" s="63">
        <f t="shared" si="115"/>
        <v>0</v>
      </c>
      <c r="AD264" s="63">
        <f t="shared" si="115"/>
        <v>0</v>
      </c>
      <c r="AE264" s="63">
        <f t="shared" si="115"/>
        <v>0</v>
      </c>
      <c r="AF264" s="63">
        <f t="shared" ref="AF264:AF272" si="116">SUM(H264:AE264)</f>
        <v>47090.000000000007</v>
      </c>
      <c r="AG264" s="58" t="str">
        <f>IF(ABS(AF264-F264)&lt;1,"ok","err")</f>
        <v>ok</v>
      </c>
    </row>
    <row r="265" spans="1:33">
      <c r="A265" s="60">
        <v>591</v>
      </c>
      <c r="B265" s="60" t="s">
        <v>256</v>
      </c>
      <c r="C265" s="44" t="s">
        <v>262</v>
      </c>
      <c r="D265" s="44" t="s">
        <v>865</v>
      </c>
      <c r="F265" s="78">
        <v>0</v>
      </c>
      <c r="H265" s="63">
        <f t="shared" si="114"/>
        <v>0</v>
      </c>
      <c r="I265" s="63">
        <f t="shared" si="114"/>
        <v>0</v>
      </c>
      <c r="J265" s="63">
        <f t="shared" si="114"/>
        <v>0</v>
      </c>
      <c r="K265" s="63">
        <f t="shared" si="114"/>
        <v>0</v>
      </c>
      <c r="L265" s="63">
        <f t="shared" si="114"/>
        <v>0</v>
      </c>
      <c r="M265" s="63">
        <f t="shared" si="114"/>
        <v>0</v>
      </c>
      <c r="N265" s="63">
        <f t="shared" si="114"/>
        <v>0</v>
      </c>
      <c r="O265" s="63">
        <f t="shared" si="114"/>
        <v>0</v>
      </c>
      <c r="P265" s="63">
        <f t="shared" si="114"/>
        <v>0</v>
      </c>
      <c r="Q265" s="63">
        <f t="shared" si="114"/>
        <v>0</v>
      </c>
      <c r="R265" s="63">
        <f t="shared" si="115"/>
        <v>0</v>
      </c>
      <c r="S265" s="63">
        <f t="shared" si="115"/>
        <v>0</v>
      </c>
      <c r="T265" s="63">
        <f t="shared" si="115"/>
        <v>0</v>
      </c>
      <c r="U265" s="63">
        <f t="shared" si="115"/>
        <v>0</v>
      </c>
      <c r="V265" s="63">
        <f t="shared" si="115"/>
        <v>0</v>
      </c>
      <c r="W265" s="63">
        <f t="shared" si="115"/>
        <v>0</v>
      </c>
      <c r="X265" s="63">
        <f t="shared" si="115"/>
        <v>0</v>
      </c>
      <c r="Y265" s="63">
        <f t="shared" si="115"/>
        <v>0</v>
      </c>
      <c r="Z265" s="63">
        <f t="shared" si="115"/>
        <v>0</v>
      </c>
      <c r="AA265" s="63">
        <f t="shared" si="115"/>
        <v>0</v>
      </c>
      <c r="AB265" s="63">
        <f t="shared" si="115"/>
        <v>0</v>
      </c>
      <c r="AC265" s="63">
        <f t="shared" si="115"/>
        <v>0</v>
      </c>
      <c r="AD265" s="63">
        <f t="shared" si="115"/>
        <v>0</v>
      </c>
      <c r="AE265" s="63">
        <f t="shared" si="115"/>
        <v>0</v>
      </c>
      <c r="AF265" s="63"/>
      <c r="AG265" s="58"/>
    </row>
    <row r="266" spans="1:33">
      <c r="A266" s="60">
        <v>592</v>
      </c>
      <c r="B266" s="60" t="s">
        <v>937</v>
      </c>
      <c r="C266" s="44" t="s">
        <v>938</v>
      </c>
      <c r="D266" s="44" t="s">
        <v>865</v>
      </c>
      <c r="F266" s="78">
        <v>1865977</v>
      </c>
      <c r="H266" s="63">
        <f t="shared" si="114"/>
        <v>0</v>
      </c>
      <c r="I266" s="63">
        <f t="shared" si="114"/>
        <v>0</v>
      </c>
      <c r="J266" s="63">
        <f t="shared" si="114"/>
        <v>0</v>
      </c>
      <c r="K266" s="63">
        <f t="shared" si="114"/>
        <v>0</v>
      </c>
      <c r="L266" s="63">
        <f t="shared" si="114"/>
        <v>0</v>
      </c>
      <c r="M266" s="63">
        <f t="shared" si="114"/>
        <v>0</v>
      </c>
      <c r="N266" s="63">
        <f t="shared" si="114"/>
        <v>0</v>
      </c>
      <c r="O266" s="63">
        <f t="shared" si="114"/>
        <v>0</v>
      </c>
      <c r="P266" s="63">
        <f t="shared" si="114"/>
        <v>0</v>
      </c>
      <c r="Q266" s="63">
        <f t="shared" si="114"/>
        <v>0</v>
      </c>
      <c r="R266" s="63">
        <f t="shared" si="115"/>
        <v>1865977</v>
      </c>
      <c r="S266" s="63">
        <f t="shared" si="115"/>
        <v>0</v>
      </c>
      <c r="T266" s="63">
        <f t="shared" si="115"/>
        <v>0</v>
      </c>
      <c r="U266" s="63">
        <f t="shared" si="115"/>
        <v>0</v>
      </c>
      <c r="V266" s="63">
        <f t="shared" si="115"/>
        <v>0</v>
      </c>
      <c r="W266" s="63">
        <f t="shared" si="115"/>
        <v>0</v>
      </c>
      <c r="X266" s="63">
        <f t="shared" si="115"/>
        <v>0</v>
      </c>
      <c r="Y266" s="63">
        <f t="shared" si="115"/>
        <v>0</v>
      </c>
      <c r="Z266" s="63">
        <f t="shared" si="115"/>
        <v>0</v>
      </c>
      <c r="AA266" s="63">
        <f t="shared" si="115"/>
        <v>0</v>
      </c>
      <c r="AB266" s="63">
        <f t="shared" si="115"/>
        <v>0</v>
      </c>
      <c r="AC266" s="63">
        <f t="shared" si="115"/>
        <v>0</v>
      </c>
      <c r="AD266" s="63">
        <f t="shared" si="115"/>
        <v>0</v>
      </c>
      <c r="AE266" s="63">
        <f t="shared" si="115"/>
        <v>0</v>
      </c>
      <c r="AF266" s="63">
        <f t="shared" si="116"/>
        <v>1865977</v>
      </c>
      <c r="AG266" s="58" t="str">
        <f t="shared" ref="AG266:AG272" si="117">IF(ABS(AF266-F266)&lt;1,"ok","err")</f>
        <v>ok</v>
      </c>
    </row>
    <row r="267" spans="1:33">
      <c r="A267" s="60">
        <v>593</v>
      </c>
      <c r="B267" s="60" t="s">
        <v>939</v>
      </c>
      <c r="C267" s="44" t="s">
        <v>940</v>
      </c>
      <c r="D267" s="44" t="s">
        <v>868</v>
      </c>
      <c r="F267" s="78">
        <v>15769154</v>
      </c>
      <c r="H267" s="63">
        <f t="shared" si="114"/>
        <v>0</v>
      </c>
      <c r="I267" s="63">
        <f t="shared" si="114"/>
        <v>0</v>
      </c>
      <c r="J267" s="63">
        <f t="shared" si="114"/>
        <v>0</v>
      </c>
      <c r="K267" s="63">
        <f t="shared" si="114"/>
        <v>0</v>
      </c>
      <c r="L267" s="63">
        <f t="shared" si="114"/>
        <v>0</v>
      </c>
      <c r="M267" s="63">
        <f t="shared" si="114"/>
        <v>0</v>
      </c>
      <c r="N267" s="63">
        <f t="shared" si="114"/>
        <v>0</v>
      </c>
      <c r="O267" s="63">
        <f t="shared" si="114"/>
        <v>0</v>
      </c>
      <c r="P267" s="63">
        <f t="shared" si="114"/>
        <v>0</v>
      </c>
      <c r="Q267" s="63">
        <f t="shared" si="114"/>
        <v>0</v>
      </c>
      <c r="R267" s="63">
        <f t="shared" si="115"/>
        <v>0</v>
      </c>
      <c r="S267" s="63">
        <f t="shared" si="115"/>
        <v>0</v>
      </c>
      <c r="T267" s="63">
        <f t="shared" si="115"/>
        <v>4004458.7050280799</v>
      </c>
      <c r="U267" s="63">
        <f t="shared" si="115"/>
        <v>7115948.6957719205</v>
      </c>
      <c r="V267" s="63">
        <f t="shared" si="115"/>
        <v>1674013.6503719201</v>
      </c>
      <c r="W267" s="63">
        <f t="shared" si="115"/>
        <v>2974732.9488280802</v>
      </c>
      <c r="X267" s="63">
        <f t="shared" si="115"/>
        <v>0</v>
      </c>
      <c r="Y267" s="63">
        <f t="shared" si="115"/>
        <v>0</v>
      </c>
      <c r="Z267" s="63">
        <f t="shared" si="115"/>
        <v>0</v>
      </c>
      <c r="AA267" s="63">
        <f t="shared" si="115"/>
        <v>0</v>
      </c>
      <c r="AB267" s="63">
        <f t="shared" si="115"/>
        <v>0</v>
      </c>
      <c r="AC267" s="63">
        <f t="shared" si="115"/>
        <v>0</v>
      </c>
      <c r="AD267" s="63">
        <f t="shared" si="115"/>
        <v>0</v>
      </c>
      <c r="AE267" s="63">
        <f t="shared" si="115"/>
        <v>0</v>
      </c>
      <c r="AF267" s="63">
        <f t="shared" si="116"/>
        <v>15769154.000000002</v>
      </c>
      <c r="AG267" s="58" t="str">
        <f t="shared" si="117"/>
        <v>ok</v>
      </c>
    </row>
    <row r="268" spans="1:33">
      <c r="A268" s="60">
        <v>594</v>
      </c>
      <c r="B268" s="60" t="s">
        <v>941</v>
      </c>
      <c r="C268" s="44" t="s">
        <v>942</v>
      </c>
      <c r="D268" s="44" t="s">
        <v>871</v>
      </c>
      <c r="F268" s="78">
        <v>1854312.99999999</v>
      </c>
      <c r="H268" s="63">
        <f t="shared" si="114"/>
        <v>0</v>
      </c>
      <c r="I268" s="63">
        <f t="shared" si="114"/>
        <v>0</v>
      </c>
      <c r="J268" s="63">
        <f t="shared" si="114"/>
        <v>0</v>
      </c>
      <c r="K268" s="63">
        <f t="shared" si="114"/>
        <v>0</v>
      </c>
      <c r="L268" s="63">
        <f t="shared" si="114"/>
        <v>0</v>
      </c>
      <c r="M268" s="63">
        <f t="shared" si="114"/>
        <v>0</v>
      </c>
      <c r="N268" s="63">
        <f t="shared" si="114"/>
        <v>0</v>
      </c>
      <c r="O268" s="63">
        <f t="shared" si="114"/>
        <v>0</v>
      </c>
      <c r="P268" s="63">
        <f t="shared" si="114"/>
        <v>0</v>
      </c>
      <c r="Q268" s="63">
        <f t="shared" si="114"/>
        <v>0</v>
      </c>
      <c r="R268" s="63">
        <f t="shared" si="115"/>
        <v>0</v>
      </c>
      <c r="S268" s="63">
        <f t="shared" si="115"/>
        <v>0</v>
      </c>
      <c r="T268" s="63">
        <f t="shared" si="115"/>
        <v>655523.71448273642</v>
      </c>
      <c r="U268" s="63">
        <f t="shared" si="115"/>
        <v>977569.74461725482</v>
      </c>
      <c r="V268" s="63">
        <f t="shared" si="115"/>
        <v>88797.523717259508</v>
      </c>
      <c r="W268" s="63">
        <f t="shared" si="115"/>
        <v>132422.01718273925</v>
      </c>
      <c r="X268" s="63">
        <f t="shared" si="115"/>
        <v>0</v>
      </c>
      <c r="Y268" s="63">
        <f t="shared" si="115"/>
        <v>0</v>
      </c>
      <c r="Z268" s="63">
        <f t="shared" si="115"/>
        <v>0</v>
      </c>
      <c r="AA268" s="63">
        <f t="shared" si="115"/>
        <v>0</v>
      </c>
      <c r="AB268" s="63">
        <f t="shared" si="115"/>
        <v>0</v>
      </c>
      <c r="AC268" s="63">
        <f t="shared" si="115"/>
        <v>0</v>
      </c>
      <c r="AD268" s="63">
        <f t="shared" si="115"/>
        <v>0</v>
      </c>
      <c r="AE268" s="63">
        <f t="shared" si="115"/>
        <v>0</v>
      </c>
      <c r="AF268" s="63">
        <f t="shared" si="116"/>
        <v>1854312.99999999</v>
      </c>
      <c r="AG268" s="58" t="str">
        <f t="shared" si="117"/>
        <v>ok</v>
      </c>
    </row>
    <row r="269" spans="1:33">
      <c r="A269" s="60">
        <v>595</v>
      </c>
      <c r="B269" s="60" t="s">
        <v>943</v>
      </c>
      <c r="C269" s="44" t="s">
        <v>944</v>
      </c>
      <c r="D269" s="44" t="s">
        <v>872</v>
      </c>
      <c r="F269" s="78">
        <v>185534.99999999901</v>
      </c>
      <c r="H269" s="63">
        <f t="shared" si="114"/>
        <v>0</v>
      </c>
      <c r="I269" s="63">
        <f t="shared" si="114"/>
        <v>0</v>
      </c>
      <c r="J269" s="63">
        <f t="shared" si="114"/>
        <v>0</v>
      </c>
      <c r="K269" s="63">
        <f t="shared" si="114"/>
        <v>0</v>
      </c>
      <c r="L269" s="63">
        <f t="shared" si="114"/>
        <v>0</v>
      </c>
      <c r="M269" s="63">
        <f t="shared" si="114"/>
        <v>0</v>
      </c>
      <c r="N269" s="63">
        <f t="shared" si="114"/>
        <v>0</v>
      </c>
      <c r="O269" s="63">
        <f t="shared" si="114"/>
        <v>0</v>
      </c>
      <c r="P269" s="63">
        <f t="shared" si="114"/>
        <v>0</v>
      </c>
      <c r="Q269" s="63">
        <f t="shared" si="114"/>
        <v>0</v>
      </c>
      <c r="R269" s="63">
        <f t="shared" si="115"/>
        <v>0</v>
      </c>
      <c r="S269" s="63">
        <f t="shared" si="115"/>
        <v>0</v>
      </c>
      <c r="T269" s="63">
        <f t="shared" si="115"/>
        <v>0</v>
      </c>
      <c r="U269" s="63">
        <f t="shared" si="115"/>
        <v>0</v>
      </c>
      <c r="V269" s="63">
        <f t="shared" si="115"/>
        <v>0</v>
      </c>
      <c r="W269" s="63">
        <f t="shared" si="115"/>
        <v>0</v>
      </c>
      <c r="X269" s="63">
        <f t="shared" si="115"/>
        <v>119130.63962282536</v>
      </c>
      <c r="Y269" s="63">
        <f t="shared" si="115"/>
        <v>66404.360377173653</v>
      </c>
      <c r="Z269" s="63">
        <f t="shared" si="115"/>
        <v>0</v>
      </c>
      <c r="AA269" s="63">
        <f t="shared" si="115"/>
        <v>0</v>
      </c>
      <c r="AB269" s="63">
        <f t="shared" si="115"/>
        <v>0</v>
      </c>
      <c r="AC269" s="63">
        <f t="shared" si="115"/>
        <v>0</v>
      </c>
      <c r="AD269" s="63">
        <f t="shared" si="115"/>
        <v>0</v>
      </c>
      <c r="AE269" s="63">
        <f t="shared" si="115"/>
        <v>0</v>
      </c>
      <c r="AF269" s="63">
        <f t="shared" si="116"/>
        <v>185534.99999999901</v>
      </c>
      <c r="AG269" s="58" t="str">
        <f t="shared" si="117"/>
        <v>ok</v>
      </c>
    </row>
    <row r="270" spans="1:33">
      <c r="A270" s="60">
        <v>596</v>
      </c>
      <c r="B270" s="60" t="s">
        <v>1078</v>
      </c>
      <c r="C270" s="44" t="s">
        <v>1079</v>
      </c>
      <c r="D270" s="44" t="s">
        <v>879</v>
      </c>
      <c r="F270" s="78">
        <v>568134</v>
      </c>
      <c r="H270" s="63">
        <f t="shared" si="114"/>
        <v>0</v>
      </c>
      <c r="I270" s="63">
        <f t="shared" si="114"/>
        <v>0</v>
      </c>
      <c r="J270" s="63">
        <f t="shared" si="114"/>
        <v>0</v>
      </c>
      <c r="K270" s="63">
        <f t="shared" si="114"/>
        <v>0</v>
      </c>
      <c r="L270" s="63">
        <f t="shared" si="114"/>
        <v>0</v>
      </c>
      <c r="M270" s="63">
        <f t="shared" si="114"/>
        <v>0</v>
      </c>
      <c r="N270" s="63">
        <f t="shared" si="114"/>
        <v>0</v>
      </c>
      <c r="O270" s="63">
        <f t="shared" si="114"/>
        <v>0</v>
      </c>
      <c r="P270" s="63">
        <f t="shared" si="114"/>
        <v>0</v>
      </c>
      <c r="Q270" s="63">
        <f t="shared" si="114"/>
        <v>0</v>
      </c>
      <c r="R270" s="63">
        <f t="shared" si="115"/>
        <v>0</v>
      </c>
      <c r="S270" s="63">
        <f t="shared" si="115"/>
        <v>0</v>
      </c>
      <c r="T270" s="63">
        <f t="shared" si="115"/>
        <v>0</v>
      </c>
      <c r="U270" s="63">
        <f t="shared" si="115"/>
        <v>0</v>
      </c>
      <c r="V270" s="63">
        <f t="shared" si="115"/>
        <v>0</v>
      </c>
      <c r="W270" s="63">
        <f t="shared" si="115"/>
        <v>0</v>
      </c>
      <c r="X270" s="63">
        <f t="shared" si="115"/>
        <v>0</v>
      </c>
      <c r="Y270" s="63">
        <f t="shared" si="115"/>
        <v>0</v>
      </c>
      <c r="Z270" s="63">
        <f t="shared" si="115"/>
        <v>0</v>
      </c>
      <c r="AA270" s="63">
        <f t="shared" si="115"/>
        <v>0</v>
      </c>
      <c r="AB270" s="63">
        <f t="shared" si="115"/>
        <v>568134</v>
      </c>
      <c r="AC270" s="63">
        <f t="shared" si="115"/>
        <v>0</v>
      </c>
      <c r="AD270" s="63">
        <f t="shared" si="115"/>
        <v>0</v>
      </c>
      <c r="AE270" s="63">
        <f t="shared" si="115"/>
        <v>0</v>
      </c>
      <c r="AF270" s="63">
        <f t="shared" si="116"/>
        <v>568134</v>
      </c>
      <c r="AG270" s="58" t="str">
        <f t="shared" si="117"/>
        <v>ok</v>
      </c>
    </row>
    <row r="271" spans="1:33">
      <c r="A271" s="60">
        <v>597</v>
      </c>
      <c r="B271" s="60" t="s">
        <v>945</v>
      </c>
      <c r="C271" s="44" t="s">
        <v>946</v>
      </c>
      <c r="D271" s="44" t="s">
        <v>876</v>
      </c>
      <c r="F271" s="78">
        <v>0</v>
      </c>
      <c r="H271" s="63">
        <f t="shared" si="114"/>
        <v>0</v>
      </c>
      <c r="I271" s="63">
        <f t="shared" si="114"/>
        <v>0</v>
      </c>
      <c r="J271" s="63">
        <f t="shared" si="114"/>
        <v>0</v>
      </c>
      <c r="K271" s="63">
        <f t="shared" si="114"/>
        <v>0</v>
      </c>
      <c r="L271" s="63">
        <f t="shared" si="114"/>
        <v>0</v>
      </c>
      <c r="M271" s="63">
        <f t="shared" si="114"/>
        <v>0</v>
      </c>
      <c r="N271" s="63">
        <f t="shared" si="114"/>
        <v>0</v>
      </c>
      <c r="O271" s="63">
        <f t="shared" si="114"/>
        <v>0</v>
      </c>
      <c r="P271" s="63">
        <f t="shared" si="114"/>
        <v>0</v>
      </c>
      <c r="Q271" s="63">
        <f t="shared" si="114"/>
        <v>0</v>
      </c>
      <c r="R271" s="63">
        <f t="shared" si="115"/>
        <v>0</v>
      </c>
      <c r="S271" s="63">
        <f t="shared" si="115"/>
        <v>0</v>
      </c>
      <c r="T271" s="63">
        <f t="shared" si="115"/>
        <v>0</v>
      </c>
      <c r="U271" s="63">
        <f t="shared" si="115"/>
        <v>0</v>
      </c>
      <c r="V271" s="63">
        <f t="shared" si="115"/>
        <v>0</v>
      </c>
      <c r="W271" s="63">
        <f t="shared" si="115"/>
        <v>0</v>
      </c>
      <c r="X271" s="63">
        <f t="shared" si="115"/>
        <v>0</v>
      </c>
      <c r="Y271" s="63">
        <f t="shared" si="115"/>
        <v>0</v>
      </c>
      <c r="Z271" s="63">
        <f t="shared" si="115"/>
        <v>0</v>
      </c>
      <c r="AA271" s="63">
        <f t="shared" si="115"/>
        <v>0</v>
      </c>
      <c r="AB271" s="63">
        <f t="shared" si="115"/>
        <v>0</v>
      </c>
      <c r="AC271" s="63">
        <f t="shared" si="115"/>
        <v>0</v>
      </c>
      <c r="AD271" s="63">
        <f t="shared" si="115"/>
        <v>0</v>
      </c>
      <c r="AE271" s="63">
        <f t="shared" si="115"/>
        <v>0</v>
      </c>
      <c r="AF271" s="63">
        <f t="shared" si="116"/>
        <v>0</v>
      </c>
      <c r="AG271" s="58" t="str">
        <f t="shared" si="117"/>
        <v>ok</v>
      </c>
    </row>
    <row r="272" spans="1:33">
      <c r="A272" s="60">
        <v>598</v>
      </c>
      <c r="B272" s="60" t="s">
        <v>263</v>
      </c>
      <c r="C272" s="44" t="s">
        <v>264</v>
      </c>
      <c r="D272" s="44" t="s">
        <v>861</v>
      </c>
      <c r="F272" s="78">
        <v>870332</v>
      </c>
      <c r="H272" s="63">
        <f t="shared" si="114"/>
        <v>0</v>
      </c>
      <c r="I272" s="63">
        <f t="shared" si="114"/>
        <v>0</v>
      </c>
      <c r="J272" s="63">
        <f t="shared" si="114"/>
        <v>0</v>
      </c>
      <c r="K272" s="63">
        <f t="shared" si="114"/>
        <v>0</v>
      </c>
      <c r="L272" s="63">
        <f t="shared" si="114"/>
        <v>0</v>
      </c>
      <c r="M272" s="63">
        <f t="shared" si="114"/>
        <v>0</v>
      </c>
      <c r="N272" s="63">
        <f t="shared" si="114"/>
        <v>0</v>
      </c>
      <c r="O272" s="63">
        <f t="shared" si="114"/>
        <v>0</v>
      </c>
      <c r="P272" s="63">
        <f t="shared" si="114"/>
        <v>0</v>
      </c>
      <c r="Q272" s="63">
        <f t="shared" si="114"/>
        <v>0</v>
      </c>
      <c r="R272" s="63">
        <f t="shared" si="115"/>
        <v>108531.8746447774</v>
      </c>
      <c r="S272" s="63">
        <f t="shared" si="115"/>
        <v>0</v>
      </c>
      <c r="T272" s="63">
        <f t="shared" si="115"/>
        <v>166615.81994473952</v>
      </c>
      <c r="U272" s="63">
        <f t="shared" si="115"/>
        <v>272654.93154879799</v>
      </c>
      <c r="V272" s="63">
        <f t="shared" si="115"/>
        <v>46487.334202393678</v>
      </c>
      <c r="W272" s="63">
        <f t="shared" si="115"/>
        <v>79435.475387231651</v>
      </c>
      <c r="X272" s="63">
        <f t="shared" si="115"/>
        <v>56949.602678361422</v>
      </c>
      <c r="Y272" s="63">
        <f t="shared" si="115"/>
        <v>31744.158778663983</v>
      </c>
      <c r="Z272" s="63">
        <f t="shared" si="115"/>
        <v>20296.293636147057</v>
      </c>
      <c r="AA272" s="63">
        <f t="shared" si="115"/>
        <v>20698.717899493484</v>
      </c>
      <c r="AB272" s="63">
        <f t="shared" si="115"/>
        <v>66917.791279393932</v>
      </c>
      <c r="AC272" s="63">
        <f t="shared" si="115"/>
        <v>0</v>
      </c>
      <c r="AD272" s="63">
        <f t="shared" si="115"/>
        <v>0</v>
      </c>
      <c r="AE272" s="63">
        <f t="shared" si="115"/>
        <v>0</v>
      </c>
      <c r="AF272" s="63">
        <f t="shared" si="116"/>
        <v>870332.00000000012</v>
      </c>
      <c r="AG272" s="58" t="str">
        <f t="shared" si="117"/>
        <v>ok</v>
      </c>
    </row>
    <row r="273" spans="1:33">
      <c r="A273" s="60"/>
      <c r="B273" s="60"/>
      <c r="F273" s="78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58"/>
    </row>
    <row r="274" spans="1:33">
      <c r="A274" s="60" t="s">
        <v>947</v>
      </c>
      <c r="B274" s="60"/>
      <c r="C274" s="44" t="s">
        <v>948</v>
      </c>
      <c r="F274" s="75">
        <f t="shared" ref="F274:M274" si="118">SUM(F264:F273)</f>
        <v>21160534.999999989</v>
      </c>
      <c r="G274" s="62">
        <f t="shared" si="118"/>
        <v>0</v>
      </c>
      <c r="H274" s="62">
        <f t="shared" si="118"/>
        <v>0</v>
      </c>
      <c r="I274" s="62">
        <f t="shared" si="118"/>
        <v>0</v>
      </c>
      <c r="J274" s="62">
        <f t="shared" si="118"/>
        <v>0</v>
      </c>
      <c r="K274" s="62">
        <f t="shared" si="118"/>
        <v>0</v>
      </c>
      <c r="L274" s="62">
        <f t="shared" si="118"/>
        <v>0</v>
      </c>
      <c r="M274" s="62">
        <f t="shared" si="118"/>
        <v>0</v>
      </c>
      <c r="N274" s="62">
        <f>SUM(N264:N273)</f>
        <v>0</v>
      </c>
      <c r="O274" s="62">
        <f>SUM(O264:O273)</f>
        <v>0</v>
      </c>
      <c r="P274" s="62">
        <f>SUM(P264:P273)</f>
        <v>0</v>
      </c>
      <c r="Q274" s="62">
        <f t="shared" ref="Q274:AB274" si="119">SUM(Q264:Q273)</f>
        <v>0</v>
      </c>
      <c r="R274" s="62">
        <f t="shared" si="119"/>
        <v>1981006.3931440813</v>
      </c>
      <c r="S274" s="62">
        <f t="shared" si="119"/>
        <v>0</v>
      </c>
      <c r="T274" s="62">
        <f t="shared" si="119"/>
        <v>4837630.3213952733</v>
      </c>
      <c r="U274" s="62">
        <f t="shared" si="119"/>
        <v>8384692.0325249694</v>
      </c>
      <c r="V274" s="62">
        <f t="shared" si="119"/>
        <v>1812836.8739998282</v>
      </c>
      <c r="W274" s="62">
        <f t="shared" si="119"/>
        <v>3192731.108472527</v>
      </c>
      <c r="X274" s="62">
        <f t="shared" si="119"/>
        <v>176888.69524208215</v>
      </c>
      <c r="Y274" s="62">
        <f t="shared" si="119"/>
        <v>98599.157216752705</v>
      </c>
      <c r="Z274" s="62">
        <f t="shared" si="119"/>
        <v>20296.293636147057</v>
      </c>
      <c r="AA274" s="62">
        <f t="shared" si="119"/>
        <v>20698.717899493484</v>
      </c>
      <c r="AB274" s="62">
        <f t="shared" si="119"/>
        <v>635155.40646883484</v>
      </c>
      <c r="AC274" s="62">
        <f>SUM(AC264:AC273)</f>
        <v>0</v>
      </c>
      <c r="AD274" s="62">
        <f>SUM(AD264:AD273)</f>
        <v>0</v>
      </c>
      <c r="AE274" s="62">
        <f>SUM(AE264:AE273)</f>
        <v>0</v>
      </c>
      <c r="AF274" s="63">
        <f>SUM(H274:AE274)</f>
        <v>21160534.999999989</v>
      </c>
      <c r="AG274" s="58" t="str">
        <f>IF(ABS(AF274-F274)&lt;1,"ok","err")</f>
        <v>ok</v>
      </c>
    </row>
    <row r="275" spans="1:33">
      <c r="A275" s="60"/>
      <c r="B275" s="60"/>
      <c r="F275" s="78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G275" s="58"/>
    </row>
    <row r="276" spans="1:33">
      <c r="A276" s="60" t="s">
        <v>1080</v>
      </c>
      <c r="B276" s="60"/>
      <c r="F276" s="75">
        <f>F260+F274</f>
        <v>53083604.99999997</v>
      </c>
      <c r="G276" s="63">
        <f t="shared" ref="G276:M276" si="120">G260+G274</f>
        <v>0</v>
      </c>
      <c r="H276" s="63">
        <f t="shared" si="120"/>
        <v>0</v>
      </c>
      <c r="I276" s="63">
        <f t="shared" si="120"/>
        <v>0</v>
      </c>
      <c r="J276" s="63">
        <f t="shared" si="120"/>
        <v>0</v>
      </c>
      <c r="K276" s="63">
        <f t="shared" si="120"/>
        <v>0</v>
      </c>
      <c r="L276" s="63">
        <f t="shared" si="120"/>
        <v>0</v>
      </c>
      <c r="M276" s="63">
        <f t="shared" si="120"/>
        <v>0</v>
      </c>
      <c r="N276" s="63">
        <f>N260+N274</f>
        <v>0</v>
      </c>
      <c r="O276" s="63">
        <f>O260+O274</f>
        <v>0</v>
      </c>
      <c r="P276" s="63">
        <f>P260+P274</f>
        <v>0</v>
      </c>
      <c r="Q276" s="63">
        <f t="shared" ref="Q276:AB276" si="121">Q260+Q274</f>
        <v>0</v>
      </c>
      <c r="R276" s="63">
        <f t="shared" si="121"/>
        <v>5320872.0641060146</v>
      </c>
      <c r="S276" s="63">
        <f t="shared" si="121"/>
        <v>0</v>
      </c>
      <c r="T276" s="63">
        <f t="shared" si="121"/>
        <v>10247104.73781072</v>
      </c>
      <c r="U276" s="63">
        <f t="shared" si="121"/>
        <v>17136051.145477891</v>
      </c>
      <c r="V276" s="63">
        <f t="shared" si="121"/>
        <v>3222380.3576403731</v>
      </c>
      <c r="W276" s="63">
        <f t="shared" si="121"/>
        <v>5580825.2596069975</v>
      </c>
      <c r="X276" s="63">
        <f t="shared" si="121"/>
        <v>691763.67803688126</v>
      </c>
      <c r="Y276" s="63">
        <f t="shared" si="121"/>
        <v>385594.54324795608</v>
      </c>
      <c r="Z276" s="63">
        <f t="shared" si="121"/>
        <v>203792.81240431065</v>
      </c>
      <c r="AA276" s="63">
        <f t="shared" si="121"/>
        <v>9055068.7351165973</v>
      </c>
      <c r="AB276" s="63">
        <f t="shared" si="121"/>
        <v>1240151.6665522291</v>
      </c>
      <c r="AC276" s="63">
        <f>AC260+AC274</f>
        <v>0</v>
      </c>
      <c r="AD276" s="63">
        <f>AD260+AD274</f>
        <v>0</v>
      </c>
      <c r="AE276" s="63">
        <f>AE260+AE274</f>
        <v>0</v>
      </c>
      <c r="AF276" s="63">
        <f>SUM(H276:AE276)</f>
        <v>53083604.99999997</v>
      </c>
      <c r="AG276" s="58" t="str">
        <f>IF(ABS(AF276-F276)&lt;1,"ok","err")</f>
        <v>ok</v>
      </c>
    </row>
    <row r="277" spans="1:33">
      <c r="A277" s="60"/>
      <c r="B277" s="60"/>
      <c r="F277" s="78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G277" s="58"/>
    </row>
    <row r="278" spans="1:33">
      <c r="A278" s="60" t="s">
        <v>1081</v>
      </c>
      <c r="B278" s="60"/>
      <c r="F278" s="75">
        <f t="shared" ref="F278:M278" si="122">F276+F242</f>
        <v>80857177.999999866</v>
      </c>
      <c r="G278" s="63">
        <f t="shared" si="122"/>
        <v>0</v>
      </c>
      <c r="H278" s="63">
        <f t="shared" si="122"/>
        <v>0</v>
      </c>
      <c r="I278" s="63">
        <f t="shared" si="122"/>
        <v>0</v>
      </c>
      <c r="J278" s="63">
        <f t="shared" si="122"/>
        <v>0</v>
      </c>
      <c r="K278" s="63">
        <f t="shared" si="122"/>
        <v>0</v>
      </c>
      <c r="L278" s="63">
        <f t="shared" si="122"/>
        <v>0</v>
      </c>
      <c r="M278" s="63">
        <f t="shared" si="122"/>
        <v>0</v>
      </c>
      <c r="N278" s="63">
        <f>N276+N242</f>
        <v>27773572.999999899</v>
      </c>
      <c r="O278" s="63">
        <f>O276+O242</f>
        <v>0</v>
      </c>
      <c r="P278" s="63">
        <f>P276+P242</f>
        <v>0</v>
      </c>
      <c r="Q278" s="63">
        <f t="shared" ref="Q278:AB278" si="123">Q276+Q242</f>
        <v>0</v>
      </c>
      <c r="R278" s="63">
        <f t="shared" si="123"/>
        <v>5320872.0641060146</v>
      </c>
      <c r="S278" s="63">
        <f t="shared" si="123"/>
        <v>0</v>
      </c>
      <c r="T278" s="63">
        <f t="shared" si="123"/>
        <v>10247104.73781072</v>
      </c>
      <c r="U278" s="63">
        <f t="shared" si="123"/>
        <v>17136051.145477891</v>
      </c>
      <c r="V278" s="63">
        <f t="shared" si="123"/>
        <v>3222380.3576403731</v>
      </c>
      <c r="W278" s="63">
        <f t="shared" si="123"/>
        <v>5580825.2596069975</v>
      </c>
      <c r="X278" s="63">
        <f t="shared" si="123"/>
        <v>691763.67803688126</v>
      </c>
      <c r="Y278" s="63">
        <f t="shared" si="123"/>
        <v>385594.54324795608</v>
      </c>
      <c r="Z278" s="63">
        <f t="shared" si="123"/>
        <v>203792.81240431065</v>
      </c>
      <c r="AA278" s="63">
        <f t="shared" si="123"/>
        <v>9055068.7351165973</v>
      </c>
      <c r="AB278" s="63">
        <f t="shared" si="123"/>
        <v>1240151.6665522291</v>
      </c>
      <c r="AC278" s="63">
        <f>AC276+AC242</f>
        <v>0</v>
      </c>
      <c r="AD278" s="63">
        <f>AD276+AD242</f>
        <v>0</v>
      </c>
      <c r="AE278" s="63">
        <f>AE276+AE242</f>
        <v>0</v>
      </c>
      <c r="AF278" s="63">
        <f>SUM(H278:AE278)</f>
        <v>80857177.999999866</v>
      </c>
      <c r="AG278" s="58" t="str">
        <f>IF(ABS(AF278-F278)&lt;1,"ok","err")</f>
        <v>ok</v>
      </c>
    </row>
    <row r="279" spans="1:33">
      <c r="A279" s="60"/>
      <c r="B279" s="60"/>
      <c r="F279" s="78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G279" s="58"/>
    </row>
    <row r="280" spans="1:33">
      <c r="A280" s="60" t="s">
        <v>266</v>
      </c>
      <c r="B280" s="60"/>
      <c r="C280" s="44" t="s">
        <v>949</v>
      </c>
      <c r="F280" s="75">
        <f>F224+F242+F276</f>
        <v>538397682.77104306</v>
      </c>
      <c r="G280" s="62">
        <f>G278+G222</f>
        <v>0</v>
      </c>
      <c r="H280" s="62">
        <f t="shared" ref="H280:M280" si="124">H224+H242+H276</f>
        <v>80778953.804495692</v>
      </c>
      <c r="I280" s="62">
        <f t="shared" si="124"/>
        <v>0</v>
      </c>
      <c r="J280" s="62">
        <f t="shared" si="124"/>
        <v>0</v>
      </c>
      <c r="K280" s="62">
        <f t="shared" si="124"/>
        <v>376761550.96654743</v>
      </c>
      <c r="L280" s="62">
        <f t="shared" si="124"/>
        <v>0</v>
      </c>
      <c r="M280" s="62">
        <f t="shared" si="124"/>
        <v>0</v>
      </c>
      <c r="N280" s="62">
        <f>N224+N242+N276</f>
        <v>27773572.999999899</v>
      </c>
      <c r="O280" s="62">
        <f>O224+O242+O276</f>
        <v>0</v>
      </c>
      <c r="P280" s="62">
        <f>P224+P242+P276</f>
        <v>0</v>
      </c>
      <c r="Q280" s="62">
        <f t="shared" ref="Q280:AB280" si="125">Q224+Q242+Q276</f>
        <v>0</v>
      </c>
      <c r="R280" s="62">
        <f t="shared" si="125"/>
        <v>5320872.0641060146</v>
      </c>
      <c r="S280" s="62">
        <f t="shared" si="125"/>
        <v>0</v>
      </c>
      <c r="T280" s="62">
        <f t="shared" si="125"/>
        <v>10247104.73781072</v>
      </c>
      <c r="U280" s="62">
        <f t="shared" si="125"/>
        <v>17136051.145477891</v>
      </c>
      <c r="V280" s="62">
        <f t="shared" si="125"/>
        <v>3222380.3576403731</v>
      </c>
      <c r="W280" s="62">
        <f t="shared" si="125"/>
        <v>5580825.2596069975</v>
      </c>
      <c r="X280" s="62">
        <f t="shared" si="125"/>
        <v>691763.67803688126</v>
      </c>
      <c r="Y280" s="62">
        <f t="shared" si="125"/>
        <v>385594.54324795608</v>
      </c>
      <c r="Z280" s="62">
        <f t="shared" si="125"/>
        <v>203792.81240431065</v>
      </c>
      <c r="AA280" s="62">
        <f t="shared" si="125"/>
        <v>9055068.7351165973</v>
      </c>
      <c r="AB280" s="62">
        <f t="shared" si="125"/>
        <v>1240151.6665522291</v>
      </c>
      <c r="AC280" s="62">
        <f>AC224+AC242+AC276</f>
        <v>0</v>
      </c>
      <c r="AD280" s="62">
        <f>AD224+AD242+AD276</f>
        <v>0</v>
      </c>
      <c r="AE280" s="62">
        <f>AE224+AE242+AE276</f>
        <v>0</v>
      </c>
      <c r="AF280" s="63">
        <f>SUM(H280:AE280)</f>
        <v>538397682.77104294</v>
      </c>
      <c r="AG280" s="58" t="str">
        <f>IF(ABS(AF280-F280)&lt;1,"ok","err")</f>
        <v>ok</v>
      </c>
    </row>
    <row r="281" spans="1:33" ht="15">
      <c r="A281" s="65"/>
      <c r="B281" s="60"/>
      <c r="F281" s="78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G281" s="58"/>
    </row>
    <row r="282" spans="1:33" ht="15">
      <c r="A282" s="65"/>
      <c r="B282" s="60"/>
      <c r="F282" s="78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G282" s="58"/>
    </row>
    <row r="283" spans="1:33" ht="15">
      <c r="A283" s="59" t="s">
        <v>950</v>
      </c>
      <c r="B283" s="60"/>
      <c r="F283" s="78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G283" s="58"/>
    </row>
    <row r="284" spans="1:33" ht="15">
      <c r="A284" s="65"/>
      <c r="B284" s="60"/>
      <c r="F284" s="78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G284" s="58"/>
    </row>
    <row r="285" spans="1:33" ht="15">
      <c r="A285" s="65" t="s">
        <v>951</v>
      </c>
      <c r="B285" s="60"/>
      <c r="F285" s="78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G285" s="58"/>
    </row>
    <row r="286" spans="1:33">
      <c r="A286" s="60">
        <v>901</v>
      </c>
      <c r="B286" s="60" t="s">
        <v>952</v>
      </c>
      <c r="C286" s="44" t="s">
        <v>953</v>
      </c>
      <c r="D286" s="44" t="s">
        <v>640</v>
      </c>
      <c r="F286" s="75">
        <v>1498909.44</v>
      </c>
      <c r="H286" s="63">
        <f t="shared" ref="H286:Q290" si="126">IF(VLOOKUP($D286,$C$6:$AE$653,H$2,)=0,0,((VLOOKUP($D286,$C$6:$AE$653,H$2,)/VLOOKUP($D286,$C$6:$AE$653,4,))*$F286))</f>
        <v>0</v>
      </c>
      <c r="I286" s="63">
        <f t="shared" si="126"/>
        <v>0</v>
      </c>
      <c r="J286" s="63">
        <f t="shared" si="126"/>
        <v>0</v>
      </c>
      <c r="K286" s="63">
        <f t="shared" si="126"/>
        <v>0</v>
      </c>
      <c r="L286" s="63">
        <f t="shared" si="126"/>
        <v>0</v>
      </c>
      <c r="M286" s="63">
        <f t="shared" si="126"/>
        <v>0</v>
      </c>
      <c r="N286" s="63">
        <f t="shared" si="126"/>
        <v>0</v>
      </c>
      <c r="O286" s="63">
        <f t="shared" si="126"/>
        <v>0</v>
      </c>
      <c r="P286" s="63">
        <f t="shared" si="126"/>
        <v>0</v>
      </c>
      <c r="Q286" s="63">
        <f t="shared" si="126"/>
        <v>0</v>
      </c>
      <c r="R286" s="63">
        <f t="shared" ref="R286:AE290" si="127">IF(VLOOKUP($D286,$C$6:$AE$653,R$2,)=0,0,((VLOOKUP($D286,$C$6:$AE$653,R$2,)/VLOOKUP($D286,$C$6:$AE$653,4,))*$F286))</f>
        <v>0</v>
      </c>
      <c r="S286" s="63">
        <f t="shared" si="127"/>
        <v>0</v>
      </c>
      <c r="T286" s="63">
        <f t="shared" si="127"/>
        <v>0</v>
      </c>
      <c r="U286" s="63">
        <f t="shared" si="127"/>
        <v>0</v>
      </c>
      <c r="V286" s="63">
        <f t="shared" si="127"/>
        <v>0</v>
      </c>
      <c r="W286" s="63">
        <f t="shared" si="127"/>
        <v>0</v>
      </c>
      <c r="X286" s="63">
        <f t="shared" si="127"/>
        <v>0</v>
      </c>
      <c r="Y286" s="63">
        <f t="shared" si="127"/>
        <v>0</v>
      </c>
      <c r="Z286" s="63">
        <f t="shared" si="127"/>
        <v>0</v>
      </c>
      <c r="AA286" s="63">
        <f t="shared" si="127"/>
        <v>0</v>
      </c>
      <c r="AB286" s="63">
        <f t="shared" si="127"/>
        <v>0</v>
      </c>
      <c r="AC286" s="63">
        <f t="shared" si="127"/>
        <v>1498909.44</v>
      </c>
      <c r="AD286" s="63">
        <f t="shared" si="127"/>
        <v>0</v>
      </c>
      <c r="AE286" s="63">
        <f t="shared" si="127"/>
        <v>0</v>
      </c>
      <c r="AF286" s="63">
        <f>SUM(H286:AE286)</f>
        <v>1498909.44</v>
      </c>
      <c r="AG286" s="58" t="str">
        <f>IF(ABS(AF286-F286)&lt;1,"ok","err")</f>
        <v>ok</v>
      </c>
    </row>
    <row r="287" spans="1:33">
      <c r="A287" s="60">
        <v>902</v>
      </c>
      <c r="B287" s="60" t="s">
        <v>955</v>
      </c>
      <c r="C287" s="44" t="s">
        <v>956</v>
      </c>
      <c r="D287" s="44" t="s">
        <v>640</v>
      </c>
      <c r="F287" s="78">
        <v>3820562.48</v>
      </c>
      <c r="H287" s="63">
        <f t="shared" si="126"/>
        <v>0</v>
      </c>
      <c r="I287" s="63">
        <f t="shared" si="126"/>
        <v>0</v>
      </c>
      <c r="J287" s="63">
        <f t="shared" si="126"/>
        <v>0</v>
      </c>
      <c r="K287" s="63">
        <f t="shared" si="126"/>
        <v>0</v>
      </c>
      <c r="L287" s="63">
        <f t="shared" si="126"/>
        <v>0</v>
      </c>
      <c r="M287" s="63">
        <f t="shared" si="126"/>
        <v>0</v>
      </c>
      <c r="N287" s="63">
        <f t="shared" si="126"/>
        <v>0</v>
      </c>
      <c r="O287" s="63">
        <f t="shared" si="126"/>
        <v>0</v>
      </c>
      <c r="P287" s="63">
        <f t="shared" si="126"/>
        <v>0</v>
      </c>
      <c r="Q287" s="63">
        <f t="shared" si="126"/>
        <v>0</v>
      </c>
      <c r="R287" s="63">
        <f t="shared" si="127"/>
        <v>0</v>
      </c>
      <c r="S287" s="63">
        <f t="shared" si="127"/>
        <v>0</v>
      </c>
      <c r="T287" s="63">
        <f t="shared" si="127"/>
        <v>0</v>
      </c>
      <c r="U287" s="63">
        <f t="shared" si="127"/>
        <v>0</v>
      </c>
      <c r="V287" s="63">
        <f t="shared" si="127"/>
        <v>0</v>
      </c>
      <c r="W287" s="63">
        <f t="shared" si="127"/>
        <v>0</v>
      </c>
      <c r="X287" s="63">
        <f t="shared" si="127"/>
        <v>0</v>
      </c>
      <c r="Y287" s="63">
        <f t="shared" si="127"/>
        <v>0</v>
      </c>
      <c r="Z287" s="63">
        <f t="shared" si="127"/>
        <v>0</v>
      </c>
      <c r="AA287" s="63">
        <f t="shared" si="127"/>
        <v>0</v>
      </c>
      <c r="AB287" s="63">
        <f t="shared" si="127"/>
        <v>0</v>
      </c>
      <c r="AC287" s="63">
        <f t="shared" si="127"/>
        <v>3820562.48</v>
      </c>
      <c r="AD287" s="63">
        <f t="shared" si="127"/>
        <v>0</v>
      </c>
      <c r="AE287" s="63">
        <f t="shared" si="127"/>
        <v>0</v>
      </c>
      <c r="AF287" s="63">
        <f>SUM(H287:AE287)</f>
        <v>3820562.48</v>
      </c>
      <c r="AG287" s="58" t="str">
        <f>IF(ABS(AF287-F287)&lt;1,"ok","err")</f>
        <v>ok</v>
      </c>
    </row>
    <row r="288" spans="1:33">
      <c r="A288" s="60">
        <v>903</v>
      </c>
      <c r="B288" s="60" t="s">
        <v>28</v>
      </c>
      <c r="C288" s="44" t="s">
        <v>957</v>
      </c>
      <c r="D288" s="44" t="s">
        <v>640</v>
      </c>
      <c r="F288" s="78">
        <v>7929805.5199999996</v>
      </c>
      <c r="H288" s="63">
        <f t="shared" si="126"/>
        <v>0</v>
      </c>
      <c r="I288" s="63">
        <f t="shared" si="126"/>
        <v>0</v>
      </c>
      <c r="J288" s="63">
        <f t="shared" si="126"/>
        <v>0</v>
      </c>
      <c r="K288" s="63">
        <f t="shared" si="126"/>
        <v>0</v>
      </c>
      <c r="L288" s="63">
        <f t="shared" si="126"/>
        <v>0</v>
      </c>
      <c r="M288" s="63">
        <f t="shared" si="126"/>
        <v>0</v>
      </c>
      <c r="N288" s="63">
        <f t="shared" si="126"/>
        <v>0</v>
      </c>
      <c r="O288" s="63">
        <f t="shared" si="126"/>
        <v>0</v>
      </c>
      <c r="P288" s="63">
        <f t="shared" si="126"/>
        <v>0</v>
      </c>
      <c r="Q288" s="63">
        <f t="shared" si="126"/>
        <v>0</v>
      </c>
      <c r="R288" s="63">
        <f t="shared" si="127"/>
        <v>0</v>
      </c>
      <c r="S288" s="63">
        <f t="shared" si="127"/>
        <v>0</v>
      </c>
      <c r="T288" s="63">
        <f t="shared" si="127"/>
        <v>0</v>
      </c>
      <c r="U288" s="63">
        <f t="shared" si="127"/>
        <v>0</v>
      </c>
      <c r="V288" s="63">
        <f t="shared" si="127"/>
        <v>0</v>
      </c>
      <c r="W288" s="63">
        <f t="shared" si="127"/>
        <v>0</v>
      </c>
      <c r="X288" s="63">
        <f t="shared" si="127"/>
        <v>0</v>
      </c>
      <c r="Y288" s="63">
        <f t="shared" si="127"/>
        <v>0</v>
      </c>
      <c r="Z288" s="63">
        <f t="shared" si="127"/>
        <v>0</v>
      </c>
      <c r="AA288" s="63">
        <f t="shared" si="127"/>
        <v>0</v>
      </c>
      <c r="AB288" s="63">
        <f t="shared" si="127"/>
        <v>0</v>
      </c>
      <c r="AC288" s="63">
        <f t="shared" si="127"/>
        <v>7929805.5199999996</v>
      </c>
      <c r="AD288" s="63">
        <f t="shared" si="127"/>
        <v>0</v>
      </c>
      <c r="AE288" s="63">
        <f t="shared" si="127"/>
        <v>0</v>
      </c>
      <c r="AF288" s="63">
        <f>SUM(H288:AE288)</f>
        <v>7929805.5199999996</v>
      </c>
      <c r="AG288" s="58" t="str">
        <f>IF(ABS(AF288-F288)&lt;1,"ok","err")</f>
        <v>ok</v>
      </c>
    </row>
    <row r="289" spans="1:33">
      <c r="A289" s="60">
        <v>904</v>
      </c>
      <c r="B289" s="60" t="s">
        <v>958</v>
      </c>
      <c r="C289" s="44" t="s">
        <v>959</v>
      </c>
      <c r="D289" s="44" t="s">
        <v>640</v>
      </c>
      <c r="F289" s="78">
        <v>2225667.78521111</v>
      </c>
      <c r="H289" s="63">
        <f t="shared" si="126"/>
        <v>0</v>
      </c>
      <c r="I289" s="63">
        <f t="shared" si="126"/>
        <v>0</v>
      </c>
      <c r="J289" s="63">
        <f t="shared" si="126"/>
        <v>0</v>
      </c>
      <c r="K289" s="63">
        <f t="shared" si="126"/>
        <v>0</v>
      </c>
      <c r="L289" s="63">
        <f t="shared" si="126"/>
        <v>0</v>
      </c>
      <c r="M289" s="63">
        <f t="shared" si="126"/>
        <v>0</v>
      </c>
      <c r="N289" s="63">
        <f t="shared" si="126"/>
        <v>0</v>
      </c>
      <c r="O289" s="63">
        <f t="shared" si="126"/>
        <v>0</v>
      </c>
      <c r="P289" s="63">
        <f t="shared" si="126"/>
        <v>0</v>
      </c>
      <c r="Q289" s="63">
        <f t="shared" si="126"/>
        <v>0</v>
      </c>
      <c r="R289" s="63">
        <f t="shared" si="127"/>
        <v>0</v>
      </c>
      <c r="S289" s="63">
        <f t="shared" si="127"/>
        <v>0</v>
      </c>
      <c r="T289" s="63">
        <f t="shared" si="127"/>
        <v>0</v>
      </c>
      <c r="U289" s="63">
        <f t="shared" si="127"/>
        <v>0</v>
      </c>
      <c r="V289" s="63">
        <f t="shared" si="127"/>
        <v>0</v>
      </c>
      <c r="W289" s="63">
        <f t="shared" si="127"/>
        <v>0</v>
      </c>
      <c r="X289" s="63">
        <f t="shared" si="127"/>
        <v>0</v>
      </c>
      <c r="Y289" s="63">
        <f t="shared" si="127"/>
        <v>0</v>
      </c>
      <c r="Z289" s="63">
        <f t="shared" si="127"/>
        <v>0</v>
      </c>
      <c r="AA289" s="63">
        <f t="shared" si="127"/>
        <v>0</v>
      </c>
      <c r="AB289" s="63">
        <f t="shared" si="127"/>
        <v>0</v>
      </c>
      <c r="AC289" s="63">
        <f t="shared" si="127"/>
        <v>2225667.78521111</v>
      </c>
      <c r="AD289" s="63">
        <f t="shared" si="127"/>
        <v>0</v>
      </c>
      <c r="AE289" s="63">
        <f t="shared" si="127"/>
        <v>0</v>
      </c>
      <c r="AF289" s="63">
        <f>SUM(H289:AE289)</f>
        <v>2225667.78521111</v>
      </c>
      <c r="AG289" s="58" t="str">
        <f>IF(ABS(AF289-F289)&lt;1,"ok","err")</f>
        <v>ok</v>
      </c>
    </row>
    <row r="290" spans="1:33">
      <c r="A290" s="60">
        <v>905</v>
      </c>
      <c r="B290" s="60" t="s">
        <v>29</v>
      </c>
      <c r="C290" s="44" t="s">
        <v>957</v>
      </c>
      <c r="D290" s="44" t="s">
        <v>640</v>
      </c>
      <c r="F290" s="78">
        <v>0</v>
      </c>
      <c r="H290" s="63">
        <f t="shared" si="126"/>
        <v>0</v>
      </c>
      <c r="I290" s="63">
        <f t="shared" si="126"/>
        <v>0</v>
      </c>
      <c r="J290" s="63">
        <f t="shared" si="126"/>
        <v>0</v>
      </c>
      <c r="K290" s="63">
        <f t="shared" si="126"/>
        <v>0</v>
      </c>
      <c r="L290" s="63">
        <f t="shared" si="126"/>
        <v>0</v>
      </c>
      <c r="M290" s="63">
        <f t="shared" si="126"/>
        <v>0</v>
      </c>
      <c r="N290" s="63">
        <f t="shared" si="126"/>
        <v>0</v>
      </c>
      <c r="O290" s="63">
        <f t="shared" si="126"/>
        <v>0</v>
      </c>
      <c r="P290" s="63">
        <f t="shared" si="126"/>
        <v>0</v>
      </c>
      <c r="Q290" s="63">
        <f t="shared" si="126"/>
        <v>0</v>
      </c>
      <c r="R290" s="63">
        <f t="shared" si="127"/>
        <v>0</v>
      </c>
      <c r="S290" s="63">
        <f t="shared" si="127"/>
        <v>0</v>
      </c>
      <c r="T290" s="63">
        <f t="shared" si="127"/>
        <v>0</v>
      </c>
      <c r="U290" s="63">
        <f t="shared" si="127"/>
        <v>0</v>
      </c>
      <c r="V290" s="63">
        <f t="shared" si="127"/>
        <v>0</v>
      </c>
      <c r="W290" s="63">
        <f t="shared" si="127"/>
        <v>0</v>
      </c>
      <c r="X290" s="63">
        <f t="shared" si="127"/>
        <v>0</v>
      </c>
      <c r="Y290" s="63">
        <f t="shared" si="127"/>
        <v>0</v>
      </c>
      <c r="Z290" s="63">
        <f t="shared" si="127"/>
        <v>0</v>
      </c>
      <c r="AA290" s="63">
        <f t="shared" si="127"/>
        <v>0</v>
      </c>
      <c r="AB290" s="63">
        <f t="shared" si="127"/>
        <v>0</v>
      </c>
      <c r="AC290" s="63">
        <f t="shared" si="127"/>
        <v>0</v>
      </c>
      <c r="AD290" s="63">
        <f t="shared" si="127"/>
        <v>0</v>
      </c>
      <c r="AE290" s="63">
        <f t="shared" si="127"/>
        <v>0</v>
      </c>
      <c r="AF290" s="63">
        <f>SUM(H290:AE290)</f>
        <v>0</v>
      </c>
      <c r="AG290" s="58" t="str">
        <f>IF(ABS(AF290-F290)&lt;1,"ok","err")</f>
        <v>ok</v>
      </c>
    </row>
    <row r="291" spans="1:33" ht="15">
      <c r="A291" s="65"/>
      <c r="B291" s="60"/>
      <c r="F291" s="78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58"/>
    </row>
    <row r="292" spans="1:33">
      <c r="A292" s="60" t="s">
        <v>960</v>
      </c>
      <c r="B292" s="60"/>
      <c r="C292" s="44" t="s">
        <v>961</v>
      </c>
      <c r="F292" s="75">
        <f t="shared" ref="F292:M292" si="128">SUM(F286:F291)</f>
        <v>15474945.22521111</v>
      </c>
      <c r="G292" s="62">
        <f t="shared" si="128"/>
        <v>0</v>
      </c>
      <c r="H292" s="62">
        <f t="shared" si="128"/>
        <v>0</v>
      </c>
      <c r="I292" s="62">
        <f t="shared" si="128"/>
        <v>0</v>
      </c>
      <c r="J292" s="62">
        <f t="shared" si="128"/>
        <v>0</v>
      </c>
      <c r="K292" s="62">
        <f t="shared" si="128"/>
        <v>0</v>
      </c>
      <c r="L292" s="62">
        <f t="shared" si="128"/>
        <v>0</v>
      </c>
      <c r="M292" s="62">
        <f t="shared" si="128"/>
        <v>0</v>
      </c>
      <c r="N292" s="62">
        <f>SUM(N286:N291)</f>
        <v>0</v>
      </c>
      <c r="O292" s="62">
        <f>SUM(O286:O291)</f>
        <v>0</v>
      </c>
      <c r="P292" s="62">
        <f>SUM(P286:P291)</f>
        <v>0</v>
      </c>
      <c r="Q292" s="62">
        <f t="shared" ref="Q292:AB292" si="129">SUM(Q286:Q291)</f>
        <v>0</v>
      </c>
      <c r="R292" s="62">
        <f t="shared" si="129"/>
        <v>0</v>
      </c>
      <c r="S292" s="62">
        <f t="shared" si="129"/>
        <v>0</v>
      </c>
      <c r="T292" s="62">
        <f t="shared" si="129"/>
        <v>0</v>
      </c>
      <c r="U292" s="62">
        <f t="shared" si="129"/>
        <v>0</v>
      </c>
      <c r="V292" s="62">
        <f t="shared" si="129"/>
        <v>0</v>
      </c>
      <c r="W292" s="62">
        <f t="shared" si="129"/>
        <v>0</v>
      </c>
      <c r="X292" s="62">
        <f t="shared" si="129"/>
        <v>0</v>
      </c>
      <c r="Y292" s="62">
        <f t="shared" si="129"/>
        <v>0</v>
      </c>
      <c r="Z292" s="62">
        <f t="shared" si="129"/>
        <v>0</v>
      </c>
      <c r="AA292" s="62">
        <f t="shared" si="129"/>
        <v>0</v>
      </c>
      <c r="AB292" s="62">
        <f t="shared" si="129"/>
        <v>0</v>
      </c>
      <c r="AC292" s="62">
        <f>SUM(AC286:AC291)</f>
        <v>15474945.22521111</v>
      </c>
      <c r="AD292" s="62">
        <f>SUM(AD286:AD291)</f>
        <v>0</v>
      </c>
      <c r="AE292" s="62">
        <f>SUM(AE286:AE291)</f>
        <v>0</v>
      </c>
      <c r="AF292" s="63">
        <f>SUM(H292:AE292)</f>
        <v>15474945.22521111</v>
      </c>
      <c r="AG292" s="58" t="str">
        <f>IF(ABS(AF292-F292)&lt;1,"ok","err")</f>
        <v>ok</v>
      </c>
    </row>
    <row r="293" spans="1:33">
      <c r="A293" s="60"/>
      <c r="B293" s="60"/>
      <c r="F293" s="78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G293" s="58"/>
    </row>
    <row r="294" spans="1:33" ht="15">
      <c r="A294" s="65" t="s">
        <v>962</v>
      </c>
      <c r="B294" s="60"/>
      <c r="F294" s="78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G294" s="58"/>
    </row>
    <row r="295" spans="1:33">
      <c r="A295" s="60">
        <v>907</v>
      </c>
      <c r="B295" s="60" t="s">
        <v>1083</v>
      </c>
      <c r="C295" s="44" t="s">
        <v>963</v>
      </c>
      <c r="D295" s="44" t="s">
        <v>641</v>
      </c>
      <c r="F295" s="75">
        <v>199517.76</v>
      </c>
      <c r="H295" s="63">
        <f t="shared" ref="H295:Q304" si="130">IF(VLOOKUP($D295,$C$6:$AE$653,H$2,)=0,0,((VLOOKUP($D295,$C$6:$AE$653,H$2,)/VLOOKUP($D295,$C$6:$AE$653,4,))*$F295))</f>
        <v>0</v>
      </c>
      <c r="I295" s="63">
        <f t="shared" si="130"/>
        <v>0</v>
      </c>
      <c r="J295" s="63">
        <f t="shared" si="130"/>
        <v>0</v>
      </c>
      <c r="K295" s="63">
        <f t="shared" si="130"/>
        <v>0</v>
      </c>
      <c r="L295" s="63">
        <f t="shared" si="130"/>
        <v>0</v>
      </c>
      <c r="M295" s="63">
        <f t="shared" si="130"/>
        <v>0</v>
      </c>
      <c r="N295" s="63">
        <f t="shared" si="130"/>
        <v>0</v>
      </c>
      <c r="O295" s="63">
        <f t="shared" si="130"/>
        <v>0</v>
      </c>
      <c r="P295" s="63">
        <f t="shared" si="130"/>
        <v>0</v>
      </c>
      <c r="Q295" s="63">
        <f t="shared" si="130"/>
        <v>0</v>
      </c>
      <c r="R295" s="63">
        <f t="shared" ref="R295:AE304" si="131">IF(VLOOKUP($D295,$C$6:$AE$653,R$2,)=0,0,((VLOOKUP($D295,$C$6:$AE$653,R$2,)/VLOOKUP($D295,$C$6:$AE$653,4,))*$F295))</f>
        <v>0</v>
      </c>
      <c r="S295" s="63">
        <f t="shared" si="131"/>
        <v>0</v>
      </c>
      <c r="T295" s="63">
        <f t="shared" si="131"/>
        <v>0</v>
      </c>
      <c r="U295" s="63">
        <f t="shared" si="131"/>
        <v>0</v>
      </c>
      <c r="V295" s="63">
        <f t="shared" si="131"/>
        <v>0</v>
      </c>
      <c r="W295" s="63">
        <f t="shared" si="131"/>
        <v>0</v>
      </c>
      <c r="X295" s="63">
        <f t="shared" si="131"/>
        <v>0</v>
      </c>
      <c r="Y295" s="63">
        <f t="shared" si="131"/>
        <v>0</v>
      </c>
      <c r="Z295" s="63">
        <f t="shared" si="131"/>
        <v>0</v>
      </c>
      <c r="AA295" s="63">
        <f t="shared" si="131"/>
        <v>0</v>
      </c>
      <c r="AB295" s="63">
        <f t="shared" si="131"/>
        <v>0</v>
      </c>
      <c r="AC295" s="63">
        <f t="shared" si="131"/>
        <v>0</v>
      </c>
      <c r="AD295" s="63">
        <f t="shared" si="131"/>
        <v>199517.76</v>
      </c>
      <c r="AE295" s="63">
        <f t="shared" si="131"/>
        <v>0</v>
      </c>
      <c r="AF295" s="63">
        <f t="shared" ref="AF295:AF304" si="132">SUM(H295:AE295)</f>
        <v>199517.76</v>
      </c>
      <c r="AG295" s="58" t="str">
        <f t="shared" ref="AG295:AG304" si="133">IF(ABS(AF295-F295)&lt;1,"ok","err")</f>
        <v>ok</v>
      </c>
    </row>
    <row r="296" spans="1:33">
      <c r="A296" s="60">
        <v>908</v>
      </c>
      <c r="B296" s="60" t="s">
        <v>965</v>
      </c>
      <c r="C296" s="44" t="s">
        <v>966</v>
      </c>
      <c r="D296" s="44" t="s">
        <v>641</v>
      </c>
      <c r="F296" s="78">
        <f>8214568.80158564-7393203</f>
        <v>821365.80158563983</v>
      </c>
      <c r="H296" s="63">
        <f t="shared" si="130"/>
        <v>0</v>
      </c>
      <c r="I296" s="63">
        <f t="shared" si="130"/>
        <v>0</v>
      </c>
      <c r="J296" s="63">
        <f t="shared" si="130"/>
        <v>0</v>
      </c>
      <c r="K296" s="63">
        <f t="shared" si="130"/>
        <v>0</v>
      </c>
      <c r="L296" s="63">
        <f t="shared" si="130"/>
        <v>0</v>
      </c>
      <c r="M296" s="63">
        <f t="shared" si="130"/>
        <v>0</v>
      </c>
      <c r="N296" s="63">
        <f t="shared" si="130"/>
        <v>0</v>
      </c>
      <c r="O296" s="63">
        <f t="shared" si="130"/>
        <v>0</v>
      </c>
      <c r="P296" s="63">
        <f t="shared" si="130"/>
        <v>0</v>
      </c>
      <c r="Q296" s="63">
        <f t="shared" si="130"/>
        <v>0</v>
      </c>
      <c r="R296" s="63">
        <f t="shared" si="131"/>
        <v>0</v>
      </c>
      <c r="S296" s="63">
        <f t="shared" si="131"/>
        <v>0</v>
      </c>
      <c r="T296" s="63">
        <f t="shared" si="131"/>
        <v>0</v>
      </c>
      <c r="U296" s="63">
        <f t="shared" si="131"/>
        <v>0</v>
      </c>
      <c r="V296" s="63">
        <f t="shared" si="131"/>
        <v>0</v>
      </c>
      <c r="W296" s="63">
        <f t="shared" si="131"/>
        <v>0</v>
      </c>
      <c r="X296" s="63">
        <f t="shared" si="131"/>
        <v>0</v>
      </c>
      <c r="Y296" s="63">
        <f t="shared" si="131"/>
        <v>0</v>
      </c>
      <c r="Z296" s="63">
        <f t="shared" si="131"/>
        <v>0</v>
      </c>
      <c r="AA296" s="63">
        <f t="shared" si="131"/>
        <v>0</v>
      </c>
      <c r="AB296" s="63">
        <f t="shared" si="131"/>
        <v>0</v>
      </c>
      <c r="AC296" s="63">
        <f t="shared" si="131"/>
        <v>0</v>
      </c>
      <c r="AD296" s="63">
        <f t="shared" si="131"/>
        <v>821365.80158563983</v>
      </c>
      <c r="AE296" s="63">
        <f t="shared" si="131"/>
        <v>0</v>
      </c>
      <c r="AF296" s="63">
        <f t="shared" si="132"/>
        <v>821365.80158563983</v>
      </c>
      <c r="AG296" s="58" t="str">
        <f t="shared" si="133"/>
        <v>ok</v>
      </c>
    </row>
    <row r="297" spans="1:33">
      <c r="A297" s="60">
        <v>908</v>
      </c>
      <c r="B297" s="60" t="s">
        <v>180</v>
      </c>
      <c r="C297" s="44" t="s">
        <v>31</v>
      </c>
      <c r="D297" s="44" t="s">
        <v>641</v>
      </c>
      <c r="F297" s="78"/>
      <c r="H297" s="63">
        <f t="shared" si="130"/>
        <v>0</v>
      </c>
      <c r="I297" s="63">
        <f t="shared" si="130"/>
        <v>0</v>
      </c>
      <c r="J297" s="63">
        <f t="shared" si="130"/>
        <v>0</v>
      </c>
      <c r="K297" s="63">
        <f t="shared" si="130"/>
        <v>0</v>
      </c>
      <c r="L297" s="63">
        <f t="shared" si="130"/>
        <v>0</v>
      </c>
      <c r="M297" s="63">
        <f t="shared" si="130"/>
        <v>0</v>
      </c>
      <c r="N297" s="63">
        <f t="shared" si="130"/>
        <v>0</v>
      </c>
      <c r="O297" s="63">
        <f t="shared" si="130"/>
        <v>0</v>
      </c>
      <c r="P297" s="63">
        <f t="shared" si="130"/>
        <v>0</v>
      </c>
      <c r="Q297" s="63">
        <f t="shared" si="130"/>
        <v>0</v>
      </c>
      <c r="R297" s="63">
        <f t="shared" si="131"/>
        <v>0</v>
      </c>
      <c r="S297" s="63">
        <f t="shared" si="131"/>
        <v>0</v>
      </c>
      <c r="T297" s="63">
        <f t="shared" si="131"/>
        <v>0</v>
      </c>
      <c r="U297" s="63">
        <f t="shared" si="131"/>
        <v>0</v>
      </c>
      <c r="V297" s="63">
        <f t="shared" si="131"/>
        <v>0</v>
      </c>
      <c r="W297" s="63">
        <f t="shared" si="131"/>
        <v>0</v>
      </c>
      <c r="X297" s="63">
        <f t="shared" si="131"/>
        <v>0</v>
      </c>
      <c r="Y297" s="63">
        <f t="shared" si="131"/>
        <v>0</v>
      </c>
      <c r="Z297" s="63">
        <f t="shared" si="131"/>
        <v>0</v>
      </c>
      <c r="AA297" s="63">
        <f t="shared" si="131"/>
        <v>0</v>
      </c>
      <c r="AB297" s="63">
        <f t="shared" si="131"/>
        <v>0</v>
      </c>
      <c r="AC297" s="63">
        <f t="shared" si="131"/>
        <v>0</v>
      </c>
      <c r="AD297" s="63">
        <f t="shared" si="131"/>
        <v>0</v>
      </c>
      <c r="AE297" s="63">
        <f t="shared" si="131"/>
        <v>0</v>
      </c>
      <c r="AF297" s="63">
        <f t="shared" si="132"/>
        <v>0</v>
      </c>
      <c r="AG297" s="58" t="str">
        <f t="shared" si="133"/>
        <v>ok</v>
      </c>
    </row>
    <row r="298" spans="1:33">
      <c r="A298" s="60">
        <v>909</v>
      </c>
      <c r="B298" s="60" t="s">
        <v>967</v>
      </c>
      <c r="C298" s="44" t="s">
        <v>968</v>
      </c>
      <c r="D298" s="44" t="s">
        <v>641</v>
      </c>
      <c r="F298" s="78">
        <v>1201024.95999999</v>
      </c>
      <c r="H298" s="63">
        <f t="shared" si="130"/>
        <v>0</v>
      </c>
      <c r="I298" s="63">
        <f t="shared" si="130"/>
        <v>0</v>
      </c>
      <c r="J298" s="63">
        <f t="shared" si="130"/>
        <v>0</v>
      </c>
      <c r="K298" s="63">
        <f t="shared" si="130"/>
        <v>0</v>
      </c>
      <c r="L298" s="63">
        <f t="shared" si="130"/>
        <v>0</v>
      </c>
      <c r="M298" s="63">
        <f t="shared" si="130"/>
        <v>0</v>
      </c>
      <c r="N298" s="63">
        <f t="shared" si="130"/>
        <v>0</v>
      </c>
      <c r="O298" s="63">
        <f t="shared" si="130"/>
        <v>0</v>
      </c>
      <c r="P298" s="63">
        <f t="shared" si="130"/>
        <v>0</v>
      </c>
      <c r="Q298" s="63">
        <f t="shared" si="130"/>
        <v>0</v>
      </c>
      <c r="R298" s="63">
        <f t="shared" si="131"/>
        <v>0</v>
      </c>
      <c r="S298" s="63">
        <f t="shared" si="131"/>
        <v>0</v>
      </c>
      <c r="T298" s="63">
        <f t="shared" si="131"/>
        <v>0</v>
      </c>
      <c r="U298" s="63">
        <f t="shared" si="131"/>
        <v>0</v>
      </c>
      <c r="V298" s="63">
        <f t="shared" si="131"/>
        <v>0</v>
      </c>
      <c r="W298" s="63">
        <f t="shared" si="131"/>
        <v>0</v>
      </c>
      <c r="X298" s="63">
        <f t="shared" si="131"/>
        <v>0</v>
      </c>
      <c r="Y298" s="63">
        <f t="shared" si="131"/>
        <v>0</v>
      </c>
      <c r="Z298" s="63">
        <f t="shared" si="131"/>
        <v>0</v>
      </c>
      <c r="AA298" s="63">
        <f t="shared" si="131"/>
        <v>0</v>
      </c>
      <c r="AB298" s="63">
        <f t="shared" si="131"/>
        <v>0</v>
      </c>
      <c r="AC298" s="63">
        <f t="shared" si="131"/>
        <v>0</v>
      </c>
      <c r="AD298" s="63">
        <f t="shared" si="131"/>
        <v>1201024.95999999</v>
      </c>
      <c r="AE298" s="63">
        <f t="shared" si="131"/>
        <v>0</v>
      </c>
      <c r="AF298" s="63">
        <f t="shared" si="132"/>
        <v>1201024.95999999</v>
      </c>
      <c r="AG298" s="58" t="str">
        <f t="shared" si="133"/>
        <v>ok</v>
      </c>
    </row>
    <row r="299" spans="1:33">
      <c r="A299" s="60">
        <v>909</v>
      </c>
      <c r="B299" s="60" t="s">
        <v>32</v>
      </c>
      <c r="C299" s="44" t="s">
        <v>33</v>
      </c>
      <c r="D299" s="44" t="s">
        <v>641</v>
      </c>
      <c r="F299" s="78"/>
      <c r="H299" s="63">
        <f t="shared" si="130"/>
        <v>0</v>
      </c>
      <c r="I299" s="63">
        <f t="shared" si="130"/>
        <v>0</v>
      </c>
      <c r="J299" s="63">
        <f t="shared" si="130"/>
        <v>0</v>
      </c>
      <c r="K299" s="63">
        <f t="shared" si="130"/>
        <v>0</v>
      </c>
      <c r="L299" s="63">
        <f t="shared" si="130"/>
        <v>0</v>
      </c>
      <c r="M299" s="63">
        <f t="shared" si="130"/>
        <v>0</v>
      </c>
      <c r="N299" s="63">
        <f t="shared" si="130"/>
        <v>0</v>
      </c>
      <c r="O299" s="63">
        <f t="shared" si="130"/>
        <v>0</v>
      </c>
      <c r="P299" s="63">
        <f t="shared" si="130"/>
        <v>0</v>
      </c>
      <c r="Q299" s="63">
        <f t="shared" si="130"/>
        <v>0</v>
      </c>
      <c r="R299" s="63">
        <f t="shared" si="131"/>
        <v>0</v>
      </c>
      <c r="S299" s="63">
        <f t="shared" si="131"/>
        <v>0</v>
      </c>
      <c r="T299" s="63">
        <f t="shared" si="131"/>
        <v>0</v>
      </c>
      <c r="U299" s="63">
        <f t="shared" si="131"/>
        <v>0</v>
      </c>
      <c r="V299" s="63">
        <f t="shared" si="131"/>
        <v>0</v>
      </c>
      <c r="W299" s="63">
        <f t="shared" si="131"/>
        <v>0</v>
      </c>
      <c r="X299" s="63">
        <f t="shared" si="131"/>
        <v>0</v>
      </c>
      <c r="Y299" s="63">
        <f t="shared" si="131"/>
        <v>0</v>
      </c>
      <c r="Z299" s="63">
        <f t="shared" si="131"/>
        <v>0</v>
      </c>
      <c r="AA299" s="63">
        <f t="shared" si="131"/>
        <v>0</v>
      </c>
      <c r="AB299" s="63">
        <f t="shared" si="131"/>
        <v>0</v>
      </c>
      <c r="AC299" s="63">
        <f t="shared" si="131"/>
        <v>0</v>
      </c>
      <c r="AD299" s="63">
        <f t="shared" si="131"/>
        <v>0</v>
      </c>
      <c r="AE299" s="63">
        <f t="shared" si="131"/>
        <v>0</v>
      </c>
      <c r="AF299" s="63">
        <f t="shared" si="132"/>
        <v>0</v>
      </c>
      <c r="AG299" s="58" t="str">
        <f t="shared" si="133"/>
        <v>ok</v>
      </c>
    </row>
    <row r="300" spans="1:33">
      <c r="A300" s="60">
        <v>910</v>
      </c>
      <c r="B300" s="60" t="s">
        <v>969</v>
      </c>
      <c r="C300" s="44" t="s">
        <v>970</v>
      </c>
      <c r="D300" s="44" t="s">
        <v>641</v>
      </c>
      <c r="F300" s="78">
        <v>1144803.32</v>
      </c>
      <c r="H300" s="63">
        <f t="shared" si="130"/>
        <v>0</v>
      </c>
      <c r="I300" s="63">
        <f t="shared" si="130"/>
        <v>0</v>
      </c>
      <c r="J300" s="63">
        <f t="shared" si="130"/>
        <v>0</v>
      </c>
      <c r="K300" s="63">
        <f t="shared" si="130"/>
        <v>0</v>
      </c>
      <c r="L300" s="63">
        <f t="shared" si="130"/>
        <v>0</v>
      </c>
      <c r="M300" s="63">
        <f t="shared" si="130"/>
        <v>0</v>
      </c>
      <c r="N300" s="63">
        <f t="shared" si="130"/>
        <v>0</v>
      </c>
      <c r="O300" s="63">
        <f t="shared" si="130"/>
        <v>0</v>
      </c>
      <c r="P300" s="63">
        <f t="shared" si="130"/>
        <v>0</v>
      </c>
      <c r="Q300" s="63">
        <f t="shared" si="130"/>
        <v>0</v>
      </c>
      <c r="R300" s="63">
        <f t="shared" si="131"/>
        <v>0</v>
      </c>
      <c r="S300" s="63">
        <f t="shared" si="131"/>
        <v>0</v>
      </c>
      <c r="T300" s="63">
        <f t="shared" si="131"/>
        <v>0</v>
      </c>
      <c r="U300" s="63">
        <f t="shared" si="131"/>
        <v>0</v>
      </c>
      <c r="V300" s="63">
        <f t="shared" si="131"/>
        <v>0</v>
      </c>
      <c r="W300" s="63">
        <f t="shared" si="131"/>
        <v>0</v>
      </c>
      <c r="X300" s="63">
        <f t="shared" si="131"/>
        <v>0</v>
      </c>
      <c r="Y300" s="63">
        <f t="shared" si="131"/>
        <v>0</v>
      </c>
      <c r="Z300" s="63">
        <f t="shared" si="131"/>
        <v>0</v>
      </c>
      <c r="AA300" s="63">
        <f t="shared" si="131"/>
        <v>0</v>
      </c>
      <c r="AB300" s="63">
        <f t="shared" si="131"/>
        <v>0</v>
      </c>
      <c r="AC300" s="63">
        <f t="shared" si="131"/>
        <v>0</v>
      </c>
      <c r="AD300" s="63">
        <f t="shared" si="131"/>
        <v>1144803.32</v>
      </c>
      <c r="AE300" s="63">
        <f t="shared" si="131"/>
        <v>0</v>
      </c>
      <c r="AF300" s="63">
        <f t="shared" si="132"/>
        <v>1144803.32</v>
      </c>
      <c r="AG300" s="58" t="str">
        <f t="shared" si="133"/>
        <v>ok</v>
      </c>
    </row>
    <row r="301" spans="1:33">
      <c r="A301" s="60">
        <v>911</v>
      </c>
      <c r="B301" s="60" t="s">
        <v>147</v>
      </c>
      <c r="C301" s="44" t="s">
        <v>168</v>
      </c>
      <c r="D301" s="44" t="s">
        <v>641</v>
      </c>
      <c r="F301" s="78">
        <v>0</v>
      </c>
      <c r="H301" s="63">
        <f t="shared" si="130"/>
        <v>0</v>
      </c>
      <c r="I301" s="63">
        <f t="shared" si="130"/>
        <v>0</v>
      </c>
      <c r="J301" s="63">
        <f t="shared" si="130"/>
        <v>0</v>
      </c>
      <c r="K301" s="63">
        <f t="shared" si="130"/>
        <v>0</v>
      </c>
      <c r="L301" s="63">
        <f t="shared" si="130"/>
        <v>0</v>
      </c>
      <c r="M301" s="63">
        <f t="shared" si="130"/>
        <v>0</v>
      </c>
      <c r="N301" s="63">
        <f t="shared" si="130"/>
        <v>0</v>
      </c>
      <c r="O301" s="63">
        <f t="shared" si="130"/>
        <v>0</v>
      </c>
      <c r="P301" s="63">
        <f t="shared" si="130"/>
        <v>0</v>
      </c>
      <c r="Q301" s="63">
        <f t="shared" si="130"/>
        <v>0</v>
      </c>
      <c r="R301" s="63">
        <f t="shared" si="131"/>
        <v>0</v>
      </c>
      <c r="S301" s="63">
        <f t="shared" si="131"/>
        <v>0</v>
      </c>
      <c r="T301" s="63">
        <f t="shared" si="131"/>
        <v>0</v>
      </c>
      <c r="U301" s="63">
        <f t="shared" si="131"/>
        <v>0</v>
      </c>
      <c r="V301" s="63">
        <f t="shared" si="131"/>
        <v>0</v>
      </c>
      <c r="W301" s="63">
        <f t="shared" si="131"/>
        <v>0</v>
      </c>
      <c r="X301" s="63">
        <f t="shared" si="131"/>
        <v>0</v>
      </c>
      <c r="Y301" s="63">
        <f t="shared" si="131"/>
        <v>0</v>
      </c>
      <c r="Z301" s="63">
        <f t="shared" si="131"/>
        <v>0</v>
      </c>
      <c r="AA301" s="63">
        <f t="shared" si="131"/>
        <v>0</v>
      </c>
      <c r="AB301" s="63">
        <f t="shared" si="131"/>
        <v>0</v>
      </c>
      <c r="AC301" s="63">
        <f t="shared" si="131"/>
        <v>0</v>
      </c>
      <c r="AD301" s="63">
        <f t="shared" si="131"/>
        <v>0</v>
      </c>
      <c r="AE301" s="63">
        <f t="shared" si="131"/>
        <v>0</v>
      </c>
      <c r="AF301" s="63">
        <f t="shared" si="132"/>
        <v>0</v>
      </c>
      <c r="AG301" s="58" t="str">
        <f t="shared" si="133"/>
        <v>ok</v>
      </c>
    </row>
    <row r="302" spans="1:33">
      <c r="A302" s="60">
        <v>912</v>
      </c>
      <c r="B302" s="60" t="s">
        <v>147</v>
      </c>
      <c r="C302" s="44" t="s">
        <v>148</v>
      </c>
      <c r="D302" s="44" t="s">
        <v>641</v>
      </c>
      <c r="F302" s="78">
        <v>56160</v>
      </c>
      <c r="H302" s="63">
        <f t="shared" si="130"/>
        <v>0</v>
      </c>
      <c r="I302" s="63">
        <f t="shared" si="130"/>
        <v>0</v>
      </c>
      <c r="J302" s="63">
        <f t="shared" si="130"/>
        <v>0</v>
      </c>
      <c r="K302" s="63">
        <f t="shared" si="130"/>
        <v>0</v>
      </c>
      <c r="L302" s="63">
        <f t="shared" si="130"/>
        <v>0</v>
      </c>
      <c r="M302" s="63">
        <f t="shared" si="130"/>
        <v>0</v>
      </c>
      <c r="N302" s="63">
        <f t="shared" si="130"/>
        <v>0</v>
      </c>
      <c r="O302" s="63">
        <f t="shared" si="130"/>
        <v>0</v>
      </c>
      <c r="P302" s="63">
        <f t="shared" si="130"/>
        <v>0</v>
      </c>
      <c r="Q302" s="63">
        <f t="shared" si="130"/>
        <v>0</v>
      </c>
      <c r="R302" s="63">
        <f t="shared" si="131"/>
        <v>0</v>
      </c>
      <c r="S302" s="63">
        <f t="shared" si="131"/>
        <v>0</v>
      </c>
      <c r="T302" s="63">
        <f t="shared" si="131"/>
        <v>0</v>
      </c>
      <c r="U302" s="63">
        <f t="shared" si="131"/>
        <v>0</v>
      </c>
      <c r="V302" s="63">
        <f t="shared" si="131"/>
        <v>0</v>
      </c>
      <c r="W302" s="63">
        <f t="shared" si="131"/>
        <v>0</v>
      </c>
      <c r="X302" s="63">
        <f t="shared" si="131"/>
        <v>0</v>
      </c>
      <c r="Y302" s="63">
        <f t="shared" si="131"/>
        <v>0</v>
      </c>
      <c r="Z302" s="63">
        <f t="shared" si="131"/>
        <v>0</v>
      </c>
      <c r="AA302" s="63">
        <f t="shared" si="131"/>
        <v>0</v>
      </c>
      <c r="AB302" s="63">
        <f t="shared" si="131"/>
        <v>0</v>
      </c>
      <c r="AC302" s="63">
        <f t="shared" si="131"/>
        <v>0</v>
      </c>
      <c r="AD302" s="63">
        <f t="shared" si="131"/>
        <v>56160</v>
      </c>
      <c r="AE302" s="63">
        <f t="shared" si="131"/>
        <v>0</v>
      </c>
      <c r="AF302" s="63">
        <f t="shared" si="132"/>
        <v>56160</v>
      </c>
      <c r="AG302" s="58" t="str">
        <f t="shared" si="133"/>
        <v>ok</v>
      </c>
    </row>
    <row r="303" spans="1:33">
      <c r="A303" s="60">
        <v>913</v>
      </c>
      <c r="B303" s="60" t="s">
        <v>157</v>
      </c>
      <c r="C303" s="44" t="s">
        <v>138</v>
      </c>
      <c r="D303" s="44" t="s">
        <v>641</v>
      </c>
      <c r="F303" s="78">
        <v>0</v>
      </c>
      <c r="H303" s="63">
        <f t="shared" si="130"/>
        <v>0</v>
      </c>
      <c r="I303" s="63">
        <f t="shared" si="130"/>
        <v>0</v>
      </c>
      <c r="J303" s="63">
        <f t="shared" si="130"/>
        <v>0</v>
      </c>
      <c r="K303" s="63">
        <f t="shared" si="130"/>
        <v>0</v>
      </c>
      <c r="L303" s="63">
        <f t="shared" si="130"/>
        <v>0</v>
      </c>
      <c r="M303" s="63">
        <f t="shared" si="130"/>
        <v>0</v>
      </c>
      <c r="N303" s="63">
        <f t="shared" si="130"/>
        <v>0</v>
      </c>
      <c r="O303" s="63">
        <f t="shared" si="130"/>
        <v>0</v>
      </c>
      <c r="P303" s="63">
        <f t="shared" si="130"/>
        <v>0</v>
      </c>
      <c r="Q303" s="63">
        <f t="shared" si="130"/>
        <v>0</v>
      </c>
      <c r="R303" s="63">
        <f t="shared" si="131"/>
        <v>0</v>
      </c>
      <c r="S303" s="63">
        <f t="shared" si="131"/>
        <v>0</v>
      </c>
      <c r="T303" s="63">
        <f t="shared" si="131"/>
        <v>0</v>
      </c>
      <c r="U303" s="63">
        <f t="shared" si="131"/>
        <v>0</v>
      </c>
      <c r="V303" s="63">
        <f t="shared" si="131"/>
        <v>0</v>
      </c>
      <c r="W303" s="63">
        <f t="shared" si="131"/>
        <v>0</v>
      </c>
      <c r="X303" s="63">
        <f t="shared" si="131"/>
        <v>0</v>
      </c>
      <c r="Y303" s="63">
        <f t="shared" si="131"/>
        <v>0</v>
      </c>
      <c r="Z303" s="63">
        <f t="shared" si="131"/>
        <v>0</v>
      </c>
      <c r="AA303" s="63">
        <f t="shared" si="131"/>
        <v>0</v>
      </c>
      <c r="AB303" s="63">
        <f t="shared" si="131"/>
        <v>0</v>
      </c>
      <c r="AC303" s="63">
        <f t="shared" si="131"/>
        <v>0</v>
      </c>
      <c r="AD303" s="63">
        <f t="shared" si="131"/>
        <v>0</v>
      </c>
      <c r="AE303" s="63">
        <f t="shared" si="131"/>
        <v>0</v>
      </c>
      <c r="AF303" s="63">
        <f t="shared" si="132"/>
        <v>0</v>
      </c>
      <c r="AG303" s="58" t="str">
        <f t="shared" si="133"/>
        <v>ok</v>
      </c>
    </row>
    <row r="304" spans="1:33">
      <c r="A304" s="60">
        <v>916</v>
      </c>
      <c r="B304" s="60" t="s">
        <v>159</v>
      </c>
      <c r="C304" s="44" t="s">
        <v>160</v>
      </c>
      <c r="D304" s="44" t="s">
        <v>641</v>
      </c>
      <c r="F304" s="78">
        <v>0</v>
      </c>
      <c r="H304" s="63">
        <f t="shared" si="130"/>
        <v>0</v>
      </c>
      <c r="I304" s="63">
        <f t="shared" si="130"/>
        <v>0</v>
      </c>
      <c r="J304" s="63">
        <f t="shared" si="130"/>
        <v>0</v>
      </c>
      <c r="K304" s="63">
        <f t="shared" si="130"/>
        <v>0</v>
      </c>
      <c r="L304" s="63">
        <f t="shared" si="130"/>
        <v>0</v>
      </c>
      <c r="M304" s="63">
        <f t="shared" si="130"/>
        <v>0</v>
      </c>
      <c r="N304" s="63">
        <f t="shared" si="130"/>
        <v>0</v>
      </c>
      <c r="O304" s="63">
        <f t="shared" si="130"/>
        <v>0</v>
      </c>
      <c r="P304" s="63">
        <f t="shared" si="130"/>
        <v>0</v>
      </c>
      <c r="Q304" s="63">
        <f t="shared" si="130"/>
        <v>0</v>
      </c>
      <c r="R304" s="63">
        <f t="shared" si="131"/>
        <v>0</v>
      </c>
      <c r="S304" s="63">
        <f t="shared" si="131"/>
        <v>0</v>
      </c>
      <c r="T304" s="63">
        <f t="shared" si="131"/>
        <v>0</v>
      </c>
      <c r="U304" s="63">
        <f t="shared" si="131"/>
        <v>0</v>
      </c>
      <c r="V304" s="63">
        <f t="shared" si="131"/>
        <v>0</v>
      </c>
      <c r="W304" s="63">
        <f t="shared" si="131"/>
        <v>0</v>
      </c>
      <c r="X304" s="63">
        <f t="shared" si="131"/>
        <v>0</v>
      </c>
      <c r="Y304" s="63">
        <f t="shared" si="131"/>
        <v>0</v>
      </c>
      <c r="Z304" s="63">
        <f t="shared" si="131"/>
        <v>0</v>
      </c>
      <c r="AA304" s="63">
        <f t="shared" si="131"/>
        <v>0</v>
      </c>
      <c r="AB304" s="63">
        <f t="shared" si="131"/>
        <v>0</v>
      </c>
      <c r="AC304" s="63">
        <f t="shared" si="131"/>
        <v>0</v>
      </c>
      <c r="AD304" s="63">
        <f t="shared" si="131"/>
        <v>0</v>
      </c>
      <c r="AE304" s="63">
        <f t="shared" si="131"/>
        <v>0</v>
      </c>
      <c r="AF304" s="63">
        <f t="shared" si="132"/>
        <v>0</v>
      </c>
      <c r="AG304" s="58" t="str">
        <f t="shared" si="133"/>
        <v>ok</v>
      </c>
    </row>
    <row r="305" spans="1:33">
      <c r="A305" s="60"/>
      <c r="B305" s="60"/>
      <c r="F305" s="78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58"/>
    </row>
    <row r="306" spans="1:33">
      <c r="A306" s="60" t="s">
        <v>971</v>
      </c>
      <c r="B306" s="60"/>
      <c r="C306" s="44" t="s">
        <v>972</v>
      </c>
      <c r="F306" s="75">
        <f t="shared" ref="F306:AE306" si="134">SUM(F295:F305)</f>
        <v>3422871.8415856296</v>
      </c>
      <c r="G306" s="62">
        <f t="shared" si="134"/>
        <v>0</v>
      </c>
      <c r="H306" s="62">
        <f t="shared" si="134"/>
        <v>0</v>
      </c>
      <c r="I306" s="62">
        <f t="shared" si="134"/>
        <v>0</v>
      </c>
      <c r="J306" s="62">
        <f t="shared" si="134"/>
        <v>0</v>
      </c>
      <c r="K306" s="62">
        <f t="shared" si="134"/>
        <v>0</v>
      </c>
      <c r="L306" s="62">
        <f t="shared" si="134"/>
        <v>0</v>
      </c>
      <c r="M306" s="62">
        <f t="shared" si="134"/>
        <v>0</v>
      </c>
      <c r="N306" s="62">
        <f t="shared" si="134"/>
        <v>0</v>
      </c>
      <c r="O306" s="62">
        <f t="shared" si="134"/>
        <v>0</v>
      </c>
      <c r="P306" s="62">
        <f t="shared" si="134"/>
        <v>0</v>
      </c>
      <c r="Q306" s="62">
        <f t="shared" si="134"/>
        <v>0</v>
      </c>
      <c r="R306" s="62">
        <f t="shared" si="134"/>
        <v>0</v>
      </c>
      <c r="S306" s="62">
        <f t="shared" si="134"/>
        <v>0</v>
      </c>
      <c r="T306" s="62">
        <f t="shared" si="134"/>
        <v>0</v>
      </c>
      <c r="U306" s="62">
        <f t="shared" si="134"/>
        <v>0</v>
      </c>
      <c r="V306" s="62">
        <f t="shared" si="134"/>
        <v>0</v>
      </c>
      <c r="W306" s="62">
        <f t="shared" si="134"/>
        <v>0</v>
      </c>
      <c r="X306" s="62">
        <f t="shared" si="134"/>
        <v>0</v>
      </c>
      <c r="Y306" s="62">
        <f t="shared" si="134"/>
        <v>0</v>
      </c>
      <c r="Z306" s="62">
        <f t="shared" si="134"/>
        <v>0</v>
      </c>
      <c r="AA306" s="62">
        <f t="shared" si="134"/>
        <v>0</v>
      </c>
      <c r="AB306" s="62">
        <f t="shared" si="134"/>
        <v>0</v>
      </c>
      <c r="AC306" s="62">
        <f t="shared" si="134"/>
        <v>0</v>
      </c>
      <c r="AD306" s="62">
        <f t="shared" si="134"/>
        <v>3422871.8415856296</v>
      </c>
      <c r="AE306" s="62">
        <f t="shared" si="134"/>
        <v>0</v>
      </c>
      <c r="AF306" s="63">
        <f>SUM(H306:AE306)</f>
        <v>3422871.8415856296</v>
      </c>
      <c r="AG306" s="58" t="str">
        <f>IF(ABS(AF306-F306)&lt;1,"ok","err")</f>
        <v>ok</v>
      </c>
    </row>
    <row r="307" spans="1:33">
      <c r="A307" s="60"/>
      <c r="B307" s="60"/>
      <c r="F307" s="78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G307" s="58"/>
    </row>
    <row r="308" spans="1:33">
      <c r="A308" s="60" t="s">
        <v>267</v>
      </c>
      <c r="B308" s="60"/>
      <c r="C308" s="44" t="s">
        <v>18</v>
      </c>
      <c r="F308" s="78">
        <f>F280+F292+F306</f>
        <v>557295499.83783984</v>
      </c>
      <c r="G308" s="63">
        <f>G278+G292+G306</f>
        <v>0</v>
      </c>
      <c r="H308" s="63">
        <f t="shared" ref="H308:AF308" si="135">H280+H292+H306</f>
        <v>80778953.804495692</v>
      </c>
      <c r="I308" s="63">
        <f t="shared" si="135"/>
        <v>0</v>
      </c>
      <c r="J308" s="63">
        <f t="shared" si="135"/>
        <v>0</v>
      </c>
      <c r="K308" s="63">
        <f t="shared" si="135"/>
        <v>376761550.96654743</v>
      </c>
      <c r="L308" s="63">
        <f t="shared" si="135"/>
        <v>0</v>
      </c>
      <c r="M308" s="63">
        <f t="shared" si="135"/>
        <v>0</v>
      </c>
      <c r="N308" s="63">
        <f t="shared" si="135"/>
        <v>27773572.999999899</v>
      </c>
      <c r="O308" s="63">
        <f t="shared" si="135"/>
        <v>0</v>
      </c>
      <c r="P308" s="63">
        <f t="shared" si="135"/>
        <v>0</v>
      </c>
      <c r="Q308" s="63">
        <f t="shared" si="135"/>
        <v>0</v>
      </c>
      <c r="R308" s="63">
        <f t="shared" si="135"/>
        <v>5320872.0641060146</v>
      </c>
      <c r="S308" s="63">
        <f t="shared" si="135"/>
        <v>0</v>
      </c>
      <c r="T308" s="63">
        <f t="shared" si="135"/>
        <v>10247104.73781072</v>
      </c>
      <c r="U308" s="63">
        <f t="shared" si="135"/>
        <v>17136051.145477891</v>
      </c>
      <c r="V308" s="63">
        <f t="shared" si="135"/>
        <v>3222380.3576403731</v>
      </c>
      <c r="W308" s="63">
        <f t="shared" si="135"/>
        <v>5580825.2596069975</v>
      </c>
      <c r="X308" s="63">
        <f t="shared" si="135"/>
        <v>691763.67803688126</v>
      </c>
      <c r="Y308" s="63">
        <f t="shared" si="135"/>
        <v>385594.54324795608</v>
      </c>
      <c r="Z308" s="63">
        <f t="shared" si="135"/>
        <v>203792.81240431065</v>
      </c>
      <c r="AA308" s="63">
        <f t="shared" si="135"/>
        <v>9055068.7351165973</v>
      </c>
      <c r="AB308" s="63">
        <f t="shared" si="135"/>
        <v>1240151.6665522291</v>
      </c>
      <c r="AC308" s="63">
        <f t="shared" si="135"/>
        <v>15474945.22521111</v>
      </c>
      <c r="AD308" s="63">
        <f t="shared" si="135"/>
        <v>3422871.8415856296</v>
      </c>
      <c r="AE308" s="63">
        <f t="shared" si="135"/>
        <v>0</v>
      </c>
      <c r="AF308" s="63">
        <f t="shared" si="135"/>
        <v>557295499.83783972</v>
      </c>
      <c r="AG308" s="58" t="str">
        <f>IF(ABS(AF308-F308)&lt;1,"ok","err")</f>
        <v>ok</v>
      </c>
    </row>
    <row r="309" spans="1:33">
      <c r="A309" s="60"/>
      <c r="B309" s="60"/>
      <c r="F309" s="78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G309" s="58"/>
    </row>
    <row r="310" spans="1:33">
      <c r="A310" s="60"/>
      <c r="B310" s="60"/>
      <c r="F310" s="78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G310" s="58"/>
    </row>
    <row r="311" spans="1:33">
      <c r="A311" s="60"/>
      <c r="B311" s="60"/>
      <c r="F311" s="78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G311" s="58"/>
    </row>
    <row r="312" spans="1:33">
      <c r="A312" s="60"/>
      <c r="B312" s="60"/>
      <c r="F312" s="78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G312" s="58"/>
    </row>
    <row r="313" spans="1:33">
      <c r="A313" s="60"/>
      <c r="B313" s="60"/>
      <c r="F313" s="78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G313" s="58"/>
    </row>
    <row r="314" spans="1:33" ht="15">
      <c r="A314" s="59" t="s">
        <v>950</v>
      </c>
      <c r="B314" s="60"/>
      <c r="F314" s="78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G314" s="58"/>
    </row>
    <row r="315" spans="1:33">
      <c r="A315" s="60"/>
      <c r="B315" s="60"/>
      <c r="F315" s="78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G315" s="58"/>
    </row>
    <row r="316" spans="1:33" ht="15">
      <c r="A316" s="65" t="s">
        <v>973</v>
      </c>
      <c r="B316" s="60"/>
      <c r="F316" s="78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G316" s="58"/>
    </row>
    <row r="317" spans="1:33">
      <c r="A317" s="60">
        <v>920</v>
      </c>
      <c r="B317" s="60" t="s">
        <v>974</v>
      </c>
      <c r="C317" s="44" t="s">
        <v>975</v>
      </c>
      <c r="D317" s="44" t="s">
        <v>642</v>
      </c>
      <c r="F317" s="75">
        <v>25891027.499075498</v>
      </c>
      <c r="H317" s="63">
        <f t="shared" ref="H317:Q329" si="136">IF(VLOOKUP($D317,$C$6:$AE$653,H$2,)=0,0,((VLOOKUP($D317,$C$6:$AE$653,H$2,)/VLOOKUP($D317,$C$6:$AE$653,4,))*$F317))</f>
        <v>8431182.2165592257</v>
      </c>
      <c r="I317" s="63">
        <f t="shared" si="136"/>
        <v>0</v>
      </c>
      <c r="J317" s="63">
        <f t="shared" si="136"/>
        <v>0</v>
      </c>
      <c r="K317" s="63">
        <f t="shared" si="136"/>
        <v>7150539.7075525504</v>
      </c>
      <c r="L317" s="63">
        <f t="shared" si="136"/>
        <v>0</v>
      </c>
      <c r="M317" s="63">
        <f t="shared" si="136"/>
        <v>0</v>
      </c>
      <c r="N317" s="63">
        <f t="shared" si="136"/>
        <v>1943054.2351414012</v>
      </c>
      <c r="O317" s="63">
        <f t="shared" si="136"/>
        <v>0</v>
      </c>
      <c r="P317" s="63">
        <f t="shared" si="136"/>
        <v>0</v>
      </c>
      <c r="Q317" s="63">
        <f t="shared" si="136"/>
        <v>0</v>
      </c>
      <c r="R317" s="63">
        <f t="shared" ref="R317:AE329" si="137">IF(VLOOKUP($D317,$C$6:$AE$653,R$2,)=0,0,((VLOOKUP($D317,$C$6:$AE$653,R$2,)/VLOOKUP($D317,$C$6:$AE$653,4,))*$F317))</f>
        <v>808693.21389403462</v>
      </c>
      <c r="S317" s="63">
        <f t="shared" si="137"/>
        <v>0</v>
      </c>
      <c r="T317" s="63">
        <f t="shared" si="137"/>
        <v>802104.38712627313</v>
      </c>
      <c r="U317" s="63">
        <f t="shared" si="137"/>
        <v>1355414.01563112</v>
      </c>
      <c r="V317" s="63">
        <f t="shared" si="137"/>
        <v>266149.73323603137</v>
      </c>
      <c r="W317" s="63">
        <f t="shared" si="137"/>
        <v>463476.94633485307</v>
      </c>
      <c r="X317" s="63">
        <f t="shared" si="137"/>
        <v>72721.979244251226</v>
      </c>
      <c r="Y317" s="63">
        <f t="shared" si="137"/>
        <v>40535.806173505654</v>
      </c>
      <c r="Z317" s="63">
        <f t="shared" si="137"/>
        <v>18178.239867316723</v>
      </c>
      <c r="AA317" s="63">
        <f t="shared" si="137"/>
        <v>1650317.7767266326</v>
      </c>
      <c r="AB317" s="63">
        <f t="shared" si="137"/>
        <v>62717.628414631108</v>
      </c>
      <c r="AC317" s="63">
        <f t="shared" si="137"/>
        <v>2320422.6242734226</v>
      </c>
      <c r="AD317" s="63">
        <f t="shared" si="137"/>
        <v>505518.98890024697</v>
      </c>
      <c r="AE317" s="63">
        <f t="shared" si="137"/>
        <v>0</v>
      </c>
      <c r="AF317" s="63">
        <f t="shared" ref="AF317:AF328" si="138">SUM(H317:AE317)</f>
        <v>25891027.499075502</v>
      </c>
      <c r="AG317" s="58" t="str">
        <f t="shared" ref="AG317:AG328" si="139">IF(ABS(AF317-F317)&lt;1,"ok","err")</f>
        <v>ok</v>
      </c>
    </row>
    <row r="318" spans="1:33">
      <c r="A318" s="60">
        <v>921</v>
      </c>
      <c r="B318" s="60" t="s">
        <v>976</v>
      </c>
      <c r="C318" s="44" t="s">
        <v>977</v>
      </c>
      <c r="D318" s="44" t="s">
        <v>642</v>
      </c>
      <c r="F318" s="78">
        <v>7802684.7143973298</v>
      </c>
      <c r="H318" s="63">
        <f t="shared" si="136"/>
        <v>2540874.6952122436</v>
      </c>
      <c r="I318" s="63">
        <f t="shared" si="136"/>
        <v>0</v>
      </c>
      <c r="J318" s="63">
        <f t="shared" si="136"/>
        <v>0</v>
      </c>
      <c r="K318" s="63">
        <f t="shared" si="136"/>
        <v>2154932.1237947657</v>
      </c>
      <c r="L318" s="63">
        <f t="shared" si="136"/>
        <v>0</v>
      </c>
      <c r="M318" s="63">
        <f t="shared" si="136"/>
        <v>0</v>
      </c>
      <c r="N318" s="63">
        <f t="shared" si="136"/>
        <v>585571.18215274264</v>
      </c>
      <c r="O318" s="63">
        <f t="shared" si="136"/>
        <v>0</v>
      </c>
      <c r="P318" s="63">
        <f t="shared" si="136"/>
        <v>0</v>
      </c>
      <c r="Q318" s="63">
        <f t="shared" si="136"/>
        <v>0</v>
      </c>
      <c r="R318" s="63">
        <f t="shared" si="137"/>
        <v>243712.93023859896</v>
      </c>
      <c r="S318" s="63">
        <f t="shared" si="137"/>
        <v>0</v>
      </c>
      <c r="T318" s="63">
        <f t="shared" si="137"/>
        <v>241727.27949884132</v>
      </c>
      <c r="U318" s="63">
        <f t="shared" si="137"/>
        <v>408476.18820158765</v>
      </c>
      <c r="V318" s="63">
        <f t="shared" si="137"/>
        <v>80208.576323819594</v>
      </c>
      <c r="W318" s="63">
        <f t="shared" si="137"/>
        <v>139676.36026695505</v>
      </c>
      <c r="X318" s="63">
        <f t="shared" si="137"/>
        <v>21915.958177793455</v>
      </c>
      <c r="Y318" s="63">
        <f t="shared" si="137"/>
        <v>12216.128356708876</v>
      </c>
      <c r="Z318" s="63">
        <f t="shared" si="137"/>
        <v>5478.3099802595725</v>
      </c>
      <c r="AA318" s="63">
        <f t="shared" si="137"/>
        <v>497350.26123713644</v>
      </c>
      <c r="AB318" s="63">
        <f t="shared" si="137"/>
        <v>18900.983383976079</v>
      </c>
      <c r="AC318" s="63">
        <f t="shared" si="137"/>
        <v>699297.31996949425</v>
      </c>
      <c r="AD318" s="63">
        <f t="shared" si="137"/>
        <v>152346.41760240667</v>
      </c>
      <c r="AE318" s="63">
        <f t="shared" si="137"/>
        <v>0</v>
      </c>
      <c r="AF318" s="63">
        <f t="shared" si="138"/>
        <v>7802684.7143973289</v>
      </c>
      <c r="AG318" s="58" t="str">
        <f t="shared" si="139"/>
        <v>ok</v>
      </c>
    </row>
    <row r="319" spans="1:33">
      <c r="A319" s="60">
        <v>922</v>
      </c>
      <c r="B319" s="60" t="s">
        <v>268</v>
      </c>
      <c r="C319" s="44" t="s">
        <v>269</v>
      </c>
      <c r="D319" s="44" t="s">
        <v>642</v>
      </c>
      <c r="F319" s="78">
        <v>-5240118</v>
      </c>
      <c r="H319" s="63">
        <f t="shared" si="136"/>
        <v>-1706397.6968797189</v>
      </c>
      <c r="I319" s="63">
        <f t="shared" si="136"/>
        <v>0</v>
      </c>
      <c r="J319" s="63">
        <f t="shared" si="136"/>
        <v>0</v>
      </c>
      <c r="K319" s="63">
        <f t="shared" si="136"/>
        <v>-1447206.8299567795</v>
      </c>
      <c r="L319" s="63">
        <f t="shared" si="136"/>
        <v>0</v>
      </c>
      <c r="M319" s="63">
        <f t="shared" si="136"/>
        <v>0</v>
      </c>
      <c r="N319" s="63">
        <f t="shared" si="136"/>
        <v>-393257.21904641506</v>
      </c>
      <c r="O319" s="63">
        <f t="shared" si="136"/>
        <v>0</v>
      </c>
      <c r="P319" s="63">
        <f t="shared" si="136"/>
        <v>0</v>
      </c>
      <c r="Q319" s="63">
        <f t="shared" si="136"/>
        <v>0</v>
      </c>
      <c r="R319" s="63">
        <f t="shared" si="137"/>
        <v>-163672.44856370788</v>
      </c>
      <c r="S319" s="63">
        <f t="shared" si="137"/>
        <v>0</v>
      </c>
      <c r="T319" s="63">
        <f t="shared" si="137"/>
        <v>-162338.92753037455</v>
      </c>
      <c r="U319" s="63">
        <f t="shared" si="137"/>
        <v>-274323.9672900014</v>
      </c>
      <c r="V319" s="63">
        <f t="shared" si="137"/>
        <v>-53866.383165949126</v>
      </c>
      <c r="W319" s="63">
        <f t="shared" si="137"/>
        <v>-93803.688909643286</v>
      </c>
      <c r="X319" s="63">
        <f t="shared" si="137"/>
        <v>-14718.293912709116</v>
      </c>
      <c r="Y319" s="63">
        <f t="shared" si="137"/>
        <v>-8204.093390340835</v>
      </c>
      <c r="Z319" s="63">
        <f t="shared" si="137"/>
        <v>-3679.1170972432565</v>
      </c>
      <c r="AA319" s="63">
        <f t="shared" si="137"/>
        <v>-334009.91474185418</v>
      </c>
      <c r="AB319" s="63">
        <f t="shared" si="137"/>
        <v>-12693.50061848859</v>
      </c>
      <c r="AC319" s="63">
        <f t="shared" si="137"/>
        <v>-469633.28749685868</v>
      </c>
      <c r="AD319" s="63">
        <f t="shared" si="137"/>
        <v>-102312.63139991538</v>
      </c>
      <c r="AE319" s="63">
        <f t="shared" si="137"/>
        <v>0</v>
      </c>
      <c r="AF319" s="63">
        <f>SUM(H319:AE319)</f>
        <v>-5240118</v>
      </c>
      <c r="AG319" s="58" t="str">
        <f t="shared" si="139"/>
        <v>ok</v>
      </c>
    </row>
    <row r="320" spans="1:33">
      <c r="A320" s="60">
        <v>923</v>
      </c>
      <c r="B320" s="60" t="s">
        <v>978</v>
      </c>
      <c r="C320" s="44" t="s">
        <v>979</v>
      </c>
      <c r="D320" s="44" t="s">
        <v>642</v>
      </c>
      <c r="F320" s="78">
        <v>17066020.5</v>
      </c>
      <c r="H320" s="63">
        <f t="shared" si="136"/>
        <v>5557397.3861088753</v>
      </c>
      <c r="I320" s="63">
        <f t="shared" si="136"/>
        <v>0</v>
      </c>
      <c r="J320" s="63">
        <f t="shared" si="136"/>
        <v>0</v>
      </c>
      <c r="K320" s="63">
        <f t="shared" si="136"/>
        <v>4713264.3630892308</v>
      </c>
      <c r="L320" s="63">
        <f t="shared" si="136"/>
        <v>0</v>
      </c>
      <c r="M320" s="63">
        <f t="shared" si="136"/>
        <v>0</v>
      </c>
      <c r="N320" s="63">
        <f t="shared" si="136"/>
        <v>1280760.4260093207</v>
      </c>
      <c r="O320" s="63">
        <f t="shared" si="136"/>
        <v>0</v>
      </c>
      <c r="P320" s="63">
        <f t="shared" si="136"/>
        <v>0</v>
      </c>
      <c r="Q320" s="63">
        <f t="shared" si="136"/>
        <v>0</v>
      </c>
      <c r="R320" s="63">
        <f t="shared" si="137"/>
        <v>533048.56159220729</v>
      </c>
      <c r="S320" s="63">
        <f t="shared" si="137"/>
        <v>0</v>
      </c>
      <c r="T320" s="63">
        <f t="shared" si="137"/>
        <v>528705.5492226294</v>
      </c>
      <c r="U320" s="63">
        <f t="shared" si="137"/>
        <v>893418.51641747251</v>
      </c>
      <c r="V320" s="63">
        <f t="shared" si="137"/>
        <v>175432.07984456507</v>
      </c>
      <c r="W320" s="63">
        <f t="shared" si="137"/>
        <v>305499.92918243347</v>
      </c>
      <c r="X320" s="63">
        <f t="shared" si="137"/>
        <v>47934.551405010148</v>
      </c>
      <c r="Y320" s="63">
        <f t="shared" si="137"/>
        <v>26719.097925556485</v>
      </c>
      <c r="Z320" s="63">
        <f t="shared" si="137"/>
        <v>11982.151509461029</v>
      </c>
      <c r="AA320" s="63">
        <f t="shared" si="137"/>
        <v>1087803.7578901344</v>
      </c>
      <c r="AB320" s="63">
        <f t="shared" si="137"/>
        <v>41340.202982430732</v>
      </c>
      <c r="AC320" s="63">
        <f t="shared" si="137"/>
        <v>1529502.066919826</v>
      </c>
      <c r="AD320" s="63">
        <f t="shared" si="137"/>
        <v>333211.85990084568</v>
      </c>
      <c r="AE320" s="63">
        <f t="shared" si="137"/>
        <v>0</v>
      </c>
      <c r="AF320" s="63">
        <f t="shared" si="138"/>
        <v>17066020.499999996</v>
      </c>
      <c r="AG320" s="58" t="str">
        <f t="shared" si="139"/>
        <v>ok</v>
      </c>
    </row>
    <row r="321" spans="1:33">
      <c r="A321" s="60">
        <v>924</v>
      </c>
      <c r="B321" s="60" t="s">
        <v>980</v>
      </c>
      <c r="C321" s="44" t="s">
        <v>981</v>
      </c>
      <c r="D321" s="44" t="s">
        <v>894</v>
      </c>
      <c r="F321" s="78">
        <v>7218577.5</v>
      </c>
      <c r="H321" s="63">
        <f t="shared" si="136"/>
        <v>4385652.7896474302</v>
      </c>
      <c r="I321" s="63">
        <f t="shared" si="136"/>
        <v>0</v>
      </c>
      <c r="J321" s="63">
        <f t="shared" si="136"/>
        <v>0</v>
      </c>
      <c r="K321" s="63">
        <f t="shared" si="136"/>
        <v>0</v>
      </c>
      <c r="L321" s="63">
        <f t="shared" si="136"/>
        <v>0</v>
      </c>
      <c r="M321" s="63">
        <f t="shared" si="136"/>
        <v>0</v>
      </c>
      <c r="N321" s="63">
        <f t="shared" si="136"/>
        <v>695006.24001376785</v>
      </c>
      <c r="O321" s="63">
        <f t="shared" si="136"/>
        <v>0</v>
      </c>
      <c r="P321" s="63">
        <f t="shared" si="136"/>
        <v>0</v>
      </c>
      <c r="Q321" s="63">
        <f t="shared" si="136"/>
        <v>0</v>
      </c>
      <c r="R321" s="63">
        <f t="shared" si="137"/>
        <v>266602.05464531388</v>
      </c>
      <c r="S321" s="63">
        <f t="shared" si="137"/>
        <v>0</v>
      </c>
      <c r="T321" s="63">
        <f t="shared" si="137"/>
        <v>409281.79006459948</v>
      </c>
      <c r="U321" s="63">
        <f t="shared" si="137"/>
        <v>669760.52148736035</v>
      </c>
      <c r="V321" s="63">
        <f t="shared" si="137"/>
        <v>114193.35429251163</v>
      </c>
      <c r="W321" s="63">
        <f t="shared" si="137"/>
        <v>195128.49123151397</v>
      </c>
      <c r="X321" s="63">
        <f t="shared" si="137"/>
        <v>139893.29065750208</v>
      </c>
      <c r="Y321" s="63">
        <f t="shared" si="137"/>
        <v>77977.626214218719</v>
      </c>
      <c r="Z321" s="63">
        <f t="shared" si="137"/>
        <v>49856.63062387539</v>
      </c>
      <c r="AA321" s="63">
        <f t="shared" si="137"/>
        <v>50845.161742483935</v>
      </c>
      <c r="AB321" s="63">
        <f t="shared" si="137"/>
        <v>164379.5493794244</v>
      </c>
      <c r="AC321" s="63">
        <f t="shared" si="137"/>
        <v>0</v>
      </c>
      <c r="AD321" s="63">
        <f t="shared" si="137"/>
        <v>0</v>
      </c>
      <c r="AE321" s="63">
        <f t="shared" si="137"/>
        <v>0</v>
      </c>
      <c r="AF321" s="63">
        <f t="shared" si="138"/>
        <v>7218577.5000000019</v>
      </c>
      <c r="AG321" s="58" t="str">
        <f t="shared" si="139"/>
        <v>ok</v>
      </c>
    </row>
    <row r="322" spans="1:33">
      <c r="A322" s="60">
        <v>925</v>
      </c>
      <c r="B322" s="60" t="s">
        <v>1234</v>
      </c>
      <c r="C322" s="44" t="s">
        <v>982</v>
      </c>
      <c r="D322" s="44" t="s">
        <v>642</v>
      </c>
      <c r="F322" s="78">
        <v>3235547.75</v>
      </c>
      <c r="H322" s="63">
        <f t="shared" si="136"/>
        <v>1053627.2711309853</v>
      </c>
      <c r="I322" s="63">
        <f t="shared" si="136"/>
        <v>0</v>
      </c>
      <c r="J322" s="63">
        <f t="shared" si="136"/>
        <v>0</v>
      </c>
      <c r="K322" s="63">
        <f t="shared" si="136"/>
        <v>893588.04562250129</v>
      </c>
      <c r="L322" s="63">
        <f t="shared" si="136"/>
        <v>0</v>
      </c>
      <c r="M322" s="63">
        <f t="shared" si="136"/>
        <v>0</v>
      </c>
      <c r="N322" s="63">
        <f t="shared" si="136"/>
        <v>242819.4384662493</v>
      </c>
      <c r="O322" s="63">
        <f t="shared" si="136"/>
        <v>0</v>
      </c>
      <c r="P322" s="63">
        <f t="shared" si="136"/>
        <v>0</v>
      </c>
      <c r="Q322" s="63">
        <f t="shared" si="136"/>
        <v>0</v>
      </c>
      <c r="R322" s="63">
        <f t="shared" si="137"/>
        <v>101060.70563435704</v>
      </c>
      <c r="S322" s="63">
        <f t="shared" si="137"/>
        <v>0</v>
      </c>
      <c r="T322" s="63">
        <f t="shared" si="137"/>
        <v>100237.31368421788</v>
      </c>
      <c r="U322" s="63">
        <f t="shared" si="137"/>
        <v>169383.26486850824</v>
      </c>
      <c r="V322" s="63">
        <f t="shared" si="137"/>
        <v>33260.177509976791</v>
      </c>
      <c r="W322" s="63">
        <f t="shared" si="137"/>
        <v>57919.748103629783</v>
      </c>
      <c r="X322" s="63">
        <f t="shared" si="137"/>
        <v>9087.9141945094889</v>
      </c>
      <c r="Y322" s="63">
        <f t="shared" si="137"/>
        <v>5065.6752214181361</v>
      </c>
      <c r="Z322" s="63">
        <f t="shared" si="137"/>
        <v>2271.6967530066972</v>
      </c>
      <c r="AA322" s="63">
        <f t="shared" si="137"/>
        <v>206236.77331706998</v>
      </c>
      <c r="AB322" s="63">
        <f t="shared" si="137"/>
        <v>7837.6913202669039</v>
      </c>
      <c r="AC322" s="63">
        <f t="shared" si="137"/>
        <v>289978.37962533749</v>
      </c>
      <c r="AD322" s="63">
        <f t="shared" si="137"/>
        <v>63173.654547965438</v>
      </c>
      <c r="AE322" s="63">
        <f t="shared" si="137"/>
        <v>0</v>
      </c>
      <c r="AF322" s="63">
        <f t="shared" si="138"/>
        <v>3235547.7500000005</v>
      </c>
      <c r="AG322" s="58" t="str">
        <f t="shared" si="139"/>
        <v>ok</v>
      </c>
    </row>
    <row r="323" spans="1:33">
      <c r="A323" s="60">
        <v>926</v>
      </c>
      <c r="B323" s="60" t="s">
        <v>983</v>
      </c>
      <c r="C323" s="44" t="s">
        <v>984</v>
      </c>
      <c r="D323" s="44" t="s">
        <v>642</v>
      </c>
      <c r="F323" s="78">
        <v>23981335.249999899</v>
      </c>
      <c r="H323" s="63">
        <f t="shared" si="136"/>
        <v>7809307.9657176128</v>
      </c>
      <c r="I323" s="63">
        <f t="shared" si="136"/>
        <v>0</v>
      </c>
      <c r="J323" s="63">
        <f t="shared" si="136"/>
        <v>0</v>
      </c>
      <c r="K323" s="63">
        <f t="shared" si="136"/>
        <v>6623124.1672960659</v>
      </c>
      <c r="L323" s="63">
        <f t="shared" si="136"/>
        <v>0</v>
      </c>
      <c r="M323" s="63">
        <f t="shared" si="136"/>
        <v>0</v>
      </c>
      <c r="N323" s="63">
        <f t="shared" si="136"/>
        <v>1799736.8016206364</v>
      </c>
      <c r="O323" s="63">
        <f t="shared" si="136"/>
        <v>0</v>
      </c>
      <c r="P323" s="63">
        <f t="shared" si="136"/>
        <v>0</v>
      </c>
      <c r="Q323" s="63">
        <f t="shared" si="136"/>
        <v>0</v>
      </c>
      <c r="R323" s="63">
        <f t="shared" si="137"/>
        <v>749044.93757481093</v>
      </c>
      <c r="S323" s="63">
        <f t="shared" si="137"/>
        <v>0</v>
      </c>
      <c r="T323" s="63">
        <f t="shared" si="137"/>
        <v>742942.09505040734</v>
      </c>
      <c r="U323" s="63">
        <f t="shared" si="137"/>
        <v>1255440.2451798853</v>
      </c>
      <c r="V323" s="63">
        <f t="shared" si="137"/>
        <v>246518.83667649791</v>
      </c>
      <c r="W323" s="63">
        <f t="shared" si="137"/>
        <v>429291.4227177428</v>
      </c>
      <c r="X323" s="63">
        <f t="shared" si="137"/>
        <v>67358.090147723779</v>
      </c>
      <c r="Y323" s="63">
        <f t="shared" si="137"/>
        <v>37545.931983988121</v>
      </c>
      <c r="Z323" s="63">
        <f t="shared" si="137"/>
        <v>16837.433915228055</v>
      </c>
      <c r="AA323" s="63">
        <f t="shared" si="137"/>
        <v>1528592.2458708542</v>
      </c>
      <c r="AB323" s="63">
        <f t="shared" si="137"/>
        <v>58091.64866670101</v>
      </c>
      <c r="AC323" s="63">
        <f t="shared" si="137"/>
        <v>2149270.934742644</v>
      </c>
      <c r="AD323" s="63">
        <f t="shared" si="137"/>
        <v>468232.49283909966</v>
      </c>
      <c r="AE323" s="63">
        <f t="shared" si="137"/>
        <v>0</v>
      </c>
      <c r="AF323" s="63">
        <f t="shared" si="138"/>
        <v>23981335.249999892</v>
      </c>
      <c r="AG323" s="58" t="str">
        <f t="shared" si="139"/>
        <v>ok</v>
      </c>
    </row>
    <row r="324" spans="1:33">
      <c r="A324" s="60">
        <v>927</v>
      </c>
      <c r="B324" s="60" t="s">
        <v>578</v>
      </c>
      <c r="C324" s="44" t="s">
        <v>577</v>
      </c>
      <c r="D324" s="44" t="s">
        <v>894</v>
      </c>
      <c r="F324" s="78">
        <v>0</v>
      </c>
      <c r="H324" s="63">
        <f t="shared" si="136"/>
        <v>0</v>
      </c>
      <c r="I324" s="63">
        <f t="shared" si="136"/>
        <v>0</v>
      </c>
      <c r="J324" s="63">
        <f t="shared" si="136"/>
        <v>0</v>
      </c>
      <c r="K324" s="63">
        <f t="shared" si="136"/>
        <v>0</v>
      </c>
      <c r="L324" s="63">
        <f t="shared" si="136"/>
        <v>0</v>
      </c>
      <c r="M324" s="63">
        <f t="shared" si="136"/>
        <v>0</v>
      </c>
      <c r="N324" s="63">
        <f t="shared" si="136"/>
        <v>0</v>
      </c>
      <c r="O324" s="63">
        <f t="shared" si="136"/>
        <v>0</v>
      </c>
      <c r="P324" s="63">
        <f t="shared" si="136"/>
        <v>0</v>
      </c>
      <c r="Q324" s="63">
        <f t="shared" si="136"/>
        <v>0</v>
      </c>
      <c r="R324" s="63">
        <f t="shared" si="137"/>
        <v>0</v>
      </c>
      <c r="S324" s="63">
        <f t="shared" si="137"/>
        <v>0</v>
      </c>
      <c r="T324" s="63">
        <f t="shared" si="137"/>
        <v>0</v>
      </c>
      <c r="U324" s="63">
        <f t="shared" si="137"/>
        <v>0</v>
      </c>
      <c r="V324" s="63">
        <f t="shared" si="137"/>
        <v>0</v>
      </c>
      <c r="W324" s="63">
        <f t="shared" si="137"/>
        <v>0</v>
      </c>
      <c r="X324" s="63">
        <f t="shared" si="137"/>
        <v>0</v>
      </c>
      <c r="Y324" s="63">
        <f t="shared" si="137"/>
        <v>0</v>
      </c>
      <c r="Z324" s="63">
        <f t="shared" si="137"/>
        <v>0</v>
      </c>
      <c r="AA324" s="63">
        <f t="shared" si="137"/>
        <v>0</v>
      </c>
      <c r="AB324" s="63">
        <f t="shared" si="137"/>
        <v>0</v>
      </c>
      <c r="AC324" s="63">
        <f t="shared" si="137"/>
        <v>0</v>
      </c>
      <c r="AD324" s="63">
        <f t="shared" si="137"/>
        <v>0</v>
      </c>
      <c r="AE324" s="63">
        <f t="shared" si="137"/>
        <v>0</v>
      </c>
      <c r="AF324" s="63">
        <f>SUM(H324:AE324)</f>
        <v>0</v>
      </c>
      <c r="AG324" s="58" t="str">
        <f t="shared" si="139"/>
        <v>ok</v>
      </c>
    </row>
    <row r="325" spans="1:33">
      <c r="A325" s="60">
        <v>928</v>
      </c>
      <c r="B325" s="60" t="s">
        <v>821</v>
      </c>
      <c r="C325" s="44" t="s">
        <v>985</v>
      </c>
      <c r="D325" s="44" t="s">
        <v>894</v>
      </c>
      <c r="F325" s="78">
        <v>984809.49999999895</v>
      </c>
      <c r="H325" s="63">
        <f t="shared" si="136"/>
        <v>598321.83431517996</v>
      </c>
      <c r="I325" s="63">
        <f t="shared" si="136"/>
        <v>0</v>
      </c>
      <c r="J325" s="63">
        <f t="shared" si="136"/>
        <v>0</v>
      </c>
      <c r="K325" s="63">
        <f t="shared" si="136"/>
        <v>0</v>
      </c>
      <c r="L325" s="63">
        <f t="shared" si="136"/>
        <v>0</v>
      </c>
      <c r="M325" s="63">
        <f t="shared" si="136"/>
        <v>0</v>
      </c>
      <c r="N325" s="63">
        <f t="shared" si="136"/>
        <v>94817.676713291221</v>
      </c>
      <c r="O325" s="63">
        <f t="shared" si="136"/>
        <v>0</v>
      </c>
      <c r="P325" s="63">
        <f t="shared" si="136"/>
        <v>0</v>
      </c>
      <c r="Q325" s="63">
        <f t="shared" si="136"/>
        <v>0</v>
      </c>
      <c r="R325" s="63">
        <f t="shared" si="137"/>
        <v>36371.741680992403</v>
      </c>
      <c r="S325" s="63">
        <f t="shared" si="137"/>
        <v>0</v>
      </c>
      <c r="T325" s="63">
        <f t="shared" si="137"/>
        <v>55837.12234614406</v>
      </c>
      <c r="U325" s="63">
        <f t="shared" si="137"/>
        <v>91373.476877640496</v>
      </c>
      <c r="V325" s="63">
        <f t="shared" si="137"/>
        <v>15579.066671256369</v>
      </c>
      <c r="W325" s="63">
        <f t="shared" si="137"/>
        <v>26620.81163296528</v>
      </c>
      <c r="X325" s="63">
        <f t="shared" si="137"/>
        <v>19085.234123450104</v>
      </c>
      <c r="Y325" s="63">
        <f t="shared" si="137"/>
        <v>10638.260389004834</v>
      </c>
      <c r="Z325" s="63">
        <f t="shared" si="137"/>
        <v>6801.7948794458953</v>
      </c>
      <c r="AA325" s="63">
        <f t="shared" si="137"/>
        <v>6936.6573002831483</v>
      </c>
      <c r="AB325" s="63">
        <f t="shared" si="137"/>
        <v>22425.823070345381</v>
      </c>
      <c r="AC325" s="63">
        <f t="shared" si="137"/>
        <v>0</v>
      </c>
      <c r="AD325" s="63">
        <f t="shared" si="137"/>
        <v>0</v>
      </c>
      <c r="AE325" s="63">
        <f t="shared" si="137"/>
        <v>0</v>
      </c>
      <c r="AF325" s="63">
        <f t="shared" si="138"/>
        <v>984809.49999999907</v>
      </c>
      <c r="AG325" s="58" t="str">
        <f t="shared" si="139"/>
        <v>ok</v>
      </c>
    </row>
    <row r="326" spans="1:33">
      <c r="A326" s="60">
        <v>929</v>
      </c>
      <c r="B326" s="60" t="s">
        <v>1084</v>
      </c>
      <c r="C326" s="44" t="s">
        <v>1085</v>
      </c>
      <c r="D326" s="44" t="s">
        <v>642</v>
      </c>
      <c r="F326" s="78">
        <v>-216193</v>
      </c>
      <c r="H326" s="63">
        <f t="shared" si="136"/>
        <v>-70401.322504859068</v>
      </c>
      <c r="I326" s="63">
        <f t="shared" si="136"/>
        <v>0</v>
      </c>
      <c r="J326" s="63">
        <f t="shared" si="136"/>
        <v>0</v>
      </c>
      <c r="K326" s="63">
        <f t="shared" si="136"/>
        <v>-59707.813104370172</v>
      </c>
      <c r="L326" s="63">
        <f t="shared" si="136"/>
        <v>0</v>
      </c>
      <c r="M326" s="63">
        <f t="shared" si="136"/>
        <v>0</v>
      </c>
      <c r="N326" s="63">
        <f t="shared" si="136"/>
        <v>-16224.722030553818</v>
      </c>
      <c r="O326" s="63">
        <f t="shared" si="136"/>
        <v>0</v>
      </c>
      <c r="P326" s="63">
        <f t="shared" si="136"/>
        <v>0</v>
      </c>
      <c r="Q326" s="63">
        <f t="shared" si="136"/>
        <v>0</v>
      </c>
      <c r="R326" s="63">
        <f t="shared" si="137"/>
        <v>-6752.6795526997093</v>
      </c>
      <c r="S326" s="63">
        <f t="shared" si="137"/>
        <v>0</v>
      </c>
      <c r="T326" s="63">
        <f t="shared" si="137"/>
        <v>-6697.6621060010993</v>
      </c>
      <c r="U326" s="63">
        <f t="shared" si="137"/>
        <v>-11317.859914667431</v>
      </c>
      <c r="V326" s="63">
        <f t="shared" si="137"/>
        <v>-2222.3802929239455</v>
      </c>
      <c r="W326" s="63">
        <f t="shared" si="137"/>
        <v>-3870.0847798546733</v>
      </c>
      <c r="X326" s="63">
        <f t="shared" si="137"/>
        <v>-607.23672937714798</v>
      </c>
      <c r="Y326" s="63">
        <f t="shared" si="137"/>
        <v>-338.47855379171926</v>
      </c>
      <c r="Z326" s="63">
        <f t="shared" si="137"/>
        <v>-151.79035330966045</v>
      </c>
      <c r="AA326" s="63">
        <f t="shared" si="137"/>
        <v>-13780.339583533363</v>
      </c>
      <c r="AB326" s="63">
        <f t="shared" si="137"/>
        <v>-523.69927150741717</v>
      </c>
      <c r="AC326" s="63">
        <f t="shared" si="137"/>
        <v>-19375.790645135927</v>
      </c>
      <c r="AD326" s="63">
        <f t="shared" si="137"/>
        <v>-4221.1405774148416</v>
      </c>
      <c r="AE326" s="63">
        <f t="shared" si="137"/>
        <v>0</v>
      </c>
      <c r="AF326" s="63">
        <f t="shared" si="138"/>
        <v>-216192.99999999994</v>
      </c>
      <c r="AG326" s="58" t="str">
        <f t="shared" si="139"/>
        <v>ok</v>
      </c>
    </row>
    <row r="327" spans="1:33">
      <c r="A327" s="60">
        <v>930</v>
      </c>
      <c r="B327" s="60" t="s">
        <v>986</v>
      </c>
      <c r="C327" s="44" t="s">
        <v>987</v>
      </c>
      <c r="D327" s="44" t="s">
        <v>642</v>
      </c>
      <c r="F327" s="78">
        <f>2554269.6</f>
        <v>2554269.6</v>
      </c>
      <c r="H327" s="63">
        <f t="shared" si="136"/>
        <v>831775.11702024285</v>
      </c>
      <c r="I327" s="63">
        <f t="shared" si="136"/>
        <v>0</v>
      </c>
      <c r="J327" s="63">
        <f t="shared" si="136"/>
        <v>0</v>
      </c>
      <c r="K327" s="63">
        <f t="shared" si="136"/>
        <v>705433.8109697093</v>
      </c>
      <c r="L327" s="63">
        <f t="shared" si="136"/>
        <v>0</v>
      </c>
      <c r="M327" s="63">
        <f t="shared" si="136"/>
        <v>0</v>
      </c>
      <c r="N327" s="63">
        <f t="shared" si="136"/>
        <v>191691.28626317176</v>
      </c>
      <c r="O327" s="63">
        <f t="shared" si="136"/>
        <v>0</v>
      </c>
      <c r="P327" s="63">
        <f t="shared" si="136"/>
        <v>0</v>
      </c>
      <c r="Q327" s="63">
        <f t="shared" si="136"/>
        <v>0</v>
      </c>
      <c r="R327" s="63">
        <f t="shared" si="137"/>
        <v>79781.325482335073</v>
      </c>
      <c r="S327" s="63">
        <f t="shared" si="137"/>
        <v>0</v>
      </c>
      <c r="T327" s="63">
        <f t="shared" si="137"/>
        <v>79131.307250607497</v>
      </c>
      <c r="U327" s="63">
        <f t="shared" si="137"/>
        <v>133717.86097187983</v>
      </c>
      <c r="V327" s="63">
        <f t="shared" si="137"/>
        <v>26256.902035934232</v>
      </c>
      <c r="W327" s="63">
        <f t="shared" si="137"/>
        <v>45724.144179531642</v>
      </c>
      <c r="X327" s="63">
        <f t="shared" si="137"/>
        <v>7174.3595669215747</v>
      </c>
      <c r="Y327" s="63">
        <f t="shared" si="137"/>
        <v>3999.0447433642776</v>
      </c>
      <c r="Z327" s="63">
        <f t="shared" si="137"/>
        <v>1793.3674311014931</v>
      </c>
      <c r="AA327" s="63">
        <f t="shared" si="137"/>
        <v>162811.48083377321</v>
      </c>
      <c r="AB327" s="63">
        <f t="shared" si="137"/>
        <v>6187.384090851886</v>
      </c>
      <c r="AC327" s="63">
        <f t="shared" si="137"/>
        <v>228920.42305178745</v>
      </c>
      <c r="AD327" s="63">
        <f t="shared" si="137"/>
        <v>49871.786108787877</v>
      </c>
      <c r="AE327" s="63">
        <f t="shared" si="137"/>
        <v>0</v>
      </c>
      <c r="AF327" s="63">
        <f t="shared" si="138"/>
        <v>2554269.6</v>
      </c>
      <c r="AG327" s="58" t="str">
        <f t="shared" si="139"/>
        <v>ok</v>
      </c>
    </row>
    <row r="328" spans="1:33">
      <c r="A328" s="60">
        <v>931</v>
      </c>
      <c r="B328" s="60" t="s">
        <v>988</v>
      </c>
      <c r="C328" s="44" t="s">
        <v>989</v>
      </c>
      <c r="D328" s="44" t="s">
        <v>884</v>
      </c>
      <c r="F328" s="78">
        <v>1807941</v>
      </c>
      <c r="H328" s="63">
        <f t="shared" si="136"/>
        <v>1103634.6365621204</v>
      </c>
      <c r="I328" s="63">
        <f t="shared" si="136"/>
        <v>0</v>
      </c>
      <c r="J328" s="63">
        <f t="shared" si="136"/>
        <v>0</v>
      </c>
      <c r="K328" s="63">
        <f t="shared" si="136"/>
        <v>0</v>
      </c>
      <c r="L328" s="63">
        <f t="shared" si="136"/>
        <v>0</v>
      </c>
      <c r="M328" s="63">
        <f t="shared" si="136"/>
        <v>0</v>
      </c>
      <c r="N328" s="63">
        <f t="shared" si="136"/>
        <v>169506.94499818029</v>
      </c>
      <c r="O328" s="63">
        <f t="shared" si="136"/>
        <v>0</v>
      </c>
      <c r="P328" s="63">
        <f t="shared" si="136"/>
        <v>0</v>
      </c>
      <c r="Q328" s="63">
        <f t="shared" si="136"/>
        <v>0</v>
      </c>
      <c r="R328" s="63">
        <f t="shared" si="137"/>
        <v>66690.393369653524</v>
      </c>
      <c r="S328" s="63">
        <f t="shared" si="137"/>
        <v>0</v>
      </c>
      <c r="T328" s="63">
        <f t="shared" si="137"/>
        <v>102381.66999409457</v>
      </c>
      <c r="U328" s="63">
        <f t="shared" si="137"/>
        <v>167540.31659988733</v>
      </c>
      <c r="V328" s="63">
        <f t="shared" si="137"/>
        <v>28565.420203154743</v>
      </c>
      <c r="W328" s="63">
        <f t="shared" si="137"/>
        <v>48811.31113250176</v>
      </c>
      <c r="X328" s="63">
        <f t="shared" si="137"/>
        <v>34994.248623237596</v>
      </c>
      <c r="Y328" s="63">
        <f t="shared" si="137"/>
        <v>19506.070848465832</v>
      </c>
      <c r="Z328" s="63">
        <f t="shared" si="137"/>
        <v>12471.61546753746</v>
      </c>
      <c r="AA328" s="63">
        <f t="shared" si="137"/>
        <v>12718.896116765218</v>
      </c>
      <c r="AB328" s="63">
        <f t="shared" si="137"/>
        <v>41119.476084401176</v>
      </c>
      <c r="AC328" s="63">
        <f t="shared" si="137"/>
        <v>0</v>
      </c>
      <c r="AD328" s="63">
        <f t="shared" si="137"/>
        <v>0</v>
      </c>
      <c r="AE328" s="63">
        <f t="shared" si="137"/>
        <v>0</v>
      </c>
      <c r="AF328" s="63">
        <f t="shared" si="138"/>
        <v>1807941</v>
      </c>
      <c r="AG328" s="58" t="str">
        <f t="shared" si="139"/>
        <v>ok</v>
      </c>
    </row>
    <row r="329" spans="1:33">
      <c r="A329" s="60">
        <v>935</v>
      </c>
      <c r="B329" s="60" t="s">
        <v>990</v>
      </c>
      <c r="C329" s="44" t="s">
        <v>271</v>
      </c>
      <c r="D329" s="44" t="s">
        <v>884</v>
      </c>
      <c r="F329" s="78">
        <v>1055259.0900000001</v>
      </c>
      <c r="H329" s="63">
        <f t="shared" si="136"/>
        <v>644169.51784987678</v>
      </c>
      <c r="I329" s="63">
        <f t="shared" si="136"/>
        <v>0</v>
      </c>
      <c r="J329" s="63">
        <f t="shared" si="136"/>
        <v>0</v>
      </c>
      <c r="K329" s="63">
        <f t="shared" si="136"/>
        <v>0</v>
      </c>
      <c r="L329" s="63">
        <f t="shared" si="136"/>
        <v>0</v>
      </c>
      <c r="M329" s="63">
        <f t="shared" si="136"/>
        <v>0</v>
      </c>
      <c r="N329" s="63">
        <f t="shared" si="136"/>
        <v>98937.821824639075</v>
      </c>
      <c r="O329" s="63">
        <f t="shared" si="136"/>
        <v>0</v>
      </c>
      <c r="P329" s="63">
        <f t="shared" si="136"/>
        <v>0</v>
      </c>
      <c r="Q329" s="63">
        <f t="shared" si="136"/>
        <v>0</v>
      </c>
      <c r="R329" s="63">
        <f t="shared" si="137"/>
        <v>38925.852015636912</v>
      </c>
      <c r="S329" s="63">
        <f t="shared" si="137"/>
        <v>0</v>
      </c>
      <c r="T329" s="63">
        <f t="shared" si="137"/>
        <v>59758.138075660958</v>
      </c>
      <c r="U329" s="63">
        <f t="shared" si="137"/>
        <v>97789.940066356707</v>
      </c>
      <c r="V329" s="63">
        <f t="shared" si="137"/>
        <v>16673.065840671068</v>
      </c>
      <c r="W329" s="63">
        <f t="shared" si="137"/>
        <v>28490.188433909447</v>
      </c>
      <c r="X329" s="63">
        <f t="shared" si="137"/>
        <v>20425.444722693639</v>
      </c>
      <c r="Y329" s="63">
        <f t="shared" si="137"/>
        <v>11385.304372779634</v>
      </c>
      <c r="Z329" s="63">
        <f t="shared" si="137"/>
        <v>7279.433117067153</v>
      </c>
      <c r="AA329" s="63">
        <f t="shared" si="137"/>
        <v>7423.7658983242254</v>
      </c>
      <c r="AB329" s="63">
        <f t="shared" si="137"/>
        <v>24000.617782384466</v>
      </c>
      <c r="AC329" s="63">
        <f t="shared" si="137"/>
        <v>0</v>
      </c>
      <c r="AD329" s="63">
        <f t="shared" si="137"/>
        <v>0</v>
      </c>
      <c r="AE329" s="63">
        <f t="shared" si="137"/>
        <v>0</v>
      </c>
      <c r="AF329" s="63"/>
      <c r="AG329" s="58"/>
    </row>
    <row r="330" spans="1:33">
      <c r="A330" s="60"/>
      <c r="B330" s="60"/>
      <c r="F330" s="78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58"/>
    </row>
    <row r="331" spans="1:33">
      <c r="A331" s="60" t="s">
        <v>991</v>
      </c>
      <c r="B331" s="60"/>
      <c r="C331" s="44" t="s">
        <v>992</v>
      </c>
      <c r="F331" s="75">
        <f t="shared" ref="F331:M331" si="140">SUM(F317:F330)</f>
        <v>86141161.403472722</v>
      </c>
      <c r="G331" s="62">
        <f t="shared" si="140"/>
        <v>0</v>
      </c>
      <c r="H331" s="62">
        <f t="shared" si="140"/>
        <v>31179144.410739217</v>
      </c>
      <c r="I331" s="62">
        <f t="shared" si="140"/>
        <v>0</v>
      </c>
      <c r="J331" s="62">
        <f t="shared" si="140"/>
        <v>0</v>
      </c>
      <c r="K331" s="62">
        <f t="shared" si="140"/>
        <v>20733967.575263679</v>
      </c>
      <c r="L331" s="62">
        <f t="shared" si="140"/>
        <v>0</v>
      </c>
      <c r="M331" s="62">
        <f t="shared" si="140"/>
        <v>0</v>
      </c>
      <c r="N331" s="62">
        <f>SUM(N317:N330)</f>
        <v>6692420.1121264314</v>
      </c>
      <c r="O331" s="62">
        <f>SUM(O317:O330)</f>
        <v>0</v>
      </c>
      <c r="P331" s="62">
        <f>SUM(P317:P330)</f>
        <v>0</v>
      </c>
      <c r="Q331" s="62">
        <f t="shared" ref="Q331:AB331" si="141">SUM(Q317:Q330)</f>
        <v>0</v>
      </c>
      <c r="R331" s="62">
        <f t="shared" si="141"/>
        <v>2753506.5880115326</v>
      </c>
      <c r="S331" s="62">
        <f t="shared" si="141"/>
        <v>0</v>
      </c>
      <c r="T331" s="62">
        <f t="shared" si="141"/>
        <v>2953070.0626770994</v>
      </c>
      <c r="U331" s="62">
        <f t="shared" si="141"/>
        <v>4956672.5190970311</v>
      </c>
      <c r="V331" s="62">
        <f t="shared" si="141"/>
        <v>946748.44917554583</v>
      </c>
      <c r="W331" s="62">
        <f t="shared" si="141"/>
        <v>1642965.5795265385</v>
      </c>
      <c r="X331" s="62">
        <f t="shared" si="141"/>
        <v>425265.5402210069</v>
      </c>
      <c r="Y331" s="62">
        <f t="shared" si="141"/>
        <v>237046.37428487805</v>
      </c>
      <c r="Z331" s="62">
        <f t="shared" si="141"/>
        <v>129119.76609374654</v>
      </c>
      <c r="AA331" s="62">
        <f t="shared" si="141"/>
        <v>4863246.5226080706</v>
      </c>
      <c r="AB331" s="62">
        <f t="shared" si="141"/>
        <v>433783.80528541713</v>
      </c>
      <c r="AC331" s="62">
        <f>SUM(AC317:AC330)</f>
        <v>6728382.6704405174</v>
      </c>
      <c r="AD331" s="62">
        <f>SUM(AD317:AD330)</f>
        <v>1465821.4279220221</v>
      </c>
      <c r="AE331" s="62">
        <f>SUM(AE317:AE330)</f>
        <v>0</v>
      </c>
      <c r="AF331" s="63">
        <f>SUM(H331:AE331)</f>
        <v>86141161.403472766</v>
      </c>
      <c r="AG331" s="58" t="str">
        <f>IF(ABS(AF331-F331)&lt;1,"ok","err")</f>
        <v>ok</v>
      </c>
    </row>
    <row r="332" spans="1:33">
      <c r="A332" s="60"/>
      <c r="B332" s="60"/>
      <c r="F332" s="78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58"/>
    </row>
    <row r="333" spans="1:33">
      <c r="A333" s="60" t="s">
        <v>993</v>
      </c>
      <c r="B333" s="60"/>
      <c r="C333" s="44" t="s">
        <v>994</v>
      </c>
      <c r="F333" s="75">
        <f>F280+F292+F306+F331</f>
        <v>643436661.2413125</v>
      </c>
      <c r="G333" s="62"/>
      <c r="H333" s="62">
        <f t="shared" ref="H333:AE333" si="142">H280+H292+H306+H331</f>
        <v>111958098.21523491</v>
      </c>
      <c r="I333" s="62">
        <f t="shared" si="142"/>
        <v>0</v>
      </c>
      <c r="J333" s="62">
        <f t="shared" si="142"/>
        <v>0</v>
      </c>
      <c r="K333" s="62">
        <f t="shared" si="142"/>
        <v>397495518.54181111</v>
      </c>
      <c r="L333" s="62">
        <f t="shared" si="142"/>
        <v>0</v>
      </c>
      <c r="M333" s="62">
        <f t="shared" si="142"/>
        <v>0</v>
      </c>
      <c r="N333" s="62">
        <f t="shared" si="142"/>
        <v>34465993.112126328</v>
      </c>
      <c r="O333" s="62">
        <f t="shared" si="142"/>
        <v>0</v>
      </c>
      <c r="P333" s="62">
        <f t="shared" si="142"/>
        <v>0</v>
      </c>
      <c r="Q333" s="62">
        <f t="shared" si="142"/>
        <v>0</v>
      </c>
      <c r="R333" s="62">
        <f t="shared" si="142"/>
        <v>8074378.6521175466</v>
      </c>
      <c r="S333" s="62">
        <f t="shared" si="142"/>
        <v>0</v>
      </c>
      <c r="T333" s="62">
        <f t="shared" si="142"/>
        <v>13200174.80048782</v>
      </c>
      <c r="U333" s="62">
        <f t="shared" si="142"/>
        <v>22092723.664574921</v>
      </c>
      <c r="V333" s="62">
        <f t="shared" si="142"/>
        <v>4169128.806815919</v>
      </c>
      <c r="W333" s="62">
        <f t="shared" si="142"/>
        <v>7223790.8391335364</v>
      </c>
      <c r="X333" s="62">
        <f t="shared" si="142"/>
        <v>1117029.2182578882</v>
      </c>
      <c r="Y333" s="62">
        <f t="shared" si="142"/>
        <v>622640.91753283411</v>
      </c>
      <c r="Z333" s="62">
        <f t="shared" si="142"/>
        <v>332912.57849805721</v>
      </c>
      <c r="AA333" s="62">
        <f t="shared" si="142"/>
        <v>13918315.257724669</v>
      </c>
      <c r="AB333" s="62">
        <f t="shared" si="142"/>
        <v>1673935.4718376463</v>
      </c>
      <c r="AC333" s="62">
        <f t="shared" si="142"/>
        <v>22203327.895651627</v>
      </c>
      <c r="AD333" s="62">
        <f t="shared" si="142"/>
        <v>4888693.2695076521</v>
      </c>
      <c r="AE333" s="62">
        <f t="shared" si="142"/>
        <v>0</v>
      </c>
      <c r="AF333" s="63">
        <f>SUM(H333:AE333)</f>
        <v>643436661.24131227</v>
      </c>
      <c r="AG333" s="58" t="str">
        <f>IF(ABS(AF333-F333)&lt;1,"ok","err")</f>
        <v>ok</v>
      </c>
    </row>
    <row r="334" spans="1:33">
      <c r="A334" s="60"/>
      <c r="B334" s="60"/>
      <c r="F334" s="78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58"/>
    </row>
    <row r="335" spans="1:33">
      <c r="A335" s="60" t="s">
        <v>19</v>
      </c>
      <c r="B335" s="60"/>
      <c r="C335" s="44" t="s">
        <v>903</v>
      </c>
      <c r="F335" s="79">
        <f>F333-F214-F215-F216-F217</f>
        <v>600159989.99844694</v>
      </c>
      <c r="G335" s="64">
        <f>G333-G214</f>
        <v>0</v>
      </c>
      <c r="H335" s="64">
        <f t="shared" ref="H335:AE335" si="143">H333-H214-H215-H216-H217</f>
        <v>88271387.475935325</v>
      </c>
      <c r="I335" s="64">
        <f t="shared" si="143"/>
        <v>0</v>
      </c>
      <c r="J335" s="64">
        <f t="shared" si="143"/>
        <v>0</v>
      </c>
      <c r="K335" s="64">
        <f t="shared" si="143"/>
        <v>377905558.0382452</v>
      </c>
      <c r="L335" s="64">
        <f t="shared" si="143"/>
        <v>0</v>
      </c>
      <c r="M335" s="64">
        <f t="shared" si="143"/>
        <v>0</v>
      </c>
      <c r="N335" s="64">
        <f t="shared" si="143"/>
        <v>34465993.112126328</v>
      </c>
      <c r="O335" s="64">
        <f t="shared" si="143"/>
        <v>0</v>
      </c>
      <c r="P335" s="64">
        <f t="shared" si="143"/>
        <v>0</v>
      </c>
      <c r="Q335" s="64">
        <f t="shared" si="143"/>
        <v>0</v>
      </c>
      <c r="R335" s="64">
        <f t="shared" si="143"/>
        <v>8074378.6521175466</v>
      </c>
      <c r="S335" s="64">
        <f t="shared" si="143"/>
        <v>0</v>
      </c>
      <c r="T335" s="64">
        <f t="shared" si="143"/>
        <v>13200174.80048782</v>
      </c>
      <c r="U335" s="64">
        <f t="shared" si="143"/>
        <v>22092723.664574921</v>
      </c>
      <c r="V335" s="64">
        <f t="shared" si="143"/>
        <v>4169128.806815919</v>
      </c>
      <c r="W335" s="64">
        <f t="shared" si="143"/>
        <v>7223790.8391335364</v>
      </c>
      <c r="X335" s="64">
        <f t="shared" si="143"/>
        <v>1117029.2182578882</v>
      </c>
      <c r="Y335" s="64">
        <f t="shared" si="143"/>
        <v>622640.91753283411</v>
      </c>
      <c r="Z335" s="64">
        <f t="shared" si="143"/>
        <v>332912.57849805721</v>
      </c>
      <c r="AA335" s="64">
        <f t="shared" si="143"/>
        <v>13918315.257724669</v>
      </c>
      <c r="AB335" s="64">
        <f t="shared" si="143"/>
        <v>1673935.4718376463</v>
      </c>
      <c r="AC335" s="64">
        <f t="shared" si="143"/>
        <v>22203327.895651627</v>
      </c>
      <c r="AD335" s="64">
        <f t="shared" si="143"/>
        <v>4888693.2695076521</v>
      </c>
      <c r="AE335" s="64">
        <f t="shared" si="143"/>
        <v>0</v>
      </c>
      <c r="AF335" s="63">
        <f>SUM(H335:AE335)</f>
        <v>600159989.9984467</v>
      </c>
      <c r="AG335" s="58" t="str">
        <f>IF(ABS(AF335-F335)&lt;1,"ok","err")</f>
        <v>ok</v>
      </c>
    </row>
    <row r="336" spans="1:33">
      <c r="A336" s="60"/>
      <c r="B336" s="60"/>
      <c r="W336" s="44"/>
      <c r="AG336" s="58"/>
    </row>
    <row r="337" spans="1:33">
      <c r="A337" s="60"/>
      <c r="B337" s="60"/>
      <c r="W337" s="44"/>
      <c r="AA337" s="64">
        <f>R335+T335+U335+V335+W335+X335+Y335+Z335+AA335</f>
        <v>70751094.7351432</v>
      </c>
      <c r="AG337" s="58"/>
    </row>
    <row r="338" spans="1:33">
      <c r="A338" s="60"/>
      <c r="B338" s="60"/>
      <c r="W338" s="44"/>
      <c r="AG338" s="58"/>
    </row>
    <row r="339" spans="1:33">
      <c r="A339" s="60"/>
      <c r="B339" s="60"/>
      <c r="H339" s="64"/>
      <c r="W339" s="44"/>
      <c r="AG339" s="58"/>
    </row>
    <row r="340" spans="1:33">
      <c r="A340" s="60"/>
      <c r="B340" s="60"/>
      <c r="W340" s="44"/>
      <c r="AG340" s="58"/>
    </row>
    <row r="341" spans="1:33">
      <c r="A341" s="60"/>
      <c r="B341" s="60"/>
      <c r="W341" s="44"/>
      <c r="AG341" s="58"/>
    </row>
    <row r="342" spans="1:33">
      <c r="A342" s="60"/>
      <c r="B342" s="60"/>
      <c r="W342" s="44"/>
      <c r="AG342" s="58"/>
    </row>
    <row r="343" spans="1:33">
      <c r="A343" s="60"/>
      <c r="B343" s="60"/>
      <c r="W343" s="44"/>
      <c r="AG343" s="58"/>
    </row>
    <row r="344" spans="1:33">
      <c r="A344" s="60"/>
      <c r="B344" s="60"/>
      <c r="W344" s="44"/>
      <c r="AG344" s="58"/>
    </row>
    <row r="345" spans="1:33">
      <c r="A345" s="60"/>
      <c r="B345" s="60"/>
      <c r="W345" s="44"/>
      <c r="AG345" s="58"/>
    </row>
    <row r="346" spans="1:33">
      <c r="A346" s="60"/>
      <c r="B346" s="60"/>
      <c r="W346" s="44"/>
      <c r="AG346" s="58"/>
    </row>
    <row r="347" spans="1:33">
      <c r="A347" s="60"/>
      <c r="B347" s="60"/>
      <c r="W347" s="44"/>
      <c r="AG347" s="58"/>
    </row>
    <row r="348" spans="1:33">
      <c r="A348" s="60"/>
      <c r="B348" s="60"/>
      <c r="W348" s="44"/>
      <c r="AG348" s="58"/>
    </row>
    <row r="349" spans="1:33">
      <c r="A349" s="60"/>
      <c r="B349" s="60"/>
      <c r="AG349" s="58"/>
    </row>
    <row r="350" spans="1:33">
      <c r="A350" s="60"/>
      <c r="B350" s="60"/>
      <c r="AG350" s="58"/>
    </row>
    <row r="351" spans="1:33">
      <c r="A351" s="60"/>
      <c r="B351" s="60"/>
      <c r="AG351" s="58"/>
    </row>
    <row r="352" spans="1:33">
      <c r="A352" s="60"/>
      <c r="B352" s="60"/>
      <c r="AG352" s="58"/>
    </row>
    <row r="353" spans="1:33">
      <c r="A353" s="60"/>
      <c r="B353" s="60"/>
      <c r="AG353" s="58"/>
    </row>
    <row r="354" spans="1:33">
      <c r="A354" s="60"/>
      <c r="B354" s="60"/>
      <c r="AG354" s="58"/>
    </row>
    <row r="355" spans="1:33">
      <c r="A355" s="60"/>
      <c r="B355" s="60"/>
      <c r="AG355" s="58"/>
    </row>
    <row r="356" spans="1:33">
      <c r="A356" s="60"/>
      <c r="B356" s="60"/>
      <c r="AG356" s="58"/>
    </row>
    <row r="357" spans="1:33">
      <c r="A357" s="60"/>
      <c r="B357" s="60"/>
      <c r="AG357" s="58"/>
    </row>
    <row r="358" spans="1:33">
      <c r="A358" s="60"/>
      <c r="B358" s="60"/>
      <c r="AG358" s="58"/>
    </row>
    <row r="359" spans="1:33">
      <c r="A359" s="60"/>
      <c r="B359" s="60"/>
      <c r="AG359" s="58"/>
    </row>
    <row r="360" spans="1:33">
      <c r="A360" s="60"/>
      <c r="B360" s="60"/>
      <c r="AG360" s="58"/>
    </row>
    <row r="361" spans="1:33" ht="15">
      <c r="A361" s="59" t="s">
        <v>995</v>
      </c>
      <c r="B361" s="60"/>
      <c r="W361" s="44"/>
      <c r="AG361" s="58"/>
    </row>
    <row r="362" spans="1:33" ht="15">
      <c r="A362" s="59"/>
      <c r="B362" s="60"/>
      <c r="W362" s="44"/>
      <c r="AG362" s="58"/>
    </row>
    <row r="363" spans="1:33" ht="15">
      <c r="A363" s="65" t="s">
        <v>207</v>
      </c>
      <c r="B363" s="60"/>
      <c r="W363" s="44"/>
      <c r="AG363" s="58"/>
    </row>
    <row r="364" spans="1:33">
      <c r="A364" s="60">
        <v>500</v>
      </c>
      <c r="B364" s="60" t="s">
        <v>199</v>
      </c>
      <c r="C364" s="44" t="s">
        <v>272</v>
      </c>
      <c r="D364" s="44" t="s">
        <v>621</v>
      </c>
      <c r="F364" s="75">
        <v>3778998</v>
      </c>
      <c r="H364" s="63">
        <f t="shared" ref="H364:Q370" si="144">IF(VLOOKUP($D364,$C$6:$AE$653,H$2,)=0,0,((VLOOKUP($D364,$C$6:$AE$653,H$2,)/VLOOKUP($D364,$C$6:$AE$653,4,))*$F364))</f>
        <v>3300979.6732154498</v>
      </c>
      <c r="I364" s="63">
        <f t="shared" si="144"/>
        <v>0</v>
      </c>
      <c r="J364" s="63">
        <f t="shared" si="144"/>
        <v>0</v>
      </c>
      <c r="K364" s="63">
        <f t="shared" si="144"/>
        <v>478018.32678455021</v>
      </c>
      <c r="L364" s="63">
        <f t="shared" si="144"/>
        <v>0</v>
      </c>
      <c r="M364" s="63">
        <f t="shared" si="144"/>
        <v>0</v>
      </c>
      <c r="N364" s="63">
        <f t="shared" si="144"/>
        <v>0</v>
      </c>
      <c r="O364" s="63">
        <f t="shared" si="144"/>
        <v>0</v>
      </c>
      <c r="P364" s="63">
        <f t="shared" si="144"/>
        <v>0</v>
      </c>
      <c r="Q364" s="63">
        <f t="shared" si="144"/>
        <v>0</v>
      </c>
      <c r="R364" s="63">
        <f t="shared" ref="R364:AE370" si="145">IF(VLOOKUP($D364,$C$6:$AE$653,R$2,)=0,0,((VLOOKUP($D364,$C$6:$AE$653,R$2,)/VLOOKUP($D364,$C$6:$AE$653,4,))*$F364))</f>
        <v>0</v>
      </c>
      <c r="S364" s="63">
        <f t="shared" si="145"/>
        <v>0</v>
      </c>
      <c r="T364" s="63">
        <f t="shared" si="145"/>
        <v>0</v>
      </c>
      <c r="U364" s="63">
        <f t="shared" si="145"/>
        <v>0</v>
      </c>
      <c r="V364" s="63">
        <f t="shared" si="145"/>
        <v>0</v>
      </c>
      <c r="W364" s="63">
        <f t="shared" si="145"/>
        <v>0</v>
      </c>
      <c r="X364" s="63">
        <f t="shared" si="145"/>
        <v>0</v>
      </c>
      <c r="Y364" s="63">
        <f t="shared" si="145"/>
        <v>0</v>
      </c>
      <c r="Z364" s="63">
        <f t="shared" si="145"/>
        <v>0</v>
      </c>
      <c r="AA364" s="63">
        <f t="shared" si="145"/>
        <v>0</v>
      </c>
      <c r="AB364" s="63">
        <f t="shared" si="145"/>
        <v>0</v>
      </c>
      <c r="AC364" s="63">
        <f t="shared" si="145"/>
        <v>0</v>
      </c>
      <c r="AD364" s="63">
        <f t="shared" si="145"/>
        <v>0</v>
      </c>
      <c r="AE364" s="63">
        <f t="shared" si="145"/>
        <v>0</v>
      </c>
      <c r="AF364" s="63">
        <f t="shared" ref="AF364:AF383" si="146">SUM(H364:AE364)</f>
        <v>3778998</v>
      </c>
      <c r="AG364" s="58" t="str">
        <f t="shared" ref="AG364:AG370" si="147">IF(ABS(AF364-F364)&lt;1,"ok","err")</f>
        <v>ok</v>
      </c>
    </row>
    <row r="365" spans="1:33">
      <c r="A365" s="248">
        <v>501</v>
      </c>
      <c r="B365" s="60" t="s">
        <v>201</v>
      </c>
      <c r="C365" s="44" t="s">
        <v>273</v>
      </c>
      <c r="D365" s="44" t="s">
        <v>856</v>
      </c>
      <c r="F365" s="78">
        <v>1594068</v>
      </c>
      <c r="H365" s="63">
        <f t="shared" si="144"/>
        <v>0</v>
      </c>
      <c r="I365" s="63">
        <f t="shared" si="144"/>
        <v>0</v>
      </c>
      <c r="J365" s="63">
        <f t="shared" si="144"/>
        <v>0</v>
      </c>
      <c r="K365" s="63">
        <f t="shared" si="144"/>
        <v>1594068</v>
      </c>
      <c r="L365" s="63">
        <f t="shared" si="144"/>
        <v>0</v>
      </c>
      <c r="M365" s="63">
        <f t="shared" si="144"/>
        <v>0</v>
      </c>
      <c r="N365" s="63">
        <f t="shared" si="144"/>
        <v>0</v>
      </c>
      <c r="O365" s="63">
        <f t="shared" si="144"/>
        <v>0</v>
      </c>
      <c r="P365" s="63">
        <f t="shared" si="144"/>
        <v>0</v>
      </c>
      <c r="Q365" s="63">
        <f t="shared" si="144"/>
        <v>0</v>
      </c>
      <c r="R365" s="63">
        <f t="shared" si="145"/>
        <v>0</v>
      </c>
      <c r="S365" s="63">
        <f t="shared" si="145"/>
        <v>0</v>
      </c>
      <c r="T365" s="63">
        <f t="shared" si="145"/>
        <v>0</v>
      </c>
      <c r="U365" s="63">
        <f t="shared" si="145"/>
        <v>0</v>
      </c>
      <c r="V365" s="63">
        <f t="shared" si="145"/>
        <v>0</v>
      </c>
      <c r="W365" s="63">
        <f t="shared" si="145"/>
        <v>0</v>
      </c>
      <c r="X365" s="63">
        <f t="shared" si="145"/>
        <v>0</v>
      </c>
      <c r="Y365" s="63">
        <f t="shared" si="145"/>
        <v>0</v>
      </c>
      <c r="Z365" s="63">
        <f t="shared" si="145"/>
        <v>0</v>
      </c>
      <c r="AA365" s="63">
        <f t="shared" si="145"/>
        <v>0</v>
      </c>
      <c r="AB365" s="63">
        <f t="shared" si="145"/>
        <v>0</v>
      </c>
      <c r="AC365" s="63">
        <f t="shared" si="145"/>
        <v>0</v>
      </c>
      <c r="AD365" s="63">
        <f t="shared" si="145"/>
        <v>0</v>
      </c>
      <c r="AE365" s="63">
        <f t="shared" si="145"/>
        <v>0</v>
      </c>
      <c r="AF365" s="63">
        <f t="shared" si="146"/>
        <v>1594068</v>
      </c>
      <c r="AG365" s="58" t="str">
        <f t="shared" si="147"/>
        <v>ok</v>
      </c>
    </row>
    <row r="366" spans="1:33">
      <c r="A366" s="60">
        <v>502</v>
      </c>
      <c r="B366" s="60" t="s">
        <v>203</v>
      </c>
      <c r="C366" s="44" t="s">
        <v>274</v>
      </c>
      <c r="D366" s="44" t="s">
        <v>624</v>
      </c>
      <c r="F366" s="78">
        <v>6850162</v>
      </c>
      <c r="H366" s="63">
        <f t="shared" si="144"/>
        <v>6850162</v>
      </c>
      <c r="I366" s="63">
        <f t="shared" si="144"/>
        <v>0</v>
      </c>
      <c r="J366" s="63">
        <f t="shared" si="144"/>
        <v>0</v>
      </c>
      <c r="K366" s="63">
        <f t="shared" si="144"/>
        <v>0</v>
      </c>
      <c r="L366" s="63">
        <f t="shared" si="144"/>
        <v>0</v>
      </c>
      <c r="M366" s="63">
        <f t="shared" si="144"/>
        <v>0</v>
      </c>
      <c r="N366" s="63">
        <f t="shared" si="144"/>
        <v>0</v>
      </c>
      <c r="O366" s="63">
        <f t="shared" si="144"/>
        <v>0</v>
      </c>
      <c r="P366" s="63">
        <f t="shared" si="144"/>
        <v>0</v>
      </c>
      <c r="Q366" s="63">
        <f t="shared" si="144"/>
        <v>0</v>
      </c>
      <c r="R366" s="63">
        <f t="shared" si="145"/>
        <v>0</v>
      </c>
      <c r="S366" s="63">
        <f t="shared" si="145"/>
        <v>0</v>
      </c>
      <c r="T366" s="63">
        <f t="shared" si="145"/>
        <v>0</v>
      </c>
      <c r="U366" s="63">
        <f t="shared" si="145"/>
        <v>0</v>
      </c>
      <c r="V366" s="63">
        <f t="shared" si="145"/>
        <v>0</v>
      </c>
      <c r="W366" s="63">
        <f t="shared" si="145"/>
        <v>0</v>
      </c>
      <c r="X366" s="63">
        <f t="shared" si="145"/>
        <v>0</v>
      </c>
      <c r="Y366" s="63">
        <f t="shared" si="145"/>
        <v>0</v>
      </c>
      <c r="Z366" s="63">
        <f t="shared" si="145"/>
        <v>0</v>
      </c>
      <c r="AA366" s="63">
        <f t="shared" si="145"/>
        <v>0</v>
      </c>
      <c r="AB366" s="63">
        <f t="shared" si="145"/>
        <v>0</v>
      </c>
      <c r="AC366" s="63">
        <f t="shared" si="145"/>
        <v>0</v>
      </c>
      <c r="AD366" s="63">
        <f t="shared" si="145"/>
        <v>0</v>
      </c>
      <c r="AE366" s="63">
        <f t="shared" si="145"/>
        <v>0</v>
      </c>
      <c r="AF366" s="63">
        <f t="shared" si="146"/>
        <v>6850162</v>
      </c>
      <c r="AG366" s="58" t="str">
        <f t="shared" si="147"/>
        <v>ok</v>
      </c>
    </row>
    <row r="367" spans="1:33">
      <c r="A367" s="60">
        <v>504</v>
      </c>
      <c r="B367" s="60" t="s">
        <v>1178</v>
      </c>
      <c r="C367" s="44" t="s">
        <v>1177</v>
      </c>
      <c r="D367" s="44" t="s">
        <v>624</v>
      </c>
      <c r="F367" s="78">
        <v>0</v>
      </c>
      <c r="H367" s="63">
        <f t="shared" si="144"/>
        <v>0</v>
      </c>
      <c r="I367" s="63">
        <f t="shared" si="144"/>
        <v>0</v>
      </c>
      <c r="J367" s="63">
        <f t="shared" si="144"/>
        <v>0</v>
      </c>
      <c r="K367" s="63">
        <f t="shared" si="144"/>
        <v>0</v>
      </c>
      <c r="L367" s="63">
        <f t="shared" si="144"/>
        <v>0</v>
      </c>
      <c r="M367" s="63">
        <f t="shared" si="144"/>
        <v>0</v>
      </c>
      <c r="N367" s="63">
        <f t="shared" si="144"/>
        <v>0</v>
      </c>
      <c r="O367" s="63">
        <f t="shared" si="144"/>
        <v>0</v>
      </c>
      <c r="P367" s="63">
        <f t="shared" si="144"/>
        <v>0</v>
      </c>
      <c r="Q367" s="63">
        <f t="shared" si="144"/>
        <v>0</v>
      </c>
      <c r="R367" s="63">
        <f t="shared" si="145"/>
        <v>0</v>
      </c>
      <c r="S367" s="63">
        <f t="shared" si="145"/>
        <v>0</v>
      </c>
      <c r="T367" s="63">
        <f t="shared" si="145"/>
        <v>0</v>
      </c>
      <c r="U367" s="63">
        <f t="shared" si="145"/>
        <v>0</v>
      </c>
      <c r="V367" s="63">
        <f t="shared" si="145"/>
        <v>0</v>
      </c>
      <c r="W367" s="63">
        <f t="shared" si="145"/>
        <v>0</v>
      </c>
      <c r="X367" s="63">
        <f t="shared" si="145"/>
        <v>0</v>
      </c>
      <c r="Y367" s="63">
        <f t="shared" si="145"/>
        <v>0</v>
      </c>
      <c r="Z367" s="63">
        <f t="shared" si="145"/>
        <v>0</v>
      </c>
      <c r="AA367" s="63">
        <f t="shared" si="145"/>
        <v>0</v>
      </c>
      <c r="AB367" s="63">
        <f t="shared" si="145"/>
        <v>0</v>
      </c>
      <c r="AC367" s="63">
        <f t="shared" si="145"/>
        <v>0</v>
      </c>
      <c r="AD367" s="63">
        <f t="shared" si="145"/>
        <v>0</v>
      </c>
      <c r="AE367" s="63">
        <f t="shared" si="145"/>
        <v>0</v>
      </c>
      <c r="AF367" s="63">
        <f>SUM(H367:AE367)</f>
        <v>0</v>
      </c>
      <c r="AG367" s="58" t="str">
        <f>IF(ABS(AF367-F367)&lt;1,"ok","err")</f>
        <v>ok</v>
      </c>
    </row>
    <row r="368" spans="1:33">
      <c r="A368" s="60">
        <v>505</v>
      </c>
      <c r="B368" s="60" t="s">
        <v>205</v>
      </c>
      <c r="C368" s="44" t="s">
        <v>275</v>
      </c>
      <c r="D368" s="44" t="s">
        <v>624</v>
      </c>
      <c r="F368" s="78">
        <v>1917383</v>
      </c>
      <c r="H368" s="63">
        <f t="shared" si="144"/>
        <v>1917383</v>
      </c>
      <c r="I368" s="63">
        <f t="shared" si="144"/>
        <v>0</v>
      </c>
      <c r="J368" s="63">
        <f t="shared" si="144"/>
        <v>0</v>
      </c>
      <c r="K368" s="63">
        <f t="shared" si="144"/>
        <v>0</v>
      </c>
      <c r="L368" s="63">
        <f t="shared" si="144"/>
        <v>0</v>
      </c>
      <c r="M368" s="63">
        <f t="shared" si="144"/>
        <v>0</v>
      </c>
      <c r="N368" s="63">
        <f t="shared" si="144"/>
        <v>0</v>
      </c>
      <c r="O368" s="63">
        <f t="shared" si="144"/>
        <v>0</v>
      </c>
      <c r="P368" s="63">
        <f t="shared" si="144"/>
        <v>0</v>
      </c>
      <c r="Q368" s="63">
        <f t="shared" si="144"/>
        <v>0</v>
      </c>
      <c r="R368" s="63">
        <f t="shared" si="145"/>
        <v>0</v>
      </c>
      <c r="S368" s="63">
        <f t="shared" si="145"/>
        <v>0</v>
      </c>
      <c r="T368" s="63">
        <f t="shared" si="145"/>
        <v>0</v>
      </c>
      <c r="U368" s="63">
        <f t="shared" si="145"/>
        <v>0</v>
      </c>
      <c r="V368" s="63">
        <f t="shared" si="145"/>
        <v>0</v>
      </c>
      <c r="W368" s="63">
        <f t="shared" si="145"/>
        <v>0</v>
      </c>
      <c r="X368" s="63">
        <f t="shared" si="145"/>
        <v>0</v>
      </c>
      <c r="Y368" s="63">
        <f t="shared" si="145"/>
        <v>0</v>
      </c>
      <c r="Z368" s="63">
        <f t="shared" si="145"/>
        <v>0</v>
      </c>
      <c r="AA368" s="63">
        <f t="shared" si="145"/>
        <v>0</v>
      </c>
      <c r="AB368" s="63">
        <f t="shared" si="145"/>
        <v>0</v>
      </c>
      <c r="AC368" s="63">
        <f t="shared" si="145"/>
        <v>0</v>
      </c>
      <c r="AD368" s="63">
        <f t="shared" si="145"/>
        <v>0</v>
      </c>
      <c r="AE368" s="63">
        <f t="shared" si="145"/>
        <v>0</v>
      </c>
      <c r="AF368" s="63">
        <f t="shared" si="146"/>
        <v>1917383</v>
      </c>
      <c r="AG368" s="58" t="str">
        <f t="shared" si="147"/>
        <v>ok</v>
      </c>
    </row>
    <row r="369" spans="1:33">
      <c r="A369" s="60">
        <v>506</v>
      </c>
      <c r="B369" s="60" t="s">
        <v>208</v>
      </c>
      <c r="C369" s="44" t="s">
        <v>276</v>
      </c>
      <c r="D369" s="44" t="s">
        <v>624</v>
      </c>
      <c r="F369" s="78">
        <v>2240372</v>
      </c>
      <c r="H369" s="63">
        <f t="shared" si="144"/>
        <v>2240372</v>
      </c>
      <c r="I369" s="63">
        <f t="shared" si="144"/>
        <v>0</v>
      </c>
      <c r="J369" s="63">
        <f t="shared" si="144"/>
        <v>0</v>
      </c>
      <c r="K369" s="63">
        <f t="shared" si="144"/>
        <v>0</v>
      </c>
      <c r="L369" s="63">
        <f t="shared" si="144"/>
        <v>0</v>
      </c>
      <c r="M369" s="63">
        <f t="shared" si="144"/>
        <v>0</v>
      </c>
      <c r="N369" s="63">
        <f t="shared" si="144"/>
        <v>0</v>
      </c>
      <c r="O369" s="63">
        <f t="shared" si="144"/>
        <v>0</v>
      </c>
      <c r="P369" s="63">
        <f t="shared" si="144"/>
        <v>0</v>
      </c>
      <c r="Q369" s="63">
        <f t="shared" si="144"/>
        <v>0</v>
      </c>
      <c r="R369" s="63">
        <f t="shared" si="145"/>
        <v>0</v>
      </c>
      <c r="S369" s="63">
        <f t="shared" si="145"/>
        <v>0</v>
      </c>
      <c r="T369" s="63">
        <f t="shared" si="145"/>
        <v>0</v>
      </c>
      <c r="U369" s="63">
        <f t="shared" si="145"/>
        <v>0</v>
      </c>
      <c r="V369" s="63">
        <f t="shared" si="145"/>
        <v>0</v>
      </c>
      <c r="W369" s="63">
        <f t="shared" si="145"/>
        <v>0</v>
      </c>
      <c r="X369" s="63">
        <f t="shared" si="145"/>
        <v>0</v>
      </c>
      <c r="Y369" s="63">
        <f t="shared" si="145"/>
        <v>0</v>
      </c>
      <c r="Z369" s="63">
        <f t="shared" si="145"/>
        <v>0</v>
      </c>
      <c r="AA369" s="63">
        <f t="shared" si="145"/>
        <v>0</v>
      </c>
      <c r="AB369" s="63">
        <f t="shared" si="145"/>
        <v>0</v>
      </c>
      <c r="AC369" s="63">
        <f t="shared" si="145"/>
        <v>0</v>
      </c>
      <c r="AD369" s="63">
        <f t="shared" si="145"/>
        <v>0</v>
      </c>
      <c r="AE369" s="63">
        <f t="shared" si="145"/>
        <v>0</v>
      </c>
      <c r="AF369" s="63">
        <f t="shared" si="146"/>
        <v>2240372</v>
      </c>
      <c r="AG369" s="58" t="str">
        <f t="shared" si="147"/>
        <v>ok</v>
      </c>
    </row>
    <row r="370" spans="1:33">
      <c r="A370" s="60">
        <v>507</v>
      </c>
      <c r="B370" s="60" t="s">
        <v>930</v>
      </c>
      <c r="C370" s="44" t="s">
        <v>347</v>
      </c>
      <c r="D370" s="44" t="s">
        <v>624</v>
      </c>
      <c r="F370" s="78">
        <v>0</v>
      </c>
      <c r="H370" s="63">
        <f t="shared" si="144"/>
        <v>0</v>
      </c>
      <c r="I370" s="63">
        <f t="shared" si="144"/>
        <v>0</v>
      </c>
      <c r="J370" s="63">
        <f t="shared" si="144"/>
        <v>0</v>
      </c>
      <c r="K370" s="63">
        <f t="shared" si="144"/>
        <v>0</v>
      </c>
      <c r="L370" s="63">
        <f t="shared" si="144"/>
        <v>0</v>
      </c>
      <c r="M370" s="63">
        <f t="shared" si="144"/>
        <v>0</v>
      </c>
      <c r="N370" s="63">
        <f t="shared" si="144"/>
        <v>0</v>
      </c>
      <c r="O370" s="63">
        <f t="shared" si="144"/>
        <v>0</v>
      </c>
      <c r="P370" s="63">
        <f t="shared" si="144"/>
        <v>0</v>
      </c>
      <c r="Q370" s="63">
        <f t="shared" si="144"/>
        <v>0</v>
      </c>
      <c r="R370" s="63">
        <f t="shared" si="145"/>
        <v>0</v>
      </c>
      <c r="S370" s="63">
        <f t="shared" si="145"/>
        <v>0</v>
      </c>
      <c r="T370" s="63">
        <f t="shared" si="145"/>
        <v>0</v>
      </c>
      <c r="U370" s="63">
        <f t="shared" si="145"/>
        <v>0</v>
      </c>
      <c r="V370" s="63">
        <f t="shared" si="145"/>
        <v>0</v>
      </c>
      <c r="W370" s="63">
        <f t="shared" si="145"/>
        <v>0</v>
      </c>
      <c r="X370" s="63">
        <f t="shared" si="145"/>
        <v>0</v>
      </c>
      <c r="Y370" s="63">
        <f t="shared" si="145"/>
        <v>0</v>
      </c>
      <c r="Z370" s="63">
        <f t="shared" si="145"/>
        <v>0</v>
      </c>
      <c r="AA370" s="63">
        <f t="shared" si="145"/>
        <v>0</v>
      </c>
      <c r="AB370" s="63">
        <f t="shared" si="145"/>
        <v>0</v>
      </c>
      <c r="AC370" s="63">
        <f t="shared" si="145"/>
        <v>0</v>
      </c>
      <c r="AD370" s="63">
        <f t="shared" si="145"/>
        <v>0</v>
      </c>
      <c r="AE370" s="63">
        <f t="shared" si="145"/>
        <v>0</v>
      </c>
      <c r="AF370" s="63">
        <f t="shared" si="146"/>
        <v>0</v>
      </c>
      <c r="AG370" s="58" t="str">
        <f t="shared" si="147"/>
        <v>ok</v>
      </c>
    </row>
    <row r="371" spans="1:33">
      <c r="A371" s="60"/>
      <c r="B371" s="60"/>
      <c r="F371" s="75"/>
      <c r="W371" s="44"/>
      <c r="AF371" s="63"/>
      <c r="AG371" s="58"/>
    </row>
    <row r="372" spans="1:33">
      <c r="A372" s="60"/>
      <c r="B372" s="60" t="s">
        <v>210</v>
      </c>
      <c r="C372" s="44" t="s">
        <v>629</v>
      </c>
      <c r="F372" s="75">
        <f>SUM(F364:F371)</f>
        <v>16380983</v>
      </c>
      <c r="H372" s="62">
        <f t="shared" ref="H372:M372" si="148">SUM(H364:H371)</f>
        <v>14308896.673215449</v>
      </c>
      <c r="I372" s="62">
        <f t="shared" si="148"/>
        <v>0</v>
      </c>
      <c r="J372" s="62">
        <f t="shared" si="148"/>
        <v>0</v>
      </c>
      <c r="K372" s="62">
        <f t="shared" si="148"/>
        <v>2072086.3267845502</v>
      </c>
      <c r="L372" s="62">
        <f t="shared" si="148"/>
        <v>0</v>
      </c>
      <c r="M372" s="62">
        <f t="shared" si="148"/>
        <v>0</v>
      </c>
      <c r="N372" s="62">
        <f>SUM(N364:N371)</f>
        <v>0</v>
      </c>
      <c r="O372" s="62">
        <f>SUM(O364:O371)</f>
        <v>0</v>
      </c>
      <c r="P372" s="62">
        <f>SUM(P364:P371)</f>
        <v>0</v>
      </c>
      <c r="Q372" s="62">
        <f t="shared" ref="Q372:AB372" si="149">SUM(Q364:Q371)</f>
        <v>0</v>
      </c>
      <c r="R372" s="62">
        <f t="shared" si="149"/>
        <v>0</v>
      </c>
      <c r="S372" s="62">
        <f t="shared" si="149"/>
        <v>0</v>
      </c>
      <c r="T372" s="62">
        <f t="shared" si="149"/>
        <v>0</v>
      </c>
      <c r="U372" s="62">
        <f t="shared" si="149"/>
        <v>0</v>
      </c>
      <c r="V372" s="62">
        <f t="shared" si="149"/>
        <v>0</v>
      </c>
      <c r="W372" s="62">
        <f t="shared" si="149"/>
        <v>0</v>
      </c>
      <c r="X372" s="62">
        <f t="shared" si="149"/>
        <v>0</v>
      </c>
      <c r="Y372" s="62">
        <f t="shared" si="149"/>
        <v>0</v>
      </c>
      <c r="Z372" s="62">
        <f t="shared" si="149"/>
        <v>0</v>
      </c>
      <c r="AA372" s="62">
        <f t="shared" si="149"/>
        <v>0</v>
      </c>
      <c r="AB372" s="62">
        <f t="shared" si="149"/>
        <v>0</v>
      </c>
      <c r="AC372" s="62">
        <f>SUM(AC364:AC371)</f>
        <v>0</v>
      </c>
      <c r="AD372" s="62">
        <f>SUM(AD364:AD371)</f>
        <v>0</v>
      </c>
      <c r="AE372" s="62">
        <f>SUM(AE364:AE371)</f>
        <v>0</v>
      </c>
      <c r="AF372" s="63">
        <f t="shared" si="146"/>
        <v>16380983</v>
      </c>
      <c r="AG372" s="58" t="str">
        <f>IF(ABS(AF372-F372)&lt;1,"ok","err")</f>
        <v>ok</v>
      </c>
    </row>
    <row r="373" spans="1:33">
      <c r="A373" s="60"/>
      <c r="B373" s="60"/>
      <c r="F373" s="75"/>
      <c r="W373" s="44"/>
      <c r="AF373" s="63"/>
      <c r="AG373" s="58"/>
    </row>
    <row r="374" spans="1:33" ht="15">
      <c r="A374" s="65" t="s">
        <v>211</v>
      </c>
      <c r="B374" s="60"/>
      <c r="F374" s="75"/>
      <c r="W374" s="44"/>
      <c r="AF374" s="63"/>
      <c r="AG374" s="58"/>
    </row>
    <row r="375" spans="1:33">
      <c r="A375" s="60">
        <v>510</v>
      </c>
      <c r="B375" s="60" t="s">
        <v>214</v>
      </c>
      <c r="C375" s="44" t="s">
        <v>277</v>
      </c>
      <c r="D375" s="44" t="s">
        <v>626</v>
      </c>
      <c r="F375" s="75">
        <v>5516682</v>
      </c>
      <c r="H375" s="63">
        <f t="shared" ref="H375:Q379" si="150">IF(VLOOKUP($D375,$C$6:$AE$653,H$2,)=0,0,((VLOOKUP($D375,$C$6:$AE$653,H$2,)/VLOOKUP($D375,$C$6:$AE$653,4,))*$F375))</f>
        <v>21651.584021179897</v>
      </c>
      <c r="I375" s="63">
        <f t="shared" si="150"/>
        <v>0</v>
      </c>
      <c r="J375" s="63">
        <f t="shared" si="150"/>
        <v>0</v>
      </c>
      <c r="K375" s="63">
        <f t="shared" si="150"/>
        <v>5495030.4159788201</v>
      </c>
      <c r="L375" s="63">
        <f t="shared" si="150"/>
        <v>0</v>
      </c>
      <c r="M375" s="63">
        <f t="shared" si="150"/>
        <v>0</v>
      </c>
      <c r="N375" s="63">
        <f t="shared" si="150"/>
        <v>0</v>
      </c>
      <c r="O375" s="63">
        <f t="shared" si="150"/>
        <v>0</v>
      </c>
      <c r="P375" s="63">
        <f t="shared" si="150"/>
        <v>0</v>
      </c>
      <c r="Q375" s="63">
        <f t="shared" si="150"/>
        <v>0</v>
      </c>
      <c r="R375" s="63">
        <f t="shared" ref="R375:AE379" si="151">IF(VLOOKUP($D375,$C$6:$AE$653,R$2,)=0,0,((VLOOKUP($D375,$C$6:$AE$653,R$2,)/VLOOKUP($D375,$C$6:$AE$653,4,))*$F375))</f>
        <v>0</v>
      </c>
      <c r="S375" s="63">
        <f t="shared" si="151"/>
        <v>0</v>
      </c>
      <c r="T375" s="63">
        <f t="shared" si="151"/>
        <v>0</v>
      </c>
      <c r="U375" s="63">
        <f t="shared" si="151"/>
        <v>0</v>
      </c>
      <c r="V375" s="63">
        <f t="shared" si="151"/>
        <v>0</v>
      </c>
      <c r="W375" s="63">
        <f t="shared" si="151"/>
        <v>0</v>
      </c>
      <c r="X375" s="63">
        <f t="shared" si="151"/>
        <v>0</v>
      </c>
      <c r="Y375" s="63">
        <f t="shared" si="151"/>
        <v>0</v>
      </c>
      <c r="Z375" s="63">
        <f t="shared" si="151"/>
        <v>0</v>
      </c>
      <c r="AA375" s="63">
        <f t="shared" si="151"/>
        <v>0</v>
      </c>
      <c r="AB375" s="63">
        <f t="shared" si="151"/>
        <v>0</v>
      </c>
      <c r="AC375" s="63">
        <f t="shared" si="151"/>
        <v>0</v>
      </c>
      <c r="AD375" s="63">
        <f t="shared" si="151"/>
        <v>0</v>
      </c>
      <c r="AE375" s="63">
        <f t="shared" si="151"/>
        <v>0</v>
      </c>
      <c r="AF375" s="63">
        <f t="shared" si="146"/>
        <v>5516682</v>
      </c>
      <c r="AG375" s="58" t="str">
        <f>IF(ABS(AF375-F375)&lt;1,"ok","err")</f>
        <v>ok</v>
      </c>
    </row>
    <row r="376" spans="1:33">
      <c r="A376" s="60">
        <v>511</v>
      </c>
      <c r="B376" s="60" t="s">
        <v>213</v>
      </c>
      <c r="C376" s="44" t="s">
        <v>278</v>
      </c>
      <c r="D376" s="44" t="s">
        <v>624</v>
      </c>
      <c r="F376" s="78">
        <v>30396</v>
      </c>
      <c r="H376" s="63">
        <f t="shared" si="150"/>
        <v>30396</v>
      </c>
      <c r="I376" s="63">
        <f t="shared" si="150"/>
        <v>0</v>
      </c>
      <c r="J376" s="63">
        <f t="shared" si="150"/>
        <v>0</v>
      </c>
      <c r="K376" s="63">
        <f t="shared" si="150"/>
        <v>0</v>
      </c>
      <c r="L376" s="63">
        <f t="shared" si="150"/>
        <v>0</v>
      </c>
      <c r="M376" s="63">
        <f t="shared" si="150"/>
        <v>0</v>
      </c>
      <c r="N376" s="63">
        <f t="shared" si="150"/>
        <v>0</v>
      </c>
      <c r="O376" s="63">
        <f t="shared" si="150"/>
        <v>0</v>
      </c>
      <c r="P376" s="63">
        <f t="shared" si="150"/>
        <v>0</v>
      </c>
      <c r="Q376" s="63">
        <f t="shared" si="150"/>
        <v>0</v>
      </c>
      <c r="R376" s="63">
        <f t="shared" si="151"/>
        <v>0</v>
      </c>
      <c r="S376" s="63">
        <f t="shared" si="151"/>
        <v>0</v>
      </c>
      <c r="T376" s="63">
        <f t="shared" si="151"/>
        <v>0</v>
      </c>
      <c r="U376" s="63">
        <f t="shared" si="151"/>
        <v>0</v>
      </c>
      <c r="V376" s="63">
        <f t="shared" si="151"/>
        <v>0</v>
      </c>
      <c r="W376" s="63">
        <f t="shared" si="151"/>
        <v>0</v>
      </c>
      <c r="X376" s="63">
        <f t="shared" si="151"/>
        <v>0</v>
      </c>
      <c r="Y376" s="63">
        <f t="shared" si="151"/>
        <v>0</v>
      </c>
      <c r="Z376" s="63">
        <f t="shared" si="151"/>
        <v>0</v>
      </c>
      <c r="AA376" s="63">
        <f t="shared" si="151"/>
        <v>0</v>
      </c>
      <c r="AB376" s="63">
        <f t="shared" si="151"/>
        <v>0</v>
      </c>
      <c r="AC376" s="63">
        <f t="shared" si="151"/>
        <v>0</v>
      </c>
      <c r="AD376" s="63">
        <f t="shared" si="151"/>
        <v>0</v>
      </c>
      <c r="AE376" s="63">
        <f t="shared" si="151"/>
        <v>0</v>
      </c>
      <c r="AF376" s="63">
        <f t="shared" si="146"/>
        <v>30396</v>
      </c>
      <c r="AG376" s="58" t="str">
        <f>IF(ABS(AF376-F376)&lt;1,"ok","err")</f>
        <v>ok</v>
      </c>
    </row>
    <row r="377" spans="1:33">
      <c r="A377" s="60">
        <v>512</v>
      </c>
      <c r="B377" s="60" t="s">
        <v>216</v>
      </c>
      <c r="C377" s="44" t="s">
        <v>279</v>
      </c>
      <c r="D377" s="44" t="s">
        <v>856</v>
      </c>
      <c r="F377" s="78">
        <v>4426057</v>
      </c>
      <c r="H377" s="63">
        <f t="shared" si="150"/>
        <v>0</v>
      </c>
      <c r="I377" s="63">
        <f t="shared" si="150"/>
        <v>0</v>
      </c>
      <c r="J377" s="63">
        <f t="shared" si="150"/>
        <v>0</v>
      </c>
      <c r="K377" s="63">
        <f t="shared" si="150"/>
        <v>4426057</v>
      </c>
      <c r="L377" s="63">
        <f t="shared" si="150"/>
        <v>0</v>
      </c>
      <c r="M377" s="63">
        <f t="shared" si="150"/>
        <v>0</v>
      </c>
      <c r="N377" s="63">
        <f t="shared" si="150"/>
        <v>0</v>
      </c>
      <c r="O377" s="63">
        <f t="shared" si="150"/>
        <v>0</v>
      </c>
      <c r="P377" s="63">
        <f t="shared" si="150"/>
        <v>0</v>
      </c>
      <c r="Q377" s="63">
        <f t="shared" si="150"/>
        <v>0</v>
      </c>
      <c r="R377" s="63">
        <f t="shared" si="151"/>
        <v>0</v>
      </c>
      <c r="S377" s="63">
        <f t="shared" si="151"/>
        <v>0</v>
      </c>
      <c r="T377" s="63">
        <f t="shared" si="151"/>
        <v>0</v>
      </c>
      <c r="U377" s="63">
        <f t="shared" si="151"/>
        <v>0</v>
      </c>
      <c r="V377" s="63">
        <f t="shared" si="151"/>
        <v>0</v>
      </c>
      <c r="W377" s="63">
        <f t="shared" si="151"/>
        <v>0</v>
      </c>
      <c r="X377" s="63">
        <f t="shared" si="151"/>
        <v>0</v>
      </c>
      <c r="Y377" s="63">
        <f t="shared" si="151"/>
        <v>0</v>
      </c>
      <c r="Z377" s="63">
        <f t="shared" si="151"/>
        <v>0</v>
      </c>
      <c r="AA377" s="63">
        <f t="shared" si="151"/>
        <v>0</v>
      </c>
      <c r="AB377" s="63">
        <f t="shared" si="151"/>
        <v>0</v>
      </c>
      <c r="AC377" s="63">
        <f t="shared" si="151"/>
        <v>0</v>
      </c>
      <c r="AD377" s="63">
        <f t="shared" si="151"/>
        <v>0</v>
      </c>
      <c r="AE377" s="63">
        <f t="shared" si="151"/>
        <v>0</v>
      </c>
      <c r="AF377" s="63">
        <f t="shared" si="146"/>
        <v>4426057</v>
      </c>
      <c r="AG377" s="58" t="str">
        <f>IF(ABS(AF377-F377)&lt;1,"ok","err")</f>
        <v>ok</v>
      </c>
    </row>
    <row r="378" spans="1:33">
      <c r="A378" s="60">
        <v>513</v>
      </c>
      <c r="B378" s="60" t="s">
        <v>217</v>
      </c>
      <c r="C378" s="44" t="s">
        <v>280</v>
      </c>
      <c r="D378" s="44" t="s">
        <v>856</v>
      </c>
      <c r="F378" s="78">
        <v>3169334</v>
      </c>
      <c r="H378" s="63">
        <f t="shared" si="150"/>
        <v>0</v>
      </c>
      <c r="I378" s="63">
        <f t="shared" si="150"/>
        <v>0</v>
      </c>
      <c r="J378" s="63">
        <f t="shared" si="150"/>
        <v>0</v>
      </c>
      <c r="K378" s="63">
        <f t="shared" si="150"/>
        <v>3169334</v>
      </c>
      <c r="L378" s="63">
        <f t="shared" si="150"/>
        <v>0</v>
      </c>
      <c r="M378" s="63">
        <f t="shared" si="150"/>
        <v>0</v>
      </c>
      <c r="N378" s="63">
        <f t="shared" si="150"/>
        <v>0</v>
      </c>
      <c r="O378" s="63">
        <f t="shared" si="150"/>
        <v>0</v>
      </c>
      <c r="P378" s="63">
        <f t="shared" si="150"/>
        <v>0</v>
      </c>
      <c r="Q378" s="63">
        <f t="shared" si="150"/>
        <v>0</v>
      </c>
      <c r="R378" s="63">
        <f t="shared" si="151"/>
        <v>0</v>
      </c>
      <c r="S378" s="63">
        <f t="shared" si="151"/>
        <v>0</v>
      </c>
      <c r="T378" s="63">
        <f t="shared" si="151"/>
        <v>0</v>
      </c>
      <c r="U378" s="63">
        <f t="shared" si="151"/>
        <v>0</v>
      </c>
      <c r="V378" s="63">
        <f t="shared" si="151"/>
        <v>0</v>
      </c>
      <c r="W378" s="63">
        <f t="shared" si="151"/>
        <v>0</v>
      </c>
      <c r="X378" s="63">
        <f t="shared" si="151"/>
        <v>0</v>
      </c>
      <c r="Y378" s="63">
        <f t="shared" si="151"/>
        <v>0</v>
      </c>
      <c r="Z378" s="63">
        <f t="shared" si="151"/>
        <v>0</v>
      </c>
      <c r="AA378" s="63">
        <f t="shared" si="151"/>
        <v>0</v>
      </c>
      <c r="AB378" s="63">
        <f t="shared" si="151"/>
        <v>0</v>
      </c>
      <c r="AC378" s="63">
        <f t="shared" si="151"/>
        <v>0</v>
      </c>
      <c r="AD378" s="63">
        <f t="shared" si="151"/>
        <v>0</v>
      </c>
      <c r="AE378" s="63">
        <f t="shared" si="151"/>
        <v>0</v>
      </c>
      <c r="AF378" s="63">
        <f t="shared" si="146"/>
        <v>3169334</v>
      </c>
      <c r="AG378" s="58" t="str">
        <f>IF(ABS(AF378-F378)&lt;1,"ok","err")</f>
        <v>ok</v>
      </c>
    </row>
    <row r="379" spans="1:33">
      <c r="A379" s="60">
        <v>514</v>
      </c>
      <c r="B379" s="60" t="s">
        <v>220</v>
      </c>
      <c r="C379" s="44" t="s">
        <v>281</v>
      </c>
      <c r="D379" s="44" t="s">
        <v>856</v>
      </c>
      <c r="F379" s="78">
        <v>118915</v>
      </c>
      <c r="H379" s="63">
        <f t="shared" si="150"/>
        <v>0</v>
      </c>
      <c r="I379" s="63">
        <f t="shared" si="150"/>
        <v>0</v>
      </c>
      <c r="J379" s="63">
        <f t="shared" si="150"/>
        <v>0</v>
      </c>
      <c r="K379" s="63">
        <f t="shared" si="150"/>
        <v>118915</v>
      </c>
      <c r="L379" s="63">
        <f t="shared" si="150"/>
        <v>0</v>
      </c>
      <c r="M379" s="63">
        <f t="shared" si="150"/>
        <v>0</v>
      </c>
      <c r="N379" s="63">
        <f t="shared" si="150"/>
        <v>0</v>
      </c>
      <c r="O379" s="63">
        <f t="shared" si="150"/>
        <v>0</v>
      </c>
      <c r="P379" s="63">
        <f t="shared" si="150"/>
        <v>0</v>
      </c>
      <c r="Q379" s="63">
        <f t="shared" si="150"/>
        <v>0</v>
      </c>
      <c r="R379" s="63">
        <f t="shared" si="151"/>
        <v>0</v>
      </c>
      <c r="S379" s="63">
        <f t="shared" si="151"/>
        <v>0</v>
      </c>
      <c r="T379" s="63">
        <f t="shared" si="151"/>
        <v>0</v>
      </c>
      <c r="U379" s="63">
        <f t="shared" si="151"/>
        <v>0</v>
      </c>
      <c r="V379" s="63">
        <f t="shared" si="151"/>
        <v>0</v>
      </c>
      <c r="W379" s="63">
        <f t="shared" si="151"/>
        <v>0</v>
      </c>
      <c r="X379" s="63">
        <f t="shared" si="151"/>
        <v>0</v>
      </c>
      <c r="Y379" s="63">
        <f t="shared" si="151"/>
        <v>0</v>
      </c>
      <c r="Z379" s="63">
        <f t="shared" si="151"/>
        <v>0</v>
      </c>
      <c r="AA379" s="63">
        <f t="shared" si="151"/>
        <v>0</v>
      </c>
      <c r="AB379" s="63">
        <f t="shared" si="151"/>
        <v>0</v>
      </c>
      <c r="AC379" s="63">
        <f t="shared" si="151"/>
        <v>0</v>
      </c>
      <c r="AD379" s="63">
        <f t="shared" si="151"/>
        <v>0</v>
      </c>
      <c r="AE379" s="63">
        <f t="shared" si="151"/>
        <v>0</v>
      </c>
      <c r="AF379" s="63">
        <f t="shared" si="146"/>
        <v>118915</v>
      </c>
      <c r="AG379" s="58" t="str">
        <f>IF(ABS(AF379-F379)&lt;1,"ok","err")</f>
        <v>ok</v>
      </c>
    </row>
    <row r="380" spans="1:33">
      <c r="A380" s="60"/>
      <c r="B380" s="60"/>
      <c r="F380" s="75"/>
      <c r="W380" s="44"/>
      <c r="AF380" s="63"/>
      <c r="AG380" s="58"/>
    </row>
    <row r="381" spans="1:33">
      <c r="A381" s="60"/>
      <c r="B381" s="60" t="s">
        <v>222</v>
      </c>
      <c r="C381" s="44" t="s">
        <v>86</v>
      </c>
      <c r="F381" s="75">
        <f>SUM(F375:F380)</f>
        <v>13261384</v>
      </c>
      <c r="H381" s="62">
        <f t="shared" ref="H381:M381" si="152">SUM(H375:H380)</f>
        <v>52047.584021179893</v>
      </c>
      <c r="I381" s="62">
        <f t="shared" si="152"/>
        <v>0</v>
      </c>
      <c r="J381" s="62">
        <f t="shared" si="152"/>
        <v>0</v>
      </c>
      <c r="K381" s="62">
        <f t="shared" si="152"/>
        <v>13209336.415978819</v>
      </c>
      <c r="L381" s="62">
        <f t="shared" si="152"/>
        <v>0</v>
      </c>
      <c r="M381" s="62">
        <f t="shared" si="152"/>
        <v>0</v>
      </c>
      <c r="N381" s="62">
        <f>SUM(N375:N380)</f>
        <v>0</v>
      </c>
      <c r="O381" s="62">
        <f>SUM(O375:O380)</f>
        <v>0</v>
      </c>
      <c r="P381" s="62">
        <f>SUM(P375:P380)</f>
        <v>0</v>
      </c>
      <c r="Q381" s="62">
        <f t="shared" ref="Q381:AB381" si="153">SUM(Q375:Q380)</f>
        <v>0</v>
      </c>
      <c r="R381" s="62">
        <f t="shared" si="153"/>
        <v>0</v>
      </c>
      <c r="S381" s="62">
        <f t="shared" si="153"/>
        <v>0</v>
      </c>
      <c r="T381" s="62">
        <f t="shared" si="153"/>
        <v>0</v>
      </c>
      <c r="U381" s="62">
        <f t="shared" si="153"/>
        <v>0</v>
      </c>
      <c r="V381" s="62">
        <f t="shared" si="153"/>
        <v>0</v>
      </c>
      <c r="W381" s="62">
        <f t="shared" si="153"/>
        <v>0</v>
      </c>
      <c r="X381" s="62">
        <f t="shared" si="153"/>
        <v>0</v>
      </c>
      <c r="Y381" s="62">
        <f t="shared" si="153"/>
        <v>0</v>
      </c>
      <c r="Z381" s="62">
        <f t="shared" si="153"/>
        <v>0</v>
      </c>
      <c r="AA381" s="62">
        <f t="shared" si="153"/>
        <v>0</v>
      </c>
      <c r="AB381" s="62">
        <f t="shared" si="153"/>
        <v>0</v>
      </c>
      <c r="AC381" s="62">
        <f>SUM(AC375:AC380)</f>
        <v>0</v>
      </c>
      <c r="AD381" s="62">
        <f>SUM(AD375:AD380)</f>
        <v>0</v>
      </c>
      <c r="AE381" s="62">
        <f>SUM(AE375:AE380)</f>
        <v>0</v>
      </c>
      <c r="AF381" s="63">
        <f t="shared" si="146"/>
        <v>13261383.999999998</v>
      </c>
      <c r="AG381" s="58" t="str">
        <f>IF(ABS(AF381-F381)&lt;1,"ok","err")</f>
        <v>ok</v>
      </c>
    </row>
    <row r="382" spans="1:33">
      <c r="A382" s="60"/>
      <c r="B382" s="60"/>
      <c r="F382" s="75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3"/>
      <c r="AG382" s="58"/>
    </row>
    <row r="383" spans="1:33">
      <c r="A383" s="60"/>
      <c r="B383" s="60" t="s">
        <v>223</v>
      </c>
      <c r="F383" s="75">
        <f>F372+F381</f>
        <v>29642367</v>
      </c>
      <c r="H383" s="62">
        <f t="shared" ref="H383:M383" si="154">H372+H381</f>
        <v>14360944.257236628</v>
      </c>
      <c r="I383" s="62">
        <f t="shared" si="154"/>
        <v>0</v>
      </c>
      <c r="J383" s="62">
        <f t="shared" si="154"/>
        <v>0</v>
      </c>
      <c r="K383" s="62">
        <f t="shared" si="154"/>
        <v>15281422.74276337</v>
      </c>
      <c r="L383" s="62">
        <f t="shared" si="154"/>
        <v>0</v>
      </c>
      <c r="M383" s="62">
        <f t="shared" si="154"/>
        <v>0</v>
      </c>
      <c r="N383" s="62">
        <f>N372+N381</f>
        <v>0</v>
      </c>
      <c r="O383" s="62">
        <f>O372+O381</f>
        <v>0</v>
      </c>
      <c r="P383" s="62">
        <f>P372+P381</f>
        <v>0</v>
      </c>
      <c r="Q383" s="62">
        <f t="shared" ref="Q383:AB383" si="155">Q372+Q381</f>
        <v>0</v>
      </c>
      <c r="R383" s="62">
        <f t="shared" si="155"/>
        <v>0</v>
      </c>
      <c r="S383" s="62">
        <f t="shared" si="155"/>
        <v>0</v>
      </c>
      <c r="T383" s="62">
        <f t="shared" si="155"/>
        <v>0</v>
      </c>
      <c r="U383" s="62">
        <f t="shared" si="155"/>
        <v>0</v>
      </c>
      <c r="V383" s="62">
        <f t="shared" si="155"/>
        <v>0</v>
      </c>
      <c r="W383" s="62">
        <f t="shared" si="155"/>
        <v>0</v>
      </c>
      <c r="X383" s="62">
        <f t="shared" si="155"/>
        <v>0</v>
      </c>
      <c r="Y383" s="62">
        <f t="shared" si="155"/>
        <v>0</v>
      </c>
      <c r="Z383" s="62">
        <f t="shared" si="155"/>
        <v>0</v>
      </c>
      <c r="AA383" s="62">
        <f t="shared" si="155"/>
        <v>0</v>
      </c>
      <c r="AB383" s="62">
        <f t="shared" si="155"/>
        <v>0</v>
      </c>
      <c r="AC383" s="62">
        <f>AC372+AC381</f>
        <v>0</v>
      </c>
      <c r="AD383" s="62">
        <f>AD372+AD381</f>
        <v>0</v>
      </c>
      <c r="AE383" s="62">
        <f>AE372+AE381</f>
        <v>0</v>
      </c>
      <c r="AF383" s="63">
        <f t="shared" si="146"/>
        <v>29642367</v>
      </c>
      <c r="AG383" s="58" t="str">
        <f>IF(ABS(AF383-F383)&lt;1,"ok","err")</f>
        <v>ok</v>
      </c>
    </row>
    <row r="384" spans="1:33">
      <c r="A384" s="60"/>
      <c r="B384" s="60"/>
      <c r="F384" s="75"/>
      <c r="W384" s="44"/>
      <c r="AF384" s="63"/>
      <c r="AG384" s="58"/>
    </row>
    <row r="385" spans="1:33" ht="15">
      <c r="A385" s="65" t="s">
        <v>309</v>
      </c>
      <c r="B385" s="60"/>
      <c r="W385" s="44"/>
      <c r="AG385" s="58"/>
    </row>
    <row r="386" spans="1:33">
      <c r="A386" s="70">
        <v>535</v>
      </c>
      <c r="B386" s="60" t="s">
        <v>199</v>
      </c>
      <c r="C386" s="44" t="s">
        <v>579</v>
      </c>
      <c r="D386" s="44" t="s">
        <v>628</v>
      </c>
      <c r="F386" s="75">
        <v>93014</v>
      </c>
      <c r="H386" s="63">
        <f t="shared" ref="H386:Q391" si="156">IF(VLOOKUP($D386,$C$6:$AE$653,H$2,)=0,0,((VLOOKUP($D386,$C$6:$AE$653,H$2,)/VLOOKUP($D386,$C$6:$AE$653,4,))*$F386))</f>
        <v>93014</v>
      </c>
      <c r="I386" s="63">
        <f t="shared" si="156"/>
        <v>0</v>
      </c>
      <c r="J386" s="63">
        <f t="shared" si="156"/>
        <v>0</v>
      </c>
      <c r="K386" s="63">
        <f t="shared" si="156"/>
        <v>0</v>
      </c>
      <c r="L386" s="63">
        <f t="shared" si="156"/>
        <v>0</v>
      </c>
      <c r="M386" s="63">
        <f t="shared" si="156"/>
        <v>0</v>
      </c>
      <c r="N386" s="63">
        <f t="shared" si="156"/>
        <v>0</v>
      </c>
      <c r="O386" s="63">
        <f t="shared" si="156"/>
        <v>0</v>
      </c>
      <c r="P386" s="63">
        <f t="shared" si="156"/>
        <v>0</v>
      </c>
      <c r="Q386" s="63">
        <f t="shared" si="156"/>
        <v>0</v>
      </c>
      <c r="R386" s="63">
        <f t="shared" ref="R386:AE391" si="157">IF(VLOOKUP($D386,$C$6:$AE$653,R$2,)=0,0,((VLOOKUP($D386,$C$6:$AE$653,R$2,)/VLOOKUP($D386,$C$6:$AE$653,4,))*$F386))</f>
        <v>0</v>
      </c>
      <c r="S386" s="63">
        <f t="shared" si="157"/>
        <v>0</v>
      </c>
      <c r="T386" s="63">
        <f t="shared" si="157"/>
        <v>0</v>
      </c>
      <c r="U386" s="63">
        <f t="shared" si="157"/>
        <v>0</v>
      </c>
      <c r="V386" s="63">
        <f t="shared" si="157"/>
        <v>0</v>
      </c>
      <c r="W386" s="63">
        <f t="shared" si="157"/>
        <v>0</v>
      </c>
      <c r="X386" s="63">
        <f t="shared" si="157"/>
        <v>0</v>
      </c>
      <c r="Y386" s="63">
        <f t="shared" si="157"/>
        <v>0</v>
      </c>
      <c r="Z386" s="63">
        <f t="shared" si="157"/>
        <v>0</v>
      </c>
      <c r="AA386" s="63">
        <f t="shared" si="157"/>
        <v>0</v>
      </c>
      <c r="AB386" s="63">
        <f t="shared" si="157"/>
        <v>0</v>
      </c>
      <c r="AC386" s="63">
        <f t="shared" si="157"/>
        <v>0</v>
      </c>
      <c r="AD386" s="63">
        <f t="shared" si="157"/>
        <v>0</v>
      </c>
      <c r="AE386" s="63">
        <f t="shared" si="157"/>
        <v>0</v>
      </c>
      <c r="AF386" s="63">
        <f t="shared" ref="AF386:AF391" si="158">SUM(H386:AE386)</f>
        <v>93014</v>
      </c>
      <c r="AG386" s="58" t="str">
        <f t="shared" ref="AG386:AG391" si="159">IF(ABS(AF386-F386)&lt;1,"ok","err")</f>
        <v>ok</v>
      </c>
    </row>
    <row r="387" spans="1:33">
      <c r="A387" s="249">
        <v>536</v>
      </c>
      <c r="B387" s="60" t="s">
        <v>316</v>
      </c>
      <c r="C387" s="44" t="s">
        <v>580</v>
      </c>
      <c r="D387" s="44" t="s">
        <v>624</v>
      </c>
      <c r="F387" s="78">
        <v>0</v>
      </c>
      <c r="H387" s="63">
        <f t="shared" si="156"/>
        <v>0</v>
      </c>
      <c r="I387" s="63">
        <f t="shared" si="156"/>
        <v>0</v>
      </c>
      <c r="J387" s="63">
        <f t="shared" si="156"/>
        <v>0</v>
      </c>
      <c r="K387" s="63">
        <f t="shared" si="156"/>
        <v>0</v>
      </c>
      <c r="L387" s="63">
        <f t="shared" si="156"/>
        <v>0</v>
      </c>
      <c r="M387" s="63">
        <f t="shared" si="156"/>
        <v>0</v>
      </c>
      <c r="N387" s="63">
        <f t="shared" si="156"/>
        <v>0</v>
      </c>
      <c r="O387" s="63">
        <f t="shared" si="156"/>
        <v>0</v>
      </c>
      <c r="P387" s="63">
        <f t="shared" si="156"/>
        <v>0</v>
      </c>
      <c r="Q387" s="63">
        <f t="shared" si="156"/>
        <v>0</v>
      </c>
      <c r="R387" s="63">
        <f t="shared" si="157"/>
        <v>0</v>
      </c>
      <c r="S387" s="63">
        <f t="shared" si="157"/>
        <v>0</v>
      </c>
      <c r="T387" s="63">
        <f t="shared" si="157"/>
        <v>0</v>
      </c>
      <c r="U387" s="63">
        <f t="shared" si="157"/>
        <v>0</v>
      </c>
      <c r="V387" s="63">
        <f t="shared" si="157"/>
        <v>0</v>
      </c>
      <c r="W387" s="63">
        <f t="shared" si="157"/>
        <v>0</v>
      </c>
      <c r="X387" s="63">
        <f t="shared" si="157"/>
        <v>0</v>
      </c>
      <c r="Y387" s="63">
        <f t="shared" si="157"/>
        <v>0</v>
      </c>
      <c r="Z387" s="63">
        <f t="shared" si="157"/>
        <v>0</v>
      </c>
      <c r="AA387" s="63">
        <f t="shared" si="157"/>
        <v>0</v>
      </c>
      <c r="AB387" s="63">
        <f t="shared" si="157"/>
        <v>0</v>
      </c>
      <c r="AC387" s="63">
        <f t="shared" si="157"/>
        <v>0</v>
      </c>
      <c r="AD387" s="63">
        <f t="shared" si="157"/>
        <v>0</v>
      </c>
      <c r="AE387" s="63">
        <f t="shared" si="157"/>
        <v>0</v>
      </c>
      <c r="AF387" s="63">
        <f t="shared" si="158"/>
        <v>0</v>
      </c>
      <c r="AG387" s="58" t="str">
        <f t="shared" si="159"/>
        <v>ok</v>
      </c>
    </row>
    <row r="388" spans="1:33">
      <c r="A388" s="60">
        <v>537</v>
      </c>
      <c r="B388" s="60" t="s">
        <v>315</v>
      </c>
      <c r="C388" s="44" t="s">
        <v>581</v>
      </c>
      <c r="D388" s="44" t="s">
        <v>624</v>
      </c>
      <c r="F388" s="78">
        <v>0</v>
      </c>
      <c r="H388" s="63">
        <f t="shared" si="156"/>
        <v>0</v>
      </c>
      <c r="I388" s="63">
        <f t="shared" si="156"/>
        <v>0</v>
      </c>
      <c r="J388" s="63">
        <f t="shared" si="156"/>
        <v>0</v>
      </c>
      <c r="K388" s="63">
        <f t="shared" si="156"/>
        <v>0</v>
      </c>
      <c r="L388" s="63">
        <f t="shared" si="156"/>
        <v>0</v>
      </c>
      <c r="M388" s="63">
        <f t="shared" si="156"/>
        <v>0</v>
      </c>
      <c r="N388" s="63">
        <f t="shared" si="156"/>
        <v>0</v>
      </c>
      <c r="O388" s="63">
        <f t="shared" si="156"/>
        <v>0</v>
      </c>
      <c r="P388" s="63">
        <f t="shared" si="156"/>
        <v>0</v>
      </c>
      <c r="Q388" s="63">
        <f t="shared" si="156"/>
        <v>0</v>
      </c>
      <c r="R388" s="63">
        <f t="shared" si="157"/>
        <v>0</v>
      </c>
      <c r="S388" s="63">
        <f t="shared" si="157"/>
        <v>0</v>
      </c>
      <c r="T388" s="63">
        <f t="shared" si="157"/>
        <v>0</v>
      </c>
      <c r="U388" s="63">
        <f t="shared" si="157"/>
        <v>0</v>
      </c>
      <c r="V388" s="63">
        <f t="shared" si="157"/>
        <v>0</v>
      </c>
      <c r="W388" s="63">
        <f t="shared" si="157"/>
        <v>0</v>
      </c>
      <c r="X388" s="63">
        <f t="shared" si="157"/>
        <v>0</v>
      </c>
      <c r="Y388" s="63">
        <f t="shared" si="157"/>
        <v>0</v>
      </c>
      <c r="Z388" s="63">
        <f t="shared" si="157"/>
        <v>0</v>
      </c>
      <c r="AA388" s="63">
        <f t="shared" si="157"/>
        <v>0</v>
      </c>
      <c r="AB388" s="63">
        <f t="shared" si="157"/>
        <v>0</v>
      </c>
      <c r="AC388" s="63">
        <f t="shared" si="157"/>
        <v>0</v>
      </c>
      <c r="AD388" s="63">
        <f t="shared" si="157"/>
        <v>0</v>
      </c>
      <c r="AE388" s="63">
        <f t="shared" si="157"/>
        <v>0</v>
      </c>
      <c r="AF388" s="63">
        <f t="shared" si="158"/>
        <v>0</v>
      </c>
      <c r="AG388" s="58" t="str">
        <f t="shared" si="159"/>
        <v>ok</v>
      </c>
    </row>
    <row r="389" spans="1:33">
      <c r="A389" s="248">
        <v>538</v>
      </c>
      <c r="B389" s="60" t="s">
        <v>205</v>
      </c>
      <c r="C389" s="44" t="s">
        <v>582</v>
      </c>
      <c r="D389" s="44" t="s">
        <v>624</v>
      </c>
      <c r="F389" s="78">
        <v>262377</v>
      </c>
      <c r="H389" s="63">
        <f t="shared" si="156"/>
        <v>262377</v>
      </c>
      <c r="I389" s="63">
        <f t="shared" si="156"/>
        <v>0</v>
      </c>
      <c r="J389" s="63">
        <f t="shared" si="156"/>
        <v>0</v>
      </c>
      <c r="K389" s="63">
        <f t="shared" si="156"/>
        <v>0</v>
      </c>
      <c r="L389" s="63">
        <f t="shared" si="156"/>
        <v>0</v>
      </c>
      <c r="M389" s="63">
        <f t="shared" si="156"/>
        <v>0</v>
      </c>
      <c r="N389" s="63">
        <f t="shared" si="156"/>
        <v>0</v>
      </c>
      <c r="O389" s="63">
        <f t="shared" si="156"/>
        <v>0</v>
      </c>
      <c r="P389" s="63">
        <f t="shared" si="156"/>
        <v>0</v>
      </c>
      <c r="Q389" s="63">
        <f t="shared" si="156"/>
        <v>0</v>
      </c>
      <c r="R389" s="63">
        <f t="shared" si="157"/>
        <v>0</v>
      </c>
      <c r="S389" s="63">
        <f t="shared" si="157"/>
        <v>0</v>
      </c>
      <c r="T389" s="63">
        <f t="shared" si="157"/>
        <v>0</v>
      </c>
      <c r="U389" s="63">
        <f t="shared" si="157"/>
        <v>0</v>
      </c>
      <c r="V389" s="63">
        <f t="shared" si="157"/>
        <v>0</v>
      </c>
      <c r="W389" s="63">
        <f t="shared" si="157"/>
        <v>0</v>
      </c>
      <c r="X389" s="63">
        <f t="shared" si="157"/>
        <v>0</v>
      </c>
      <c r="Y389" s="63">
        <f t="shared" si="157"/>
        <v>0</v>
      </c>
      <c r="Z389" s="63">
        <f t="shared" si="157"/>
        <v>0</v>
      </c>
      <c r="AA389" s="63">
        <f t="shared" si="157"/>
        <v>0</v>
      </c>
      <c r="AB389" s="63">
        <f t="shared" si="157"/>
        <v>0</v>
      </c>
      <c r="AC389" s="63">
        <f t="shared" si="157"/>
        <v>0</v>
      </c>
      <c r="AD389" s="63">
        <f t="shared" si="157"/>
        <v>0</v>
      </c>
      <c r="AE389" s="63">
        <f t="shared" si="157"/>
        <v>0</v>
      </c>
      <c r="AF389" s="63">
        <f t="shared" si="158"/>
        <v>262377</v>
      </c>
      <c r="AG389" s="58" t="str">
        <f t="shared" si="159"/>
        <v>ok</v>
      </c>
    </row>
    <row r="390" spans="1:33">
      <c r="A390" s="60">
        <v>539</v>
      </c>
      <c r="B390" s="60" t="s">
        <v>317</v>
      </c>
      <c r="C390" s="44" t="s">
        <v>583</v>
      </c>
      <c r="D390" s="44" t="s">
        <v>624</v>
      </c>
      <c r="F390" s="78">
        <v>0</v>
      </c>
      <c r="H390" s="63">
        <f t="shared" si="156"/>
        <v>0</v>
      </c>
      <c r="I390" s="63">
        <f t="shared" si="156"/>
        <v>0</v>
      </c>
      <c r="J390" s="63">
        <f t="shared" si="156"/>
        <v>0</v>
      </c>
      <c r="K390" s="63">
        <f t="shared" si="156"/>
        <v>0</v>
      </c>
      <c r="L390" s="63">
        <f t="shared" si="156"/>
        <v>0</v>
      </c>
      <c r="M390" s="63">
        <f t="shared" si="156"/>
        <v>0</v>
      </c>
      <c r="N390" s="63">
        <f t="shared" si="156"/>
        <v>0</v>
      </c>
      <c r="O390" s="63">
        <f t="shared" si="156"/>
        <v>0</v>
      </c>
      <c r="P390" s="63">
        <f t="shared" si="156"/>
        <v>0</v>
      </c>
      <c r="Q390" s="63">
        <f t="shared" si="156"/>
        <v>0</v>
      </c>
      <c r="R390" s="63">
        <f t="shared" si="157"/>
        <v>0</v>
      </c>
      <c r="S390" s="63">
        <f t="shared" si="157"/>
        <v>0</v>
      </c>
      <c r="T390" s="63">
        <f t="shared" si="157"/>
        <v>0</v>
      </c>
      <c r="U390" s="63">
        <f t="shared" si="157"/>
        <v>0</v>
      </c>
      <c r="V390" s="63">
        <f t="shared" si="157"/>
        <v>0</v>
      </c>
      <c r="W390" s="63">
        <f t="shared" si="157"/>
        <v>0</v>
      </c>
      <c r="X390" s="63">
        <f t="shared" si="157"/>
        <v>0</v>
      </c>
      <c r="Y390" s="63">
        <f t="shared" si="157"/>
        <v>0</v>
      </c>
      <c r="Z390" s="63">
        <f t="shared" si="157"/>
        <v>0</v>
      </c>
      <c r="AA390" s="63">
        <f t="shared" si="157"/>
        <v>0</v>
      </c>
      <c r="AB390" s="63">
        <f t="shared" si="157"/>
        <v>0</v>
      </c>
      <c r="AC390" s="63">
        <f t="shared" si="157"/>
        <v>0</v>
      </c>
      <c r="AD390" s="63">
        <f t="shared" si="157"/>
        <v>0</v>
      </c>
      <c r="AE390" s="63">
        <f t="shared" si="157"/>
        <v>0</v>
      </c>
      <c r="AF390" s="63">
        <f t="shared" si="158"/>
        <v>0</v>
      </c>
      <c r="AG390" s="58" t="str">
        <f t="shared" si="159"/>
        <v>ok</v>
      </c>
    </row>
    <row r="391" spans="1:33">
      <c r="A391" s="248">
        <v>540</v>
      </c>
      <c r="B391" s="60" t="s">
        <v>930</v>
      </c>
      <c r="D391" s="44" t="s">
        <v>624</v>
      </c>
      <c r="F391" s="78">
        <v>0</v>
      </c>
      <c r="H391" s="63">
        <f t="shared" si="156"/>
        <v>0</v>
      </c>
      <c r="I391" s="63">
        <f t="shared" si="156"/>
        <v>0</v>
      </c>
      <c r="J391" s="63">
        <f t="shared" si="156"/>
        <v>0</v>
      </c>
      <c r="K391" s="63">
        <f t="shared" si="156"/>
        <v>0</v>
      </c>
      <c r="L391" s="63">
        <f t="shared" si="156"/>
        <v>0</v>
      </c>
      <c r="M391" s="63">
        <f t="shared" si="156"/>
        <v>0</v>
      </c>
      <c r="N391" s="63">
        <f t="shared" si="156"/>
        <v>0</v>
      </c>
      <c r="O391" s="63">
        <f t="shared" si="156"/>
        <v>0</v>
      </c>
      <c r="P391" s="63">
        <f t="shared" si="156"/>
        <v>0</v>
      </c>
      <c r="Q391" s="63">
        <f t="shared" si="156"/>
        <v>0</v>
      </c>
      <c r="R391" s="63">
        <f t="shared" si="157"/>
        <v>0</v>
      </c>
      <c r="S391" s="63">
        <f t="shared" si="157"/>
        <v>0</v>
      </c>
      <c r="T391" s="63">
        <f t="shared" si="157"/>
        <v>0</v>
      </c>
      <c r="U391" s="63">
        <f t="shared" si="157"/>
        <v>0</v>
      </c>
      <c r="V391" s="63">
        <f t="shared" si="157"/>
        <v>0</v>
      </c>
      <c r="W391" s="63">
        <f t="shared" si="157"/>
        <v>0</v>
      </c>
      <c r="X391" s="63">
        <f t="shared" si="157"/>
        <v>0</v>
      </c>
      <c r="Y391" s="63">
        <f t="shared" si="157"/>
        <v>0</v>
      </c>
      <c r="Z391" s="63">
        <f t="shared" si="157"/>
        <v>0</v>
      </c>
      <c r="AA391" s="63">
        <f t="shared" si="157"/>
        <v>0</v>
      </c>
      <c r="AB391" s="63">
        <f t="shared" si="157"/>
        <v>0</v>
      </c>
      <c r="AC391" s="63">
        <f t="shared" si="157"/>
        <v>0</v>
      </c>
      <c r="AD391" s="63">
        <f t="shared" si="157"/>
        <v>0</v>
      </c>
      <c r="AE391" s="63">
        <f t="shared" si="157"/>
        <v>0</v>
      </c>
      <c r="AF391" s="63">
        <f t="shared" si="158"/>
        <v>0</v>
      </c>
      <c r="AG391" s="58" t="str">
        <f t="shared" si="159"/>
        <v>ok</v>
      </c>
    </row>
    <row r="392" spans="1:33">
      <c r="A392" s="60"/>
      <c r="B392" s="60"/>
      <c r="F392" s="75"/>
      <c r="W392" s="44"/>
      <c r="AF392" s="63"/>
      <c r="AG392" s="58"/>
    </row>
    <row r="393" spans="1:33">
      <c r="A393" s="60"/>
      <c r="B393" s="60" t="s">
        <v>312</v>
      </c>
      <c r="C393" s="44" t="s">
        <v>630</v>
      </c>
      <c r="F393" s="75">
        <f>SUM(F386:F392)</f>
        <v>355391</v>
      </c>
      <c r="H393" s="62">
        <f t="shared" ref="H393:M393" si="160">SUM(H386:H392)</f>
        <v>355391</v>
      </c>
      <c r="I393" s="62">
        <f t="shared" si="160"/>
        <v>0</v>
      </c>
      <c r="J393" s="62">
        <f t="shared" si="160"/>
        <v>0</v>
      </c>
      <c r="K393" s="62">
        <f t="shared" si="160"/>
        <v>0</v>
      </c>
      <c r="L393" s="62">
        <f t="shared" si="160"/>
        <v>0</v>
      </c>
      <c r="M393" s="62">
        <f t="shared" si="160"/>
        <v>0</v>
      </c>
      <c r="N393" s="62">
        <f>SUM(N386:N392)</f>
        <v>0</v>
      </c>
      <c r="O393" s="62">
        <f>SUM(O386:O392)</f>
        <v>0</v>
      </c>
      <c r="P393" s="62">
        <f>SUM(P386:P392)</f>
        <v>0</v>
      </c>
      <c r="Q393" s="62">
        <f t="shared" ref="Q393:AB393" si="161">SUM(Q386:Q392)</f>
        <v>0</v>
      </c>
      <c r="R393" s="62">
        <f t="shared" si="161"/>
        <v>0</v>
      </c>
      <c r="S393" s="62">
        <f t="shared" si="161"/>
        <v>0</v>
      </c>
      <c r="T393" s="62">
        <f t="shared" si="161"/>
        <v>0</v>
      </c>
      <c r="U393" s="62">
        <f t="shared" si="161"/>
        <v>0</v>
      </c>
      <c r="V393" s="62">
        <f t="shared" si="161"/>
        <v>0</v>
      </c>
      <c r="W393" s="62">
        <f t="shared" si="161"/>
        <v>0</v>
      </c>
      <c r="X393" s="62">
        <f t="shared" si="161"/>
        <v>0</v>
      </c>
      <c r="Y393" s="62">
        <f t="shared" si="161"/>
        <v>0</v>
      </c>
      <c r="Z393" s="62">
        <f t="shared" si="161"/>
        <v>0</v>
      </c>
      <c r="AA393" s="62">
        <f t="shared" si="161"/>
        <v>0</v>
      </c>
      <c r="AB393" s="62">
        <f t="shared" si="161"/>
        <v>0</v>
      </c>
      <c r="AC393" s="62">
        <f>SUM(AC386:AC392)</f>
        <v>0</v>
      </c>
      <c r="AD393" s="62">
        <f>SUM(AD386:AD392)</f>
        <v>0</v>
      </c>
      <c r="AE393" s="62">
        <f>SUM(AE386:AE392)</f>
        <v>0</v>
      </c>
      <c r="AF393" s="63">
        <f>SUM(H393:AE393)</f>
        <v>355391</v>
      </c>
      <c r="AG393" s="58" t="str">
        <f>IF(ABS(AF393-F393)&lt;1,"ok","err")</f>
        <v>ok</v>
      </c>
    </row>
    <row r="394" spans="1:33">
      <c r="A394" s="60"/>
      <c r="B394" s="60"/>
      <c r="F394" s="75"/>
      <c r="W394" s="44"/>
      <c r="AG394" s="58"/>
    </row>
    <row r="395" spans="1:33" ht="15">
      <c r="A395" s="65" t="s">
        <v>310</v>
      </c>
      <c r="B395" s="60"/>
      <c r="F395" s="75"/>
      <c r="W395" s="44"/>
      <c r="AG395" s="58"/>
    </row>
    <row r="396" spans="1:33">
      <c r="A396" s="70">
        <v>541</v>
      </c>
      <c r="B396" s="60" t="s">
        <v>214</v>
      </c>
      <c r="C396" s="44" t="s">
        <v>584</v>
      </c>
      <c r="D396" s="44" t="s">
        <v>635</v>
      </c>
      <c r="F396" s="75">
        <v>0</v>
      </c>
      <c r="H396" s="63">
        <f t="shared" ref="H396:Q400" si="162">IF(VLOOKUP($D396,$C$6:$AE$653,H$2,)=0,0,((VLOOKUP($D396,$C$6:$AE$653,H$2,)/VLOOKUP($D396,$C$6:$AE$653,4,))*$F396))</f>
        <v>0</v>
      </c>
      <c r="I396" s="63">
        <f t="shared" si="162"/>
        <v>0</v>
      </c>
      <c r="J396" s="63">
        <f t="shared" si="162"/>
        <v>0</v>
      </c>
      <c r="K396" s="63">
        <f t="shared" si="162"/>
        <v>0</v>
      </c>
      <c r="L396" s="63">
        <f t="shared" si="162"/>
        <v>0</v>
      </c>
      <c r="M396" s="63">
        <f t="shared" si="162"/>
        <v>0</v>
      </c>
      <c r="N396" s="63">
        <f t="shared" si="162"/>
        <v>0</v>
      </c>
      <c r="O396" s="63">
        <f t="shared" si="162"/>
        <v>0</v>
      </c>
      <c r="P396" s="63">
        <f t="shared" si="162"/>
        <v>0</v>
      </c>
      <c r="Q396" s="63">
        <f t="shared" si="162"/>
        <v>0</v>
      </c>
      <c r="R396" s="63">
        <f t="shared" ref="R396:AE400" si="163">IF(VLOOKUP($D396,$C$6:$AE$653,R$2,)=0,0,((VLOOKUP($D396,$C$6:$AE$653,R$2,)/VLOOKUP($D396,$C$6:$AE$653,4,))*$F396))</f>
        <v>0</v>
      </c>
      <c r="S396" s="63">
        <f t="shared" si="163"/>
        <v>0</v>
      </c>
      <c r="T396" s="63">
        <f t="shared" si="163"/>
        <v>0</v>
      </c>
      <c r="U396" s="63">
        <f t="shared" si="163"/>
        <v>0</v>
      </c>
      <c r="V396" s="63">
        <f t="shared" si="163"/>
        <v>0</v>
      </c>
      <c r="W396" s="63">
        <f t="shared" si="163"/>
        <v>0</v>
      </c>
      <c r="X396" s="63">
        <f t="shared" si="163"/>
        <v>0</v>
      </c>
      <c r="Y396" s="63">
        <f t="shared" si="163"/>
        <v>0</v>
      </c>
      <c r="Z396" s="63">
        <f t="shared" si="163"/>
        <v>0</v>
      </c>
      <c r="AA396" s="63">
        <f t="shared" si="163"/>
        <v>0</v>
      </c>
      <c r="AB396" s="63">
        <f t="shared" si="163"/>
        <v>0</v>
      </c>
      <c r="AC396" s="63">
        <f t="shared" si="163"/>
        <v>0</v>
      </c>
      <c r="AD396" s="63">
        <f t="shared" si="163"/>
        <v>0</v>
      </c>
      <c r="AE396" s="63">
        <f t="shared" si="163"/>
        <v>0</v>
      </c>
      <c r="AF396" s="63">
        <f>SUM(H396:AE396)</f>
        <v>0</v>
      </c>
      <c r="AG396" s="58" t="str">
        <f>IF(ABS(AF396-F396)&lt;1,"ok","err")</f>
        <v>ok</v>
      </c>
    </row>
    <row r="397" spans="1:33">
      <c r="A397" s="70">
        <v>542</v>
      </c>
      <c r="B397" s="60" t="s">
        <v>213</v>
      </c>
      <c r="C397" s="44" t="s">
        <v>585</v>
      </c>
      <c r="D397" s="44" t="s">
        <v>624</v>
      </c>
      <c r="F397" s="78">
        <v>50196</v>
      </c>
      <c r="H397" s="63">
        <f t="shared" si="162"/>
        <v>50196</v>
      </c>
      <c r="I397" s="63">
        <f t="shared" si="162"/>
        <v>0</v>
      </c>
      <c r="J397" s="63">
        <f t="shared" si="162"/>
        <v>0</v>
      </c>
      <c r="K397" s="63">
        <f t="shared" si="162"/>
        <v>0</v>
      </c>
      <c r="L397" s="63">
        <f t="shared" si="162"/>
        <v>0</v>
      </c>
      <c r="M397" s="63">
        <f t="shared" si="162"/>
        <v>0</v>
      </c>
      <c r="N397" s="63">
        <f t="shared" si="162"/>
        <v>0</v>
      </c>
      <c r="O397" s="63">
        <f t="shared" si="162"/>
        <v>0</v>
      </c>
      <c r="P397" s="63">
        <f t="shared" si="162"/>
        <v>0</v>
      </c>
      <c r="Q397" s="63">
        <f t="shared" si="162"/>
        <v>0</v>
      </c>
      <c r="R397" s="63">
        <f t="shared" si="163"/>
        <v>0</v>
      </c>
      <c r="S397" s="63">
        <f t="shared" si="163"/>
        <v>0</v>
      </c>
      <c r="T397" s="63">
        <f t="shared" si="163"/>
        <v>0</v>
      </c>
      <c r="U397" s="63">
        <f t="shared" si="163"/>
        <v>0</v>
      </c>
      <c r="V397" s="63">
        <f t="shared" si="163"/>
        <v>0</v>
      </c>
      <c r="W397" s="63">
        <f t="shared" si="163"/>
        <v>0</v>
      </c>
      <c r="X397" s="63">
        <f t="shared" si="163"/>
        <v>0</v>
      </c>
      <c r="Y397" s="63">
        <f t="shared" si="163"/>
        <v>0</v>
      </c>
      <c r="Z397" s="63">
        <f t="shared" si="163"/>
        <v>0</v>
      </c>
      <c r="AA397" s="63">
        <f t="shared" si="163"/>
        <v>0</v>
      </c>
      <c r="AB397" s="63">
        <f t="shared" si="163"/>
        <v>0</v>
      </c>
      <c r="AC397" s="63">
        <f t="shared" si="163"/>
        <v>0</v>
      </c>
      <c r="AD397" s="63">
        <f t="shared" si="163"/>
        <v>0</v>
      </c>
      <c r="AE397" s="63">
        <f t="shared" si="163"/>
        <v>0</v>
      </c>
      <c r="AF397" s="63">
        <f>SUM(H397:AE397)</f>
        <v>50196</v>
      </c>
      <c r="AG397" s="58" t="str">
        <f>IF(ABS(AF397-F397)&lt;1,"ok","err")</f>
        <v>ok</v>
      </c>
    </row>
    <row r="398" spans="1:33">
      <c r="A398" s="70">
        <v>543</v>
      </c>
      <c r="B398" s="60" t="s">
        <v>311</v>
      </c>
      <c r="C398" s="44" t="s">
        <v>586</v>
      </c>
      <c r="D398" s="44" t="s">
        <v>624</v>
      </c>
      <c r="F398" s="78">
        <v>35849</v>
      </c>
      <c r="H398" s="63">
        <f t="shared" si="162"/>
        <v>35849</v>
      </c>
      <c r="I398" s="63">
        <f t="shared" si="162"/>
        <v>0</v>
      </c>
      <c r="J398" s="63">
        <f t="shared" si="162"/>
        <v>0</v>
      </c>
      <c r="K398" s="63">
        <f t="shared" si="162"/>
        <v>0</v>
      </c>
      <c r="L398" s="63">
        <f t="shared" si="162"/>
        <v>0</v>
      </c>
      <c r="M398" s="63">
        <f t="shared" si="162"/>
        <v>0</v>
      </c>
      <c r="N398" s="63">
        <f t="shared" si="162"/>
        <v>0</v>
      </c>
      <c r="O398" s="63">
        <f t="shared" si="162"/>
        <v>0</v>
      </c>
      <c r="P398" s="63">
        <f t="shared" si="162"/>
        <v>0</v>
      </c>
      <c r="Q398" s="63">
        <f t="shared" si="162"/>
        <v>0</v>
      </c>
      <c r="R398" s="63">
        <f t="shared" si="163"/>
        <v>0</v>
      </c>
      <c r="S398" s="63">
        <f t="shared" si="163"/>
        <v>0</v>
      </c>
      <c r="T398" s="63">
        <f t="shared" si="163"/>
        <v>0</v>
      </c>
      <c r="U398" s="63">
        <f t="shared" si="163"/>
        <v>0</v>
      </c>
      <c r="V398" s="63">
        <f t="shared" si="163"/>
        <v>0</v>
      </c>
      <c r="W398" s="63">
        <f t="shared" si="163"/>
        <v>0</v>
      </c>
      <c r="X398" s="63">
        <f t="shared" si="163"/>
        <v>0</v>
      </c>
      <c r="Y398" s="63">
        <f t="shared" si="163"/>
        <v>0</v>
      </c>
      <c r="Z398" s="63">
        <f t="shared" si="163"/>
        <v>0</v>
      </c>
      <c r="AA398" s="63">
        <f t="shared" si="163"/>
        <v>0</v>
      </c>
      <c r="AB398" s="63">
        <f t="shared" si="163"/>
        <v>0</v>
      </c>
      <c r="AC398" s="63">
        <f t="shared" si="163"/>
        <v>0</v>
      </c>
      <c r="AD398" s="63">
        <f t="shared" si="163"/>
        <v>0</v>
      </c>
      <c r="AE398" s="63">
        <f t="shared" si="163"/>
        <v>0</v>
      </c>
      <c r="AF398" s="63">
        <f>SUM(H398:AE398)</f>
        <v>35849</v>
      </c>
      <c r="AG398" s="58" t="str">
        <f>IF(ABS(AF398-F398)&lt;1,"ok","err")</f>
        <v>ok</v>
      </c>
    </row>
    <row r="399" spans="1:33">
      <c r="A399" s="60">
        <v>544</v>
      </c>
      <c r="B399" s="60" t="s">
        <v>217</v>
      </c>
      <c r="C399" s="44" t="s">
        <v>587</v>
      </c>
      <c r="D399" s="44" t="s">
        <v>856</v>
      </c>
      <c r="F399" s="78">
        <v>72238</v>
      </c>
      <c r="H399" s="63">
        <f t="shared" si="162"/>
        <v>0</v>
      </c>
      <c r="I399" s="63">
        <f t="shared" si="162"/>
        <v>0</v>
      </c>
      <c r="J399" s="63">
        <f t="shared" si="162"/>
        <v>0</v>
      </c>
      <c r="K399" s="63">
        <f t="shared" si="162"/>
        <v>72238</v>
      </c>
      <c r="L399" s="63">
        <f t="shared" si="162"/>
        <v>0</v>
      </c>
      <c r="M399" s="63">
        <f t="shared" si="162"/>
        <v>0</v>
      </c>
      <c r="N399" s="63">
        <f t="shared" si="162"/>
        <v>0</v>
      </c>
      <c r="O399" s="63">
        <f t="shared" si="162"/>
        <v>0</v>
      </c>
      <c r="P399" s="63">
        <f t="shared" si="162"/>
        <v>0</v>
      </c>
      <c r="Q399" s="63">
        <f t="shared" si="162"/>
        <v>0</v>
      </c>
      <c r="R399" s="63">
        <f t="shared" si="163"/>
        <v>0</v>
      </c>
      <c r="S399" s="63">
        <f t="shared" si="163"/>
        <v>0</v>
      </c>
      <c r="T399" s="63">
        <f t="shared" si="163"/>
        <v>0</v>
      </c>
      <c r="U399" s="63">
        <f t="shared" si="163"/>
        <v>0</v>
      </c>
      <c r="V399" s="63">
        <f t="shared" si="163"/>
        <v>0</v>
      </c>
      <c r="W399" s="63">
        <f t="shared" si="163"/>
        <v>0</v>
      </c>
      <c r="X399" s="63">
        <f t="shared" si="163"/>
        <v>0</v>
      </c>
      <c r="Y399" s="63">
        <f t="shared" si="163"/>
        <v>0</v>
      </c>
      <c r="Z399" s="63">
        <f t="shared" si="163"/>
        <v>0</v>
      </c>
      <c r="AA399" s="63">
        <f t="shared" si="163"/>
        <v>0</v>
      </c>
      <c r="AB399" s="63">
        <f t="shared" si="163"/>
        <v>0</v>
      </c>
      <c r="AC399" s="63">
        <f t="shared" si="163"/>
        <v>0</v>
      </c>
      <c r="AD399" s="63">
        <f t="shared" si="163"/>
        <v>0</v>
      </c>
      <c r="AE399" s="63">
        <f t="shared" si="163"/>
        <v>0</v>
      </c>
      <c r="AF399" s="63">
        <f>SUM(H399:AE399)</f>
        <v>72238</v>
      </c>
      <c r="AG399" s="58" t="str">
        <f>IF(ABS(AF399-F399)&lt;1,"ok","err")</f>
        <v>ok</v>
      </c>
    </row>
    <row r="400" spans="1:33">
      <c r="A400" s="60">
        <v>545</v>
      </c>
      <c r="B400" s="60" t="s">
        <v>318</v>
      </c>
      <c r="C400" s="44" t="s">
        <v>588</v>
      </c>
      <c r="D400" s="44" t="s">
        <v>856</v>
      </c>
      <c r="F400" s="78">
        <v>0</v>
      </c>
      <c r="H400" s="63">
        <f t="shared" si="162"/>
        <v>0</v>
      </c>
      <c r="I400" s="63">
        <f t="shared" si="162"/>
        <v>0</v>
      </c>
      <c r="J400" s="63">
        <f t="shared" si="162"/>
        <v>0</v>
      </c>
      <c r="K400" s="63">
        <f t="shared" si="162"/>
        <v>0</v>
      </c>
      <c r="L400" s="63">
        <f t="shared" si="162"/>
        <v>0</v>
      </c>
      <c r="M400" s="63">
        <f t="shared" si="162"/>
        <v>0</v>
      </c>
      <c r="N400" s="63">
        <f t="shared" si="162"/>
        <v>0</v>
      </c>
      <c r="O400" s="63">
        <f t="shared" si="162"/>
        <v>0</v>
      </c>
      <c r="P400" s="63">
        <f t="shared" si="162"/>
        <v>0</v>
      </c>
      <c r="Q400" s="63">
        <f t="shared" si="162"/>
        <v>0</v>
      </c>
      <c r="R400" s="63">
        <f t="shared" si="163"/>
        <v>0</v>
      </c>
      <c r="S400" s="63">
        <f t="shared" si="163"/>
        <v>0</v>
      </c>
      <c r="T400" s="63">
        <f t="shared" si="163"/>
        <v>0</v>
      </c>
      <c r="U400" s="63">
        <f t="shared" si="163"/>
        <v>0</v>
      </c>
      <c r="V400" s="63">
        <f t="shared" si="163"/>
        <v>0</v>
      </c>
      <c r="W400" s="63">
        <f t="shared" si="163"/>
        <v>0</v>
      </c>
      <c r="X400" s="63">
        <f t="shared" si="163"/>
        <v>0</v>
      </c>
      <c r="Y400" s="63">
        <f t="shared" si="163"/>
        <v>0</v>
      </c>
      <c r="Z400" s="63">
        <f t="shared" si="163"/>
        <v>0</v>
      </c>
      <c r="AA400" s="63">
        <f t="shared" si="163"/>
        <v>0</v>
      </c>
      <c r="AB400" s="63">
        <f t="shared" si="163"/>
        <v>0</v>
      </c>
      <c r="AC400" s="63">
        <f t="shared" si="163"/>
        <v>0</v>
      </c>
      <c r="AD400" s="63">
        <f t="shared" si="163"/>
        <v>0</v>
      </c>
      <c r="AE400" s="63">
        <f t="shared" si="163"/>
        <v>0</v>
      </c>
      <c r="AF400" s="63">
        <f>SUM(H400:AE400)</f>
        <v>0</v>
      </c>
      <c r="AG400" s="58" t="str">
        <f>IF(ABS(AF400-F400)&lt;1,"ok","err")</f>
        <v>ok</v>
      </c>
    </row>
    <row r="401" spans="1:33">
      <c r="A401" s="60"/>
      <c r="B401" s="60"/>
      <c r="F401" s="75"/>
      <c r="W401" s="44"/>
      <c r="AG401" s="58"/>
    </row>
    <row r="402" spans="1:33">
      <c r="A402" s="60"/>
      <c r="B402" s="60" t="s">
        <v>314</v>
      </c>
      <c r="C402" s="44" t="s">
        <v>631</v>
      </c>
      <c r="F402" s="75">
        <f>SUM(F396:F401)</f>
        <v>158283</v>
      </c>
      <c r="H402" s="62">
        <f t="shared" ref="H402:M402" si="164">SUM(H396:H401)</f>
        <v>86045</v>
      </c>
      <c r="I402" s="62">
        <f t="shared" si="164"/>
        <v>0</v>
      </c>
      <c r="J402" s="62">
        <f t="shared" si="164"/>
        <v>0</v>
      </c>
      <c r="K402" s="62">
        <f t="shared" si="164"/>
        <v>72238</v>
      </c>
      <c r="L402" s="62">
        <f t="shared" si="164"/>
        <v>0</v>
      </c>
      <c r="M402" s="62">
        <f t="shared" si="164"/>
        <v>0</v>
      </c>
      <c r="N402" s="62">
        <f>SUM(N396:N401)</f>
        <v>0</v>
      </c>
      <c r="O402" s="62">
        <f>SUM(O396:O401)</f>
        <v>0</v>
      </c>
      <c r="P402" s="62">
        <f>SUM(P396:P401)</f>
        <v>0</v>
      </c>
      <c r="Q402" s="62">
        <f t="shared" ref="Q402:AB402" si="165">SUM(Q396:Q401)</f>
        <v>0</v>
      </c>
      <c r="R402" s="62">
        <f t="shared" si="165"/>
        <v>0</v>
      </c>
      <c r="S402" s="62">
        <f t="shared" si="165"/>
        <v>0</v>
      </c>
      <c r="T402" s="62">
        <f t="shared" si="165"/>
        <v>0</v>
      </c>
      <c r="U402" s="62">
        <f t="shared" si="165"/>
        <v>0</v>
      </c>
      <c r="V402" s="62">
        <f t="shared" si="165"/>
        <v>0</v>
      </c>
      <c r="W402" s="62">
        <f t="shared" si="165"/>
        <v>0</v>
      </c>
      <c r="X402" s="62">
        <f t="shared" si="165"/>
        <v>0</v>
      </c>
      <c r="Y402" s="62">
        <f t="shared" si="165"/>
        <v>0</v>
      </c>
      <c r="Z402" s="62">
        <f t="shared" si="165"/>
        <v>0</v>
      </c>
      <c r="AA402" s="62">
        <f t="shared" si="165"/>
        <v>0</v>
      </c>
      <c r="AB402" s="62">
        <f t="shared" si="165"/>
        <v>0</v>
      </c>
      <c r="AC402" s="62">
        <f>SUM(AC396:AC401)</f>
        <v>0</v>
      </c>
      <c r="AD402" s="62">
        <f>SUM(AD396:AD401)</f>
        <v>0</v>
      </c>
      <c r="AE402" s="62">
        <f>SUM(AE396:AE401)</f>
        <v>0</v>
      </c>
      <c r="AF402" s="63">
        <f>SUM(H402:AE402)</f>
        <v>158283</v>
      </c>
      <c r="AG402" s="58" t="str">
        <f>IF(ABS(AF402-F402)&lt;1,"ok","err")</f>
        <v>ok</v>
      </c>
    </row>
    <row r="403" spans="1:33">
      <c r="A403" s="60"/>
      <c r="B403" s="60"/>
      <c r="F403" s="75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  <c r="AG403" s="58"/>
    </row>
    <row r="404" spans="1:33">
      <c r="A404" s="60"/>
      <c r="B404" s="60" t="s">
        <v>313</v>
      </c>
      <c r="F404" s="75">
        <f>F393+F402</f>
        <v>513674</v>
      </c>
      <c r="H404" s="62">
        <f t="shared" ref="H404:M404" si="166">H393+H402</f>
        <v>441436</v>
      </c>
      <c r="I404" s="62">
        <f t="shared" si="166"/>
        <v>0</v>
      </c>
      <c r="J404" s="62">
        <f t="shared" si="166"/>
        <v>0</v>
      </c>
      <c r="K404" s="62">
        <f t="shared" si="166"/>
        <v>72238</v>
      </c>
      <c r="L404" s="62">
        <f t="shared" si="166"/>
        <v>0</v>
      </c>
      <c r="M404" s="62">
        <f t="shared" si="166"/>
        <v>0</v>
      </c>
      <c r="N404" s="62">
        <f>N393+N402</f>
        <v>0</v>
      </c>
      <c r="O404" s="62">
        <f>O393+O402</f>
        <v>0</v>
      </c>
      <c r="P404" s="62">
        <f>P393+P402</f>
        <v>0</v>
      </c>
      <c r="Q404" s="62">
        <f t="shared" ref="Q404:AB404" si="167">Q393+Q402</f>
        <v>0</v>
      </c>
      <c r="R404" s="62">
        <f t="shared" si="167"/>
        <v>0</v>
      </c>
      <c r="S404" s="62">
        <f t="shared" si="167"/>
        <v>0</v>
      </c>
      <c r="T404" s="62">
        <f t="shared" si="167"/>
        <v>0</v>
      </c>
      <c r="U404" s="62">
        <f t="shared" si="167"/>
        <v>0</v>
      </c>
      <c r="V404" s="62">
        <f t="shared" si="167"/>
        <v>0</v>
      </c>
      <c r="W404" s="62">
        <f t="shared" si="167"/>
        <v>0</v>
      </c>
      <c r="X404" s="62">
        <f t="shared" si="167"/>
        <v>0</v>
      </c>
      <c r="Y404" s="62">
        <f t="shared" si="167"/>
        <v>0</v>
      </c>
      <c r="Z404" s="62">
        <f t="shared" si="167"/>
        <v>0</v>
      </c>
      <c r="AA404" s="62">
        <f t="shared" si="167"/>
        <v>0</v>
      </c>
      <c r="AB404" s="62">
        <f t="shared" si="167"/>
        <v>0</v>
      </c>
      <c r="AC404" s="62">
        <f>AC393+AC402</f>
        <v>0</v>
      </c>
      <c r="AD404" s="62">
        <f>AD393+AD402</f>
        <v>0</v>
      </c>
      <c r="AE404" s="62">
        <f>AE393+AE402</f>
        <v>0</v>
      </c>
      <c r="AF404" s="63">
        <f>SUM(H404:AE404)</f>
        <v>513674</v>
      </c>
      <c r="AG404" s="58" t="str">
        <f>IF(ABS(AF404-F404)&lt;1,"ok","err")</f>
        <v>ok</v>
      </c>
    </row>
    <row r="405" spans="1:33">
      <c r="A405" s="60"/>
      <c r="B405" s="60"/>
      <c r="F405" s="75"/>
      <c r="W405" s="44"/>
      <c r="AF405" s="63"/>
      <c r="AG405" s="58"/>
    </row>
    <row r="406" spans="1:33" ht="15">
      <c r="A406" s="59" t="s">
        <v>44</v>
      </c>
      <c r="B406" s="60"/>
      <c r="F406" s="75"/>
      <c r="W406" s="44"/>
      <c r="AF406" s="63"/>
      <c r="AG406" s="58"/>
    </row>
    <row r="407" spans="1:33">
      <c r="A407" s="60"/>
      <c r="B407" s="60"/>
      <c r="F407" s="75"/>
      <c r="W407" s="44"/>
      <c r="AF407" s="63"/>
      <c r="AG407" s="58"/>
    </row>
    <row r="408" spans="1:33" ht="15">
      <c r="A408" s="65" t="s">
        <v>224</v>
      </c>
      <c r="B408" s="60"/>
      <c r="F408" s="75"/>
      <c r="W408" s="44"/>
      <c r="AF408" s="63"/>
      <c r="AG408" s="58"/>
    </row>
    <row r="409" spans="1:33">
      <c r="A409" s="60">
        <v>546</v>
      </c>
      <c r="B409" s="60" t="s">
        <v>199</v>
      </c>
      <c r="C409" s="44" t="s">
        <v>282</v>
      </c>
      <c r="D409" s="44" t="s">
        <v>624</v>
      </c>
      <c r="F409" s="75">
        <v>115734</v>
      </c>
      <c r="H409" s="63">
        <f t="shared" ref="H409:Q413" si="168">IF(VLOOKUP($D409,$C$6:$AE$653,H$2,)=0,0,((VLOOKUP($D409,$C$6:$AE$653,H$2,)/VLOOKUP($D409,$C$6:$AE$653,4,))*$F409))</f>
        <v>115734</v>
      </c>
      <c r="I409" s="63">
        <f t="shared" si="168"/>
        <v>0</v>
      </c>
      <c r="J409" s="63">
        <f t="shared" si="168"/>
        <v>0</v>
      </c>
      <c r="K409" s="63">
        <f t="shared" si="168"/>
        <v>0</v>
      </c>
      <c r="L409" s="63">
        <f t="shared" si="168"/>
        <v>0</v>
      </c>
      <c r="M409" s="63">
        <f t="shared" si="168"/>
        <v>0</v>
      </c>
      <c r="N409" s="63">
        <f t="shared" si="168"/>
        <v>0</v>
      </c>
      <c r="O409" s="63">
        <f t="shared" si="168"/>
        <v>0</v>
      </c>
      <c r="P409" s="63">
        <f t="shared" si="168"/>
        <v>0</v>
      </c>
      <c r="Q409" s="63">
        <f t="shared" si="168"/>
        <v>0</v>
      </c>
      <c r="R409" s="63">
        <f t="shared" ref="R409:AE413" si="169">IF(VLOOKUP($D409,$C$6:$AE$653,R$2,)=0,0,((VLOOKUP($D409,$C$6:$AE$653,R$2,)/VLOOKUP($D409,$C$6:$AE$653,4,))*$F409))</f>
        <v>0</v>
      </c>
      <c r="S409" s="63">
        <f t="shared" si="169"/>
        <v>0</v>
      </c>
      <c r="T409" s="63">
        <f t="shared" si="169"/>
        <v>0</v>
      </c>
      <c r="U409" s="63">
        <f t="shared" si="169"/>
        <v>0</v>
      </c>
      <c r="V409" s="63">
        <f t="shared" si="169"/>
        <v>0</v>
      </c>
      <c r="W409" s="63">
        <f t="shared" si="169"/>
        <v>0</v>
      </c>
      <c r="X409" s="63">
        <f t="shared" si="169"/>
        <v>0</v>
      </c>
      <c r="Y409" s="63">
        <f t="shared" si="169"/>
        <v>0</v>
      </c>
      <c r="Z409" s="63">
        <f t="shared" si="169"/>
        <v>0</v>
      </c>
      <c r="AA409" s="63">
        <f t="shared" si="169"/>
        <v>0</v>
      </c>
      <c r="AB409" s="63">
        <f t="shared" si="169"/>
        <v>0</v>
      </c>
      <c r="AC409" s="63">
        <f t="shared" si="169"/>
        <v>0</v>
      </c>
      <c r="AD409" s="63">
        <f t="shared" si="169"/>
        <v>0</v>
      </c>
      <c r="AE409" s="63">
        <f t="shared" si="169"/>
        <v>0</v>
      </c>
      <c r="AF409" s="63">
        <f t="shared" ref="AF409:AF415" si="170">SUM(H409:AE409)</f>
        <v>115734</v>
      </c>
      <c r="AG409" s="58" t="str">
        <f>IF(ABS(AF409-F409)&lt;1,"ok","err")</f>
        <v>ok</v>
      </c>
    </row>
    <row r="410" spans="1:33">
      <c r="A410" s="60">
        <v>547</v>
      </c>
      <c r="B410" s="60" t="s">
        <v>201</v>
      </c>
      <c r="C410" s="44" t="s">
        <v>283</v>
      </c>
      <c r="D410" s="44" t="s">
        <v>856</v>
      </c>
      <c r="F410" s="78">
        <v>0</v>
      </c>
      <c r="H410" s="63">
        <f t="shared" si="168"/>
        <v>0</v>
      </c>
      <c r="I410" s="63">
        <f t="shared" si="168"/>
        <v>0</v>
      </c>
      <c r="J410" s="63">
        <f t="shared" si="168"/>
        <v>0</v>
      </c>
      <c r="K410" s="63">
        <f t="shared" si="168"/>
        <v>0</v>
      </c>
      <c r="L410" s="63">
        <f t="shared" si="168"/>
        <v>0</v>
      </c>
      <c r="M410" s="63">
        <f t="shared" si="168"/>
        <v>0</v>
      </c>
      <c r="N410" s="63">
        <f t="shared" si="168"/>
        <v>0</v>
      </c>
      <c r="O410" s="63">
        <f t="shared" si="168"/>
        <v>0</v>
      </c>
      <c r="P410" s="63">
        <f t="shared" si="168"/>
        <v>0</v>
      </c>
      <c r="Q410" s="63">
        <f t="shared" si="168"/>
        <v>0</v>
      </c>
      <c r="R410" s="63">
        <f t="shared" si="169"/>
        <v>0</v>
      </c>
      <c r="S410" s="63">
        <f t="shared" si="169"/>
        <v>0</v>
      </c>
      <c r="T410" s="63">
        <f t="shared" si="169"/>
        <v>0</v>
      </c>
      <c r="U410" s="63">
        <f t="shared" si="169"/>
        <v>0</v>
      </c>
      <c r="V410" s="63">
        <f t="shared" si="169"/>
        <v>0</v>
      </c>
      <c r="W410" s="63">
        <f t="shared" si="169"/>
        <v>0</v>
      </c>
      <c r="X410" s="63">
        <f t="shared" si="169"/>
        <v>0</v>
      </c>
      <c r="Y410" s="63">
        <f t="shared" si="169"/>
        <v>0</v>
      </c>
      <c r="Z410" s="63">
        <f t="shared" si="169"/>
        <v>0</v>
      </c>
      <c r="AA410" s="63">
        <f t="shared" si="169"/>
        <v>0</v>
      </c>
      <c r="AB410" s="63">
        <f t="shared" si="169"/>
        <v>0</v>
      </c>
      <c r="AC410" s="63">
        <f t="shared" si="169"/>
        <v>0</v>
      </c>
      <c r="AD410" s="63">
        <f t="shared" si="169"/>
        <v>0</v>
      </c>
      <c r="AE410" s="63">
        <f t="shared" si="169"/>
        <v>0</v>
      </c>
      <c r="AF410" s="63">
        <f t="shared" si="170"/>
        <v>0</v>
      </c>
      <c r="AG410" s="58" t="str">
        <f>IF(ABS(AF410-F410)&lt;1,"ok","err")</f>
        <v>ok</v>
      </c>
    </row>
    <row r="411" spans="1:33">
      <c r="A411" s="60">
        <v>548</v>
      </c>
      <c r="B411" s="60" t="s">
        <v>227</v>
      </c>
      <c r="C411" s="44" t="s">
        <v>284</v>
      </c>
      <c r="D411" s="44" t="s">
        <v>624</v>
      </c>
      <c r="F411" s="78">
        <v>166747</v>
      </c>
      <c r="H411" s="63">
        <f t="shared" si="168"/>
        <v>166747</v>
      </c>
      <c r="I411" s="63">
        <f t="shared" si="168"/>
        <v>0</v>
      </c>
      <c r="J411" s="63">
        <f t="shared" si="168"/>
        <v>0</v>
      </c>
      <c r="K411" s="63">
        <f t="shared" si="168"/>
        <v>0</v>
      </c>
      <c r="L411" s="63">
        <f t="shared" si="168"/>
        <v>0</v>
      </c>
      <c r="M411" s="63">
        <f t="shared" si="168"/>
        <v>0</v>
      </c>
      <c r="N411" s="63">
        <f t="shared" si="168"/>
        <v>0</v>
      </c>
      <c r="O411" s="63">
        <f t="shared" si="168"/>
        <v>0</v>
      </c>
      <c r="P411" s="63">
        <f t="shared" si="168"/>
        <v>0</v>
      </c>
      <c r="Q411" s="63">
        <f t="shared" si="168"/>
        <v>0</v>
      </c>
      <c r="R411" s="63">
        <f t="shared" si="169"/>
        <v>0</v>
      </c>
      <c r="S411" s="63">
        <f t="shared" si="169"/>
        <v>0</v>
      </c>
      <c r="T411" s="63">
        <f t="shared" si="169"/>
        <v>0</v>
      </c>
      <c r="U411" s="63">
        <f t="shared" si="169"/>
        <v>0</v>
      </c>
      <c r="V411" s="63">
        <f t="shared" si="169"/>
        <v>0</v>
      </c>
      <c r="W411" s="63">
        <f t="shared" si="169"/>
        <v>0</v>
      </c>
      <c r="X411" s="63">
        <f t="shared" si="169"/>
        <v>0</v>
      </c>
      <c r="Y411" s="63">
        <f t="shared" si="169"/>
        <v>0</v>
      </c>
      <c r="Z411" s="63">
        <f t="shared" si="169"/>
        <v>0</v>
      </c>
      <c r="AA411" s="63">
        <f t="shared" si="169"/>
        <v>0</v>
      </c>
      <c r="AB411" s="63">
        <f t="shared" si="169"/>
        <v>0</v>
      </c>
      <c r="AC411" s="63">
        <f t="shared" si="169"/>
        <v>0</v>
      </c>
      <c r="AD411" s="63">
        <f t="shared" si="169"/>
        <v>0</v>
      </c>
      <c r="AE411" s="63">
        <f t="shared" si="169"/>
        <v>0</v>
      </c>
      <c r="AF411" s="63">
        <f t="shared" si="170"/>
        <v>166747</v>
      </c>
      <c r="AG411" s="58" t="str">
        <f>IF(ABS(AF411-F411)&lt;1,"ok","err")</f>
        <v>ok</v>
      </c>
    </row>
    <row r="412" spans="1:33">
      <c r="A412" s="60">
        <v>549</v>
      </c>
      <c r="B412" s="60" t="s">
        <v>229</v>
      </c>
      <c r="C412" s="44" t="s">
        <v>285</v>
      </c>
      <c r="D412" s="44" t="s">
        <v>624</v>
      </c>
      <c r="F412" s="78">
        <v>746366</v>
      </c>
      <c r="H412" s="63">
        <f t="shared" si="168"/>
        <v>746366</v>
      </c>
      <c r="I412" s="63">
        <f t="shared" si="168"/>
        <v>0</v>
      </c>
      <c r="J412" s="63">
        <f t="shared" si="168"/>
        <v>0</v>
      </c>
      <c r="K412" s="63">
        <f t="shared" si="168"/>
        <v>0</v>
      </c>
      <c r="L412" s="63">
        <f t="shared" si="168"/>
        <v>0</v>
      </c>
      <c r="M412" s="63">
        <f t="shared" si="168"/>
        <v>0</v>
      </c>
      <c r="N412" s="63">
        <f t="shared" si="168"/>
        <v>0</v>
      </c>
      <c r="O412" s="63">
        <f t="shared" si="168"/>
        <v>0</v>
      </c>
      <c r="P412" s="63">
        <f t="shared" si="168"/>
        <v>0</v>
      </c>
      <c r="Q412" s="63">
        <f t="shared" si="168"/>
        <v>0</v>
      </c>
      <c r="R412" s="63">
        <f t="shared" si="169"/>
        <v>0</v>
      </c>
      <c r="S412" s="63">
        <f t="shared" si="169"/>
        <v>0</v>
      </c>
      <c r="T412" s="63">
        <f t="shared" si="169"/>
        <v>0</v>
      </c>
      <c r="U412" s="63">
        <f t="shared" si="169"/>
        <v>0</v>
      </c>
      <c r="V412" s="63">
        <f t="shared" si="169"/>
        <v>0</v>
      </c>
      <c r="W412" s="63">
        <f t="shared" si="169"/>
        <v>0</v>
      </c>
      <c r="X412" s="63">
        <f t="shared" si="169"/>
        <v>0</v>
      </c>
      <c r="Y412" s="63">
        <f t="shared" si="169"/>
        <v>0</v>
      </c>
      <c r="Z412" s="63">
        <f t="shared" si="169"/>
        <v>0</v>
      </c>
      <c r="AA412" s="63">
        <f t="shared" si="169"/>
        <v>0</v>
      </c>
      <c r="AB412" s="63">
        <f t="shared" si="169"/>
        <v>0</v>
      </c>
      <c r="AC412" s="63">
        <f t="shared" si="169"/>
        <v>0</v>
      </c>
      <c r="AD412" s="63">
        <f t="shared" si="169"/>
        <v>0</v>
      </c>
      <c r="AE412" s="63">
        <f t="shared" si="169"/>
        <v>0</v>
      </c>
      <c r="AF412" s="63">
        <f t="shared" si="170"/>
        <v>746366</v>
      </c>
      <c r="AG412" s="58" t="str">
        <f>IF(ABS(AF412-F412)&lt;1,"ok","err")</f>
        <v>ok</v>
      </c>
    </row>
    <row r="413" spans="1:33">
      <c r="A413" s="60">
        <v>550</v>
      </c>
      <c r="B413" s="60" t="s">
        <v>930</v>
      </c>
      <c r="C413" s="44" t="s">
        <v>286</v>
      </c>
      <c r="D413" s="44" t="s">
        <v>624</v>
      </c>
      <c r="F413" s="78">
        <v>0</v>
      </c>
      <c r="H413" s="63">
        <f t="shared" si="168"/>
        <v>0</v>
      </c>
      <c r="I413" s="63">
        <f t="shared" si="168"/>
        <v>0</v>
      </c>
      <c r="J413" s="63">
        <f t="shared" si="168"/>
        <v>0</v>
      </c>
      <c r="K413" s="63">
        <f t="shared" si="168"/>
        <v>0</v>
      </c>
      <c r="L413" s="63">
        <f t="shared" si="168"/>
        <v>0</v>
      </c>
      <c r="M413" s="63">
        <f t="shared" si="168"/>
        <v>0</v>
      </c>
      <c r="N413" s="63">
        <f t="shared" si="168"/>
        <v>0</v>
      </c>
      <c r="O413" s="63">
        <f t="shared" si="168"/>
        <v>0</v>
      </c>
      <c r="P413" s="63">
        <f t="shared" si="168"/>
        <v>0</v>
      </c>
      <c r="Q413" s="63">
        <f t="shared" si="168"/>
        <v>0</v>
      </c>
      <c r="R413" s="63">
        <f t="shared" si="169"/>
        <v>0</v>
      </c>
      <c r="S413" s="63">
        <f t="shared" si="169"/>
        <v>0</v>
      </c>
      <c r="T413" s="63">
        <f t="shared" si="169"/>
        <v>0</v>
      </c>
      <c r="U413" s="63">
        <f t="shared" si="169"/>
        <v>0</v>
      </c>
      <c r="V413" s="63">
        <f t="shared" si="169"/>
        <v>0</v>
      </c>
      <c r="W413" s="63">
        <f t="shared" si="169"/>
        <v>0</v>
      </c>
      <c r="X413" s="63">
        <f t="shared" si="169"/>
        <v>0</v>
      </c>
      <c r="Y413" s="63">
        <f t="shared" si="169"/>
        <v>0</v>
      </c>
      <c r="Z413" s="63">
        <f t="shared" si="169"/>
        <v>0</v>
      </c>
      <c r="AA413" s="63">
        <f t="shared" si="169"/>
        <v>0</v>
      </c>
      <c r="AB413" s="63">
        <f t="shared" si="169"/>
        <v>0</v>
      </c>
      <c r="AC413" s="63">
        <f t="shared" si="169"/>
        <v>0</v>
      </c>
      <c r="AD413" s="63">
        <f t="shared" si="169"/>
        <v>0</v>
      </c>
      <c r="AE413" s="63">
        <f t="shared" si="169"/>
        <v>0</v>
      </c>
      <c r="AF413" s="63">
        <f t="shared" si="170"/>
        <v>0</v>
      </c>
      <c r="AG413" s="58" t="str">
        <f>IF(ABS(AF413-F413)&lt;1,"ok","err")</f>
        <v>ok</v>
      </c>
    </row>
    <row r="414" spans="1:33">
      <c r="A414" s="60"/>
      <c r="B414" s="60"/>
      <c r="F414" s="78"/>
      <c r="W414" s="44"/>
      <c r="AF414" s="63"/>
      <c r="AG414" s="58"/>
    </row>
    <row r="415" spans="1:33">
      <c r="A415" s="60"/>
      <c r="B415" s="60" t="s">
        <v>232</v>
      </c>
      <c r="C415" s="44" t="s">
        <v>632</v>
      </c>
      <c r="F415" s="75">
        <f>SUM(F409:F414)</f>
        <v>1028847</v>
      </c>
      <c r="H415" s="62">
        <f t="shared" ref="H415:M415" si="171">SUM(H409:H414)</f>
        <v>1028847</v>
      </c>
      <c r="I415" s="62">
        <f t="shared" si="171"/>
        <v>0</v>
      </c>
      <c r="J415" s="62">
        <f t="shared" si="171"/>
        <v>0</v>
      </c>
      <c r="K415" s="62">
        <f t="shared" si="171"/>
        <v>0</v>
      </c>
      <c r="L415" s="62">
        <f t="shared" si="171"/>
        <v>0</v>
      </c>
      <c r="M415" s="62">
        <f t="shared" si="171"/>
        <v>0</v>
      </c>
      <c r="N415" s="62">
        <f>SUM(N409:N414)</f>
        <v>0</v>
      </c>
      <c r="O415" s="62">
        <f>SUM(O409:O414)</f>
        <v>0</v>
      </c>
      <c r="P415" s="62">
        <f>SUM(P409:P414)</f>
        <v>0</v>
      </c>
      <c r="Q415" s="62">
        <f t="shared" ref="Q415:AB415" si="172">SUM(Q409:Q414)</f>
        <v>0</v>
      </c>
      <c r="R415" s="62">
        <f t="shared" si="172"/>
        <v>0</v>
      </c>
      <c r="S415" s="62">
        <f t="shared" si="172"/>
        <v>0</v>
      </c>
      <c r="T415" s="62">
        <f t="shared" si="172"/>
        <v>0</v>
      </c>
      <c r="U415" s="62">
        <f t="shared" si="172"/>
        <v>0</v>
      </c>
      <c r="V415" s="62">
        <f t="shared" si="172"/>
        <v>0</v>
      </c>
      <c r="W415" s="62">
        <f t="shared" si="172"/>
        <v>0</v>
      </c>
      <c r="X415" s="62">
        <f t="shared" si="172"/>
        <v>0</v>
      </c>
      <c r="Y415" s="62">
        <f t="shared" si="172"/>
        <v>0</v>
      </c>
      <c r="Z415" s="62">
        <f t="shared" si="172"/>
        <v>0</v>
      </c>
      <c r="AA415" s="62">
        <f t="shared" si="172"/>
        <v>0</v>
      </c>
      <c r="AB415" s="62">
        <f t="shared" si="172"/>
        <v>0</v>
      </c>
      <c r="AC415" s="62">
        <f>SUM(AC409:AC414)</f>
        <v>0</v>
      </c>
      <c r="AD415" s="62">
        <f>SUM(AD409:AD414)</f>
        <v>0</v>
      </c>
      <c r="AE415" s="62">
        <f>SUM(AE409:AE414)</f>
        <v>0</v>
      </c>
      <c r="AF415" s="63">
        <f t="shared" si="170"/>
        <v>1028847</v>
      </c>
      <c r="AG415" s="58" t="str">
        <f>IF(ABS(AF415-F415)&lt;1,"ok","err")</f>
        <v>ok</v>
      </c>
    </row>
    <row r="416" spans="1:33">
      <c r="A416" s="60"/>
      <c r="B416" s="60"/>
      <c r="F416" s="75"/>
      <c r="W416" s="44"/>
      <c r="AF416" s="63"/>
      <c r="AG416" s="58"/>
    </row>
    <row r="417" spans="1:33" ht="15">
      <c r="A417" s="65" t="s">
        <v>233</v>
      </c>
      <c r="B417" s="60"/>
      <c r="F417" s="75"/>
      <c r="W417" s="44"/>
      <c r="AF417" s="63"/>
      <c r="AG417" s="58"/>
    </row>
    <row r="418" spans="1:33">
      <c r="A418" s="60">
        <v>551</v>
      </c>
      <c r="B418" s="60" t="s">
        <v>214</v>
      </c>
      <c r="C418" s="44" t="s">
        <v>287</v>
      </c>
      <c r="D418" s="44" t="s">
        <v>624</v>
      </c>
      <c r="F418" s="75">
        <v>171475</v>
      </c>
      <c r="H418" s="63">
        <f t="shared" ref="H418:Q421" si="173">IF(VLOOKUP($D418,$C$6:$AE$653,H$2,)=0,0,((VLOOKUP($D418,$C$6:$AE$653,H$2,)/VLOOKUP($D418,$C$6:$AE$653,4,))*$F418))</f>
        <v>171475</v>
      </c>
      <c r="I418" s="63">
        <f t="shared" si="173"/>
        <v>0</v>
      </c>
      <c r="J418" s="63">
        <f t="shared" si="173"/>
        <v>0</v>
      </c>
      <c r="K418" s="63">
        <f t="shared" si="173"/>
        <v>0</v>
      </c>
      <c r="L418" s="63">
        <f t="shared" si="173"/>
        <v>0</v>
      </c>
      <c r="M418" s="63">
        <f t="shared" si="173"/>
        <v>0</v>
      </c>
      <c r="N418" s="63">
        <f t="shared" si="173"/>
        <v>0</v>
      </c>
      <c r="O418" s="63">
        <f t="shared" si="173"/>
        <v>0</v>
      </c>
      <c r="P418" s="63">
        <f t="shared" si="173"/>
        <v>0</v>
      </c>
      <c r="Q418" s="63">
        <f t="shared" si="173"/>
        <v>0</v>
      </c>
      <c r="R418" s="63">
        <f t="shared" ref="R418:AE421" si="174">IF(VLOOKUP($D418,$C$6:$AE$653,R$2,)=0,0,((VLOOKUP($D418,$C$6:$AE$653,R$2,)/VLOOKUP($D418,$C$6:$AE$653,4,))*$F418))</f>
        <v>0</v>
      </c>
      <c r="S418" s="63">
        <f t="shared" si="174"/>
        <v>0</v>
      </c>
      <c r="T418" s="63">
        <f t="shared" si="174"/>
        <v>0</v>
      </c>
      <c r="U418" s="63">
        <f t="shared" si="174"/>
        <v>0</v>
      </c>
      <c r="V418" s="63">
        <f t="shared" si="174"/>
        <v>0</v>
      </c>
      <c r="W418" s="63">
        <f t="shared" si="174"/>
        <v>0</v>
      </c>
      <c r="X418" s="63">
        <f t="shared" si="174"/>
        <v>0</v>
      </c>
      <c r="Y418" s="63">
        <f t="shared" si="174"/>
        <v>0</v>
      </c>
      <c r="Z418" s="63">
        <f t="shared" si="174"/>
        <v>0</v>
      </c>
      <c r="AA418" s="63">
        <f t="shared" si="174"/>
        <v>0</v>
      </c>
      <c r="AB418" s="63">
        <f t="shared" si="174"/>
        <v>0</v>
      </c>
      <c r="AC418" s="63">
        <f t="shared" si="174"/>
        <v>0</v>
      </c>
      <c r="AD418" s="63">
        <f t="shared" si="174"/>
        <v>0</v>
      </c>
      <c r="AE418" s="63">
        <f t="shared" si="174"/>
        <v>0</v>
      </c>
      <c r="AF418" s="63">
        <f t="shared" ref="AF418:AF425" si="175">SUM(H418:AE418)</f>
        <v>171475</v>
      </c>
      <c r="AG418" s="58" t="str">
        <f>IF(ABS(AF418-F418)&lt;1,"ok","err")</f>
        <v>ok</v>
      </c>
    </row>
    <row r="419" spans="1:33">
      <c r="A419" s="60">
        <v>552</v>
      </c>
      <c r="B419" s="60" t="s">
        <v>213</v>
      </c>
      <c r="C419" s="44" t="s">
        <v>288</v>
      </c>
      <c r="D419" s="44" t="s">
        <v>624</v>
      </c>
      <c r="F419" s="78">
        <v>82367</v>
      </c>
      <c r="H419" s="63">
        <f t="shared" si="173"/>
        <v>82367</v>
      </c>
      <c r="I419" s="63">
        <f t="shared" si="173"/>
        <v>0</v>
      </c>
      <c r="J419" s="63">
        <f t="shared" si="173"/>
        <v>0</v>
      </c>
      <c r="K419" s="63">
        <f t="shared" si="173"/>
        <v>0</v>
      </c>
      <c r="L419" s="63">
        <f t="shared" si="173"/>
        <v>0</v>
      </c>
      <c r="M419" s="63">
        <f t="shared" si="173"/>
        <v>0</v>
      </c>
      <c r="N419" s="63">
        <f t="shared" si="173"/>
        <v>0</v>
      </c>
      <c r="O419" s="63">
        <f t="shared" si="173"/>
        <v>0</v>
      </c>
      <c r="P419" s="63">
        <f t="shared" si="173"/>
        <v>0</v>
      </c>
      <c r="Q419" s="63">
        <f t="shared" si="173"/>
        <v>0</v>
      </c>
      <c r="R419" s="63">
        <f t="shared" si="174"/>
        <v>0</v>
      </c>
      <c r="S419" s="63">
        <f t="shared" si="174"/>
        <v>0</v>
      </c>
      <c r="T419" s="63">
        <f t="shared" si="174"/>
        <v>0</v>
      </c>
      <c r="U419" s="63">
        <f t="shared" si="174"/>
        <v>0</v>
      </c>
      <c r="V419" s="63">
        <f t="shared" si="174"/>
        <v>0</v>
      </c>
      <c r="W419" s="63">
        <f t="shared" si="174"/>
        <v>0</v>
      </c>
      <c r="X419" s="63">
        <f t="shared" si="174"/>
        <v>0</v>
      </c>
      <c r="Y419" s="63">
        <f t="shared" si="174"/>
        <v>0</v>
      </c>
      <c r="Z419" s="63">
        <f t="shared" si="174"/>
        <v>0</v>
      </c>
      <c r="AA419" s="63">
        <f t="shared" si="174"/>
        <v>0</v>
      </c>
      <c r="AB419" s="63">
        <f t="shared" si="174"/>
        <v>0</v>
      </c>
      <c r="AC419" s="63">
        <f t="shared" si="174"/>
        <v>0</v>
      </c>
      <c r="AD419" s="63">
        <f t="shared" si="174"/>
        <v>0</v>
      </c>
      <c r="AE419" s="63">
        <f t="shared" si="174"/>
        <v>0</v>
      </c>
      <c r="AF419" s="63">
        <f t="shared" si="175"/>
        <v>82367</v>
      </c>
      <c r="AG419" s="58" t="str">
        <f>IF(ABS(AF419-F419)&lt;1,"ok","err")</f>
        <v>ok</v>
      </c>
    </row>
    <row r="420" spans="1:33">
      <c r="A420" s="60">
        <v>553</v>
      </c>
      <c r="B420" s="60" t="s">
        <v>236</v>
      </c>
      <c r="C420" s="44" t="s">
        <v>289</v>
      </c>
      <c r="D420" s="44" t="s">
        <v>624</v>
      </c>
      <c r="F420" s="78">
        <v>361575</v>
      </c>
      <c r="H420" s="63">
        <f t="shared" si="173"/>
        <v>361575</v>
      </c>
      <c r="I420" s="63">
        <f t="shared" si="173"/>
        <v>0</v>
      </c>
      <c r="J420" s="63">
        <f t="shared" si="173"/>
        <v>0</v>
      </c>
      <c r="K420" s="63">
        <f t="shared" si="173"/>
        <v>0</v>
      </c>
      <c r="L420" s="63">
        <f t="shared" si="173"/>
        <v>0</v>
      </c>
      <c r="M420" s="63">
        <f t="shared" si="173"/>
        <v>0</v>
      </c>
      <c r="N420" s="63">
        <f t="shared" si="173"/>
        <v>0</v>
      </c>
      <c r="O420" s="63">
        <f t="shared" si="173"/>
        <v>0</v>
      </c>
      <c r="P420" s="63">
        <f t="shared" si="173"/>
        <v>0</v>
      </c>
      <c r="Q420" s="63">
        <f t="shared" si="173"/>
        <v>0</v>
      </c>
      <c r="R420" s="63">
        <f t="shared" si="174"/>
        <v>0</v>
      </c>
      <c r="S420" s="63">
        <f t="shared" si="174"/>
        <v>0</v>
      </c>
      <c r="T420" s="63">
        <f t="shared" si="174"/>
        <v>0</v>
      </c>
      <c r="U420" s="63">
        <f t="shared" si="174"/>
        <v>0</v>
      </c>
      <c r="V420" s="63">
        <f t="shared" si="174"/>
        <v>0</v>
      </c>
      <c r="W420" s="63">
        <f t="shared" si="174"/>
        <v>0</v>
      </c>
      <c r="X420" s="63">
        <f t="shared" si="174"/>
        <v>0</v>
      </c>
      <c r="Y420" s="63">
        <f t="shared" si="174"/>
        <v>0</v>
      </c>
      <c r="Z420" s="63">
        <f t="shared" si="174"/>
        <v>0</v>
      </c>
      <c r="AA420" s="63">
        <f t="shared" si="174"/>
        <v>0</v>
      </c>
      <c r="AB420" s="63">
        <f t="shared" si="174"/>
        <v>0</v>
      </c>
      <c r="AC420" s="63">
        <f t="shared" si="174"/>
        <v>0</v>
      </c>
      <c r="AD420" s="63">
        <f t="shared" si="174"/>
        <v>0</v>
      </c>
      <c r="AE420" s="63">
        <f t="shared" si="174"/>
        <v>0</v>
      </c>
      <c r="AF420" s="63">
        <f t="shared" si="175"/>
        <v>361575</v>
      </c>
      <c r="AG420" s="58" t="str">
        <f>IF(ABS(AF420-F420)&lt;1,"ok","err")</f>
        <v>ok</v>
      </c>
    </row>
    <row r="421" spans="1:33">
      <c r="A421" s="60">
        <v>554</v>
      </c>
      <c r="B421" s="60" t="s">
        <v>238</v>
      </c>
      <c r="C421" s="44" t="s">
        <v>290</v>
      </c>
      <c r="D421" s="44" t="s">
        <v>624</v>
      </c>
      <c r="F421" s="78">
        <v>305811</v>
      </c>
      <c r="H421" s="63">
        <f t="shared" si="173"/>
        <v>305811</v>
      </c>
      <c r="I421" s="63">
        <f t="shared" si="173"/>
        <v>0</v>
      </c>
      <c r="J421" s="63">
        <f t="shared" si="173"/>
        <v>0</v>
      </c>
      <c r="K421" s="63">
        <f t="shared" si="173"/>
        <v>0</v>
      </c>
      <c r="L421" s="63">
        <f t="shared" si="173"/>
        <v>0</v>
      </c>
      <c r="M421" s="63">
        <f t="shared" si="173"/>
        <v>0</v>
      </c>
      <c r="N421" s="63">
        <f t="shared" si="173"/>
        <v>0</v>
      </c>
      <c r="O421" s="63">
        <f t="shared" si="173"/>
        <v>0</v>
      </c>
      <c r="P421" s="63">
        <f t="shared" si="173"/>
        <v>0</v>
      </c>
      <c r="Q421" s="63">
        <f t="shared" si="173"/>
        <v>0</v>
      </c>
      <c r="R421" s="63">
        <f t="shared" si="174"/>
        <v>0</v>
      </c>
      <c r="S421" s="63">
        <f t="shared" si="174"/>
        <v>0</v>
      </c>
      <c r="T421" s="63">
        <f t="shared" si="174"/>
        <v>0</v>
      </c>
      <c r="U421" s="63">
        <f t="shared" si="174"/>
        <v>0</v>
      </c>
      <c r="V421" s="63">
        <f t="shared" si="174"/>
        <v>0</v>
      </c>
      <c r="W421" s="63">
        <f t="shared" si="174"/>
        <v>0</v>
      </c>
      <c r="X421" s="63">
        <f t="shared" si="174"/>
        <v>0</v>
      </c>
      <c r="Y421" s="63">
        <f t="shared" si="174"/>
        <v>0</v>
      </c>
      <c r="Z421" s="63">
        <f t="shared" si="174"/>
        <v>0</v>
      </c>
      <c r="AA421" s="63">
        <f t="shared" si="174"/>
        <v>0</v>
      </c>
      <c r="AB421" s="63">
        <f t="shared" si="174"/>
        <v>0</v>
      </c>
      <c r="AC421" s="63">
        <f t="shared" si="174"/>
        <v>0</v>
      </c>
      <c r="AD421" s="63">
        <f t="shared" si="174"/>
        <v>0</v>
      </c>
      <c r="AE421" s="63">
        <f t="shared" si="174"/>
        <v>0</v>
      </c>
      <c r="AF421" s="63">
        <f t="shared" si="175"/>
        <v>305811</v>
      </c>
      <c r="AG421" s="58" t="str">
        <f>IF(ABS(AF421-F421)&lt;1,"ok","err")</f>
        <v>ok</v>
      </c>
    </row>
    <row r="422" spans="1:33">
      <c r="A422" s="60"/>
      <c r="B422" s="60"/>
      <c r="F422" s="78"/>
      <c r="W422" s="44"/>
      <c r="AF422" s="63"/>
      <c r="AG422" s="58"/>
    </row>
    <row r="423" spans="1:33">
      <c r="A423" s="60"/>
      <c r="B423" s="60" t="s">
        <v>241</v>
      </c>
      <c r="C423" s="44" t="s">
        <v>633</v>
      </c>
      <c r="F423" s="75">
        <f>SUM(F418:F422)</f>
        <v>921228</v>
      </c>
      <c r="H423" s="62">
        <f t="shared" ref="H423:M423" si="176">SUM(H418:H422)</f>
        <v>921228</v>
      </c>
      <c r="I423" s="62">
        <f t="shared" si="176"/>
        <v>0</v>
      </c>
      <c r="J423" s="62">
        <f t="shared" si="176"/>
        <v>0</v>
      </c>
      <c r="K423" s="62">
        <f t="shared" si="176"/>
        <v>0</v>
      </c>
      <c r="L423" s="62">
        <f t="shared" si="176"/>
        <v>0</v>
      </c>
      <c r="M423" s="62">
        <f t="shared" si="176"/>
        <v>0</v>
      </c>
      <c r="N423" s="62">
        <f>SUM(N418:N422)</f>
        <v>0</v>
      </c>
      <c r="O423" s="62">
        <f>SUM(O418:O422)</f>
        <v>0</v>
      </c>
      <c r="P423" s="62">
        <f>SUM(P418:P422)</f>
        <v>0</v>
      </c>
      <c r="Q423" s="62">
        <f t="shared" ref="Q423:AB423" si="177">SUM(Q418:Q422)</f>
        <v>0</v>
      </c>
      <c r="R423" s="62">
        <f t="shared" si="177"/>
        <v>0</v>
      </c>
      <c r="S423" s="62">
        <f t="shared" si="177"/>
        <v>0</v>
      </c>
      <c r="T423" s="62">
        <f t="shared" si="177"/>
        <v>0</v>
      </c>
      <c r="U423" s="62">
        <f t="shared" si="177"/>
        <v>0</v>
      </c>
      <c r="V423" s="62">
        <f t="shared" si="177"/>
        <v>0</v>
      </c>
      <c r="W423" s="62">
        <f t="shared" si="177"/>
        <v>0</v>
      </c>
      <c r="X423" s="62">
        <f t="shared" si="177"/>
        <v>0</v>
      </c>
      <c r="Y423" s="62">
        <f t="shared" si="177"/>
        <v>0</v>
      </c>
      <c r="Z423" s="62">
        <f t="shared" si="177"/>
        <v>0</v>
      </c>
      <c r="AA423" s="62">
        <f t="shared" si="177"/>
        <v>0</v>
      </c>
      <c r="AB423" s="62">
        <f t="shared" si="177"/>
        <v>0</v>
      </c>
      <c r="AC423" s="62">
        <f>SUM(AC418:AC422)</f>
        <v>0</v>
      </c>
      <c r="AD423" s="62">
        <f>SUM(AD418:AD422)</f>
        <v>0</v>
      </c>
      <c r="AE423" s="62">
        <f>SUM(AE418:AE422)</f>
        <v>0</v>
      </c>
      <c r="AF423" s="63">
        <f t="shared" si="175"/>
        <v>921228</v>
      </c>
      <c r="AG423" s="58" t="str">
        <f>IF(ABS(AF423-F423)&lt;1,"ok","err")</f>
        <v>ok</v>
      </c>
    </row>
    <row r="424" spans="1:33">
      <c r="A424" s="60"/>
      <c r="B424" s="60"/>
      <c r="F424" s="75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3"/>
      <c r="AG424" s="58"/>
    </row>
    <row r="425" spans="1:33">
      <c r="A425" s="60"/>
      <c r="B425" s="60" t="s">
        <v>240</v>
      </c>
      <c r="F425" s="75">
        <f>F415+F423</f>
        <v>1950075</v>
      </c>
      <c r="H425" s="62">
        <f t="shared" ref="H425:M425" si="178">H415+H423</f>
        <v>1950075</v>
      </c>
      <c r="I425" s="62">
        <f t="shared" si="178"/>
        <v>0</v>
      </c>
      <c r="J425" s="62">
        <f t="shared" si="178"/>
        <v>0</v>
      </c>
      <c r="K425" s="62">
        <f t="shared" si="178"/>
        <v>0</v>
      </c>
      <c r="L425" s="62">
        <f t="shared" si="178"/>
        <v>0</v>
      </c>
      <c r="M425" s="62">
        <f t="shared" si="178"/>
        <v>0</v>
      </c>
      <c r="N425" s="62">
        <f>N415+N423</f>
        <v>0</v>
      </c>
      <c r="O425" s="62">
        <f>O415+O423</f>
        <v>0</v>
      </c>
      <c r="P425" s="62">
        <f>P415+P423</f>
        <v>0</v>
      </c>
      <c r="Q425" s="62">
        <f t="shared" ref="Q425:AB425" si="179">Q415+Q423</f>
        <v>0</v>
      </c>
      <c r="R425" s="62">
        <f t="shared" si="179"/>
        <v>0</v>
      </c>
      <c r="S425" s="62">
        <f t="shared" si="179"/>
        <v>0</v>
      </c>
      <c r="T425" s="62">
        <f t="shared" si="179"/>
        <v>0</v>
      </c>
      <c r="U425" s="62">
        <f t="shared" si="179"/>
        <v>0</v>
      </c>
      <c r="V425" s="62">
        <f t="shared" si="179"/>
        <v>0</v>
      </c>
      <c r="W425" s="62">
        <f t="shared" si="179"/>
        <v>0</v>
      </c>
      <c r="X425" s="62">
        <f t="shared" si="179"/>
        <v>0</v>
      </c>
      <c r="Y425" s="62">
        <f t="shared" si="179"/>
        <v>0</v>
      </c>
      <c r="Z425" s="62">
        <f t="shared" si="179"/>
        <v>0</v>
      </c>
      <c r="AA425" s="62">
        <f t="shared" si="179"/>
        <v>0</v>
      </c>
      <c r="AB425" s="62">
        <f t="shared" si="179"/>
        <v>0</v>
      </c>
      <c r="AC425" s="62">
        <f>AC415+AC423</f>
        <v>0</v>
      </c>
      <c r="AD425" s="62">
        <f>AD415+AD423</f>
        <v>0</v>
      </c>
      <c r="AE425" s="62">
        <f>AE415+AE423</f>
        <v>0</v>
      </c>
      <c r="AF425" s="63">
        <f t="shared" si="175"/>
        <v>1950075</v>
      </c>
      <c r="AG425" s="58" t="str">
        <f>IF(ABS(AF425-F425)&lt;1,"ok","err")</f>
        <v>ok</v>
      </c>
    </row>
    <row r="426" spans="1:33">
      <c r="A426" s="60"/>
      <c r="B426" s="60"/>
      <c r="F426" s="75"/>
      <c r="W426" s="44"/>
      <c r="AF426" s="63"/>
      <c r="AG426" s="58"/>
    </row>
    <row r="427" spans="1:33">
      <c r="A427" s="60"/>
      <c r="B427" s="60" t="s">
        <v>330</v>
      </c>
      <c r="C427" s="44" t="s">
        <v>331</v>
      </c>
      <c r="F427" s="75">
        <f>F383+F404+F425</f>
        <v>32106116</v>
      </c>
      <c r="H427" s="62">
        <f t="shared" ref="H427:M427" si="180">H383+H404+H425</f>
        <v>16752455.257236628</v>
      </c>
      <c r="I427" s="62">
        <f t="shared" si="180"/>
        <v>0</v>
      </c>
      <c r="J427" s="62">
        <f t="shared" si="180"/>
        <v>0</v>
      </c>
      <c r="K427" s="62">
        <f t="shared" si="180"/>
        <v>15353660.74276337</v>
      </c>
      <c r="L427" s="62">
        <f t="shared" si="180"/>
        <v>0</v>
      </c>
      <c r="M427" s="62">
        <f t="shared" si="180"/>
        <v>0</v>
      </c>
      <c r="N427" s="62">
        <f>N383+N404+N425</f>
        <v>0</v>
      </c>
      <c r="O427" s="62">
        <f>O383+O404+O425</f>
        <v>0</v>
      </c>
      <c r="P427" s="62">
        <f>P383+P404+P425</f>
        <v>0</v>
      </c>
      <c r="Q427" s="62">
        <f t="shared" ref="Q427:AB427" si="181">Q383+Q404+Q425</f>
        <v>0</v>
      </c>
      <c r="R427" s="62">
        <f t="shared" si="181"/>
        <v>0</v>
      </c>
      <c r="S427" s="62">
        <f t="shared" si="181"/>
        <v>0</v>
      </c>
      <c r="T427" s="62">
        <f t="shared" si="181"/>
        <v>0</v>
      </c>
      <c r="U427" s="62">
        <f t="shared" si="181"/>
        <v>0</v>
      </c>
      <c r="V427" s="62">
        <f t="shared" si="181"/>
        <v>0</v>
      </c>
      <c r="W427" s="62">
        <f t="shared" si="181"/>
        <v>0</v>
      </c>
      <c r="X427" s="62">
        <f t="shared" si="181"/>
        <v>0</v>
      </c>
      <c r="Y427" s="62">
        <f t="shared" si="181"/>
        <v>0</v>
      </c>
      <c r="Z427" s="62">
        <f t="shared" si="181"/>
        <v>0</v>
      </c>
      <c r="AA427" s="62">
        <f t="shared" si="181"/>
        <v>0</v>
      </c>
      <c r="AB427" s="62">
        <f t="shared" si="181"/>
        <v>0</v>
      </c>
      <c r="AC427" s="62">
        <f>AC383+AC404+AC425</f>
        <v>0</v>
      </c>
      <c r="AD427" s="62">
        <f>AD383+AD404+AD425</f>
        <v>0</v>
      </c>
      <c r="AE427" s="62">
        <f>AE383+AE404+AE425</f>
        <v>0</v>
      </c>
      <c r="AF427" s="63">
        <f>SUM(H427:AE427)</f>
        <v>32106116</v>
      </c>
      <c r="AG427" s="58" t="str">
        <f>IF(ABS(AF427-F427)&lt;1,"ok","err")</f>
        <v>ok</v>
      </c>
    </row>
    <row r="428" spans="1:33" ht="15">
      <c r="A428" s="59"/>
      <c r="B428" s="60"/>
      <c r="W428" s="44"/>
      <c r="AG428" s="58"/>
    </row>
    <row r="429" spans="1:33" ht="15">
      <c r="A429" s="65" t="s">
        <v>911</v>
      </c>
      <c r="B429" s="60"/>
      <c r="W429" s="44"/>
      <c r="AG429" s="58"/>
    </row>
    <row r="430" spans="1:33">
      <c r="A430" s="60">
        <v>555</v>
      </c>
      <c r="B430" s="60" t="s">
        <v>1077</v>
      </c>
      <c r="C430" s="44" t="s">
        <v>100</v>
      </c>
      <c r="D430" s="44" t="s">
        <v>912</v>
      </c>
      <c r="F430" s="75">
        <v>0</v>
      </c>
      <c r="G430" s="62"/>
      <c r="H430" s="63">
        <f t="shared" ref="H430:Q432" si="182">IF(VLOOKUP($D430,$C$6:$AE$653,H$2,)=0,0,((VLOOKUP($D430,$C$6:$AE$653,H$2,)/VLOOKUP($D430,$C$6:$AE$653,4,))*$F430))</f>
        <v>0</v>
      </c>
      <c r="I430" s="63">
        <f t="shared" si="182"/>
        <v>0</v>
      </c>
      <c r="J430" s="63">
        <f t="shared" si="182"/>
        <v>0</v>
      </c>
      <c r="K430" s="63">
        <f t="shared" si="182"/>
        <v>0</v>
      </c>
      <c r="L430" s="63">
        <f t="shared" si="182"/>
        <v>0</v>
      </c>
      <c r="M430" s="63">
        <f t="shared" si="182"/>
        <v>0</v>
      </c>
      <c r="N430" s="63">
        <f t="shared" si="182"/>
        <v>0</v>
      </c>
      <c r="O430" s="63">
        <f t="shared" si="182"/>
        <v>0</v>
      </c>
      <c r="P430" s="63">
        <f t="shared" si="182"/>
        <v>0</v>
      </c>
      <c r="Q430" s="63">
        <f t="shared" si="182"/>
        <v>0</v>
      </c>
      <c r="R430" s="63">
        <f t="shared" ref="R430:AE432" si="183">IF(VLOOKUP($D430,$C$6:$AE$653,R$2,)=0,0,((VLOOKUP($D430,$C$6:$AE$653,R$2,)/VLOOKUP($D430,$C$6:$AE$653,4,))*$F430))</f>
        <v>0</v>
      </c>
      <c r="S430" s="63">
        <f t="shared" si="183"/>
        <v>0</v>
      </c>
      <c r="T430" s="63">
        <f t="shared" si="183"/>
        <v>0</v>
      </c>
      <c r="U430" s="63">
        <f t="shared" si="183"/>
        <v>0</v>
      </c>
      <c r="V430" s="63">
        <f t="shared" si="183"/>
        <v>0</v>
      </c>
      <c r="W430" s="63">
        <f t="shared" si="183"/>
        <v>0</v>
      </c>
      <c r="X430" s="63">
        <f t="shared" si="183"/>
        <v>0</v>
      </c>
      <c r="Y430" s="63">
        <f t="shared" si="183"/>
        <v>0</v>
      </c>
      <c r="Z430" s="63">
        <f t="shared" si="183"/>
        <v>0</v>
      </c>
      <c r="AA430" s="63">
        <f t="shared" si="183"/>
        <v>0</v>
      </c>
      <c r="AB430" s="63">
        <f t="shared" si="183"/>
        <v>0</v>
      </c>
      <c r="AC430" s="63">
        <f t="shared" si="183"/>
        <v>0</v>
      </c>
      <c r="AD430" s="63">
        <f t="shared" si="183"/>
        <v>0</v>
      </c>
      <c r="AE430" s="63">
        <f t="shared" si="183"/>
        <v>0</v>
      </c>
      <c r="AF430" s="63">
        <f>SUM(H430:AE430)</f>
        <v>0</v>
      </c>
      <c r="AG430" s="58" t="str">
        <f>IF(ABS(AF430-F430)&lt;1,"ok","err")</f>
        <v>ok</v>
      </c>
    </row>
    <row r="431" spans="1:33">
      <c r="A431" s="60">
        <v>556</v>
      </c>
      <c r="B431" s="60" t="s">
        <v>250</v>
      </c>
      <c r="C431" s="44" t="s">
        <v>589</v>
      </c>
      <c r="D431" s="44" t="s">
        <v>624</v>
      </c>
      <c r="F431" s="78">
        <v>1351005</v>
      </c>
      <c r="G431" s="62"/>
      <c r="H431" s="63">
        <f t="shared" si="182"/>
        <v>1351005</v>
      </c>
      <c r="I431" s="63">
        <f t="shared" si="182"/>
        <v>0</v>
      </c>
      <c r="J431" s="63">
        <f t="shared" si="182"/>
        <v>0</v>
      </c>
      <c r="K431" s="63">
        <f t="shared" si="182"/>
        <v>0</v>
      </c>
      <c r="L431" s="63">
        <f t="shared" si="182"/>
        <v>0</v>
      </c>
      <c r="M431" s="63">
        <f t="shared" si="182"/>
        <v>0</v>
      </c>
      <c r="N431" s="63">
        <f t="shared" si="182"/>
        <v>0</v>
      </c>
      <c r="O431" s="63">
        <f t="shared" si="182"/>
        <v>0</v>
      </c>
      <c r="P431" s="63">
        <f t="shared" si="182"/>
        <v>0</v>
      </c>
      <c r="Q431" s="63">
        <f t="shared" si="182"/>
        <v>0</v>
      </c>
      <c r="R431" s="63">
        <f t="shared" si="183"/>
        <v>0</v>
      </c>
      <c r="S431" s="63">
        <f t="shared" si="183"/>
        <v>0</v>
      </c>
      <c r="T431" s="63">
        <f t="shared" si="183"/>
        <v>0</v>
      </c>
      <c r="U431" s="63">
        <f t="shared" si="183"/>
        <v>0</v>
      </c>
      <c r="V431" s="63">
        <f t="shared" si="183"/>
        <v>0</v>
      </c>
      <c r="W431" s="63">
        <f t="shared" si="183"/>
        <v>0</v>
      </c>
      <c r="X431" s="63">
        <f t="shared" si="183"/>
        <v>0</v>
      </c>
      <c r="Y431" s="63">
        <f t="shared" si="183"/>
        <v>0</v>
      </c>
      <c r="Z431" s="63">
        <f t="shared" si="183"/>
        <v>0</v>
      </c>
      <c r="AA431" s="63">
        <f t="shared" si="183"/>
        <v>0</v>
      </c>
      <c r="AB431" s="63">
        <f t="shared" si="183"/>
        <v>0</v>
      </c>
      <c r="AC431" s="63">
        <f t="shared" si="183"/>
        <v>0</v>
      </c>
      <c r="AD431" s="63">
        <f t="shared" si="183"/>
        <v>0</v>
      </c>
      <c r="AE431" s="63">
        <f t="shared" si="183"/>
        <v>0</v>
      </c>
      <c r="AF431" s="63">
        <f>SUM(H431:AE431)</f>
        <v>1351005</v>
      </c>
      <c r="AG431" s="58" t="str">
        <f>IF(ABS(AF431-F431)&lt;1,"ok","err")</f>
        <v>ok</v>
      </c>
    </row>
    <row r="432" spans="1:33">
      <c r="A432" s="60">
        <v>557</v>
      </c>
      <c r="B432" s="60" t="s">
        <v>7</v>
      </c>
      <c r="C432" s="44" t="s">
        <v>46</v>
      </c>
      <c r="D432" s="44" t="s">
        <v>624</v>
      </c>
      <c r="F432" s="78">
        <v>0</v>
      </c>
      <c r="G432" s="62"/>
      <c r="H432" s="63">
        <f t="shared" si="182"/>
        <v>0</v>
      </c>
      <c r="I432" s="63">
        <f t="shared" si="182"/>
        <v>0</v>
      </c>
      <c r="J432" s="63">
        <f t="shared" si="182"/>
        <v>0</v>
      </c>
      <c r="K432" s="63">
        <f t="shared" si="182"/>
        <v>0</v>
      </c>
      <c r="L432" s="63">
        <f t="shared" si="182"/>
        <v>0</v>
      </c>
      <c r="M432" s="63">
        <f t="shared" si="182"/>
        <v>0</v>
      </c>
      <c r="N432" s="63">
        <f t="shared" si="182"/>
        <v>0</v>
      </c>
      <c r="O432" s="63">
        <f t="shared" si="182"/>
        <v>0</v>
      </c>
      <c r="P432" s="63">
        <f t="shared" si="182"/>
        <v>0</v>
      </c>
      <c r="Q432" s="63">
        <f t="shared" si="182"/>
        <v>0</v>
      </c>
      <c r="R432" s="63">
        <f t="shared" si="183"/>
        <v>0</v>
      </c>
      <c r="S432" s="63">
        <f t="shared" si="183"/>
        <v>0</v>
      </c>
      <c r="T432" s="63">
        <f t="shared" si="183"/>
        <v>0</v>
      </c>
      <c r="U432" s="63">
        <f t="shared" si="183"/>
        <v>0</v>
      </c>
      <c r="V432" s="63">
        <f t="shared" si="183"/>
        <v>0</v>
      </c>
      <c r="W432" s="63">
        <f t="shared" si="183"/>
        <v>0</v>
      </c>
      <c r="X432" s="63">
        <f t="shared" si="183"/>
        <v>0</v>
      </c>
      <c r="Y432" s="63">
        <f t="shared" si="183"/>
        <v>0</v>
      </c>
      <c r="Z432" s="63">
        <f t="shared" si="183"/>
        <v>0</v>
      </c>
      <c r="AA432" s="63">
        <f t="shared" si="183"/>
        <v>0</v>
      </c>
      <c r="AB432" s="63">
        <f t="shared" si="183"/>
        <v>0</v>
      </c>
      <c r="AC432" s="63">
        <f t="shared" si="183"/>
        <v>0</v>
      </c>
      <c r="AD432" s="63">
        <f t="shared" si="183"/>
        <v>0</v>
      </c>
      <c r="AE432" s="63">
        <f t="shared" si="183"/>
        <v>0</v>
      </c>
      <c r="AF432" s="63">
        <f>SUM(H432:AE432)</f>
        <v>0</v>
      </c>
      <c r="AG432" s="58" t="str">
        <f>IF(ABS(AF432-F432)&lt;1,"ok","err")</f>
        <v>ok</v>
      </c>
    </row>
    <row r="433" spans="1:33">
      <c r="A433" s="60"/>
      <c r="B433" s="60"/>
      <c r="F433" s="75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3"/>
      <c r="AG433" s="58"/>
    </row>
    <row r="434" spans="1:33">
      <c r="A434" s="60"/>
      <c r="B434" s="60" t="s">
        <v>102</v>
      </c>
      <c r="C434" s="44" t="s">
        <v>45</v>
      </c>
      <c r="F434" s="75">
        <f>SUM(F430:F432)</f>
        <v>1351005</v>
      </c>
      <c r="G434" s="62"/>
      <c r="H434" s="62">
        <f t="shared" ref="H434:M434" si="184">SUM(H430:H432)</f>
        <v>1351005</v>
      </c>
      <c r="I434" s="62">
        <f t="shared" si="184"/>
        <v>0</v>
      </c>
      <c r="J434" s="62">
        <f t="shared" si="184"/>
        <v>0</v>
      </c>
      <c r="K434" s="62">
        <f t="shared" si="184"/>
        <v>0</v>
      </c>
      <c r="L434" s="62">
        <f t="shared" si="184"/>
        <v>0</v>
      </c>
      <c r="M434" s="62">
        <f t="shared" si="184"/>
        <v>0</v>
      </c>
      <c r="N434" s="62">
        <f>SUM(N430:N432)</f>
        <v>0</v>
      </c>
      <c r="O434" s="62">
        <f>SUM(O430:O432)</f>
        <v>0</v>
      </c>
      <c r="P434" s="62">
        <f>SUM(P430:P432)</f>
        <v>0</v>
      </c>
      <c r="Q434" s="62">
        <f t="shared" ref="Q434:AB434" si="185">SUM(Q430:Q432)</f>
        <v>0</v>
      </c>
      <c r="R434" s="62">
        <f t="shared" si="185"/>
        <v>0</v>
      </c>
      <c r="S434" s="62">
        <f t="shared" si="185"/>
        <v>0</v>
      </c>
      <c r="T434" s="62">
        <f t="shared" si="185"/>
        <v>0</v>
      </c>
      <c r="U434" s="62">
        <f t="shared" si="185"/>
        <v>0</v>
      </c>
      <c r="V434" s="62">
        <f t="shared" si="185"/>
        <v>0</v>
      </c>
      <c r="W434" s="62">
        <f t="shared" si="185"/>
        <v>0</v>
      </c>
      <c r="X434" s="62">
        <f t="shared" si="185"/>
        <v>0</v>
      </c>
      <c r="Y434" s="62">
        <f t="shared" si="185"/>
        <v>0</v>
      </c>
      <c r="Z434" s="62">
        <f t="shared" si="185"/>
        <v>0</v>
      </c>
      <c r="AA434" s="62">
        <f t="shared" si="185"/>
        <v>0</v>
      </c>
      <c r="AB434" s="62">
        <f t="shared" si="185"/>
        <v>0</v>
      </c>
      <c r="AC434" s="62">
        <f>SUM(AC430:AC432)</f>
        <v>0</v>
      </c>
      <c r="AD434" s="62">
        <f>SUM(AD430:AD432)</f>
        <v>0</v>
      </c>
      <c r="AE434" s="62">
        <f>SUM(AE430:AE432)</f>
        <v>0</v>
      </c>
      <c r="AF434" s="63">
        <f>SUM(H434:AE434)</f>
        <v>1351005</v>
      </c>
      <c r="AG434" s="58" t="str">
        <f>IF(ABS(AF434-F434)&lt;1,"ok","err")</f>
        <v>ok</v>
      </c>
    </row>
    <row r="435" spans="1:33">
      <c r="A435" s="60"/>
      <c r="B435" s="60"/>
      <c r="F435" s="75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  <c r="AG435" s="58"/>
    </row>
    <row r="436" spans="1:33">
      <c r="A436" s="60"/>
      <c r="B436" s="60"/>
      <c r="F436" s="75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3"/>
      <c r="AG436" s="58"/>
    </row>
    <row r="437" spans="1:33" ht="15">
      <c r="A437" s="59" t="s">
        <v>44</v>
      </c>
      <c r="B437" s="60"/>
      <c r="F437" s="75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3"/>
      <c r="AG437" s="58"/>
    </row>
    <row r="438" spans="1:33">
      <c r="A438" s="60"/>
      <c r="B438" s="60"/>
      <c r="F438" s="75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3"/>
      <c r="AG438" s="58"/>
    </row>
    <row r="439" spans="1:33" ht="15">
      <c r="A439" s="65" t="s">
        <v>104</v>
      </c>
      <c r="B439" s="60"/>
      <c r="F439" s="75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3"/>
      <c r="AG439" s="58"/>
    </row>
    <row r="440" spans="1:33">
      <c r="A440" s="60">
        <v>560</v>
      </c>
      <c r="B440" s="60" t="s">
        <v>1072</v>
      </c>
      <c r="C440" s="44" t="s">
        <v>101</v>
      </c>
      <c r="D440" s="44" t="s">
        <v>1087</v>
      </c>
      <c r="F440" s="75">
        <v>884644</v>
      </c>
      <c r="G440" s="62"/>
      <c r="H440" s="63">
        <f t="shared" ref="H440:Q448" si="186">IF(VLOOKUP($D440,$C$6:$AE$653,H$2,)=0,0,((VLOOKUP($D440,$C$6:$AE$653,H$2,)/VLOOKUP($D440,$C$6:$AE$653,4,))*$F440))</f>
        <v>0</v>
      </c>
      <c r="I440" s="63">
        <f t="shared" si="186"/>
        <v>0</v>
      </c>
      <c r="J440" s="63">
        <f t="shared" si="186"/>
        <v>0</v>
      </c>
      <c r="K440" s="63">
        <f t="shared" si="186"/>
        <v>0</v>
      </c>
      <c r="L440" s="63">
        <f t="shared" si="186"/>
        <v>0</v>
      </c>
      <c r="M440" s="63">
        <f t="shared" si="186"/>
        <v>0</v>
      </c>
      <c r="N440" s="63">
        <f t="shared" si="186"/>
        <v>884644</v>
      </c>
      <c r="O440" s="63">
        <f t="shared" si="186"/>
        <v>0</v>
      </c>
      <c r="P440" s="63">
        <f t="shared" si="186"/>
        <v>0</v>
      </c>
      <c r="Q440" s="63">
        <f t="shared" si="186"/>
        <v>0</v>
      </c>
      <c r="R440" s="63">
        <f t="shared" ref="R440:AE448" si="187">IF(VLOOKUP($D440,$C$6:$AE$653,R$2,)=0,0,((VLOOKUP($D440,$C$6:$AE$653,R$2,)/VLOOKUP($D440,$C$6:$AE$653,4,))*$F440))</f>
        <v>0</v>
      </c>
      <c r="S440" s="63">
        <f t="shared" si="187"/>
        <v>0</v>
      </c>
      <c r="T440" s="63">
        <f t="shared" si="187"/>
        <v>0</v>
      </c>
      <c r="U440" s="63">
        <f t="shared" si="187"/>
        <v>0</v>
      </c>
      <c r="V440" s="63">
        <f t="shared" si="187"/>
        <v>0</v>
      </c>
      <c r="W440" s="63">
        <f t="shared" si="187"/>
        <v>0</v>
      </c>
      <c r="X440" s="63">
        <f t="shared" si="187"/>
        <v>0</v>
      </c>
      <c r="Y440" s="63">
        <f t="shared" si="187"/>
        <v>0</v>
      </c>
      <c r="Z440" s="63">
        <f t="shared" si="187"/>
        <v>0</v>
      </c>
      <c r="AA440" s="63">
        <f t="shared" si="187"/>
        <v>0</v>
      </c>
      <c r="AB440" s="63">
        <f t="shared" si="187"/>
        <v>0</v>
      </c>
      <c r="AC440" s="63">
        <f t="shared" si="187"/>
        <v>0</v>
      </c>
      <c r="AD440" s="63">
        <f t="shared" si="187"/>
        <v>0</v>
      </c>
      <c r="AE440" s="63">
        <f t="shared" si="187"/>
        <v>0</v>
      </c>
      <c r="AF440" s="63">
        <f t="shared" ref="AF440:AF447" si="188">SUM(H440:AE440)</f>
        <v>884644</v>
      </c>
      <c r="AG440" s="58" t="str">
        <f t="shared" ref="AG440:AG448" si="189">IF(ABS(AF440-F440)&lt;1,"ok","err")</f>
        <v>ok</v>
      </c>
    </row>
    <row r="441" spans="1:33">
      <c r="A441" s="60">
        <v>561</v>
      </c>
      <c r="B441" s="60" t="s">
        <v>916</v>
      </c>
      <c r="C441" s="44" t="s">
        <v>47</v>
      </c>
      <c r="D441" s="44" t="s">
        <v>1087</v>
      </c>
      <c r="F441" s="78">
        <v>1915335</v>
      </c>
      <c r="G441" s="62"/>
      <c r="H441" s="63">
        <f t="shared" si="186"/>
        <v>0</v>
      </c>
      <c r="I441" s="63">
        <f t="shared" si="186"/>
        <v>0</v>
      </c>
      <c r="J441" s="63">
        <f t="shared" si="186"/>
        <v>0</v>
      </c>
      <c r="K441" s="63">
        <f t="shared" si="186"/>
        <v>0</v>
      </c>
      <c r="L441" s="63">
        <f t="shared" si="186"/>
        <v>0</v>
      </c>
      <c r="M441" s="63">
        <f t="shared" si="186"/>
        <v>0</v>
      </c>
      <c r="N441" s="63">
        <f t="shared" si="186"/>
        <v>1915335</v>
      </c>
      <c r="O441" s="63">
        <f t="shared" si="186"/>
        <v>0</v>
      </c>
      <c r="P441" s="63">
        <f t="shared" si="186"/>
        <v>0</v>
      </c>
      <c r="Q441" s="63">
        <f t="shared" si="186"/>
        <v>0</v>
      </c>
      <c r="R441" s="63">
        <f t="shared" si="187"/>
        <v>0</v>
      </c>
      <c r="S441" s="63">
        <f t="shared" si="187"/>
        <v>0</v>
      </c>
      <c r="T441" s="63">
        <f t="shared" si="187"/>
        <v>0</v>
      </c>
      <c r="U441" s="63">
        <f t="shared" si="187"/>
        <v>0</v>
      </c>
      <c r="V441" s="63">
        <f t="shared" si="187"/>
        <v>0</v>
      </c>
      <c r="W441" s="63">
        <f t="shared" si="187"/>
        <v>0</v>
      </c>
      <c r="X441" s="63">
        <f t="shared" si="187"/>
        <v>0</v>
      </c>
      <c r="Y441" s="63">
        <f t="shared" si="187"/>
        <v>0</v>
      </c>
      <c r="Z441" s="63">
        <f t="shared" si="187"/>
        <v>0</v>
      </c>
      <c r="AA441" s="63">
        <f t="shared" si="187"/>
        <v>0</v>
      </c>
      <c r="AB441" s="63">
        <f t="shared" si="187"/>
        <v>0</v>
      </c>
      <c r="AC441" s="63">
        <f t="shared" si="187"/>
        <v>0</v>
      </c>
      <c r="AD441" s="63">
        <f t="shared" si="187"/>
        <v>0</v>
      </c>
      <c r="AE441" s="63">
        <f t="shared" si="187"/>
        <v>0</v>
      </c>
      <c r="AF441" s="63">
        <f t="shared" si="188"/>
        <v>1915335</v>
      </c>
      <c r="AG441" s="58" t="str">
        <f t="shared" si="189"/>
        <v>ok</v>
      </c>
    </row>
    <row r="442" spans="1:33">
      <c r="A442" s="60">
        <v>562</v>
      </c>
      <c r="B442" s="60" t="s">
        <v>1070</v>
      </c>
      <c r="C442" s="44" t="s">
        <v>48</v>
      </c>
      <c r="D442" s="44" t="s">
        <v>1087</v>
      </c>
      <c r="F442" s="78">
        <v>390519</v>
      </c>
      <c r="G442" s="62"/>
      <c r="H442" s="63">
        <f t="shared" si="186"/>
        <v>0</v>
      </c>
      <c r="I442" s="63">
        <f t="shared" si="186"/>
        <v>0</v>
      </c>
      <c r="J442" s="63">
        <f t="shared" si="186"/>
        <v>0</v>
      </c>
      <c r="K442" s="63">
        <f t="shared" si="186"/>
        <v>0</v>
      </c>
      <c r="L442" s="63">
        <f t="shared" si="186"/>
        <v>0</v>
      </c>
      <c r="M442" s="63">
        <f t="shared" si="186"/>
        <v>0</v>
      </c>
      <c r="N442" s="63">
        <f t="shared" si="186"/>
        <v>390519</v>
      </c>
      <c r="O442" s="63">
        <f t="shared" si="186"/>
        <v>0</v>
      </c>
      <c r="P442" s="63">
        <f t="shared" si="186"/>
        <v>0</v>
      </c>
      <c r="Q442" s="63">
        <f t="shared" si="186"/>
        <v>0</v>
      </c>
      <c r="R442" s="63">
        <f t="shared" si="187"/>
        <v>0</v>
      </c>
      <c r="S442" s="63">
        <f t="shared" si="187"/>
        <v>0</v>
      </c>
      <c r="T442" s="63">
        <f t="shared" si="187"/>
        <v>0</v>
      </c>
      <c r="U442" s="63">
        <f t="shared" si="187"/>
        <v>0</v>
      </c>
      <c r="V442" s="63">
        <f t="shared" si="187"/>
        <v>0</v>
      </c>
      <c r="W442" s="63">
        <f t="shared" si="187"/>
        <v>0</v>
      </c>
      <c r="X442" s="63">
        <f t="shared" si="187"/>
        <v>0</v>
      </c>
      <c r="Y442" s="63">
        <f t="shared" si="187"/>
        <v>0</v>
      </c>
      <c r="Z442" s="63">
        <f t="shared" si="187"/>
        <v>0</v>
      </c>
      <c r="AA442" s="63">
        <f t="shared" si="187"/>
        <v>0</v>
      </c>
      <c r="AB442" s="63">
        <f t="shared" si="187"/>
        <v>0</v>
      </c>
      <c r="AC442" s="63">
        <f t="shared" si="187"/>
        <v>0</v>
      </c>
      <c r="AD442" s="63">
        <f t="shared" si="187"/>
        <v>0</v>
      </c>
      <c r="AE442" s="63">
        <f t="shared" si="187"/>
        <v>0</v>
      </c>
      <c r="AF442" s="63">
        <f t="shared" si="188"/>
        <v>390519</v>
      </c>
      <c r="AG442" s="58" t="str">
        <f t="shared" si="189"/>
        <v>ok</v>
      </c>
    </row>
    <row r="443" spans="1:33">
      <c r="A443" s="60">
        <v>563</v>
      </c>
      <c r="B443" s="60" t="s">
        <v>918</v>
      </c>
      <c r="C443" s="44" t="s">
        <v>49</v>
      </c>
      <c r="D443" s="44" t="s">
        <v>1087</v>
      </c>
      <c r="F443" s="78">
        <v>12872</v>
      </c>
      <c r="G443" s="62"/>
      <c r="H443" s="63">
        <f t="shared" si="186"/>
        <v>0</v>
      </c>
      <c r="I443" s="63">
        <f t="shared" si="186"/>
        <v>0</v>
      </c>
      <c r="J443" s="63">
        <f t="shared" si="186"/>
        <v>0</v>
      </c>
      <c r="K443" s="63">
        <f t="shared" si="186"/>
        <v>0</v>
      </c>
      <c r="L443" s="63">
        <f t="shared" si="186"/>
        <v>0</v>
      </c>
      <c r="M443" s="63">
        <f t="shared" si="186"/>
        <v>0</v>
      </c>
      <c r="N443" s="63">
        <f t="shared" si="186"/>
        <v>12872</v>
      </c>
      <c r="O443" s="63">
        <f t="shared" si="186"/>
        <v>0</v>
      </c>
      <c r="P443" s="63">
        <f t="shared" si="186"/>
        <v>0</v>
      </c>
      <c r="Q443" s="63">
        <f t="shared" si="186"/>
        <v>0</v>
      </c>
      <c r="R443" s="63">
        <f t="shared" si="187"/>
        <v>0</v>
      </c>
      <c r="S443" s="63">
        <f t="shared" si="187"/>
        <v>0</v>
      </c>
      <c r="T443" s="63">
        <f t="shared" si="187"/>
        <v>0</v>
      </c>
      <c r="U443" s="63">
        <f t="shared" si="187"/>
        <v>0</v>
      </c>
      <c r="V443" s="63">
        <f t="shared" si="187"/>
        <v>0</v>
      </c>
      <c r="W443" s="63">
        <f t="shared" si="187"/>
        <v>0</v>
      </c>
      <c r="X443" s="63">
        <f t="shared" si="187"/>
        <v>0</v>
      </c>
      <c r="Y443" s="63">
        <f t="shared" si="187"/>
        <v>0</v>
      </c>
      <c r="Z443" s="63">
        <f t="shared" si="187"/>
        <v>0</v>
      </c>
      <c r="AA443" s="63">
        <f t="shared" si="187"/>
        <v>0</v>
      </c>
      <c r="AB443" s="63">
        <f t="shared" si="187"/>
        <v>0</v>
      </c>
      <c r="AC443" s="63">
        <f t="shared" si="187"/>
        <v>0</v>
      </c>
      <c r="AD443" s="63">
        <f t="shared" si="187"/>
        <v>0</v>
      </c>
      <c r="AE443" s="63">
        <f t="shared" si="187"/>
        <v>0</v>
      </c>
      <c r="AF443" s="63">
        <f t="shared" si="188"/>
        <v>12872</v>
      </c>
      <c r="AG443" s="58" t="str">
        <f t="shared" si="189"/>
        <v>ok</v>
      </c>
    </row>
    <row r="444" spans="1:33">
      <c r="A444" s="60">
        <v>566</v>
      </c>
      <c r="B444" s="60" t="s">
        <v>145</v>
      </c>
      <c r="C444" s="44" t="s">
        <v>149</v>
      </c>
      <c r="D444" s="44" t="s">
        <v>1087</v>
      </c>
      <c r="F444" s="78">
        <v>110681</v>
      </c>
      <c r="G444" s="62"/>
      <c r="H444" s="63">
        <f t="shared" si="186"/>
        <v>0</v>
      </c>
      <c r="I444" s="63">
        <f t="shared" si="186"/>
        <v>0</v>
      </c>
      <c r="J444" s="63">
        <f t="shared" si="186"/>
        <v>0</v>
      </c>
      <c r="K444" s="63">
        <f t="shared" si="186"/>
        <v>0</v>
      </c>
      <c r="L444" s="63">
        <f t="shared" si="186"/>
        <v>0</v>
      </c>
      <c r="M444" s="63">
        <f t="shared" si="186"/>
        <v>0</v>
      </c>
      <c r="N444" s="63">
        <f t="shared" si="186"/>
        <v>110681</v>
      </c>
      <c r="O444" s="63">
        <f t="shared" si="186"/>
        <v>0</v>
      </c>
      <c r="P444" s="63">
        <f t="shared" si="186"/>
        <v>0</v>
      </c>
      <c r="Q444" s="63">
        <f t="shared" si="186"/>
        <v>0</v>
      </c>
      <c r="R444" s="63">
        <f t="shared" si="187"/>
        <v>0</v>
      </c>
      <c r="S444" s="63">
        <f t="shared" si="187"/>
        <v>0</v>
      </c>
      <c r="T444" s="63">
        <f t="shared" si="187"/>
        <v>0</v>
      </c>
      <c r="U444" s="63">
        <f t="shared" si="187"/>
        <v>0</v>
      </c>
      <c r="V444" s="63">
        <f t="shared" si="187"/>
        <v>0</v>
      </c>
      <c r="W444" s="63">
        <f t="shared" si="187"/>
        <v>0</v>
      </c>
      <c r="X444" s="63">
        <f t="shared" si="187"/>
        <v>0</v>
      </c>
      <c r="Y444" s="63">
        <f t="shared" si="187"/>
        <v>0</v>
      </c>
      <c r="Z444" s="63">
        <f t="shared" si="187"/>
        <v>0</v>
      </c>
      <c r="AA444" s="63">
        <f t="shared" si="187"/>
        <v>0</v>
      </c>
      <c r="AB444" s="63">
        <f t="shared" si="187"/>
        <v>0</v>
      </c>
      <c r="AC444" s="63">
        <f t="shared" si="187"/>
        <v>0</v>
      </c>
      <c r="AD444" s="63">
        <f t="shared" si="187"/>
        <v>0</v>
      </c>
      <c r="AE444" s="63">
        <f t="shared" si="187"/>
        <v>0</v>
      </c>
      <c r="AF444" s="63">
        <f t="shared" si="188"/>
        <v>110681</v>
      </c>
      <c r="AG444" s="58" t="str">
        <f t="shared" si="189"/>
        <v>ok</v>
      </c>
    </row>
    <row r="445" spans="1:33">
      <c r="A445" s="60">
        <v>569</v>
      </c>
      <c r="B445" s="60" t="s">
        <v>590</v>
      </c>
      <c r="C445" s="44" t="s">
        <v>591</v>
      </c>
      <c r="D445" s="44" t="s">
        <v>1087</v>
      </c>
      <c r="F445" s="78">
        <v>0</v>
      </c>
      <c r="G445" s="62"/>
      <c r="H445" s="63">
        <f t="shared" si="186"/>
        <v>0</v>
      </c>
      <c r="I445" s="63">
        <f t="shared" si="186"/>
        <v>0</v>
      </c>
      <c r="J445" s="63">
        <f t="shared" si="186"/>
        <v>0</v>
      </c>
      <c r="K445" s="63">
        <f t="shared" si="186"/>
        <v>0</v>
      </c>
      <c r="L445" s="63">
        <f t="shared" si="186"/>
        <v>0</v>
      </c>
      <c r="M445" s="63">
        <f t="shared" si="186"/>
        <v>0</v>
      </c>
      <c r="N445" s="63">
        <f t="shared" si="186"/>
        <v>0</v>
      </c>
      <c r="O445" s="63">
        <f t="shared" si="186"/>
        <v>0</v>
      </c>
      <c r="P445" s="63">
        <f t="shared" si="186"/>
        <v>0</v>
      </c>
      <c r="Q445" s="63">
        <f t="shared" si="186"/>
        <v>0</v>
      </c>
      <c r="R445" s="63">
        <f t="shared" si="187"/>
        <v>0</v>
      </c>
      <c r="S445" s="63">
        <f t="shared" si="187"/>
        <v>0</v>
      </c>
      <c r="T445" s="63">
        <f t="shared" si="187"/>
        <v>0</v>
      </c>
      <c r="U445" s="63">
        <f t="shared" si="187"/>
        <v>0</v>
      </c>
      <c r="V445" s="63">
        <f t="shared" si="187"/>
        <v>0</v>
      </c>
      <c r="W445" s="63">
        <f t="shared" si="187"/>
        <v>0</v>
      </c>
      <c r="X445" s="63">
        <f t="shared" si="187"/>
        <v>0</v>
      </c>
      <c r="Y445" s="63">
        <f t="shared" si="187"/>
        <v>0</v>
      </c>
      <c r="Z445" s="63">
        <f t="shared" si="187"/>
        <v>0</v>
      </c>
      <c r="AA445" s="63">
        <f t="shared" si="187"/>
        <v>0</v>
      </c>
      <c r="AB445" s="63">
        <f t="shared" si="187"/>
        <v>0</v>
      </c>
      <c r="AC445" s="63">
        <f t="shared" si="187"/>
        <v>0</v>
      </c>
      <c r="AD445" s="63">
        <f t="shared" si="187"/>
        <v>0</v>
      </c>
      <c r="AE445" s="63">
        <f t="shared" si="187"/>
        <v>0</v>
      </c>
      <c r="AF445" s="63">
        <f t="shared" si="188"/>
        <v>0</v>
      </c>
      <c r="AG445" s="58" t="str">
        <f t="shared" si="189"/>
        <v>ok</v>
      </c>
    </row>
    <row r="446" spans="1:33">
      <c r="A446" s="60">
        <v>570</v>
      </c>
      <c r="B446" s="60" t="s">
        <v>1073</v>
      </c>
      <c r="C446" s="44" t="s">
        <v>50</v>
      </c>
      <c r="D446" s="44" t="s">
        <v>1087</v>
      </c>
      <c r="F446" s="78">
        <v>687585</v>
      </c>
      <c r="G446" s="62"/>
      <c r="H446" s="63">
        <f t="shared" si="186"/>
        <v>0</v>
      </c>
      <c r="I446" s="63">
        <f t="shared" si="186"/>
        <v>0</v>
      </c>
      <c r="J446" s="63">
        <f t="shared" si="186"/>
        <v>0</v>
      </c>
      <c r="K446" s="63">
        <f t="shared" si="186"/>
        <v>0</v>
      </c>
      <c r="L446" s="63">
        <f t="shared" si="186"/>
        <v>0</v>
      </c>
      <c r="M446" s="63">
        <f t="shared" si="186"/>
        <v>0</v>
      </c>
      <c r="N446" s="63">
        <f t="shared" si="186"/>
        <v>687585</v>
      </c>
      <c r="O446" s="63">
        <f t="shared" si="186"/>
        <v>0</v>
      </c>
      <c r="P446" s="63">
        <f t="shared" si="186"/>
        <v>0</v>
      </c>
      <c r="Q446" s="63">
        <f t="shared" si="186"/>
        <v>0</v>
      </c>
      <c r="R446" s="63">
        <f t="shared" si="187"/>
        <v>0</v>
      </c>
      <c r="S446" s="63">
        <f t="shared" si="187"/>
        <v>0</v>
      </c>
      <c r="T446" s="63">
        <f t="shared" si="187"/>
        <v>0</v>
      </c>
      <c r="U446" s="63">
        <f t="shared" si="187"/>
        <v>0</v>
      </c>
      <c r="V446" s="63">
        <f t="shared" si="187"/>
        <v>0</v>
      </c>
      <c r="W446" s="63">
        <f t="shared" si="187"/>
        <v>0</v>
      </c>
      <c r="X446" s="63">
        <f t="shared" si="187"/>
        <v>0</v>
      </c>
      <c r="Y446" s="63">
        <f t="shared" si="187"/>
        <v>0</v>
      </c>
      <c r="Z446" s="63">
        <f t="shared" si="187"/>
        <v>0</v>
      </c>
      <c r="AA446" s="63">
        <f t="shared" si="187"/>
        <v>0</v>
      </c>
      <c r="AB446" s="63">
        <f t="shared" si="187"/>
        <v>0</v>
      </c>
      <c r="AC446" s="63">
        <f t="shared" si="187"/>
        <v>0</v>
      </c>
      <c r="AD446" s="63">
        <f t="shared" si="187"/>
        <v>0</v>
      </c>
      <c r="AE446" s="63">
        <f t="shared" si="187"/>
        <v>0</v>
      </c>
      <c r="AF446" s="63">
        <f t="shared" si="188"/>
        <v>687585</v>
      </c>
      <c r="AG446" s="58" t="str">
        <f t="shared" si="189"/>
        <v>ok</v>
      </c>
    </row>
    <row r="447" spans="1:33">
      <c r="A447" s="60">
        <v>571</v>
      </c>
      <c r="B447" s="60" t="s">
        <v>1074</v>
      </c>
      <c r="C447" s="44" t="s">
        <v>51</v>
      </c>
      <c r="D447" s="44" t="s">
        <v>1087</v>
      </c>
      <c r="F447" s="78">
        <v>170496</v>
      </c>
      <c r="G447" s="62"/>
      <c r="H447" s="63">
        <f t="shared" si="186"/>
        <v>0</v>
      </c>
      <c r="I447" s="63">
        <f t="shared" si="186"/>
        <v>0</v>
      </c>
      <c r="J447" s="63">
        <f t="shared" si="186"/>
        <v>0</v>
      </c>
      <c r="K447" s="63">
        <f t="shared" si="186"/>
        <v>0</v>
      </c>
      <c r="L447" s="63">
        <f t="shared" si="186"/>
        <v>0</v>
      </c>
      <c r="M447" s="63">
        <f t="shared" si="186"/>
        <v>0</v>
      </c>
      <c r="N447" s="63">
        <f t="shared" si="186"/>
        <v>170496</v>
      </c>
      <c r="O447" s="63">
        <f t="shared" si="186"/>
        <v>0</v>
      </c>
      <c r="P447" s="63">
        <f t="shared" si="186"/>
        <v>0</v>
      </c>
      <c r="Q447" s="63">
        <f t="shared" si="186"/>
        <v>0</v>
      </c>
      <c r="R447" s="63">
        <f t="shared" si="187"/>
        <v>0</v>
      </c>
      <c r="S447" s="63">
        <f t="shared" si="187"/>
        <v>0</v>
      </c>
      <c r="T447" s="63">
        <f t="shared" si="187"/>
        <v>0</v>
      </c>
      <c r="U447" s="63">
        <f t="shared" si="187"/>
        <v>0</v>
      </c>
      <c r="V447" s="63">
        <f t="shared" si="187"/>
        <v>0</v>
      </c>
      <c r="W447" s="63">
        <f t="shared" si="187"/>
        <v>0</v>
      </c>
      <c r="X447" s="63">
        <f t="shared" si="187"/>
        <v>0</v>
      </c>
      <c r="Y447" s="63">
        <f t="shared" si="187"/>
        <v>0</v>
      </c>
      <c r="Z447" s="63">
        <f t="shared" si="187"/>
        <v>0</v>
      </c>
      <c r="AA447" s="63">
        <f t="shared" si="187"/>
        <v>0</v>
      </c>
      <c r="AB447" s="63">
        <f t="shared" si="187"/>
        <v>0</v>
      </c>
      <c r="AC447" s="63">
        <f t="shared" si="187"/>
        <v>0</v>
      </c>
      <c r="AD447" s="63">
        <f t="shared" si="187"/>
        <v>0</v>
      </c>
      <c r="AE447" s="63">
        <f t="shared" si="187"/>
        <v>0</v>
      </c>
      <c r="AF447" s="63">
        <f t="shared" si="188"/>
        <v>170496</v>
      </c>
      <c r="AG447" s="58" t="str">
        <f t="shared" si="189"/>
        <v>ok</v>
      </c>
    </row>
    <row r="448" spans="1:33">
      <c r="A448" s="60">
        <v>573</v>
      </c>
      <c r="B448" s="60" t="s">
        <v>592</v>
      </c>
      <c r="C448" s="44" t="s">
        <v>593</v>
      </c>
      <c r="D448" s="44" t="s">
        <v>1087</v>
      </c>
      <c r="F448" s="78">
        <v>0</v>
      </c>
      <c r="G448" s="62"/>
      <c r="H448" s="63">
        <f t="shared" si="186"/>
        <v>0</v>
      </c>
      <c r="I448" s="63">
        <f t="shared" si="186"/>
        <v>0</v>
      </c>
      <c r="J448" s="63">
        <f t="shared" si="186"/>
        <v>0</v>
      </c>
      <c r="K448" s="63">
        <f t="shared" si="186"/>
        <v>0</v>
      </c>
      <c r="L448" s="63">
        <f t="shared" si="186"/>
        <v>0</v>
      </c>
      <c r="M448" s="63">
        <f t="shared" si="186"/>
        <v>0</v>
      </c>
      <c r="N448" s="63">
        <f t="shared" si="186"/>
        <v>0</v>
      </c>
      <c r="O448" s="63">
        <f t="shared" si="186"/>
        <v>0</v>
      </c>
      <c r="P448" s="63">
        <f t="shared" si="186"/>
        <v>0</v>
      </c>
      <c r="Q448" s="63">
        <f t="shared" si="186"/>
        <v>0</v>
      </c>
      <c r="R448" s="63">
        <f t="shared" si="187"/>
        <v>0</v>
      </c>
      <c r="S448" s="63">
        <f t="shared" si="187"/>
        <v>0</v>
      </c>
      <c r="T448" s="63">
        <f t="shared" si="187"/>
        <v>0</v>
      </c>
      <c r="U448" s="63">
        <f t="shared" si="187"/>
        <v>0</v>
      </c>
      <c r="V448" s="63">
        <f t="shared" si="187"/>
        <v>0</v>
      </c>
      <c r="W448" s="63">
        <f t="shared" si="187"/>
        <v>0</v>
      </c>
      <c r="X448" s="63">
        <f t="shared" si="187"/>
        <v>0</v>
      </c>
      <c r="Y448" s="63">
        <f t="shared" si="187"/>
        <v>0</v>
      </c>
      <c r="Z448" s="63">
        <f t="shared" si="187"/>
        <v>0</v>
      </c>
      <c r="AA448" s="63">
        <f t="shared" si="187"/>
        <v>0</v>
      </c>
      <c r="AB448" s="63">
        <f t="shared" si="187"/>
        <v>0</v>
      </c>
      <c r="AC448" s="63">
        <f t="shared" si="187"/>
        <v>0</v>
      </c>
      <c r="AD448" s="63">
        <f t="shared" si="187"/>
        <v>0</v>
      </c>
      <c r="AE448" s="63">
        <f t="shared" si="187"/>
        <v>0</v>
      </c>
      <c r="AF448" s="63">
        <f>SUM(H448:AE448)</f>
        <v>0</v>
      </c>
      <c r="AG448" s="58" t="str">
        <f t="shared" si="189"/>
        <v>ok</v>
      </c>
    </row>
    <row r="449" spans="1:33">
      <c r="A449" s="60"/>
      <c r="B449" s="60"/>
      <c r="F449" s="75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3"/>
      <c r="AG449" s="58"/>
    </row>
    <row r="450" spans="1:33">
      <c r="A450" s="60" t="s">
        <v>103</v>
      </c>
      <c r="B450" s="60"/>
      <c r="C450" s="44" t="s">
        <v>644</v>
      </c>
      <c r="F450" s="79">
        <f>SUM(F440:F449)</f>
        <v>4172132</v>
      </c>
      <c r="G450" s="64">
        <f>SUM(G440:G447)</f>
        <v>0</v>
      </c>
      <c r="H450" s="64">
        <f t="shared" ref="H450:M450" si="190">SUM(H440:H449)</f>
        <v>0</v>
      </c>
      <c r="I450" s="64">
        <f t="shared" si="190"/>
        <v>0</v>
      </c>
      <c r="J450" s="64">
        <f t="shared" si="190"/>
        <v>0</v>
      </c>
      <c r="K450" s="64">
        <f t="shared" si="190"/>
        <v>0</v>
      </c>
      <c r="L450" s="64">
        <f t="shared" si="190"/>
        <v>0</v>
      </c>
      <c r="M450" s="64">
        <f t="shared" si="190"/>
        <v>0</v>
      </c>
      <c r="N450" s="64">
        <f>SUM(N440:N449)</f>
        <v>4172132</v>
      </c>
      <c r="O450" s="64">
        <f>SUM(O440:O449)</f>
        <v>0</v>
      </c>
      <c r="P450" s="64">
        <f>SUM(P440:P449)</f>
        <v>0</v>
      </c>
      <c r="Q450" s="64">
        <f t="shared" ref="Q450:AB450" si="191">SUM(Q440:Q449)</f>
        <v>0</v>
      </c>
      <c r="R450" s="64">
        <f t="shared" si="191"/>
        <v>0</v>
      </c>
      <c r="S450" s="64">
        <f t="shared" si="191"/>
        <v>0</v>
      </c>
      <c r="T450" s="64">
        <f t="shared" si="191"/>
        <v>0</v>
      </c>
      <c r="U450" s="64">
        <f t="shared" si="191"/>
        <v>0</v>
      </c>
      <c r="V450" s="64">
        <f t="shared" si="191"/>
        <v>0</v>
      </c>
      <c r="W450" s="64">
        <f t="shared" si="191"/>
        <v>0</v>
      </c>
      <c r="X450" s="64">
        <f t="shared" si="191"/>
        <v>0</v>
      </c>
      <c r="Y450" s="64">
        <f t="shared" si="191"/>
        <v>0</v>
      </c>
      <c r="Z450" s="64">
        <f t="shared" si="191"/>
        <v>0</v>
      </c>
      <c r="AA450" s="64">
        <f t="shared" si="191"/>
        <v>0</v>
      </c>
      <c r="AB450" s="64">
        <f t="shared" si="191"/>
        <v>0</v>
      </c>
      <c r="AC450" s="64">
        <f>SUM(AC440:AC449)</f>
        <v>0</v>
      </c>
      <c r="AD450" s="64">
        <f>SUM(AD440:AD449)</f>
        <v>0</v>
      </c>
      <c r="AE450" s="64">
        <f>SUM(AE440:AE449)</f>
        <v>0</v>
      </c>
      <c r="AF450" s="62">
        <f>SUM(H450:AE450)</f>
        <v>4172132</v>
      </c>
      <c r="AG450" s="58" t="str">
        <f>IF(ABS(AF450-F450)&lt;1,"ok","err")</f>
        <v>ok</v>
      </c>
    </row>
    <row r="451" spans="1:33">
      <c r="A451" s="60"/>
      <c r="B451" s="60"/>
      <c r="W451" s="44"/>
      <c r="AG451" s="58"/>
    </row>
    <row r="452" spans="1:33" ht="15">
      <c r="A452" s="65" t="s">
        <v>105</v>
      </c>
      <c r="B452" s="60"/>
      <c r="W452" s="44"/>
      <c r="AG452" s="58"/>
    </row>
    <row r="453" spans="1:33">
      <c r="A453" s="60">
        <v>580</v>
      </c>
      <c r="B453" s="60" t="s">
        <v>914</v>
      </c>
      <c r="C453" s="44" t="s">
        <v>52</v>
      </c>
      <c r="D453" s="44" t="s">
        <v>636</v>
      </c>
      <c r="F453" s="75">
        <v>951702</v>
      </c>
      <c r="H453" s="63">
        <f t="shared" ref="H453:Q463" si="192">IF(VLOOKUP($D453,$C$6:$AE$653,H$2,)=0,0,((VLOOKUP($D453,$C$6:$AE$653,H$2,)/VLOOKUP($D453,$C$6:$AE$653,4,))*$F453))</f>
        <v>0</v>
      </c>
      <c r="I453" s="63">
        <f t="shared" si="192"/>
        <v>0</v>
      </c>
      <c r="J453" s="63">
        <f t="shared" si="192"/>
        <v>0</v>
      </c>
      <c r="K453" s="63">
        <f t="shared" si="192"/>
        <v>0</v>
      </c>
      <c r="L453" s="63">
        <f t="shared" si="192"/>
        <v>0</v>
      </c>
      <c r="M453" s="63">
        <f t="shared" si="192"/>
        <v>0</v>
      </c>
      <c r="N453" s="63">
        <f t="shared" si="192"/>
        <v>0</v>
      </c>
      <c r="O453" s="63">
        <f t="shared" si="192"/>
        <v>0</v>
      </c>
      <c r="P453" s="63">
        <f t="shared" si="192"/>
        <v>0</v>
      </c>
      <c r="Q453" s="63">
        <f t="shared" si="192"/>
        <v>0</v>
      </c>
      <c r="R453" s="63">
        <f t="shared" ref="R453:AE463" si="193">IF(VLOOKUP($D453,$C$6:$AE$653,R$2,)=0,0,((VLOOKUP($D453,$C$6:$AE$653,R$2,)/VLOOKUP($D453,$C$6:$AE$653,4,))*$F453))</f>
        <v>141163.5756618756</v>
      </c>
      <c r="S453" s="63">
        <f t="shared" si="193"/>
        <v>0</v>
      </c>
      <c r="T453" s="63">
        <f t="shared" si="193"/>
        <v>112584.47123919179</v>
      </c>
      <c r="U453" s="63">
        <f t="shared" si="193"/>
        <v>190986.77774011513</v>
      </c>
      <c r="V453" s="63">
        <f t="shared" si="193"/>
        <v>38088.005688467289</v>
      </c>
      <c r="W453" s="63">
        <f t="shared" si="193"/>
        <v>66453.116463524289</v>
      </c>
      <c r="X453" s="63">
        <f t="shared" si="193"/>
        <v>11353.89963566551</v>
      </c>
      <c r="Y453" s="63">
        <f t="shared" si="193"/>
        <v>6328.7534212864011</v>
      </c>
      <c r="Z453" s="63">
        <f t="shared" si="193"/>
        <v>4046.4212230293401</v>
      </c>
      <c r="AA453" s="63">
        <f t="shared" si="193"/>
        <v>367355.7464986273</v>
      </c>
      <c r="AB453" s="63">
        <f t="shared" si="193"/>
        <v>13341.23242821739</v>
      </c>
      <c r="AC453" s="63">
        <f t="shared" si="193"/>
        <v>0</v>
      </c>
      <c r="AD453" s="63">
        <f t="shared" si="193"/>
        <v>0</v>
      </c>
      <c r="AE453" s="63">
        <f t="shared" si="193"/>
        <v>0</v>
      </c>
      <c r="AF453" s="63">
        <f t="shared" ref="AF453:AF463" si="194">SUM(H453:AE453)</f>
        <v>951702.00000000012</v>
      </c>
      <c r="AG453" s="58" t="str">
        <f t="shared" ref="AG453:AG463" si="195">IF(ABS(AF453-F453)&lt;1,"ok","err")</f>
        <v>ok</v>
      </c>
    </row>
    <row r="454" spans="1:33">
      <c r="A454" s="60">
        <v>581</v>
      </c>
      <c r="B454" s="60" t="s">
        <v>916</v>
      </c>
      <c r="C454" s="44" t="s">
        <v>53</v>
      </c>
      <c r="D454" s="44" t="s">
        <v>865</v>
      </c>
      <c r="F454" s="78">
        <v>147043</v>
      </c>
      <c r="H454" s="63">
        <f t="shared" si="192"/>
        <v>0</v>
      </c>
      <c r="I454" s="63">
        <f t="shared" si="192"/>
        <v>0</v>
      </c>
      <c r="J454" s="63">
        <f t="shared" si="192"/>
        <v>0</v>
      </c>
      <c r="K454" s="63">
        <f t="shared" si="192"/>
        <v>0</v>
      </c>
      <c r="L454" s="63">
        <f t="shared" si="192"/>
        <v>0</v>
      </c>
      <c r="M454" s="63">
        <f t="shared" si="192"/>
        <v>0</v>
      </c>
      <c r="N454" s="63">
        <f t="shared" si="192"/>
        <v>0</v>
      </c>
      <c r="O454" s="63">
        <f t="shared" si="192"/>
        <v>0</v>
      </c>
      <c r="P454" s="63">
        <f t="shared" si="192"/>
        <v>0</v>
      </c>
      <c r="Q454" s="63">
        <f t="shared" si="192"/>
        <v>0</v>
      </c>
      <c r="R454" s="63">
        <f t="shared" si="193"/>
        <v>147043</v>
      </c>
      <c r="S454" s="63">
        <f t="shared" si="193"/>
        <v>0</v>
      </c>
      <c r="T454" s="63">
        <f t="shared" si="193"/>
        <v>0</v>
      </c>
      <c r="U454" s="63">
        <f t="shared" si="193"/>
        <v>0</v>
      </c>
      <c r="V454" s="63">
        <f t="shared" si="193"/>
        <v>0</v>
      </c>
      <c r="W454" s="63">
        <f t="shared" si="193"/>
        <v>0</v>
      </c>
      <c r="X454" s="63">
        <f t="shared" si="193"/>
        <v>0</v>
      </c>
      <c r="Y454" s="63">
        <f t="shared" si="193"/>
        <v>0</v>
      </c>
      <c r="Z454" s="63">
        <f t="shared" si="193"/>
        <v>0</v>
      </c>
      <c r="AA454" s="63">
        <f t="shared" si="193"/>
        <v>0</v>
      </c>
      <c r="AB454" s="63">
        <f t="shared" si="193"/>
        <v>0</v>
      </c>
      <c r="AC454" s="63">
        <f t="shared" si="193"/>
        <v>0</v>
      </c>
      <c r="AD454" s="63">
        <f t="shared" si="193"/>
        <v>0</v>
      </c>
      <c r="AE454" s="63">
        <f t="shared" si="193"/>
        <v>0</v>
      </c>
      <c r="AF454" s="63">
        <f t="shared" si="194"/>
        <v>147043</v>
      </c>
      <c r="AG454" s="58" t="str">
        <f t="shared" si="195"/>
        <v>ok</v>
      </c>
    </row>
    <row r="455" spans="1:33">
      <c r="A455" s="60">
        <v>582</v>
      </c>
      <c r="B455" s="60" t="s">
        <v>1070</v>
      </c>
      <c r="C455" s="44" t="s">
        <v>54</v>
      </c>
      <c r="D455" s="44" t="s">
        <v>865</v>
      </c>
      <c r="F455" s="78">
        <v>886395</v>
      </c>
      <c r="H455" s="63">
        <f t="shared" si="192"/>
        <v>0</v>
      </c>
      <c r="I455" s="63">
        <f t="shared" si="192"/>
        <v>0</v>
      </c>
      <c r="J455" s="63">
        <f t="shared" si="192"/>
        <v>0</v>
      </c>
      <c r="K455" s="63">
        <f t="shared" si="192"/>
        <v>0</v>
      </c>
      <c r="L455" s="63">
        <f t="shared" si="192"/>
        <v>0</v>
      </c>
      <c r="M455" s="63">
        <f t="shared" si="192"/>
        <v>0</v>
      </c>
      <c r="N455" s="63">
        <f t="shared" si="192"/>
        <v>0</v>
      </c>
      <c r="O455" s="63">
        <f t="shared" si="192"/>
        <v>0</v>
      </c>
      <c r="P455" s="63">
        <f t="shared" si="192"/>
        <v>0</v>
      </c>
      <c r="Q455" s="63">
        <f t="shared" si="192"/>
        <v>0</v>
      </c>
      <c r="R455" s="63">
        <f t="shared" si="193"/>
        <v>886395</v>
      </c>
      <c r="S455" s="63">
        <f t="shared" si="193"/>
        <v>0</v>
      </c>
      <c r="T455" s="63">
        <f t="shared" si="193"/>
        <v>0</v>
      </c>
      <c r="U455" s="63">
        <f t="shared" si="193"/>
        <v>0</v>
      </c>
      <c r="V455" s="63">
        <f t="shared" si="193"/>
        <v>0</v>
      </c>
      <c r="W455" s="63">
        <f t="shared" si="193"/>
        <v>0</v>
      </c>
      <c r="X455" s="63">
        <f t="shared" si="193"/>
        <v>0</v>
      </c>
      <c r="Y455" s="63">
        <f t="shared" si="193"/>
        <v>0</v>
      </c>
      <c r="Z455" s="63">
        <f t="shared" si="193"/>
        <v>0</v>
      </c>
      <c r="AA455" s="63">
        <f t="shared" si="193"/>
        <v>0</v>
      </c>
      <c r="AB455" s="63">
        <f t="shared" si="193"/>
        <v>0</v>
      </c>
      <c r="AC455" s="63">
        <f t="shared" si="193"/>
        <v>0</v>
      </c>
      <c r="AD455" s="63">
        <f t="shared" si="193"/>
        <v>0</v>
      </c>
      <c r="AE455" s="63">
        <f t="shared" si="193"/>
        <v>0</v>
      </c>
      <c r="AF455" s="63">
        <f t="shared" si="194"/>
        <v>886395</v>
      </c>
      <c r="AG455" s="58" t="str">
        <f t="shared" si="195"/>
        <v>ok</v>
      </c>
    </row>
    <row r="456" spans="1:33">
      <c r="A456" s="60">
        <v>583</v>
      </c>
      <c r="B456" s="60" t="s">
        <v>918</v>
      </c>
      <c r="C456" s="44" t="s">
        <v>55</v>
      </c>
      <c r="D456" s="44" t="s">
        <v>868</v>
      </c>
      <c r="F456" s="78">
        <v>2177118</v>
      </c>
      <c r="H456" s="63">
        <f t="shared" si="192"/>
        <v>0</v>
      </c>
      <c r="I456" s="63">
        <f t="shared" si="192"/>
        <v>0</v>
      </c>
      <c r="J456" s="63">
        <f t="shared" si="192"/>
        <v>0</v>
      </c>
      <c r="K456" s="63">
        <f t="shared" si="192"/>
        <v>0</v>
      </c>
      <c r="L456" s="63">
        <f t="shared" si="192"/>
        <v>0</v>
      </c>
      <c r="M456" s="63">
        <f t="shared" si="192"/>
        <v>0</v>
      </c>
      <c r="N456" s="63">
        <f t="shared" si="192"/>
        <v>0</v>
      </c>
      <c r="O456" s="63">
        <f t="shared" si="192"/>
        <v>0</v>
      </c>
      <c r="P456" s="63">
        <f t="shared" si="192"/>
        <v>0</v>
      </c>
      <c r="Q456" s="63">
        <f t="shared" si="192"/>
        <v>0</v>
      </c>
      <c r="R456" s="63">
        <f t="shared" si="193"/>
        <v>0</v>
      </c>
      <c r="S456" s="63">
        <f t="shared" si="193"/>
        <v>0</v>
      </c>
      <c r="T456" s="63">
        <f t="shared" si="193"/>
        <v>552862.83125736006</v>
      </c>
      <c r="U456" s="63">
        <f t="shared" si="193"/>
        <v>982440.7823426401</v>
      </c>
      <c r="V456" s="63">
        <f t="shared" si="193"/>
        <v>231117.36054264</v>
      </c>
      <c r="W456" s="63">
        <f t="shared" si="193"/>
        <v>410697.02585736004</v>
      </c>
      <c r="X456" s="63">
        <f t="shared" si="193"/>
        <v>0</v>
      </c>
      <c r="Y456" s="63">
        <f t="shared" si="193"/>
        <v>0</v>
      </c>
      <c r="Z456" s="63">
        <f t="shared" si="193"/>
        <v>0</v>
      </c>
      <c r="AA456" s="63">
        <f t="shared" si="193"/>
        <v>0</v>
      </c>
      <c r="AB456" s="63">
        <f t="shared" si="193"/>
        <v>0</v>
      </c>
      <c r="AC456" s="63">
        <f t="shared" si="193"/>
        <v>0</v>
      </c>
      <c r="AD456" s="63">
        <f t="shared" si="193"/>
        <v>0</v>
      </c>
      <c r="AE456" s="63">
        <f t="shared" si="193"/>
        <v>0</v>
      </c>
      <c r="AF456" s="63">
        <f t="shared" si="194"/>
        <v>2177118.0000000005</v>
      </c>
      <c r="AG456" s="58" t="str">
        <f t="shared" si="195"/>
        <v>ok</v>
      </c>
    </row>
    <row r="457" spans="1:33">
      <c r="A457" s="60">
        <v>584</v>
      </c>
      <c r="B457" s="60" t="s">
        <v>920</v>
      </c>
      <c r="C457" s="44" t="s">
        <v>56</v>
      </c>
      <c r="D457" s="44" t="s">
        <v>871</v>
      </c>
      <c r="F457" s="78">
        <v>377223</v>
      </c>
      <c r="H457" s="63">
        <f t="shared" si="192"/>
        <v>0</v>
      </c>
      <c r="I457" s="63">
        <f t="shared" si="192"/>
        <v>0</v>
      </c>
      <c r="J457" s="63">
        <f t="shared" si="192"/>
        <v>0</v>
      </c>
      <c r="K457" s="63">
        <f t="shared" si="192"/>
        <v>0</v>
      </c>
      <c r="L457" s="63">
        <f t="shared" si="192"/>
        <v>0</v>
      </c>
      <c r="M457" s="63">
        <f t="shared" si="192"/>
        <v>0</v>
      </c>
      <c r="N457" s="63">
        <f t="shared" si="192"/>
        <v>0</v>
      </c>
      <c r="O457" s="63">
        <f t="shared" si="192"/>
        <v>0</v>
      </c>
      <c r="P457" s="63">
        <f t="shared" si="192"/>
        <v>0</v>
      </c>
      <c r="Q457" s="63">
        <f t="shared" si="192"/>
        <v>0</v>
      </c>
      <c r="R457" s="63">
        <f t="shared" si="193"/>
        <v>0</v>
      </c>
      <c r="S457" s="63">
        <f t="shared" si="193"/>
        <v>0</v>
      </c>
      <c r="T457" s="63">
        <f t="shared" si="193"/>
        <v>133353.22685454</v>
      </c>
      <c r="U457" s="63">
        <f t="shared" si="193"/>
        <v>198867.06924546004</v>
      </c>
      <c r="V457" s="63">
        <f t="shared" si="193"/>
        <v>18064.085345459996</v>
      </c>
      <c r="W457" s="63">
        <f t="shared" si="193"/>
        <v>26938.618554539997</v>
      </c>
      <c r="X457" s="63">
        <f t="shared" si="193"/>
        <v>0</v>
      </c>
      <c r="Y457" s="63">
        <f t="shared" si="193"/>
        <v>0</v>
      </c>
      <c r="Z457" s="63">
        <f t="shared" si="193"/>
        <v>0</v>
      </c>
      <c r="AA457" s="63">
        <f t="shared" si="193"/>
        <v>0</v>
      </c>
      <c r="AB457" s="63">
        <f t="shared" si="193"/>
        <v>0</v>
      </c>
      <c r="AC457" s="63">
        <f t="shared" si="193"/>
        <v>0</v>
      </c>
      <c r="AD457" s="63">
        <f t="shared" si="193"/>
        <v>0</v>
      </c>
      <c r="AE457" s="63">
        <f t="shared" si="193"/>
        <v>0</v>
      </c>
      <c r="AF457" s="63">
        <f t="shared" si="194"/>
        <v>377223</v>
      </c>
      <c r="AG457" s="58" t="str">
        <f t="shared" si="195"/>
        <v>ok</v>
      </c>
    </row>
    <row r="458" spans="1:33">
      <c r="A458" s="60">
        <v>585</v>
      </c>
      <c r="B458" s="60" t="s">
        <v>922</v>
      </c>
      <c r="C458" s="44" t="s">
        <v>57</v>
      </c>
      <c r="D458" s="44" t="s">
        <v>879</v>
      </c>
      <c r="F458" s="78">
        <v>0</v>
      </c>
      <c r="H458" s="63">
        <f t="shared" si="192"/>
        <v>0</v>
      </c>
      <c r="I458" s="63">
        <f t="shared" si="192"/>
        <v>0</v>
      </c>
      <c r="J458" s="63">
        <f t="shared" si="192"/>
        <v>0</v>
      </c>
      <c r="K458" s="63">
        <f t="shared" si="192"/>
        <v>0</v>
      </c>
      <c r="L458" s="63">
        <f t="shared" si="192"/>
        <v>0</v>
      </c>
      <c r="M458" s="63">
        <f t="shared" si="192"/>
        <v>0</v>
      </c>
      <c r="N458" s="63">
        <f t="shared" si="192"/>
        <v>0</v>
      </c>
      <c r="O458" s="63">
        <f t="shared" si="192"/>
        <v>0</v>
      </c>
      <c r="P458" s="63">
        <f t="shared" si="192"/>
        <v>0</v>
      </c>
      <c r="Q458" s="63">
        <f t="shared" si="192"/>
        <v>0</v>
      </c>
      <c r="R458" s="63">
        <f t="shared" si="193"/>
        <v>0</v>
      </c>
      <c r="S458" s="63">
        <f t="shared" si="193"/>
        <v>0</v>
      </c>
      <c r="T458" s="63">
        <f t="shared" si="193"/>
        <v>0</v>
      </c>
      <c r="U458" s="63">
        <f t="shared" si="193"/>
        <v>0</v>
      </c>
      <c r="V458" s="63">
        <f t="shared" si="193"/>
        <v>0</v>
      </c>
      <c r="W458" s="63">
        <f t="shared" si="193"/>
        <v>0</v>
      </c>
      <c r="X458" s="63">
        <f t="shared" si="193"/>
        <v>0</v>
      </c>
      <c r="Y458" s="63">
        <f t="shared" si="193"/>
        <v>0</v>
      </c>
      <c r="Z458" s="63">
        <f t="shared" si="193"/>
        <v>0</v>
      </c>
      <c r="AA458" s="63">
        <f t="shared" si="193"/>
        <v>0</v>
      </c>
      <c r="AB458" s="63">
        <f t="shared" si="193"/>
        <v>0</v>
      </c>
      <c r="AC458" s="63">
        <f t="shared" si="193"/>
        <v>0</v>
      </c>
      <c r="AD458" s="63">
        <f t="shared" si="193"/>
        <v>0</v>
      </c>
      <c r="AE458" s="63">
        <f t="shared" si="193"/>
        <v>0</v>
      </c>
      <c r="AF458" s="63">
        <f t="shared" si="194"/>
        <v>0</v>
      </c>
      <c r="AG458" s="58" t="str">
        <f t="shared" si="195"/>
        <v>ok</v>
      </c>
    </row>
    <row r="459" spans="1:33">
      <c r="A459" s="60">
        <v>586</v>
      </c>
      <c r="B459" s="60" t="s">
        <v>924</v>
      </c>
      <c r="C459" s="44" t="s">
        <v>58</v>
      </c>
      <c r="D459" s="44" t="s">
        <v>876</v>
      </c>
      <c r="F459" s="78">
        <v>3140532</v>
      </c>
      <c r="H459" s="63">
        <f t="shared" si="192"/>
        <v>0</v>
      </c>
      <c r="I459" s="63">
        <f t="shared" si="192"/>
        <v>0</v>
      </c>
      <c r="J459" s="63">
        <f t="shared" si="192"/>
        <v>0</v>
      </c>
      <c r="K459" s="63">
        <f t="shared" si="192"/>
        <v>0</v>
      </c>
      <c r="L459" s="63">
        <f t="shared" si="192"/>
        <v>0</v>
      </c>
      <c r="M459" s="63">
        <f t="shared" si="192"/>
        <v>0</v>
      </c>
      <c r="N459" s="63">
        <f t="shared" si="192"/>
        <v>0</v>
      </c>
      <c r="O459" s="63">
        <f t="shared" si="192"/>
        <v>0</v>
      </c>
      <c r="P459" s="63">
        <f t="shared" si="192"/>
        <v>0</v>
      </c>
      <c r="Q459" s="63">
        <f t="shared" si="192"/>
        <v>0</v>
      </c>
      <c r="R459" s="63">
        <f t="shared" si="193"/>
        <v>0</v>
      </c>
      <c r="S459" s="63">
        <f t="shared" si="193"/>
        <v>0</v>
      </c>
      <c r="T459" s="63">
        <f t="shared" si="193"/>
        <v>0</v>
      </c>
      <c r="U459" s="63">
        <f t="shared" si="193"/>
        <v>0</v>
      </c>
      <c r="V459" s="63">
        <f t="shared" si="193"/>
        <v>0</v>
      </c>
      <c r="W459" s="63">
        <f t="shared" si="193"/>
        <v>0</v>
      </c>
      <c r="X459" s="63">
        <f t="shared" si="193"/>
        <v>0</v>
      </c>
      <c r="Y459" s="63">
        <f t="shared" si="193"/>
        <v>0</v>
      </c>
      <c r="Z459" s="63">
        <f t="shared" si="193"/>
        <v>0</v>
      </c>
      <c r="AA459" s="63">
        <f t="shared" si="193"/>
        <v>3140532</v>
      </c>
      <c r="AB459" s="63">
        <f t="shared" si="193"/>
        <v>0</v>
      </c>
      <c r="AC459" s="63">
        <f t="shared" si="193"/>
        <v>0</v>
      </c>
      <c r="AD459" s="63">
        <f t="shared" si="193"/>
        <v>0</v>
      </c>
      <c r="AE459" s="63">
        <f t="shared" si="193"/>
        <v>0</v>
      </c>
      <c r="AF459" s="63">
        <f t="shared" si="194"/>
        <v>3140532</v>
      </c>
      <c r="AG459" s="58" t="str">
        <f t="shared" si="195"/>
        <v>ok</v>
      </c>
    </row>
    <row r="460" spans="1:33">
      <c r="A460" s="60">
        <v>586</v>
      </c>
      <c r="B460" s="60" t="s">
        <v>26</v>
      </c>
      <c r="C460" s="44" t="s">
        <v>59</v>
      </c>
      <c r="D460" s="44" t="s">
        <v>41</v>
      </c>
      <c r="F460" s="78"/>
      <c r="H460" s="63">
        <f t="shared" si="192"/>
        <v>0</v>
      </c>
      <c r="I460" s="63">
        <f t="shared" si="192"/>
        <v>0</v>
      </c>
      <c r="J460" s="63">
        <f t="shared" si="192"/>
        <v>0</v>
      </c>
      <c r="K460" s="63">
        <f t="shared" si="192"/>
        <v>0</v>
      </c>
      <c r="L460" s="63">
        <f t="shared" si="192"/>
        <v>0</v>
      </c>
      <c r="M460" s="63">
        <f t="shared" si="192"/>
        <v>0</v>
      </c>
      <c r="N460" s="63">
        <f t="shared" si="192"/>
        <v>0</v>
      </c>
      <c r="O460" s="63">
        <f t="shared" si="192"/>
        <v>0</v>
      </c>
      <c r="P460" s="63">
        <f t="shared" si="192"/>
        <v>0</v>
      </c>
      <c r="Q460" s="63">
        <f t="shared" si="192"/>
        <v>0</v>
      </c>
      <c r="R460" s="63">
        <f t="shared" si="193"/>
        <v>0</v>
      </c>
      <c r="S460" s="63">
        <f t="shared" si="193"/>
        <v>0</v>
      </c>
      <c r="T460" s="63">
        <f t="shared" si="193"/>
        <v>0</v>
      </c>
      <c r="U460" s="63">
        <f t="shared" si="193"/>
        <v>0</v>
      </c>
      <c r="V460" s="63">
        <f t="shared" si="193"/>
        <v>0</v>
      </c>
      <c r="W460" s="63">
        <f t="shared" si="193"/>
        <v>0</v>
      </c>
      <c r="X460" s="63">
        <f t="shared" si="193"/>
        <v>0</v>
      </c>
      <c r="Y460" s="63">
        <f t="shared" si="193"/>
        <v>0</v>
      </c>
      <c r="Z460" s="63">
        <f t="shared" si="193"/>
        <v>0</v>
      </c>
      <c r="AA460" s="63">
        <f t="shared" si="193"/>
        <v>0</v>
      </c>
      <c r="AB460" s="63">
        <f t="shared" si="193"/>
        <v>0</v>
      </c>
      <c r="AC460" s="63">
        <f t="shared" si="193"/>
        <v>0</v>
      </c>
      <c r="AD460" s="63">
        <f t="shared" si="193"/>
        <v>0</v>
      </c>
      <c r="AE460" s="63">
        <f t="shared" si="193"/>
        <v>0</v>
      </c>
      <c r="AF460" s="63">
        <f t="shared" si="194"/>
        <v>0</v>
      </c>
      <c r="AG460" s="58" t="str">
        <f t="shared" si="195"/>
        <v>ok</v>
      </c>
    </row>
    <row r="461" spans="1:33">
      <c r="A461" s="60">
        <v>587</v>
      </c>
      <c r="B461" s="60" t="s">
        <v>926</v>
      </c>
      <c r="C461" s="44" t="s">
        <v>60</v>
      </c>
      <c r="D461" s="44" t="s">
        <v>878</v>
      </c>
      <c r="F461" s="78">
        <v>0</v>
      </c>
      <c r="H461" s="63">
        <f t="shared" si="192"/>
        <v>0</v>
      </c>
      <c r="I461" s="63">
        <f t="shared" si="192"/>
        <v>0</v>
      </c>
      <c r="J461" s="63">
        <f t="shared" si="192"/>
        <v>0</v>
      </c>
      <c r="K461" s="63">
        <f t="shared" si="192"/>
        <v>0</v>
      </c>
      <c r="L461" s="63">
        <f t="shared" si="192"/>
        <v>0</v>
      </c>
      <c r="M461" s="63">
        <f t="shared" si="192"/>
        <v>0</v>
      </c>
      <c r="N461" s="63">
        <f t="shared" si="192"/>
        <v>0</v>
      </c>
      <c r="O461" s="63">
        <f t="shared" si="192"/>
        <v>0</v>
      </c>
      <c r="P461" s="63">
        <f t="shared" si="192"/>
        <v>0</v>
      </c>
      <c r="Q461" s="63">
        <f t="shared" si="192"/>
        <v>0</v>
      </c>
      <c r="R461" s="63">
        <f t="shared" si="193"/>
        <v>0</v>
      </c>
      <c r="S461" s="63">
        <f t="shared" si="193"/>
        <v>0</v>
      </c>
      <c r="T461" s="63">
        <f t="shared" si="193"/>
        <v>0</v>
      </c>
      <c r="U461" s="63">
        <f t="shared" si="193"/>
        <v>0</v>
      </c>
      <c r="V461" s="63">
        <f t="shared" si="193"/>
        <v>0</v>
      </c>
      <c r="W461" s="63">
        <f t="shared" si="193"/>
        <v>0</v>
      </c>
      <c r="X461" s="63">
        <f t="shared" si="193"/>
        <v>0</v>
      </c>
      <c r="Y461" s="63">
        <f t="shared" si="193"/>
        <v>0</v>
      </c>
      <c r="Z461" s="63">
        <f t="shared" si="193"/>
        <v>0</v>
      </c>
      <c r="AA461" s="63">
        <f t="shared" si="193"/>
        <v>0</v>
      </c>
      <c r="AB461" s="63">
        <f t="shared" si="193"/>
        <v>0</v>
      </c>
      <c r="AC461" s="63">
        <f t="shared" si="193"/>
        <v>0</v>
      </c>
      <c r="AD461" s="63">
        <f t="shared" si="193"/>
        <v>0</v>
      </c>
      <c r="AE461" s="63">
        <f t="shared" si="193"/>
        <v>0</v>
      </c>
      <c r="AF461" s="63">
        <f t="shared" si="194"/>
        <v>0</v>
      </c>
      <c r="AG461" s="58" t="str">
        <f t="shared" si="195"/>
        <v>ok</v>
      </c>
    </row>
    <row r="462" spans="1:33">
      <c r="A462" s="60">
        <v>588</v>
      </c>
      <c r="B462" s="60" t="s">
        <v>928</v>
      </c>
      <c r="C462" s="44" t="s">
        <v>61</v>
      </c>
      <c r="D462" s="44" t="s">
        <v>861</v>
      </c>
      <c r="F462" s="78">
        <v>1500244</v>
      </c>
      <c r="H462" s="63">
        <f t="shared" si="192"/>
        <v>0</v>
      </c>
      <c r="I462" s="63">
        <f t="shared" si="192"/>
        <v>0</v>
      </c>
      <c r="J462" s="63">
        <f t="shared" si="192"/>
        <v>0</v>
      </c>
      <c r="K462" s="63">
        <f t="shared" si="192"/>
        <v>0</v>
      </c>
      <c r="L462" s="63">
        <f t="shared" si="192"/>
        <v>0</v>
      </c>
      <c r="M462" s="63">
        <f t="shared" si="192"/>
        <v>0</v>
      </c>
      <c r="N462" s="63">
        <f t="shared" si="192"/>
        <v>0</v>
      </c>
      <c r="O462" s="63">
        <f t="shared" si="192"/>
        <v>0</v>
      </c>
      <c r="P462" s="63">
        <f t="shared" si="192"/>
        <v>0</v>
      </c>
      <c r="Q462" s="63">
        <f t="shared" si="192"/>
        <v>0</v>
      </c>
      <c r="R462" s="63">
        <f t="shared" si="193"/>
        <v>187082.96804504422</v>
      </c>
      <c r="S462" s="63">
        <f t="shared" si="193"/>
        <v>0</v>
      </c>
      <c r="T462" s="63">
        <f t="shared" si="193"/>
        <v>287205.78374364699</v>
      </c>
      <c r="U462" s="63">
        <f t="shared" si="193"/>
        <v>469991.82510409236</v>
      </c>
      <c r="V462" s="63">
        <f t="shared" si="193"/>
        <v>80133.0345352531</v>
      </c>
      <c r="W462" s="63">
        <f t="shared" si="193"/>
        <v>136927.74175468896</v>
      </c>
      <c r="X462" s="63">
        <f t="shared" si="193"/>
        <v>98167.480594296954</v>
      </c>
      <c r="Y462" s="63">
        <f t="shared" si="193"/>
        <v>54719.329799131789</v>
      </c>
      <c r="Z462" s="63">
        <f t="shared" si="193"/>
        <v>34985.951050711454</v>
      </c>
      <c r="AA462" s="63">
        <f t="shared" si="193"/>
        <v>35679.634135488181</v>
      </c>
      <c r="AB462" s="63">
        <f t="shared" si="193"/>
        <v>115350.25123764618</v>
      </c>
      <c r="AC462" s="63">
        <f t="shared" si="193"/>
        <v>0</v>
      </c>
      <c r="AD462" s="63">
        <f t="shared" si="193"/>
        <v>0</v>
      </c>
      <c r="AE462" s="63">
        <f t="shared" si="193"/>
        <v>0</v>
      </c>
      <c r="AF462" s="63">
        <f t="shared" si="194"/>
        <v>1500244.0000000002</v>
      </c>
      <c r="AG462" s="58" t="str">
        <f t="shared" si="195"/>
        <v>ok</v>
      </c>
    </row>
    <row r="463" spans="1:33">
      <c r="A463" s="60">
        <v>589</v>
      </c>
      <c r="B463" s="60" t="s">
        <v>930</v>
      </c>
      <c r="C463" s="44" t="s">
        <v>62</v>
      </c>
      <c r="D463" s="44" t="s">
        <v>861</v>
      </c>
      <c r="F463" s="78">
        <v>0</v>
      </c>
      <c r="H463" s="63">
        <f t="shared" si="192"/>
        <v>0</v>
      </c>
      <c r="I463" s="63">
        <f t="shared" si="192"/>
        <v>0</v>
      </c>
      <c r="J463" s="63">
        <f t="shared" si="192"/>
        <v>0</v>
      </c>
      <c r="K463" s="63">
        <f t="shared" si="192"/>
        <v>0</v>
      </c>
      <c r="L463" s="63">
        <f t="shared" si="192"/>
        <v>0</v>
      </c>
      <c r="M463" s="63">
        <f t="shared" si="192"/>
        <v>0</v>
      </c>
      <c r="N463" s="63">
        <f t="shared" si="192"/>
        <v>0</v>
      </c>
      <c r="O463" s="63">
        <f t="shared" si="192"/>
        <v>0</v>
      </c>
      <c r="P463" s="63">
        <f t="shared" si="192"/>
        <v>0</v>
      </c>
      <c r="Q463" s="63">
        <f t="shared" si="192"/>
        <v>0</v>
      </c>
      <c r="R463" s="63">
        <f t="shared" si="193"/>
        <v>0</v>
      </c>
      <c r="S463" s="63">
        <f t="shared" si="193"/>
        <v>0</v>
      </c>
      <c r="T463" s="63">
        <f t="shared" si="193"/>
        <v>0</v>
      </c>
      <c r="U463" s="63">
        <f t="shared" si="193"/>
        <v>0</v>
      </c>
      <c r="V463" s="63">
        <f t="shared" si="193"/>
        <v>0</v>
      </c>
      <c r="W463" s="63">
        <f t="shared" si="193"/>
        <v>0</v>
      </c>
      <c r="X463" s="63">
        <f t="shared" si="193"/>
        <v>0</v>
      </c>
      <c r="Y463" s="63">
        <f t="shared" si="193"/>
        <v>0</v>
      </c>
      <c r="Z463" s="63">
        <f t="shared" si="193"/>
        <v>0</v>
      </c>
      <c r="AA463" s="63">
        <f t="shared" si="193"/>
        <v>0</v>
      </c>
      <c r="AB463" s="63">
        <f t="shared" si="193"/>
        <v>0</v>
      </c>
      <c r="AC463" s="63">
        <f t="shared" si="193"/>
        <v>0</v>
      </c>
      <c r="AD463" s="63">
        <f t="shared" si="193"/>
        <v>0</v>
      </c>
      <c r="AE463" s="63">
        <f t="shared" si="193"/>
        <v>0</v>
      </c>
      <c r="AF463" s="63">
        <f t="shared" si="194"/>
        <v>0</v>
      </c>
      <c r="AG463" s="58" t="str">
        <f t="shared" si="195"/>
        <v>ok</v>
      </c>
    </row>
    <row r="464" spans="1:33">
      <c r="A464" s="60"/>
      <c r="B464" s="60"/>
      <c r="F464" s="78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G464" s="58"/>
    </row>
    <row r="465" spans="1:33">
      <c r="A465" s="60" t="s">
        <v>106</v>
      </c>
      <c r="B465" s="60"/>
      <c r="C465" s="44" t="s">
        <v>63</v>
      </c>
      <c r="F465" s="75">
        <f>SUM(F453:F464)</f>
        <v>9180257</v>
      </c>
      <c r="G465" s="62">
        <f t="shared" ref="G465:M465" si="196">SUM(G453:G464)</f>
        <v>0</v>
      </c>
      <c r="H465" s="62">
        <f t="shared" si="196"/>
        <v>0</v>
      </c>
      <c r="I465" s="62">
        <f t="shared" si="196"/>
        <v>0</v>
      </c>
      <c r="J465" s="62">
        <f t="shared" si="196"/>
        <v>0</v>
      </c>
      <c r="K465" s="62">
        <f t="shared" si="196"/>
        <v>0</v>
      </c>
      <c r="L465" s="62">
        <f t="shared" si="196"/>
        <v>0</v>
      </c>
      <c r="M465" s="62">
        <f t="shared" si="196"/>
        <v>0</v>
      </c>
      <c r="N465" s="62">
        <f>SUM(N453:N464)</f>
        <v>0</v>
      </c>
      <c r="O465" s="62">
        <f>SUM(O453:O464)</f>
        <v>0</v>
      </c>
      <c r="P465" s="62">
        <f>SUM(P453:P464)</f>
        <v>0</v>
      </c>
      <c r="Q465" s="62">
        <f t="shared" ref="Q465:AB465" si="197">SUM(Q453:Q464)</f>
        <v>0</v>
      </c>
      <c r="R465" s="62">
        <f t="shared" si="197"/>
        <v>1361684.5437069198</v>
      </c>
      <c r="S465" s="62">
        <f t="shared" si="197"/>
        <v>0</v>
      </c>
      <c r="T465" s="62">
        <f t="shared" si="197"/>
        <v>1086006.3130947389</v>
      </c>
      <c r="U465" s="62">
        <f t="shared" si="197"/>
        <v>1842286.4544323077</v>
      </c>
      <c r="V465" s="62">
        <f t="shared" si="197"/>
        <v>367402.48611182033</v>
      </c>
      <c r="W465" s="62">
        <f t="shared" si="197"/>
        <v>641016.50263011327</v>
      </c>
      <c r="X465" s="62">
        <f t="shared" si="197"/>
        <v>109521.38022996247</v>
      </c>
      <c r="Y465" s="62">
        <f t="shared" si="197"/>
        <v>61048.083220418193</v>
      </c>
      <c r="Z465" s="62">
        <f t="shared" si="197"/>
        <v>39032.372273740795</v>
      </c>
      <c r="AA465" s="62">
        <f t="shared" si="197"/>
        <v>3543567.3806341151</v>
      </c>
      <c r="AB465" s="62">
        <f t="shared" si="197"/>
        <v>128691.48366586358</v>
      </c>
      <c r="AC465" s="62">
        <f>SUM(AC453:AC464)</f>
        <v>0</v>
      </c>
      <c r="AD465" s="62">
        <f>SUM(AD453:AD464)</f>
        <v>0</v>
      </c>
      <c r="AE465" s="62">
        <f>SUM(AE453:AE464)</f>
        <v>0</v>
      </c>
      <c r="AF465" s="63">
        <f>SUM(H465:AE465)</f>
        <v>9180257</v>
      </c>
      <c r="AG465" s="58" t="str">
        <f>IF(ABS(AF465-F465)&lt;1,"ok","err")</f>
        <v>ok</v>
      </c>
    </row>
    <row r="466" spans="1:33">
      <c r="A466" s="60"/>
      <c r="B466" s="60"/>
      <c r="F466" s="75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3"/>
      <c r="AG466" s="58"/>
    </row>
    <row r="467" spans="1:33">
      <c r="A467" s="60"/>
      <c r="B467" s="60"/>
      <c r="F467" s="75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  <c r="AG467" s="58"/>
    </row>
    <row r="468" spans="1:33">
      <c r="A468" s="60"/>
      <c r="B468" s="60"/>
      <c r="F468" s="75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3"/>
      <c r="AG468" s="58"/>
    </row>
    <row r="469" spans="1:33">
      <c r="A469" s="60"/>
      <c r="B469" s="60"/>
      <c r="F469" s="75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3"/>
      <c r="AG469" s="58"/>
    </row>
    <row r="470" spans="1:33" ht="15">
      <c r="A470" s="65"/>
      <c r="B470" s="60"/>
      <c r="F470" s="78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G470" s="58"/>
    </row>
    <row r="471" spans="1:33" ht="15">
      <c r="A471" s="59" t="s">
        <v>44</v>
      </c>
      <c r="B471" s="60"/>
      <c r="F471" s="78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G471" s="58"/>
    </row>
    <row r="472" spans="1:33">
      <c r="A472" s="60"/>
      <c r="B472" s="60"/>
      <c r="F472" s="78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G472" s="58"/>
    </row>
    <row r="473" spans="1:33" ht="15">
      <c r="A473" s="65" t="s">
        <v>107</v>
      </c>
      <c r="B473" s="60"/>
      <c r="F473" s="78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G473" s="58"/>
    </row>
    <row r="474" spans="1:33">
      <c r="A474" s="60">
        <v>590</v>
      </c>
      <c r="B474" s="60" t="s">
        <v>935</v>
      </c>
      <c r="C474" s="44" t="s">
        <v>64</v>
      </c>
      <c r="D474" s="44" t="s">
        <v>639</v>
      </c>
      <c r="F474" s="75">
        <v>0</v>
      </c>
      <c r="H474" s="63">
        <f t="shared" ref="H474:Q482" si="198">IF(VLOOKUP($D474,$C$6:$AE$653,H$2,)=0,0,((VLOOKUP($D474,$C$6:$AE$653,H$2,)/VLOOKUP($D474,$C$6:$AE$653,4,))*$F474))</f>
        <v>0</v>
      </c>
      <c r="I474" s="63">
        <f t="shared" si="198"/>
        <v>0</v>
      </c>
      <c r="J474" s="63">
        <f t="shared" si="198"/>
        <v>0</v>
      </c>
      <c r="K474" s="63">
        <f t="shared" si="198"/>
        <v>0</v>
      </c>
      <c r="L474" s="63">
        <f t="shared" si="198"/>
        <v>0</v>
      </c>
      <c r="M474" s="63">
        <f t="shared" si="198"/>
        <v>0</v>
      </c>
      <c r="N474" s="63">
        <f t="shared" si="198"/>
        <v>0</v>
      </c>
      <c r="O474" s="63">
        <f t="shared" si="198"/>
        <v>0</v>
      </c>
      <c r="P474" s="63">
        <f t="shared" si="198"/>
        <v>0</v>
      </c>
      <c r="Q474" s="63">
        <f t="shared" si="198"/>
        <v>0</v>
      </c>
      <c r="R474" s="63">
        <f t="shared" ref="R474:AE482" si="199">IF(VLOOKUP($D474,$C$6:$AE$653,R$2,)=0,0,((VLOOKUP($D474,$C$6:$AE$653,R$2,)/VLOOKUP($D474,$C$6:$AE$653,4,))*$F474))</f>
        <v>0</v>
      </c>
      <c r="S474" s="63">
        <f t="shared" si="199"/>
        <v>0</v>
      </c>
      <c r="T474" s="63">
        <f t="shared" si="199"/>
        <v>0</v>
      </c>
      <c r="U474" s="63">
        <f t="shared" si="199"/>
        <v>0</v>
      </c>
      <c r="V474" s="63">
        <f t="shared" si="199"/>
        <v>0</v>
      </c>
      <c r="W474" s="63">
        <f t="shared" si="199"/>
        <v>0</v>
      </c>
      <c r="X474" s="63">
        <f t="shared" si="199"/>
        <v>0</v>
      </c>
      <c r="Y474" s="63">
        <f t="shared" si="199"/>
        <v>0</v>
      </c>
      <c r="Z474" s="63">
        <f t="shared" si="199"/>
        <v>0</v>
      </c>
      <c r="AA474" s="63">
        <f t="shared" si="199"/>
        <v>0</v>
      </c>
      <c r="AB474" s="63">
        <f t="shared" si="199"/>
        <v>0</v>
      </c>
      <c r="AC474" s="63">
        <f t="shared" si="199"/>
        <v>0</v>
      </c>
      <c r="AD474" s="63">
        <f t="shared" si="199"/>
        <v>0</v>
      </c>
      <c r="AE474" s="63">
        <f t="shared" si="199"/>
        <v>0</v>
      </c>
      <c r="AF474" s="63">
        <f t="shared" ref="AF474:AF482" si="200">SUM(H474:AE474)</f>
        <v>0</v>
      </c>
      <c r="AG474" s="58" t="str">
        <f t="shared" ref="AG474:AG482" si="201">IF(ABS(AF474-F474)&lt;1,"ok","err")</f>
        <v>ok</v>
      </c>
    </row>
    <row r="475" spans="1:33">
      <c r="A475" s="60">
        <v>591</v>
      </c>
      <c r="B475" s="60" t="s">
        <v>213</v>
      </c>
      <c r="C475" s="44" t="s">
        <v>594</v>
      </c>
      <c r="D475" s="44" t="s">
        <v>865</v>
      </c>
      <c r="F475" s="78">
        <v>0</v>
      </c>
      <c r="H475" s="63">
        <f t="shared" si="198"/>
        <v>0</v>
      </c>
      <c r="I475" s="63">
        <f t="shared" si="198"/>
        <v>0</v>
      </c>
      <c r="J475" s="63">
        <f t="shared" si="198"/>
        <v>0</v>
      </c>
      <c r="K475" s="63">
        <f t="shared" si="198"/>
        <v>0</v>
      </c>
      <c r="L475" s="63">
        <f t="shared" si="198"/>
        <v>0</v>
      </c>
      <c r="M475" s="63">
        <f t="shared" si="198"/>
        <v>0</v>
      </c>
      <c r="N475" s="63">
        <f t="shared" si="198"/>
        <v>0</v>
      </c>
      <c r="O475" s="63">
        <f t="shared" si="198"/>
        <v>0</v>
      </c>
      <c r="P475" s="63">
        <f t="shared" si="198"/>
        <v>0</v>
      </c>
      <c r="Q475" s="63">
        <f t="shared" si="198"/>
        <v>0</v>
      </c>
      <c r="R475" s="63">
        <f t="shared" si="199"/>
        <v>0</v>
      </c>
      <c r="S475" s="63">
        <f t="shared" si="199"/>
        <v>0</v>
      </c>
      <c r="T475" s="63">
        <f t="shared" si="199"/>
        <v>0</v>
      </c>
      <c r="U475" s="63">
        <f t="shared" si="199"/>
        <v>0</v>
      </c>
      <c r="V475" s="63">
        <f t="shared" si="199"/>
        <v>0</v>
      </c>
      <c r="W475" s="63">
        <f t="shared" si="199"/>
        <v>0</v>
      </c>
      <c r="X475" s="63">
        <f t="shared" si="199"/>
        <v>0</v>
      </c>
      <c r="Y475" s="63">
        <f t="shared" si="199"/>
        <v>0</v>
      </c>
      <c r="Z475" s="63">
        <f t="shared" si="199"/>
        <v>0</v>
      </c>
      <c r="AA475" s="63">
        <f t="shared" si="199"/>
        <v>0</v>
      </c>
      <c r="AB475" s="63">
        <f t="shared" si="199"/>
        <v>0</v>
      </c>
      <c r="AC475" s="63">
        <f t="shared" si="199"/>
        <v>0</v>
      </c>
      <c r="AD475" s="63">
        <f t="shared" si="199"/>
        <v>0</v>
      </c>
      <c r="AE475" s="63">
        <f t="shared" si="199"/>
        <v>0</v>
      </c>
      <c r="AF475" s="63">
        <f>SUM(H475:AE475)</f>
        <v>0</v>
      </c>
      <c r="AG475" s="58" t="str">
        <f t="shared" si="201"/>
        <v>ok</v>
      </c>
    </row>
    <row r="476" spans="1:33">
      <c r="A476" s="60">
        <v>592</v>
      </c>
      <c r="B476" s="60" t="s">
        <v>937</v>
      </c>
      <c r="C476" s="44" t="s">
        <v>65</v>
      </c>
      <c r="D476" s="44" t="s">
        <v>865</v>
      </c>
      <c r="F476" s="78">
        <v>374744</v>
      </c>
      <c r="H476" s="63">
        <f t="shared" si="198"/>
        <v>0</v>
      </c>
      <c r="I476" s="63">
        <f t="shared" si="198"/>
        <v>0</v>
      </c>
      <c r="J476" s="63">
        <f t="shared" si="198"/>
        <v>0</v>
      </c>
      <c r="K476" s="63">
        <f t="shared" si="198"/>
        <v>0</v>
      </c>
      <c r="L476" s="63">
        <f t="shared" si="198"/>
        <v>0</v>
      </c>
      <c r="M476" s="63">
        <f t="shared" si="198"/>
        <v>0</v>
      </c>
      <c r="N476" s="63">
        <f t="shared" si="198"/>
        <v>0</v>
      </c>
      <c r="O476" s="63">
        <f t="shared" si="198"/>
        <v>0</v>
      </c>
      <c r="P476" s="63">
        <f t="shared" si="198"/>
        <v>0</v>
      </c>
      <c r="Q476" s="63">
        <f t="shared" si="198"/>
        <v>0</v>
      </c>
      <c r="R476" s="63">
        <f t="shared" si="199"/>
        <v>374744</v>
      </c>
      <c r="S476" s="63">
        <f t="shared" si="199"/>
        <v>0</v>
      </c>
      <c r="T476" s="63">
        <f t="shared" si="199"/>
        <v>0</v>
      </c>
      <c r="U476" s="63">
        <f t="shared" si="199"/>
        <v>0</v>
      </c>
      <c r="V476" s="63">
        <f t="shared" si="199"/>
        <v>0</v>
      </c>
      <c r="W476" s="63">
        <f t="shared" si="199"/>
        <v>0</v>
      </c>
      <c r="X476" s="63">
        <f t="shared" si="199"/>
        <v>0</v>
      </c>
      <c r="Y476" s="63">
        <f t="shared" si="199"/>
        <v>0</v>
      </c>
      <c r="Z476" s="63">
        <f t="shared" si="199"/>
        <v>0</v>
      </c>
      <c r="AA476" s="63">
        <f t="shared" si="199"/>
        <v>0</v>
      </c>
      <c r="AB476" s="63">
        <f t="shared" si="199"/>
        <v>0</v>
      </c>
      <c r="AC476" s="63">
        <f t="shared" si="199"/>
        <v>0</v>
      </c>
      <c r="AD476" s="63">
        <f t="shared" si="199"/>
        <v>0</v>
      </c>
      <c r="AE476" s="63">
        <f t="shared" si="199"/>
        <v>0</v>
      </c>
      <c r="AF476" s="63">
        <f t="shared" si="200"/>
        <v>374744</v>
      </c>
      <c r="AG476" s="58" t="str">
        <f t="shared" si="201"/>
        <v>ok</v>
      </c>
    </row>
    <row r="477" spans="1:33">
      <c r="A477" s="60">
        <v>593</v>
      </c>
      <c r="B477" s="60" t="s">
        <v>939</v>
      </c>
      <c r="C477" s="44" t="s">
        <v>66</v>
      </c>
      <c r="D477" s="44" t="s">
        <v>868</v>
      </c>
      <c r="F477" s="78">
        <v>1642806</v>
      </c>
      <c r="H477" s="63">
        <f t="shared" si="198"/>
        <v>0</v>
      </c>
      <c r="I477" s="63">
        <f t="shared" si="198"/>
        <v>0</v>
      </c>
      <c r="J477" s="63">
        <f t="shared" si="198"/>
        <v>0</v>
      </c>
      <c r="K477" s="63">
        <f t="shared" si="198"/>
        <v>0</v>
      </c>
      <c r="L477" s="63">
        <f t="shared" si="198"/>
        <v>0</v>
      </c>
      <c r="M477" s="63">
        <f t="shared" si="198"/>
        <v>0</v>
      </c>
      <c r="N477" s="63">
        <f t="shared" si="198"/>
        <v>0</v>
      </c>
      <c r="O477" s="63">
        <f t="shared" si="198"/>
        <v>0</v>
      </c>
      <c r="P477" s="63">
        <f t="shared" si="198"/>
        <v>0</v>
      </c>
      <c r="Q477" s="63">
        <f t="shared" si="198"/>
        <v>0</v>
      </c>
      <c r="R477" s="63">
        <f t="shared" si="199"/>
        <v>0</v>
      </c>
      <c r="S477" s="63">
        <f t="shared" si="199"/>
        <v>0</v>
      </c>
      <c r="T477" s="63">
        <f t="shared" si="199"/>
        <v>417178.29551112</v>
      </c>
      <c r="U477" s="63">
        <f t="shared" si="199"/>
        <v>741328.4956888801</v>
      </c>
      <c r="V477" s="63">
        <f t="shared" si="199"/>
        <v>174396.14508888</v>
      </c>
      <c r="W477" s="63">
        <f t="shared" si="199"/>
        <v>309903.06371111999</v>
      </c>
      <c r="X477" s="63">
        <f t="shared" si="199"/>
        <v>0</v>
      </c>
      <c r="Y477" s="63">
        <f t="shared" si="199"/>
        <v>0</v>
      </c>
      <c r="Z477" s="63">
        <f t="shared" si="199"/>
        <v>0</v>
      </c>
      <c r="AA477" s="63">
        <f t="shared" si="199"/>
        <v>0</v>
      </c>
      <c r="AB477" s="63">
        <f t="shared" si="199"/>
        <v>0</v>
      </c>
      <c r="AC477" s="63">
        <f t="shared" si="199"/>
        <v>0</v>
      </c>
      <c r="AD477" s="63">
        <f t="shared" si="199"/>
        <v>0</v>
      </c>
      <c r="AE477" s="63">
        <f t="shared" si="199"/>
        <v>0</v>
      </c>
      <c r="AF477" s="63">
        <f t="shared" si="200"/>
        <v>1642806.0000000002</v>
      </c>
      <c r="AG477" s="58" t="str">
        <f t="shared" si="201"/>
        <v>ok</v>
      </c>
    </row>
    <row r="478" spans="1:33">
      <c r="A478" s="60">
        <v>594</v>
      </c>
      <c r="B478" s="60" t="s">
        <v>941</v>
      </c>
      <c r="C478" s="44" t="s">
        <v>67</v>
      </c>
      <c r="D478" s="44" t="s">
        <v>871</v>
      </c>
      <c r="F478" s="78">
        <v>619769</v>
      </c>
      <c r="H478" s="63">
        <f t="shared" si="198"/>
        <v>0</v>
      </c>
      <c r="I478" s="63">
        <f t="shared" si="198"/>
        <v>0</v>
      </c>
      <c r="J478" s="63">
        <f t="shared" si="198"/>
        <v>0</v>
      </c>
      <c r="K478" s="63">
        <f t="shared" si="198"/>
        <v>0</v>
      </c>
      <c r="L478" s="63">
        <f t="shared" si="198"/>
        <v>0</v>
      </c>
      <c r="M478" s="63">
        <f t="shared" si="198"/>
        <v>0</v>
      </c>
      <c r="N478" s="63">
        <f t="shared" si="198"/>
        <v>0</v>
      </c>
      <c r="O478" s="63">
        <f t="shared" si="198"/>
        <v>0</v>
      </c>
      <c r="P478" s="63">
        <f t="shared" si="198"/>
        <v>0</v>
      </c>
      <c r="Q478" s="63">
        <f t="shared" si="198"/>
        <v>0</v>
      </c>
      <c r="R478" s="63">
        <f t="shared" si="199"/>
        <v>0</v>
      </c>
      <c r="S478" s="63">
        <f t="shared" si="199"/>
        <v>0</v>
      </c>
      <c r="T478" s="63">
        <f t="shared" si="199"/>
        <v>219096.38610161998</v>
      </c>
      <c r="U478" s="63">
        <f t="shared" si="199"/>
        <v>326734.17219838005</v>
      </c>
      <c r="V478" s="63">
        <f t="shared" si="199"/>
        <v>29678.890498379998</v>
      </c>
      <c r="W478" s="63">
        <f t="shared" si="199"/>
        <v>44259.551201619994</v>
      </c>
      <c r="X478" s="63">
        <f t="shared" si="199"/>
        <v>0</v>
      </c>
      <c r="Y478" s="63">
        <f t="shared" si="199"/>
        <v>0</v>
      </c>
      <c r="Z478" s="63">
        <f t="shared" si="199"/>
        <v>0</v>
      </c>
      <c r="AA478" s="63">
        <f t="shared" si="199"/>
        <v>0</v>
      </c>
      <c r="AB478" s="63">
        <f t="shared" si="199"/>
        <v>0</v>
      </c>
      <c r="AC478" s="63">
        <f t="shared" si="199"/>
        <v>0</v>
      </c>
      <c r="AD478" s="63">
        <f t="shared" si="199"/>
        <v>0</v>
      </c>
      <c r="AE478" s="63">
        <f t="shared" si="199"/>
        <v>0</v>
      </c>
      <c r="AF478" s="63">
        <f t="shared" si="200"/>
        <v>619769</v>
      </c>
      <c r="AG478" s="58" t="str">
        <f t="shared" si="201"/>
        <v>ok</v>
      </c>
    </row>
    <row r="479" spans="1:33">
      <c r="A479" s="60">
        <v>595</v>
      </c>
      <c r="B479" s="60" t="s">
        <v>943</v>
      </c>
      <c r="C479" s="44" t="s">
        <v>68</v>
      </c>
      <c r="D479" s="44" t="s">
        <v>872</v>
      </c>
      <c r="F479" s="78">
        <v>72618</v>
      </c>
      <c r="H479" s="63">
        <f t="shared" si="198"/>
        <v>0</v>
      </c>
      <c r="I479" s="63">
        <f t="shared" si="198"/>
        <v>0</v>
      </c>
      <c r="J479" s="63">
        <f t="shared" si="198"/>
        <v>0</v>
      </c>
      <c r="K479" s="63">
        <f t="shared" si="198"/>
        <v>0</v>
      </c>
      <c r="L479" s="63">
        <f t="shared" si="198"/>
        <v>0</v>
      </c>
      <c r="M479" s="63">
        <f t="shared" si="198"/>
        <v>0</v>
      </c>
      <c r="N479" s="63">
        <f t="shared" si="198"/>
        <v>0</v>
      </c>
      <c r="O479" s="63">
        <f t="shared" si="198"/>
        <v>0</v>
      </c>
      <c r="P479" s="63">
        <f t="shared" si="198"/>
        <v>0</v>
      </c>
      <c r="Q479" s="63">
        <f t="shared" si="198"/>
        <v>0</v>
      </c>
      <c r="R479" s="63">
        <f t="shared" si="199"/>
        <v>0</v>
      </c>
      <c r="S479" s="63">
        <f t="shared" si="199"/>
        <v>0</v>
      </c>
      <c r="T479" s="63">
        <f t="shared" si="199"/>
        <v>0</v>
      </c>
      <c r="U479" s="63">
        <f t="shared" si="199"/>
        <v>0</v>
      </c>
      <c r="V479" s="63">
        <f t="shared" si="199"/>
        <v>0</v>
      </c>
      <c r="W479" s="63">
        <f t="shared" si="199"/>
        <v>0</v>
      </c>
      <c r="X479" s="63">
        <f t="shared" si="199"/>
        <v>46627.476153450174</v>
      </c>
      <c r="Y479" s="63">
        <f t="shared" si="199"/>
        <v>25990.52384654983</v>
      </c>
      <c r="Z479" s="63">
        <f t="shared" si="199"/>
        <v>0</v>
      </c>
      <c r="AA479" s="63">
        <f t="shared" si="199"/>
        <v>0</v>
      </c>
      <c r="AB479" s="63">
        <f t="shared" si="199"/>
        <v>0</v>
      </c>
      <c r="AC479" s="63">
        <f t="shared" si="199"/>
        <v>0</v>
      </c>
      <c r="AD479" s="63">
        <f t="shared" si="199"/>
        <v>0</v>
      </c>
      <c r="AE479" s="63">
        <f t="shared" si="199"/>
        <v>0</v>
      </c>
      <c r="AF479" s="63">
        <f t="shared" si="200"/>
        <v>72618</v>
      </c>
      <c r="AG479" s="58" t="str">
        <f t="shared" si="201"/>
        <v>ok</v>
      </c>
    </row>
    <row r="480" spans="1:33">
      <c r="A480" s="60">
        <v>596</v>
      </c>
      <c r="B480" s="60" t="s">
        <v>1078</v>
      </c>
      <c r="C480" s="44" t="s">
        <v>69</v>
      </c>
      <c r="D480" s="44" t="s">
        <v>879</v>
      </c>
      <c r="F480" s="78">
        <v>5976</v>
      </c>
      <c r="H480" s="63">
        <f t="shared" si="198"/>
        <v>0</v>
      </c>
      <c r="I480" s="63">
        <f t="shared" si="198"/>
        <v>0</v>
      </c>
      <c r="J480" s="63">
        <f t="shared" si="198"/>
        <v>0</v>
      </c>
      <c r="K480" s="63">
        <f t="shared" si="198"/>
        <v>0</v>
      </c>
      <c r="L480" s="63">
        <f t="shared" si="198"/>
        <v>0</v>
      </c>
      <c r="M480" s="63">
        <f t="shared" si="198"/>
        <v>0</v>
      </c>
      <c r="N480" s="63">
        <f t="shared" si="198"/>
        <v>0</v>
      </c>
      <c r="O480" s="63">
        <f t="shared" si="198"/>
        <v>0</v>
      </c>
      <c r="P480" s="63">
        <f t="shared" si="198"/>
        <v>0</v>
      </c>
      <c r="Q480" s="63">
        <f t="shared" si="198"/>
        <v>0</v>
      </c>
      <c r="R480" s="63">
        <f t="shared" si="199"/>
        <v>0</v>
      </c>
      <c r="S480" s="63">
        <f t="shared" si="199"/>
        <v>0</v>
      </c>
      <c r="T480" s="63">
        <f t="shared" si="199"/>
        <v>0</v>
      </c>
      <c r="U480" s="63">
        <f t="shared" si="199"/>
        <v>0</v>
      </c>
      <c r="V480" s="63">
        <f t="shared" si="199"/>
        <v>0</v>
      </c>
      <c r="W480" s="63">
        <f t="shared" si="199"/>
        <v>0</v>
      </c>
      <c r="X480" s="63">
        <f t="shared" si="199"/>
        <v>0</v>
      </c>
      <c r="Y480" s="63">
        <f t="shared" si="199"/>
        <v>0</v>
      </c>
      <c r="Z480" s="63">
        <f t="shared" si="199"/>
        <v>0</v>
      </c>
      <c r="AA480" s="63">
        <f t="shared" si="199"/>
        <v>0</v>
      </c>
      <c r="AB480" s="63">
        <f t="shared" si="199"/>
        <v>5976</v>
      </c>
      <c r="AC480" s="63">
        <f t="shared" si="199"/>
        <v>0</v>
      </c>
      <c r="AD480" s="63">
        <f t="shared" si="199"/>
        <v>0</v>
      </c>
      <c r="AE480" s="63">
        <f t="shared" si="199"/>
        <v>0</v>
      </c>
      <c r="AF480" s="63">
        <f t="shared" si="200"/>
        <v>5976</v>
      </c>
      <c r="AG480" s="58" t="str">
        <f t="shared" si="201"/>
        <v>ok</v>
      </c>
    </row>
    <row r="481" spans="1:33">
      <c r="A481" s="60">
        <v>597</v>
      </c>
      <c r="B481" s="60" t="s">
        <v>945</v>
      </c>
      <c r="C481" s="44" t="s">
        <v>70</v>
      </c>
      <c r="D481" s="44" t="s">
        <v>876</v>
      </c>
      <c r="F481" s="78">
        <v>0</v>
      </c>
      <c r="H481" s="63">
        <f t="shared" si="198"/>
        <v>0</v>
      </c>
      <c r="I481" s="63">
        <f t="shared" si="198"/>
        <v>0</v>
      </c>
      <c r="J481" s="63">
        <f t="shared" si="198"/>
        <v>0</v>
      </c>
      <c r="K481" s="63">
        <f t="shared" si="198"/>
        <v>0</v>
      </c>
      <c r="L481" s="63">
        <f t="shared" si="198"/>
        <v>0</v>
      </c>
      <c r="M481" s="63">
        <f t="shared" si="198"/>
        <v>0</v>
      </c>
      <c r="N481" s="63">
        <f t="shared" si="198"/>
        <v>0</v>
      </c>
      <c r="O481" s="63">
        <f t="shared" si="198"/>
        <v>0</v>
      </c>
      <c r="P481" s="63">
        <f t="shared" si="198"/>
        <v>0</v>
      </c>
      <c r="Q481" s="63">
        <f t="shared" si="198"/>
        <v>0</v>
      </c>
      <c r="R481" s="63">
        <f t="shared" si="199"/>
        <v>0</v>
      </c>
      <c r="S481" s="63">
        <f t="shared" si="199"/>
        <v>0</v>
      </c>
      <c r="T481" s="63">
        <f t="shared" si="199"/>
        <v>0</v>
      </c>
      <c r="U481" s="63">
        <f t="shared" si="199"/>
        <v>0</v>
      </c>
      <c r="V481" s="63">
        <f t="shared" si="199"/>
        <v>0</v>
      </c>
      <c r="W481" s="63">
        <f t="shared" si="199"/>
        <v>0</v>
      </c>
      <c r="X481" s="63">
        <f t="shared" si="199"/>
        <v>0</v>
      </c>
      <c r="Y481" s="63">
        <f t="shared" si="199"/>
        <v>0</v>
      </c>
      <c r="Z481" s="63">
        <f t="shared" si="199"/>
        <v>0</v>
      </c>
      <c r="AA481" s="63">
        <f t="shared" si="199"/>
        <v>0</v>
      </c>
      <c r="AB481" s="63">
        <f t="shared" si="199"/>
        <v>0</v>
      </c>
      <c r="AC481" s="63">
        <f t="shared" si="199"/>
        <v>0</v>
      </c>
      <c r="AD481" s="63">
        <f t="shared" si="199"/>
        <v>0</v>
      </c>
      <c r="AE481" s="63">
        <f t="shared" si="199"/>
        <v>0</v>
      </c>
      <c r="AF481" s="63">
        <f t="shared" si="200"/>
        <v>0</v>
      </c>
      <c r="AG481" s="58" t="str">
        <f t="shared" si="201"/>
        <v>ok</v>
      </c>
    </row>
    <row r="482" spans="1:33">
      <c r="A482" s="60">
        <v>598</v>
      </c>
      <c r="B482" s="60" t="s">
        <v>1082</v>
      </c>
      <c r="C482" s="44" t="s">
        <v>71</v>
      </c>
      <c r="D482" s="44" t="s">
        <v>861</v>
      </c>
      <c r="F482" s="78">
        <v>0</v>
      </c>
      <c r="H482" s="63">
        <f t="shared" si="198"/>
        <v>0</v>
      </c>
      <c r="I482" s="63">
        <f t="shared" si="198"/>
        <v>0</v>
      </c>
      <c r="J482" s="63">
        <f t="shared" si="198"/>
        <v>0</v>
      </c>
      <c r="K482" s="63">
        <f t="shared" si="198"/>
        <v>0</v>
      </c>
      <c r="L482" s="63">
        <f t="shared" si="198"/>
        <v>0</v>
      </c>
      <c r="M482" s="63">
        <f t="shared" si="198"/>
        <v>0</v>
      </c>
      <c r="N482" s="63">
        <f t="shared" si="198"/>
        <v>0</v>
      </c>
      <c r="O482" s="63">
        <f t="shared" si="198"/>
        <v>0</v>
      </c>
      <c r="P482" s="63">
        <f t="shared" si="198"/>
        <v>0</v>
      </c>
      <c r="Q482" s="63">
        <f t="shared" si="198"/>
        <v>0</v>
      </c>
      <c r="R482" s="63">
        <f t="shared" si="199"/>
        <v>0</v>
      </c>
      <c r="S482" s="63">
        <f t="shared" si="199"/>
        <v>0</v>
      </c>
      <c r="T482" s="63">
        <f t="shared" si="199"/>
        <v>0</v>
      </c>
      <c r="U482" s="63">
        <f t="shared" si="199"/>
        <v>0</v>
      </c>
      <c r="V482" s="63">
        <f t="shared" si="199"/>
        <v>0</v>
      </c>
      <c r="W482" s="63">
        <f t="shared" si="199"/>
        <v>0</v>
      </c>
      <c r="X482" s="63">
        <f t="shared" si="199"/>
        <v>0</v>
      </c>
      <c r="Y482" s="63">
        <f t="shared" si="199"/>
        <v>0</v>
      </c>
      <c r="Z482" s="63">
        <f t="shared" si="199"/>
        <v>0</v>
      </c>
      <c r="AA482" s="63">
        <f t="shared" si="199"/>
        <v>0</v>
      </c>
      <c r="AB482" s="63">
        <f t="shared" si="199"/>
        <v>0</v>
      </c>
      <c r="AC482" s="63">
        <f t="shared" si="199"/>
        <v>0</v>
      </c>
      <c r="AD482" s="63">
        <f t="shared" si="199"/>
        <v>0</v>
      </c>
      <c r="AE482" s="63">
        <f t="shared" si="199"/>
        <v>0</v>
      </c>
      <c r="AF482" s="63">
        <f t="shared" si="200"/>
        <v>0</v>
      </c>
      <c r="AG482" s="58" t="str">
        <f t="shared" si="201"/>
        <v>ok</v>
      </c>
    </row>
    <row r="483" spans="1:33">
      <c r="A483" s="60"/>
      <c r="B483" s="60"/>
      <c r="F483" s="78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58"/>
    </row>
    <row r="484" spans="1:33">
      <c r="A484" s="60" t="s">
        <v>108</v>
      </c>
      <c r="B484" s="60"/>
      <c r="C484" s="44" t="s">
        <v>72</v>
      </c>
      <c r="F484" s="75">
        <f t="shared" ref="F484:M484" si="202">SUM(F474:F483)</f>
        <v>2715913</v>
      </c>
      <c r="G484" s="62">
        <f t="shared" si="202"/>
        <v>0</v>
      </c>
      <c r="H484" s="62">
        <f t="shared" si="202"/>
        <v>0</v>
      </c>
      <c r="I484" s="62">
        <f t="shared" si="202"/>
        <v>0</v>
      </c>
      <c r="J484" s="62">
        <f t="shared" si="202"/>
        <v>0</v>
      </c>
      <c r="K484" s="62">
        <f t="shared" si="202"/>
        <v>0</v>
      </c>
      <c r="L484" s="62">
        <f t="shared" si="202"/>
        <v>0</v>
      </c>
      <c r="M484" s="62">
        <f t="shared" si="202"/>
        <v>0</v>
      </c>
      <c r="N484" s="62">
        <f>SUM(N474:N483)</f>
        <v>0</v>
      </c>
      <c r="O484" s="62">
        <f>SUM(O474:O483)</f>
        <v>0</v>
      </c>
      <c r="P484" s="62">
        <f>SUM(P474:P483)</f>
        <v>0</v>
      </c>
      <c r="Q484" s="62">
        <f t="shared" ref="Q484:AB484" si="203">SUM(Q474:Q483)</f>
        <v>0</v>
      </c>
      <c r="R484" s="62">
        <f t="shared" si="203"/>
        <v>374744</v>
      </c>
      <c r="S484" s="62">
        <f t="shared" si="203"/>
        <v>0</v>
      </c>
      <c r="T484" s="62">
        <f t="shared" si="203"/>
        <v>636274.68161274004</v>
      </c>
      <c r="U484" s="62">
        <f t="shared" si="203"/>
        <v>1068062.6678872602</v>
      </c>
      <c r="V484" s="62">
        <f t="shared" si="203"/>
        <v>204075.03558726</v>
      </c>
      <c r="W484" s="62">
        <f t="shared" si="203"/>
        <v>354162.61491273995</v>
      </c>
      <c r="X484" s="62">
        <f t="shared" si="203"/>
        <v>46627.476153450174</v>
      </c>
      <c r="Y484" s="62">
        <f t="shared" si="203"/>
        <v>25990.52384654983</v>
      </c>
      <c r="Z484" s="62">
        <f t="shared" si="203"/>
        <v>0</v>
      </c>
      <c r="AA484" s="62">
        <f t="shared" si="203"/>
        <v>0</v>
      </c>
      <c r="AB484" s="62">
        <f t="shared" si="203"/>
        <v>5976</v>
      </c>
      <c r="AC484" s="62">
        <f>SUM(AC474:AC483)</f>
        <v>0</v>
      </c>
      <c r="AD484" s="62">
        <f>SUM(AD474:AD483)</f>
        <v>0</v>
      </c>
      <c r="AE484" s="62">
        <f>SUM(AE474:AE483)</f>
        <v>0</v>
      </c>
      <c r="AF484" s="63">
        <f>SUM(H484:AE484)</f>
        <v>2715913</v>
      </c>
      <c r="AG484" s="58" t="str">
        <f>IF(ABS(AF484-F484)&lt;1,"ok","err")</f>
        <v>ok</v>
      </c>
    </row>
    <row r="485" spans="1:33">
      <c r="A485" s="60"/>
      <c r="B485" s="60"/>
      <c r="F485" s="78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G485" s="58"/>
    </row>
    <row r="486" spans="1:33">
      <c r="A486" s="60" t="s">
        <v>109</v>
      </c>
      <c r="B486" s="60"/>
      <c r="D486" s="44" t="s">
        <v>861</v>
      </c>
      <c r="F486" s="75">
        <f>F484+F465</f>
        <v>11896170</v>
      </c>
      <c r="G486" s="63">
        <f>G465+G484</f>
        <v>0</v>
      </c>
      <c r="H486" s="63">
        <f t="shared" ref="H486:M486" si="204">H484+H465</f>
        <v>0</v>
      </c>
      <c r="I486" s="63">
        <f t="shared" si="204"/>
        <v>0</v>
      </c>
      <c r="J486" s="63">
        <f t="shared" si="204"/>
        <v>0</v>
      </c>
      <c r="K486" s="63">
        <f t="shared" si="204"/>
        <v>0</v>
      </c>
      <c r="L486" s="63">
        <f t="shared" si="204"/>
        <v>0</v>
      </c>
      <c r="M486" s="63">
        <f t="shared" si="204"/>
        <v>0</v>
      </c>
      <c r="N486" s="63">
        <f>N484+N465</f>
        <v>0</v>
      </c>
      <c r="O486" s="63">
        <f>O484+O465</f>
        <v>0</v>
      </c>
      <c r="P486" s="63">
        <f>P484+P465</f>
        <v>0</v>
      </c>
      <c r="Q486" s="63">
        <f t="shared" ref="Q486:AB486" si="205">Q484+Q465</f>
        <v>0</v>
      </c>
      <c r="R486" s="63">
        <f t="shared" si="205"/>
        <v>1736428.5437069198</v>
      </c>
      <c r="S486" s="63">
        <f t="shared" si="205"/>
        <v>0</v>
      </c>
      <c r="T486" s="63">
        <f t="shared" si="205"/>
        <v>1722280.9947074789</v>
      </c>
      <c r="U486" s="63">
        <f t="shared" si="205"/>
        <v>2910349.1223195679</v>
      </c>
      <c r="V486" s="63">
        <f t="shared" si="205"/>
        <v>571477.52169908036</v>
      </c>
      <c r="W486" s="63">
        <f t="shared" si="205"/>
        <v>995179.11754285323</v>
      </c>
      <c r="X486" s="63">
        <f t="shared" si="205"/>
        <v>156148.85638341264</v>
      </c>
      <c r="Y486" s="63">
        <f t="shared" si="205"/>
        <v>87038.607066968019</v>
      </c>
      <c r="Z486" s="63">
        <f t="shared" si="205"/>
        <v>39032.372273740795</v>
      </c>
      <c r="AA486" s="63">
        <f t="shared" si="205"/>
        <v>3543567.3806341151</v>
      </c>
      <c r="AB486" s="63">
        <f t="shared" si="205"/>
        <v>134667.48366586358</v>
      </c>
      <c r="AC486" s="63">
        <f>AC484+AC465</f>
        <v>0</v>
      </c>
      <c r="AD486" s="63">
        <f>AD484+AD465</f>
        <v>0</v>
      </c>
      <c r="AE486" s="63">
        <f>AE484+AE465</f>
        <v>0</v>
      </c>
      <c r="AF486" s="63">
        <f>SUM(H486:AE486)</f>
        <v>11896170</v>
      </c>
      <c r="AG486" s="58" t="str">
        <f>IF(ABS(AF486-F486)&lt;1,"ok","err")</f>
        <v>ok</v>
      </c>
    </row>
    <row r="487" spans="1:33">
      <c r="A487" s="60"/>
      <c r="B487" s="60"/>
      <c r="F487" s="78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G487" s="58"/>
    </row>
    <row r="488" spans="1:33">
      <c r="A488" s="60" t="s">
        <v>110</v>
      </c>
      <c r="B488" s="60"/>
      <c r="F488" s="75">
        <f t="shared" ref="F488:M488" si="206">F486+F450</f>
        <v>16068302</v>
      </c>
      <c r="G488" s="63">
        <f t="shared" si="206"/>
        <v>0</v>
      </c>
      <c r="H488" s="63">
        <f t="shared" si="206"/>
        <v>0</v>
      </c>
      <c r="I488" s="63">
        <f t="shared" si="206"/>
        <v>0</v>
      </c>
      <c r="J488" s="63">
        <f t="shared" si="206"/>
        <v>0</v>
      </c>
      <c r="K488" s="63">
        <f t="shared" si="206"/>
        <v>0</v>
      </c>
      <c r="L488" s="63">
        <f t="shared" si="206"/>
        <v>0</v>
      </c>
      <c r="M488" s="63">
        <f t="shared" si="206"/>
        <v>0</v>
      </c>
      <c r="N488" s="63">
        <f>N486+N450</f>
        <v>4172132</v>
      </c>
      <c r="O488" s="63">
        <f>O486+O450</f>
        <v>0</v>
      </c>
      <c r="P488" s="63">
        <f>P486+P450</f>
        <v>0</v>
      </c>
      <c r="Q488" s="63">
        <f t="shared" ref="Q488:AB488" si="207">Q486+Q450</f>
        <v>0</v>
      </c>
      <c r="R488" s="63">
        <f t="shared" si="207"/>
        <v>1736428.5437069198</v>
      </c>
      <c r="S488" s="63">
        <f t="shared" si="207"/>
        <v>0</v>
      </c>
      <c r="T488" s="63">
        <f t="shared" si="207"/>
        <v>1722280.9947074789</v>
      </c>
      <c r="U488" s="63">
        <f t="shared" si="207"/>
        <v>2910349.1223195679</v>
      </c>
      <c r="V488" s="63">
        <f t="shared" si="207"/>
        <v>571477.52169908036</v>
      </c>
      <c r="W488" s="63">
        <f t="shared" si="207"/>
        <v>995179.11754285323</v>
      </c>
      <c r="X488" s="63">
        <f t="shared" si="207"/>
        <v>156148.85638341264</v>
      </c>
      <c r="Y488" s="63">
        <f t="shared" si="207"/>
        <v>87038.607066968019</v>
      </c>
      <c r="Z488" s="63">
        <f t="shared" si="207"/>
        <v>39032.372273740795</v>
      </c>
      <c r="AA488" s="63">
        <f t="shared" si="207"/>
        <v>3543567.3806341151</v>
      </c>
      <c r="AB488" s="63">
        <f t="shared" si="207"/>
        <v>134667.48366586358</v>
      </c>
      <c r="AC488" s="63">
        <f>AC486+AC450</f>
        <v>0</v>
      </c>
      <c r="AD488" s="63">
        <f>AD486+AD450</f>
        <v>0</v>
      </c>
      <c r="AE488" s="63">
        <f>AE486+AE450</f>
        <v>0</v>
      </c>
      <c r="AF488" s="63">
        <f>SUM(H488:AE488)</f>
        <v>16068302.000000002</v>
      </c>
      <c r="AG488" s="58" t="str">
        <f>IF(ABS(AF488-F488)&lt;1,"ok","err")</f>
        <v>ok</v>
      </c>
    </row>
    <row r="489" spans="1:33">
      <c r="A489" s="60"/>
      <c r="B489" s="60"/>
      <c r="F489" s="78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G489" s="58"/>
    </row>
    <row r="490" spans="1:33">
      <c r="A490" s="60" t="s">
        <v>329</v>
      </c>
      <c r="B490" s="60"/>
      <c r="C490" s="44" t="s">
        <v>73</v>
      </c>
      <c r="F490" s="75">
        <f>F488+F427+F434</f>
        <v>49525423</v>
      </c>
      <c r="G490" s="62">
        <f>G488+G434</f>
        <v>0</v>
      </c>
      <c r="H490" s="62">
        <f>H488+H427+H434</f>
        <v>18103460.25723663</v>
      </c>
      <c r="I490" s="62">
        <f t="shared" ref="I490:AE490" si="208">I488+I427+I434</f>
        <v>0</v>
      </c>
      <c r="J490" s="62">
        <f t="shared" si="208"/>
        <v>0</v>
      </c>
      <c r="K490" s="62">
        <f t="shared" si="208"/>
        <v>15353660.74276337</v>
      </c>
      <c r="L490" s="62">
        <f t="shared" si="208"/>
        <v>0</v>
      </c>
      <c r="M490" s="62">
        <f t="shared" si="208"/>
        <v>0</v>
      </c>
      <c r="N490" s="62">
        <f t="shared" si="208"/>
        <v>4172132</v>
      </c>
      <c r="O490" s="62">
        <f t="shared" si="208"/>
        <v>0</v>
      </c>
      <c r="P490" s="62">
        <f t="shared" si="208"/>
        <v>0</v>
      </c>
      <c r="Q490" s="62">
        <f t="shared" si="208"/>
        <v>0</v>
      </c>
      <c r="R490" s="62">
        <f t="shared" si="208"/>
        <v>1736428.5437069198</v>
      </c>
      <c r="S490" s="62">
        <f t="shared" si="208"/>
        <v>0</v>
      </c>
      <c r="T490" s="62">
        <f t="shared" si="208"/>
        <v>1722280.9947074789</v>
      </c>
      <c r="U490" s="62">
        <f t="shared" si="208"/>
        <v>2910349.1223195679</v>
      </c>
      <c r="V490" s="62">
        <f t="shared" si="208"/>
        <v>571477.52169908036</v>
      </c>
      <c r="W490" s="62">
        <f t="shared" si="208"/>
        <v>995179.11754285323</v>
      </c>
      <c r="X490" s="62">
        <f t="shared" si="208"/>
        <v>156148.85638341264</v>
      </c>
      <c r="Y490" s="62">
        <f t="shared" si="208"/>
        <v>87038.607066968019</v>
      </c>
      <c r="Z490" s="62">
        <f t="shared" si="208"/>
        <v>39032.372273740795</v>
      </c>
      <c r="AA490" s="62">
        <f t="shared" si="208"/>
        <v>3543567.3806341151</v>
      </c>
      <c r="AB490" s="62">
        <f t="shared" si="208"/>
        <v>134667.48366586358</v>
      </c>
      <c r="AC490" s="62">
        <f t="shared" si="208"/>
        <v>0</v>
      </c>
      <c r="AD490" s="62">
        <f t="shared" si="208"/>
        <v>0</v>
      </c>
      <c r="AE490" s="62">
        <f t="shared" si="208"/>
        <v>0</v>
      </c>
      <c r="AF490" s="63">
        <f>SUM(H490:AE490)</f>
        <v>49525423</v>
      </c>
      <c r="AG490" s="58" t="str">
        <f>IF(ABS(AF490-F490)&lt;1,"ok","err")</f>
        <v>ok</v>
      </c>
    </row>
    <row r="491" spans="1:33" ht="15">
      <c r="A491" s="65"/>
      <c r="B491" s="60"/>
      <c r="F491" s="78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G491" s="58"/>
    </row>
    <row r="492" spans="1:33" ht="15">
      <c r="A492" s="65" t="s">
        <v>951</v>
      </c>
      <c r="B492" s="60"/>
      <c r="F492" s="78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G492" s="58"/>
    </row>
    <row r="493" spans="1:33">
      <c r="A493" s="60">
        <v>901</v>
      </c>
      <c r="B493" s="60" t="s">
        <v>952</v>
      </c>
      <c r="C493" s="44" t="s">
        <v>74</v>
      </c>
      <c r="D493" s="44" t="s">
        <v>640</v>
      </c>
      <c r="F493" s="75">
        <v>1093165.92</v>
      </c>
      <c r="H493" s="63">
        <f t="shared" ref="H493:Q497" si="209">IF(VLOOKUP($D493,$C$6:$AE$653,H$2,)=0,0,((VLOOKUP($D493,$C$6:$AE$653,H$2,)/VLOOKUP($D493,$C$6:$AE$653,4,))*$F493))</f>
        <v>0</v>
      </c>
      <c r="I493" s="63">
        <f t="shared" si="209"/>
        <v>0</v>
      </c>
      <c r="J493" s="63">
        <f t="shared" si="209"/>
        <v>0</v>
      </c>
      <c r="K493" s="63">
        <f t="shared" si="209"/>
        <v>0</v>
      </c>
      <c r="L493" s="63">
        <f t="shared" si="209"/>
        <v>0</v>
      </c>
      <c r="M493" s="63">
        <f t="shared" si="209"/>
        <v>0</v>
      </c>
      <c r="N493" s="63">
        <f t="shared" si="209"/>
        <v>0</v>
      </c>
      <c r="O493" s="63">
        <f t="shared" si="209"/>
        <v>0</v>
      </c>
      <c r="P493" s="63">
        <f t="shared" si="209"/>
        <v>0</v>
      </c>
      <c r="Q493" s="63">
        <f t="shared" si="209"/>
        <v>0</v>
      </c>
      <c r="R493" s="63">
        <f t="shared" ref="R493:AE497" si="210">IF(VLOOKUP($D493,$C$6:$AE$653,R$2,)=0,0,((VLOOKUP($D493,$C$6:$AE$653,R$2,)/VLOOKUP($D493,$C$6:$AE$653,4,))*$F493))</f>
        <v>0</v>
      </c>
      <c r="S493" s="63">
        <f t="shared" si="210"/>
        <v>0</v>
      </c>
      <c r="T493" s="63">
        <f t="shared" si="210"/>
        <v>0</v>
      </c>
      <c r="U493" s="63">
        <f t="shared" si="210"/>
        <v>0</v>
      </c>
      <c r="V493" s="63">
        <f t="shared" si="210"/>
        <v>0</v>
      </c>
      <c r="W493" s="63">
        <f t="shared" si="210"/>
        <v>0</v>
      </c>
      <c r="X493" s="63">
        <f t="shared" si="210"/>
        <v>0</v>
      </c>
      <c r="Y493" s="63">
        <f t="shared" si="210"/>
        <v>0</v>
      </c>
      <c r="Z493" s="63">
        <f t="shared" si="210"/>
        <v>0</v>
      </c>
      <c r="AA493" s="63">
        <f t="shared" si="210"/>
        <v>0</v>
      </c>
      <c r="AB493" s="63">
        <f t="shared" si="210"/>
        <v>0</v>
      </c>
      <c r="AC493" s="63">
        <f t="shared" si="210"/>
        <v>1093165.92</v>
      </c>
      <c r="AD493" s="63">
        <f t="shared" si="210"/>
        <v>0</v>
      </c>
      <c r="AE493" s="63">
        <f t="shared" si="210"/>
        <v>0</v>
      </c>
      <c r="AF493" s="63">
        <f>SUM(H493:AE493)</f>
        <v>1093165.92</v>
      </c>
      <c r="AG493" s="58" t="str">
        <f>IF(ABS(AF493-F493)&lt;1,"ok","err")</f>
        <v>ok</v>
      </c>
    </row>
    <row r="494" spans="1:33">
      <c r="A494" s="60">
        <v>902</v>
      </c>
      <c r="B494" s="60" t="s">
        <v>955</v>
      </c>
      <c r="C494" s="44" t="s">
        <v>75</v>
      </c>
      <c r="D494" s="44" t="s">
        <v>640</v>
      </c>
      <c r="F494" s="78">
        <v>370756.96</v>
      </c>
      <c r="H494" s="63">
        <f t="shared" si="209"/>
        <v>0</v>
      </c>
      <c r="I494" s="63">
        <f t="shared" si="209"/>
        <v>0</v>
      </c>
      <c r="J494" s="63">
        <f t="shared" si="209"/>
        <v>0</v>
      </c>
      <c r="K494" s="63">
        <f t="shared" si="209"/>
        <v>0</v>
      </c>
      <c r="L494" s="63">
        <f t="shared" si="209"/>
        <v>0</v>
      </c>
      <c r="M494" s="63">
        <f t="shared" si="209"/>
        <v>0</v>
      </c>
      <c r="N494" s="63">
        <f t="shared" si="209"/>
        <v>0</v>
      </c>
      <c r="O494" s="63">
        <f t="shared" si="209"/>
        <v>0</v>
      </c>
      <c r="P494" s="63">
        <f t="shared" si="209"/>
        <v>0</v>
      </c>
      <c r="Q494" s="63">
        <f t="shared" si="209"/>
        <v>0</v>
      </c>
      <c r="R494" s="63">
        <f t="shared" si="210"/>
        <v>0</v>
      </c>
      <c r="S494" s="63">
        <f t="shared" si="210"/>
        <v>0</v>
      </c>
      <c r="T494" s="63">
        <f t="shared" si="210"/>
        <v>0</v>
      </c>
      <c r="U494" s="63">
        <f t="shared" si="210"/>
        <v>0</v>
      </c>
      <c r="V494" s="63">
        <f t="shared" si="210"/>
        <v>0</v>
      </c>
      <c r="W494" s="63">
        <f t="shared" si="210"/>
        <v>0</v>
      </c>
      <c r="X494" s="63">
        <f t="shared" si="210"/>
        <v>0</v>
      </c>
      <c r="Y494" s="63">
        <f t="shared" si="210"/>
        <v>0</v>
      </c>
      <c r="Z494" s="63">
        <f t="shared" si="210"/>
        <v>0</v>
      </c>
      <c r="AA494" s="63">
        <f t="shared" si="210"/>
        <v>0</v>
      </c>
      <c r="AB494" s="63">
        <f t="shared" si="210"/>
        <v>0</v>
      </c>
      <c r="AC494" s="63">
        <f t="shared" si="210"/>
        <v>370756.96</v>
      </c>
      <c r="AD494" s="63">
        <f t="shared" si="210"/>
        <v>0</v>
      </c>
      <c r="AE494" s="63">
        <f t="shared" si="210"/>
        <v>0</v>
      </c>
      <c r="AF494" s="63">
        <f>SUM(H494:AE494)</f>
        <v>370756.96</v>
      </c>
      <c r="AG494" s="58" t="str">
        <f>IF(ABS(AF494-F494)&lt;1,"ok","err")</f>
        <v>ok</v>
      </c>
    </row>
    <row r="495" spans="1:33">
      <c r="A495" s="60">
        <v>903</v>
      </c>
      <c r="B495" s="60" t="s">
        <v>28</v>
      </c>
      <c r="C495" s="44" t="s">
        <v>76</v>
      </c>
      <c r="D495" s="44" t="s">
        <v>640</v>
      </c>
      <c r="F495" s="78">
        <v>3518495.68</v>
      </c>
      <c r="H495" s="63">
        <f t="shared" si="209"/>
        <v>0</v>
      </c>
      <c r="I495" s="63">
        <f t="shared" si="209"/>
        <v>0</v>
      </c>
      <c r="J495" s="63">
        <f t="shared" si="209"/>
        <v>0</v>
      </c>
      <c r="K495" s="63">
        <f t="shared" si="209"/>
        <v>0</v>
      </c>
      <c r="L495" s="63">
        <f t="shared" si="209"/>
        <v>0</v>
      </c>
      <c r="M495" s="63">
        <f t="shared" si="209"/>
        <v>0</v>
      </c>
      <c r="N495" s="63">
        <f t="shared" si="209"/>
        <v>0</v>
      </c>
      <c r="O495" s="63">
        <f t="shared" si="209"/>
        <v>0</v>
      </c>
      <c r="P495" s="63">
        <f t="shared" si="209"/>
        <v>0</v>
      </c>
      <c r="Q495" s="63">
        <f t="shared" si="209"/>
        <v>0</v>
      </c>
      <c r="R495" s="63">
        <f t="shared" si="210"/>
        <v>0</v>
      </c>
      <c r="S495" s="63">
        <f t="shared" si="210"/>
        <v>0</v>
      </c>
      <c r="T495" s="63">
        <f t="shared" si="210"/>
        <v>0</v>
      </c>
      <c r="U495" s="63">
        <f t="shared" si="210"/>
        <v>0</v>
      </c>
      <c r="V495" s="63">
        <f t="shared" si="210"/>
        <v>0</v>
      </c>
      <c r="W495" s="63">
        <f t="shared" si="210"/>
        <v>0</v>
      </c>
      <c r="X495" s="63">
        <f t="shared" si="210"/>
        <v>0</v>
      </c>
      <c r="Y495" s="63">
        <f t="shared" si="210"/>
        <v>0</v>
      </c>
      <c r="Z495" s="63">
        <f t="shared" si="210"/>
        <v>0</v>
      </c>
      <c r="AA495" s="63">
        <f t="shared" si="210"/>
        <v>0</v>
      </c>
      <c r="AB495" s="63">
        <f t="shared" si="210"/>
        <v>0</v>
      </c>
      <c r="AC495" s="63">
        <f t="shared" si="210"/>
        <v>3518495.68</v>
      </c>
      <c r="AD495" s="63">
        <f t="shared" si="210"/>
        <v>0</v>
      </c>
      <c r="AE495" s="63">
        <f t="shared" si="210"/>
        <v>0</v>
      </c>
      <c r="AF495" s="63">
        <f>SUM(H495:AE495)</f>
        <v>3518495.68</v>
      </c>
      <c r="AG495" s="58" t="str">
        <f>IF(ABS(AF495-F495)&lt;1,"ok","err")</f>
        <v>ok</v>
      </c>
    </row>
    <row r="496" spans="1:33">
      <c r="A496" s="60">
        <v>904</v>
      </c>
      <c r="B496" s="60" t="s">
        <v>958</v>
      </c>
      <c r="C496" s="44" t="s">
        <v>77</v>
      </c>
      <c r="D496" s="44" t="s">
        <v>640</v>
      </c>
      <c r="F496" s="78">
        <v>0</v>
      </c>
      <c r="H496" s="63">
        <f t="shared" si="209"/>
        <v>0</v>
      </c>
      <c r="I496" s="63">
        <f t="shared" si="209"/>
        <v>0</v>
      </c>
      <c r="J496" s="63">
        <f t="shared" si="209"/>
        <v>0</v>
      </c>
      <c r="K496" s="63">
        <f t="shared" si="209"/>
        <v>0</v>
      </c>
      <c r="L496" s="63">
        <f t="shared" si="209"/>
        <v>0</v>
      </c>
      <c r="M496" s="63">
        <f t="shared" si="209"/>
        <v>0</v>
      </c>
      <c r="N496" s="63">
        <f t="shared" si="209"/>
        <v>0</v>
      </c>
      <c r="O496" s="63">
        <f t="shared" si="209"/>
        <v>0</v>
      </c>
      <c r="P496" s="63">
        <f t="shared" si="209"/>
        <v>0</v>
      </c>
      <c r="Q496" s="63">
        <f t="shared" si="209"/>
        <v>0</v>
      </c>
      <c r="R496" s="63">
        <f t="shared" si="210"/>
        <v>0</v>
      </c>
      <c r="S496" s="63">
        <f t="shared" si="210"/>
        <v>0</v>
      </c>
      <c r="T496" s="63">
        <f t="shared" si="210"/>
        <v>0</v>
      </c>
      <c r="U496" s="63">
        <f t="shared" si="210"/>
        <v>0</v>
      </c>
      <c r="V496" s="63">
        <f t="shared" si="210"/>
        <v>0</v>
      </c>
      <c r="W496" s="63">
        <f t="shared" si="210"/>
        <v>0</v>
      </c>
      <c r="X496" s="63">
        <f t="shared" si="210"/>
        <v>0</v>
      </c>
      <c r="Y496" s="63">
        <f t="shared" si="210"/>
        <v>0</v>
      </c>
      <c r="Z496" s="63">
        <f t="shared" si="210"/>
        <v>0</v>
      </c>
      <c r="AA496" s="63">
        <f t="shared" si="210"/>
        <v>0</v>
      </c>
      <c r="AB496" s="63">
        <f t="shared" si="210"/>
        <v>0</v>
      </c>
      <c r="AC496" s="63">
        <f t="shared" si="210"/>
        <v>0</v>
      </c>
      <c r="AD496" s="63">
        <f t="shared" si="210"/>
        <v>0</v>
      </c>
      <c r="AE496" s="63">
        <f t="shared" si="210"/>
        <v>0</v>
      </c>
      <c r="AF496" s="63">
        <f>SUM(H496:AE496)</f>
        <v>0</v>
      </c>
      <c r="AG496" s="58" t="str">
        <f>IF(ABS(AF496-F496)&lt;1,"ok","err")</f>
        <v>ok</v>
      </c>
    </row>
    <row r="497" spans="1:33">
      <c r="A497" s="60">
        <v>905</v>
      </c>
      <c r="B497" s="60" t="s">
        <v>29</v>
      </c>
      <c r="C497" s="44" t="s">
        <v>76</v>
      </c>
      <c r="D497" s="44" t="s">
        <v>640</v>
      </c>
      <c r="F497" s="78">
        <v>0</v>
      </c>
      <c r="H497" s="63">
        <f t="shared" si="209"/>
        <v>0</v>
      </c>
      <c r="I497" s="63">
        <f t="shared" si="209"/>
        <v>0</v>
      </c>
      <c r="J497" s="63">
        <f t="shared" si="209"/>
        <v>0</v>
      </c>
      <c r="K497" s="63">
        <f t="shared" si="209"/>
        <v>0</v>
      </c>
      <c r="L497" s="63">
        <f t="shared" si="209"/>
        <v>0</v>
      </c>
      <c r="M497" s="63">
        <f t="shared" si="209"/>
        <v>0</v>
      </c>
      <c r="N497" s="63">
        <f t="shared" si="209"/>
        <v>0</v>
      </c>
      <c r="O497" s="63">
        <f t="shared" si="209"/>
        <v>0</v>
      </c>
      <c r="P497" s="63">
        <f t="shared" si="209"/>
        <v>0</v>
      </c>
      <c r="Q497" s="63">
        <f t="shared" si="209"/>
        <v>0</v>
      </c>
      <c r="R497" s="63">
        <f t="shared" si="210"/>
        <v>0</v>
      </c>
      <c r="S497" s="63">
        <f t="shared" si="210"/>
        <v>0</v>
      </c>
      <c r="T497" s="63">
        <f t="shared" si="210"/>
        <v>0</v>
      </c>
      <c r="U497" s="63">
        <f t="shared" si="210"/>
        <v>0</v>
      </c>
      <c r="V497" s="63">
        <f t="shared" si="210"/>
        <v>0</v>
      </c>
      <c r="W497" s="63">
        <f t="shared" si="210"/>
        <v>0</v>
      </c>
      <c r="X497" s="63">
        <f t="shared" si="210"/>
        <v>0</v>
      </c>
      <c r="Y497" s="63">
        <f t="shared" si="210"/>
        <v>0</v>
      </c>
      <c r="Z497" s="63">
        <f t="shared" si="210"/>
        <v>0</v>
      </c>
      <c r="AA497" s="63">
        <f t="shared" si="210"/>
        <v>0</v>
      </c>
      <c r="AB497" s="63">
        <f t="shared" si="210"/>
        <v>0</v>
      </c>
      <c r="AC497" s="63">
        <f t="shared" si="210"/>
        <v>0</v>
      </c>
      <c r="AD497" s="63">
        <f t="shared" si="210"/>
        <v>0</v>
      </c>
      <c r="AE497" s="63">
        <f t="shared" si="210"/>
        <v>0</v>
      </c>
      <c r="AF497" s="63">
        <f>SUM(H497:AE497)</f>
        <v>0</v>
      </c>
      <c r="AG497" s="58" t="str">
        <f>IF(ABS(AF497-F497)&lt;1,"ok","err")</f>
        <v>ok</v>
      </c>
    </row>
    <row r="498" spans="1:33" ht="15">
      <c r="A498" s="65"/>
      <c r="B498" s="60"/>
      <c r="F498" s="78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58"/>
    </row>
    <row r="499" spans="1:33">
      <c r="A499" s="60" t="s">
        <v>111</v>
      </c>
      <c r="B499" s="60"/>
      <c r="C499" s="44" t="s">
        <v>78</v>
      </c>
      <c r="F499" s="75">
        <f>SUM(F493:F498)</f>
        <v>4982418.5600000005</v>
      </c>
      <c r="G499" s="62">
        <f>SUM(G493:G498)</f>
        <v>0</v>
      </c>
      <c r="H499" s="62">
        <f t="shared" ref="H499:M499" si="211">SUM(H493:H498)</f>
        <v>0</v>
      </c>
      <c r="I499" s="62">
        <f t="shared" si="211"/>
        <v>0</v>
      </c>
      <c r="J499" s="62">
        <f t="shared" si="211"/>
        <v>0</v>
      </c>
      <c r="K499" s="62">
        <f t="shared" si="211"/>
        <v>0</v>
      </c>
      <c r="L499" s="62">
        <f t="shared" si="211"/>
        <v>0</v>
      </c>
      <c r="M499" s="62">
        <f t="shared" si="211"/>
        <v>0</v>
      </c>
      <c r="N499" s="62">
        <f>SUM(N493:N498)</f>
        <v>0</v>
      </c>
      <c r="O499" s="62">
        <f>SUM(O493:O498)</f>
        <v>0</v>
      </c>
      <c r="P499" s="62">
        <f>SUM(P493:P498)</f>
        <v>0</v>
      </c>
      <c r="Q499" s="62">
        <f t="shared" ref="Q499:AB499" si="212">SUM(Q493:Q498)</f>
        <v>0</v>
      </c>
      <c r="R499" s="62">
        <f t="shared" si="212"/>
        <v>0</v>
      </c>
      <c r="S499" s="62">
        <f t="shared" si="212"/>
        <v>0</v>
      </c>
      <c r="T499" s="62">
        <f t="shared" si="212"/>
        <v>0</v>
      </c>
      <c r="U499" s="62">
        <f t="shared" si="212"/>
        <v>0</v>
      </c>
      <c r="V499" s="62">
        <f t="shared" si="212"/>
        <v>0</v>
      </c>
      <c r="W499" s="62">
        <f t="shared" si="212"/>
        <v>0</v>
      </c>
      <c r="X499" s="62">
        <f t="shared" si="212"/>
        <v>0</v>
      </c>
      <c r="Y499" s="62">
        <f t="shared" si="212"/>
        <v>0</v>
      </c>
      <c r="Z499" s="62">
        <f t="shared" si="212"/>
        <v>0</v>
      </c>
      <c r="AA499" s="62">
        <f t="shared" si="212"/>
        <v>0</v>
      </c>
      <c r="AB499" s="62">
        <f t="shared" si="212"/>
        <v>0</v>
      </c>
      <c r="AC499" s="62">
        <f>SUM(AC493:AC498)</f>
        <v>4982418.5600000005</v>
      </c>
      <c r="AD499" s="62">
        <f>SUM(AD493:AD498)</f>
        <v>0</v>
      </c>
      <c r="AE499" s="62">
        <f>SUM(AE493:AE498)</f>
        <v>0</v>
      </c>
      <c r="AF499" s="63">
        <f>SUM(H499:AE499)</f>
        <v>4982418.5600000005</v>
      </c>
      <c r="AG499" s="58" t="str">
        <f>IF(ABS(AF499-F499)&lt;1,"ok","err")</f>
        <v>ok</v>
      </c>
    </row>
    <row r="500" spans="1:33">
      <c r="A500" s="60"/>
      <c r="B500" s="60"/>
      <c r="F500" s="78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G500" s="58"/>
    </row>
    <row r="501" spans="1:33" ht="15">
      <c r="A501" s="65" t="s">
        <v>962</v>
      </c>
      <c r="B501" s="60"/>
      <c r="F501" s="78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G501" s="58"/>
    </row>
    <row r="502" spans="1:33">
      <c r="A502" s="60">
        <v>907</v>
      </c>
      <c r="B502" s="60" t="s">
        <v>1083</v>
      </c>
      <c r="C502" s="44" t="s">
        <v>79</v>
      </c>
      <c r="D502" s="44" t="s">
        <v>641</v>
      </c>
      <c r="F502" s="75">
        <v>145427.88</v>
      </c>
      <c r="H502" s="63">
        <f t="shared" ref="H502:Q512" si="213">IF(VLOOKUP($D502,$C$6:$AE$653,H$2,)=0,0,((VLOOKUP($D502,$C$6:$AE$653,H$2,)/VLOOKUP($D502,$C$6:$AE$653,4,))*$F502))</f>
        <v>0</v>
      </c>
      <c r="I502" s="63">
        <f t="shared" si="213"/>
        <v>0</v>
      </c>
      <c r="J502" s="63">
        <f t="shared" si="213"/>
        <v>0</v>
      </c>
      <c r="K502" s="63">
        <f t="shared" si="213"/>
        <v>0</v>
      </c>
      <c r="L502" s="63">
        <f t="shared" si="213"/>
        <v>0</v>
      </c>
      <c r="M502" s="63">
        <f t="shared" si="213"/>
        <v>0</v>
      </c>
      <c r="N502" s="63">
        <f t="shared" si="213"/>
        <v>0</v>
      </c>
      <c r="O502" s="63">
        <f t="shared" si="213"/>
        <v>0</v>
      </c>
      <c r="P502" s="63">
        <f t="shared" si="213"/>
        <v>0</v>
      </c>
      <c r="Q502" s="63">
        <f t="shared" si="213"/>
        <v>0</v>
      </c>
      <c r="R502" s="63">
        <f t="shared" ref="R502:AE512" si="214">IF(VLOOKUP($D502,$C$6:$AE$653,R$2,)=0,0,((VLOOKUP($D502,$C$6:$AE$653,R$2,)/VLOOKUP($D502,$C$6:$AE$653,4,))*$F502))</f>
        <v>0</v>
      </c>
      <c r="S502" s="63">
        <f t="shared" si="214"/>
        <v>0</v>
      </c>
      <c r="T502" s="63">
        <f t="shared" si="214"/>
        <v>0</v>
      </c>
      <c r="U502" s="63">
        <f t="shared" si="214"/>
        <v>0</v>
      </c>
      <c r="V502" s="63">
        <f t="shared" si="214"/>
        <v>0</v>
      </c>
      <c r="W502" s="63">
        <f t="shared" si="214"/>
        <v>0</v>
      </c>
      <c r="X502" s="63">
        <f t="shared" si="214"/>
        <v>0</v>
      </c>
      <c r="Y502" s="63">
        <f t="shared" si="214"/>
        <v>0</v>
      </c>
      <c r="Z502" s="63">
        <f t="shared" si="214"/>
        <v>0</v>
      </c>
      <c r="AA502" s="63">
        <f t="shared" si="214"/>
        <v>0</v>
      </c>
      <c r="AB502" s="63">
        <f t="shared" si="214"/>
        <v>0</v>
      </c>
      <c r="AC502" s="63">
        <f t="shared" si="214"/>
        <v>0</v>
      </c>
      <c r="AD502" s="63">
        <f t="shared" si="214"/>
        <v>145427.88</v>
      </c>
      <c r="AE502" s="63">
        <f t="shared" si="214"/>
        <v>0</v>
      </c>
      <c r="AF502" s="63">
        <f t="shared" ref="AF502:AF512" si="215">SUM(H502:AE502)</f>
        <v>145427.88</v>
      </c>
      <c r="AG502" s="58" t="str">
        <f t="shared" ref="AG502:AG512" si="216">IF(ABS(AF502-F502)&lt;1,"ok","err")</f>
        <v>ok</v>
      </c>
    </row>
    <row r="503" spans="1:33">
      <c r="A503" s="60">
        <v>908</v>
      </c>
      <c r="B503" s="60" t="s">
        <v>965</v>
      </c>
      <c r="C503" s="44" t="s">
        <v>80</v>
      </c>
      <c r="D503" s="44" t="s">
        <v>641</v>
      </c>
      <c r="F503" s="78">
        <v>617471.42000000004</v>
      </c>
      <c r="H503" s="63">
        <f t="shared" si="213"/>
        <v>0</v>
      </c>
      <c r="I503" s="63">
        <f t="shared" si="213"/>
        <v>0</v>
      </c>
      <c r="J503" s="63">
        <f t="shared" si="213"/>
        <v>0</v>
      </c>
      <c r="K503" s="63">
        <f t="shared" si="213"/>
        <v>0</v>
      </c>
      <c r="L503" s="63">
        <f t="shared" si="213"/>
        <v>0</v>
      </c>
      <c r="M503" s="63">
        <f t="shared" si="213"/>
        <v>0</v>
      </c>
      <c r="N503" s="63">
        <f t="shared" si="213"/>
        <v>0</v>
      </c>
      <c r="O503" s="63">
        <f t="shared" si="213"/>
        <v>0</v>
      </c>
      <c r="P503" s="63">
        <f t="shared" si="213"/>
        <v>0</v>
      </c>
      <c r="Q503" s="63">
        <f t="shared" si="213"/>
        <v>0</v>
      </c>
      <c r="R503" s="63">
        <f t="shared" si="214"/>
        <v>0</v>
      </c>
      <c r="S503" s="63">
        <f t="shared" si="214"/>
        <v>0</v>
      </c>
      <c r="T503" s="63">
        <f t="shared" si="214"/>
        <v>0</v>
      </c>
      <c r="U503" s="63">
        <f t="shared" si="214"/>
        <v>0</v>
      </c>
      <c r="V503" s="63">
        <f t="shared" si="214"/>
        <v>0</v>
      </c>
      <c r="W503" s="63">
        <f t="shared" si="214"/>
        <v>0</v>
      </c>
      <c r="X503" s="63">
        <f t="shared" si="214"/>
        <v>0</v>
      </c>
      <c r="Y503" s="63">
        <f t="shared" si="214"/>
        <v>0</v>
      </c>
      <c r="Z503" s="63">
        <f t="shared" si="214"/>
        <v>0</v>
      </c>
      <c r="AA503" s="63">
        <f t="shared" si="214"/>
        <v>0</v>
      </c>
      <c r="AB503" s="63">
        <f t="shared" si="214"/>
        <v>0</v>
      </c>
      <c r="AC503" s="63">
        <f t="shared" si="214"/>
        <v>0</v>
      </c>
      <c r="AD503" s="63">
        <f t="shared" si="214"/>
        <v>617471.42000000004</v>
      </c>
      <c r="AE503" s="63">
        <f t="shared" si="214"/>
        <v>0</v>
      </c>
      <c r="AF503" s="63">
        <f t="shared" si="215"/>
        <v>617471.42000000004</v>
      </c>
      <c r="AG503" s="58" t="str">
        <f t="shared" si="216"/>
        <v>ok</v>
      </c>
    </row>
    <row r="504" spans="1:33">
      <c r="A504" s="60">
        <v>908</v>
      </c>
      <c r="B504" s="60" t="s">
        <v>30</v>
      </c>
      <c r="C504" s="44" t="s">
        <v>81</v>
      </c>
      <c r="D504" s="44" t="s">
        <v>641</v>
      </c>
      <c r="F504" s="78">
        <v>0</v>
      </c>
      <c r="H504" s="63">
        <f t="shared" si="213"/>
        <v>0</v>
      </c>
      <c r="I504" s="63">
        <f t="shared" si="213"/>
        <v>0</v>
      </c>
      <c r="J504" s="63">
        <f t="shared" si="213"/>
        <v>0</v>
      </c>
      <c r="K504" s="63">
        <f t="shared" si="213"/>
        <v>0</v>
      </c>
      <c r="L504" s="63">
        <f t="shared" si="213"/>
        <v>0</v>
      </c>
      <c r="M504" s="63">
        <f t="shared" si="213"/>
        <v>0</v>
      </c>
      <c r="N504" s="63">
        <f t="shared" si="213"/>
        <v>0</v>
      </c>
      <c r="O504" s="63">
        <f t="shared" si="213"/>
        <v>0</v>
      </c>
      <c r="P504" s="63">
        <f t="shared" si="213"/>
        <v>0</v>
      </c>
      <c r="Q504" s="63">
        <f t="shared" si="213"/>
        <v>0</v>
      </c>
      <c r="R504" s="63">
        <f t="shared" si="214"/>
        <v>0</v>
      </c>
      <c r="S504" s="63">
        <f t="shared" si="214"/>
        <v>0</v>
      </c>
      <c r="T504" s="63">
        <f t="shared" si="214"/>
        <v>0</v>
      </c>
      <c r="U504" s="63">
        <f t="shared" si="214"/>
        <v>0</v>
      </c>
      <c r="V504" s="63">
        <f t="shared" si="214"/>
        <v>0</v>
      </c>
      <c r="W504" s="63">
        <f t="shared" si="214"/>
        <v>0</v>
      </c>
      <c r="X504" s="63">
        <f t="shared" si="214"/>
        <v>0</v>
      </c>
      <c r="Y504" s="63">
        <f t="shared" si="214"/>
        <v>0</v>
      </c>
      <c r="Z504" s="63">
        <f t="shared" si="214"/>
        <v>0</v>
      </c>
      <c r="AA504" s="63">
        <f t="shared" si="214"/>
        <v>0</v>
      </c>
      <c r="AB504" s="63">
        <f t="shared" si="214"/>
        <v>0</v>
      </c>
      <c r="AC504" s="63">
        <f t="shared" si="214"/>
        <v>0</v>
      </c>
      <c r="AD504" s="63">
        <f t="shared" si="214"/>
        <v>0</v>
      </c>
      <c r="AE504" s="63">
        <f t="shared" si="214"/>
        <v>0</v>
      </c>
      <c r="AF504" s="63">
        <f t="shared" si="215"/>
        <v>0</v>
      </c>
      <c r="AG504" s="58" t="str">
        <f t="shared" si="216"/>
        <v>ok</v>
      </c>
    </row>
    <row r="505" spans="1:33">
      <c r="A505" s="60">
        <v>909</v>
      </c>
      <c r="B505" s="60" t="s">
        <v>967</v>
      </c>
      <c r="C505" s="44" t="s">
        <v>82</v>
      </c>
      <c r="D505" s="44" t="s">
        <v>641</v>
      </c>
      <c r="F505" s="78">
        <v>0</v>
      </c>
      <c r="H505" s="63">
        <f t="shared" si="213"/>
        <v>0</v>
      </c>
      <c r="I505" s="63">
        <f t="shared" si="213"/>
        <v>0</v>
      </c>
      <c r="J505" s="63">
        <f t="shared" si="213"/>
        <v>0</v>
      </c>
      <c r="K505" s="63">
        <f t="shared" si="213"/>
        <v>0</v>
      </c>
      <c r="L505" s="63">
        <f t="shared" si="213"/>
        <v>0</v>
      </c>
      <c r="M505" s="63">
        <f t="shared" si="213"/>
        <v>0</v>
      </c>
      <c r="N505" s="63">
        <f t="shared" si="213"/>
        <v>0</v>
      </c>
      <c r="O505" s="63">
        <f t="shared" si="213"/>
        <v>0</v>
      </c>
      <c r="P505" s="63">
        <f t="shared" si="213"/>
        <v>0</v>
      </c>
      <c r="Q505" s="63">
        <f t="shared" si="213"/>
        <v>0</v>
      </c>
      <c r="R505" s="63">
        <f t="shared" si="214"/>
        <v>0</v>
      </c>
      <c r="S505" s="63">
        <f t="shared" si="214"/>
        <v>0</v>
      </c>
      <c r="T505" s="63">
        <f t="shared" si="214"/>
        <v>0</v>
      </c>
      <c r="U505" s="63">
        <f t="shared" si="214"/>
        <v>0</v>
      </c>
      <c r="V505" s="63">
        <f t="shared" si="214"/>
        <v>0</v>
      </c>
      <c r="W505" s="63">
        <f t="shared" si="214"/>
        <v>0</v>
      </c>
      <c r="X505" s="63">
        <f t="shared" si="214"/>
        <v>0</v>
      </c>
      <c r="Y505" s="63">
        <f t="shared" si="214"/>
        <v>0</v>
      </c>
      <c r="Z505" s="63">
        <f t="shared" si="214"/>
        <v>0</v>
      </c>
      <c r="AA505" s="63">
        <f t="shared" si="214"/>
        <v>0</v>
      </c>
      <c r="AB505" s="63">
        <f t="shared" si="214"/>
        <v>0</v>
      </c>
      <c r="AC505" s="63">
        <f t="shared" si="214"/>
        <v>0</v>
      </c>
      <c r="AD505" s="63">
        <f t="shared" si="214"/>
        <v>0</v>
      </c>
      <c r="AE505" s="63">
        <f t="shared" si="214"/>
        <v>0</v>
      </c>
      <c r="AF505" s="63">
        <f t="shared" si="215"/>
        <v>0</v>
      </c>
      <c r="AG505" s="58" t="str">
        <f t="shared" si="216"/>
        <v>ok</v>
      </c>
    </row>
    <row r="506" spans="1:33">
      <c r="A506" s="60">
        <v>909</v>
      </c>
      <c r="B506" s="60" t="s">
        <v>32</v>
      </c>
      <c r="C506" s="44" t="s">
        <v>83</v>
      </c>
      <c r="D506" s="44" t="s">
        <v>641</v>
      </c>
      <c r="F506" s="78">
        <v>0</v>
      </c>
      <c r="H506" s="63">
        <f t="shared" si="213"/>
        <v>0</v>
      </c>
      <c r="I506" s="63">
        <f t="shared" si="213"/>
        <v>0</v>
      </c>
      <c r="J506" s="63">
        <f t="shared" si="213"/>
        <v>0</v>
      </c>
      <c r="K506" s="63">
        <f t="shared" si="213"/>
        <v>0</v>
      </c>
      <c r="L506" s="63">
        <f t="shared" si="213"/>
        <v>0</v>
      </c>
      <c r="M506" s="63">
        <f t="shared" si="213"/>
        <v>0</v>
      </c>
      <c r="N506" s="63">
        <f t="shared" si="213"/>
        <v>0</v>
      </c>
      <c r="O506" s="63">
        <f t="shared" si="213"/>
        <v>0</v>
      </c>
      <c r="P506" s="63">
        <f t="shared" si="213"/>
        <v>0</v>
      </c>
      <c r="Q506" s="63">
        <f t="shared" si="213"/>
        <v>0</v>
      </c>
      <c r="R506" s="63">
        <f t="shared" si="214"/>
        <v>0</v>
      </c>
      <c r="S506" s="63">
        <f t="shared" si="214"/>
        <v>0</v>
      </c>
      <c r="T506" s="63">
        <f t="shared" si="214"/>
        <v>0</v>
      </c>
      <c r="U506" s="63">
        <f t="shared" si="214"/>
        <v>0</v>
      </c>
      <c r="V506" s="63">
        <f t="shared" si="214"/>
        <v>0</v>
      </c>
      <c r="W506" s="63">
        <f t="shared" si="214"/>
        <v>0</v>
      </c>
      <c r="X506" s="63">
        <f t="shared" si="214"/>
        <v>0</v>
      </c>
      <c r="Y506" s="63">
        <f t="shared" si="214"/>
        <v>0</v>
      </c>
      <c r="Z506" s="63">
        <f t="shared" si="214"/>
        <v>0</v>
      </c>
      <c r="AA506" s="63">
        <f t="shared" si="214"/>
        <v>0</v>
      </c>
      <c r="AB506" s="63">
        <f t="shared" si="214"/>
        <v>0</v>
      </c>
      <c r="AC506" s="63">
        <f t="shared" si="214"/>
        <v>0</v>
      </c>
      <c r="AD506" s="63">
        <f t="shared" si="214"/>
        <v>0</v>
      </c>
      <c r="AE506" s="63">
        <f t="shared" si="214"/>
        <v>0</v>
      </c>
      <c r="AF506" s="63">
        <f t="shared" si="215"/>
        <v>0</v>
      </c>
      <c r="AG506" s="58" t="str">
        <f t="shared" si="216"/>
        <v>ok</v>
      </c>
    </row>
    <row r="507" spans="1:33">
      <c r="A507" s="60">
        <v>910</v>
      </c>
      <c r="B507" s="60" t="s">
        <v>969</v>
      </c>
      <c r="C507" s="44" t="s">
        <v>84</v>
      </c>
      <c r="D507" s="44" t="s">
        <v>641</v>
      </c>
      <c r="F507" s="78">
        <v>322552.62</v>
      </c>
      <c r="H507" s="63">
        <f t="shared" si="213"/>
        <v>0</v>
      </c>
      <c r="I507" s="63">
        <f t="shared" si="213"/>
        <v>0</v>
      </c>
      <c r="J507" s="63">
        <f t="shared" si="213"/>
        <v>0</v>
      </c>
      <c r="K507" s="63">
        <f t="shared" si="213"/>
        <v>0</v>
      </c>
      <c r="L507" s="63">
        <f t="shared" si="213"/>
        <v>0</v>
      </c>
      <c r="M507" s="63">
        <f t="shared" si="213"/>
        <v>0</v>
      </c>
      <c r="N507" s="63">
        <f t="shared" si="213"/>
        <v>0</v>
      </c>
      <c r="O507" s="63">
        <f t="shared" si="213"/>
        <v>0</v>
      </c>
      <c r="P507" s="63">
        <f t="shared" si="213"/>
        <v>0</v>
      </c>
      <c r="Q507" s="63">
        <f t="shared" si="213"/>
        <v>0</v>
      </c>
      <c r="R507" s="63">
        <f t="shared" si="214"/>
        <v>0</v>
      </c>
      <c r="S507" s="63">
        <f t="shared" si="214"/>
        <v>0</v>
      </c>
      <c r="T507" s="63">
        <f t="shared" si="214"/>
        <v>0</v>
      </c>
      <c r="U507" s="63">
        <f t="shared" si="214"/>
        <v>0</v>
      </c>
      <c r="V507" s="63">
        <f t="shared" si="214"/>
        <v>0</v>
      </c>
      <c r="W507" s="63">
        <f t="shared" si="214"/>
        <v>0</v>
      </c>
      <c r="X507" s="63">
        <f t="shared" si="214"/>
        <v>0</v>
      </c>
      <c r="Y507" s="63">
        <f t="shared" si="214"/>
        <v>0</v>
      </c>
      <c r="Z507" s="63">
        <f t="shared" si="214"/>
        <v>0</v>
      </c>
      <c r="AA507" s="63">
        <f t="shared" si="214"/>
        <v>0</v>
      </c>
      <c r="AB507" s="63">
        <f t="shared" si="214"/>
        <v>0</v>
      </c>
      <c r="AC507" s="63">
        <f t="shared" si="214"/>
        <v>0</v>
      </c>
      <c r="AD507" s="63">
        <f t="shared" si="214"/>
        <v>322552.62</v>
      </c>
      <c r="AE507" s="63">
        <f t="shared" si="214"/>
        <v>0</v>
      </c>
      <c r="AF507" s="63">
        <f t="shared" si="215"/>
        <v>322552.62</v>
      </c>
      <c r="AG507" s="58" t="str">
        <f t="shared" si="216"/>
        <v>ok</v>
      </c>
    </row>
    <row r="508" spans="1:33">
      <c r="A508" s="60">
        <v>911</v>
      </c>
      <c r="B508" s="60" t="s">
        <v>147</v>
      </c>
      <c r="C508" s="44" t="s">
        <v>169</v>
      </c>
      <c r="D508" s="44" t="s">
        <v>641</v>
      </c>
      <c r="F508" s="78">
        <v>0</v>
      </c>
      <c r="H508" s="63">
        <f t="shared" si="213"/>
        <v>0</v>
      </c>
      <c r="I508" s="63">
        <f t="shared" si="213"/>
        <v>0</v>
      </c>
      <c r="J508" s="63">
        <f t="shared" si="213"/>
        <v>0</v>
      </c>
      <c r="K508" s="63">
        <f t="shared" si="213"/>
        <v>0</v>
      </c>
      <c r="L508" s="63">
        <f t="shared" si="213"/>
        <v>0</v>
      </c>
      <c r="M508" s="63">
        <f t="shared" si="213"/>
        <v>0</v>
      </c>
      <c r="N508" s="63">
        <f t="shared" si="213"/>
        <v>0</v>
      </c>
      <c r="O508" s="63">
        <f t="shared" si="213"/>
        <v>0</v>
      </c>
      <c r="P508" s="63">
        <f t="shared" si="213"/>
        <v>0</v>
      </c>
      <c r="Q508" s="63">
        <f t="shared" si="213"/>
        <v>0</v>
      </c>
      <c r="R508" s="63">
        <f t="shared" si="214"/>
        <v>0</v>
      </c>
      <c r="S508" s="63">
        <f t="shared" si="214"/>
        <v>0</v>
      </c>
      <c r="T508" s="63">
        <f t="shared" si="214"/>
        <v>0</v>
      </c>
      <c r="U508" s="63">
        <f t="shared" si="214"/>
        <v>0</v>
      </c>
      <c r="V508" s="63">
        <f t="shared" si="214"/>
        <v>0</v>
      </c>
      <c r="W508" s="63">
        <f t="shared" si="214"/>
        <v>0</v>
      </c>
      <c r="X508" s="63">
        <f t="shared" si="214"/>
        <v>0</v>
      </c>
      <c r="Y508" s="63">
        <f t="shared" si="214"/>
        <v>0</v>
      </c>
      <c r="Z508" s="63">
        <f t="shared" si="214"/>
        <v>0</v>
      </c>
      <c r="AA508" s="63">
        <f t="shared" si="214"/>
        <v>0</v>
      </c>
      <c r="AB508" s="63">
        <f t="shared" si="214"/>
        <v>0</v>
      </c>
      <c r="AC508" s="63">
        <f t="shared" si="214"/>
        <v>0</v>
      </c>
      <c r="AD508" s="63">
        <f t="shared" si="214"/>
        <v>0</v>
      </c>
      <c r="AE508" s="63">
        <f t="shared" si="214"/>
        <v>0</v>
      </c>
      <c r="AF508" s="63">
        <f t="shared" si="215"/>
        <v>0</v>
      </c>
      <c r="AG508" s="58" t="str">
        <f t="shared" si="216"/>
        <v>ok</v>
      </c>
    </row>
    <row r="509" spans="1:33">
      <c r="A509" s="60">
        <v>912</v>
      </c>
      <c r="B509" s="60" t="s">
        <v>147</v>
      </c>
      <c r="C509" s="44" t="s">
        <v>150</v>
      </c>
      <c r="D509" s="44" t="s">
        <v>641</v>
      </c>
      <c r="F509" s="78">
        <v>0</v>
      </c>
      <c r="H509" s="63">
        <f t="shared" si="213"/>
        <v>0</v>
      </c>
      <c r="I509" s="63">
        <f t="shared" si="213"/>
        <v>0</v>
      </c>
      <c r="J509" s="63">
        <f t="shared" si="213"/>
        <v>0</v>
      </c>
      <c r="K509" s="63">
        <f t="shared" si="213"/>
        <v>0</v>
      </c>
      <c r="L509" s="63">
        <f t="shared" si="213"/>
        <v>0</v>
      </c>
      <c r="M509" s="63">
        <f t="shared" si="213"/>
        <v>0</v>
      </c>
      <c r="N509" s="63">
        <f t="shared" si="213"/>
        <v>0</v>
      </c>
      <c r="O509" s="63">
        <f t="shared" si="213"/>
        <v>0</v>
      </c>
      <c r="P509" s="63">
        <f t="shared" si="213"/>
        <v>0</v>
      </c>
      <c r="Q509" s="63">
        <f t="shared" si="213"/>
        <v>0</v>
      </c>
      <c r="R509" s="63">
        <f t="shared" si="214"/>
        <v>0</v>
      </c>
      <c r="S509" s="63">
        <f t="shared" si="214"/>
        <v>0</v>
      </c>
      <c r="T509" s="63">
        <f t="shared" si="214"/>
        <v>0</v>
      </c>
      <c r="U509" s="63">
        <f t="shared" si="214"/>
        <v>0</v>
      </c>
      <c r="V509" s="63">
        <f t="shared" si="214"/>
        <v>0</v>
      </c>
      <c r="W509" s="63">
        <f t="shared" si="214"/>
        <v>0</v>
      </c>
      <c r="X509" s="63">
        <f t="shared" si="214"/>
        <v>0</v>
      </c>
      <c r="Y509" s="63">
        <f t="shared" si="214"/>
        <v>0</v>
      </c>
      <c r="Z509" s="63">
        <f t="shared" si="214"/>
        <v>0</v>
      </c>
      <c r="AA509" s="63">
        <f t="shared" si="214"/>
        <v>0</v>
      </c>
      <c r="AB509" s="63">
        <f t="shared" si="214"/>
        <v>0</v>
      </c>
      <c r="AC509" s="63">
        <f t="shared" si="214"/>
        <v>0</v>
      </c>
      <c r="AD509" s="63">
        <f t="shared" si="214"/>
        <v>0</v>
      </c>
      <c r="AE509" s="63">
        <f t="shared" si="214"/>
        <v>0</v>
      </c>
      <c r="AF509" s="63">
        <f t="shared" si="215"/>
        <v>0</v>
      </c>
      <c r="AG509" s="58" t="str">
        <f t="shared" si="216"/>
        <v>ok</v>
      </c>
    </row>
    <row r="510" spans="1:33">
      <c r="A510" s="60">
        <v>913</v>
      </c>
      <c r="B510" s="60" t="s">
        <v>137</v>
      </c>
      <c r="C510" s="44" t="s">
        <v>151</v>
      </c>
      <c r="D510" s="44" t="s">
        <v>641</v>
      </c>
      <c r="F510" s="78">
        <v>0</v>
      </c>
      <c r="H510" s="63">
        <f t="shared" si="213"/>
        <v>0</v>
      </c>
      <c r="I510" s="63">
        <f t="shared" si="213"/>
        <v>0</v>
      </c>
      <c r="J510" s="63">
        <f t="shared" si="213"/>
        <v>0</v>
      </c>
      <c r="K510" s="63">
        <f t="shared" si="213"/>
        <v>0</v>
      </c>
      <c r="L510" s="63">
        <f t="shared" si="213"/>
        <v>0</v>
      </c>
      <c r="M510" s="63">
        <f t="shared" si="213"/>
        <v>0</v>
      </c>
      <c r="N510" s="63">
        <f t="shared" si="213"/>
        <v>0</v>
      </c>
      <c r="O510" s="63">
        <f t="shared" si="213"/>
        <v>0</v>
      </c>
      <c r="P510" s="63">
        <f t="shared" si="213"/>
        <v>0</v>
      </c>
      <c r="Q510" s="63">
        <f t="shared" si="213"/>
        <v>0</v>
      </c>
      <c r="R510" s="63">
        <f t="shared" si="214"/>
        <v>0</v>
      </c>
      <c r="S510" s="63">
        <f t="shared" si="214"/>
        <v>0</v>
      </c>
      <c r="T510" s="63">
        <f t="shared" si="214"/>
        <v>0</v>
      </c>
      <c r="U510" s="63">
        <f t="shared" si="214"/>
        <v>0</v>
      </c>
      <c r="V510" s="63">
        <f t="shared" si="214"/>
        <v>0</v>
      </c>
      <c r="W510" s="63">
        <f t="shared" si="214"/>
        <v>0</v>
      </c>
      <c r="X510" s="63">
        <f t="shared" si="214"/>
        <v>0</v>
      </c>
      <c r="Y510" s="63">
        <f t="shared" si="214"/>
        <v>0</v>
      </c>
      <c r="Z510" s="63">
        <f t="shared" si="214"/>
        <v>0</v>
      </c>
      <c r="AA510" s="63">
        <f t="shared" si="214"/>
        <v>0</v>
      </c>
      <c r="AB510" s="63">
        <f t="shared" si="214"/>
        <v>0</v>
      </c>
      <c r="AC510" s="63">
        <f t="shared" si="214"/>
        <v>0</v>
      </c>
      <c r="AD510" s="63">
        <f t="shared" si="214"/>
        <v>0</v>
      </c>
      <c r="AE510" s="63">
        <f t="shared" si="214"/>
        <v>0</v>
      </c>
      <c r="AF510" s="63">
        <f t="shared" si="215"/>
        <v>0</v>
      </c>
      <c r="AG510" s="58" t="str">
        <f t="shared" si="216"/>
        <v>ok</v>
      </c>
    </row>
    <row r="511" spans="1:33">
      <c r="A511" s="60">
        <v>915</v>
      </c>
      <c r="B511" s="60" t="s">
        <v>158</v>
      </c>
      <c r="C511" s="44" t="s">
        <v>161</v>
      </c>
      <c r="D511" s="44" t="s">
        <v>641</v>
      </c>
      <c r="F511" s="78">
        <v>0</v>
      </c>
      <c r="H511" s="63">
        <f t="shared" si="213"/>
        <v>0</v>
      </c>
      <c r="I511" s="63">
        <f t="shared" si="213"/>
        <v>0</v>
      </c>
      <c r="J511" s="63">
        <f t="shared" si="213"/>
        <v>0</v>
      </c>
      <c r="K511" s="63">
        <f t="shared" si="213"/>
        <v>0</v>
      </c>
      <c r="L511" s="63">
        <f t="shared" si="213"/>
        <v>0</v>
      </c>
      <c r="M511" s="63">
        <f t="shared" si="213"/>
        <v>0</v>
      </c>
      <c r="N511" s="63">
        <f t="shared" si="213"/>
        <v>0</v>
      </c>
      <c r="O511" s="63">
        <f t="shared" si="213"/>
        <v>0</v>
      </c>
      <c r="P511" s="63">
        <f t="shared" si="213"/>
        <v>0</v>
      </c>
      <c r="Q511" s="63">
        <f t="shared" si="213"/>
        <v>0</v>
      </c>
      <c r="R511" s="63">
        <f t="shared" si="214"/>
        <v>0</v>
      </c>
      <c r="S511" s="63">
        <f t="shared" si="214"/>
        <v>0</v>
      </c>
      <c r="T511" s="63">
        <f t="shared" si="214"/>
        <v>0</v>
      </c>
      <c r="U511" s="63">
        <f t="shared" si="214"/>
        <v>0</v>
      </c>
      <c r="V511" s="63">
        <f t="shared" si="214"/>
        <v>0</v>
      </c>
      <c r="W511" s="63">
        <f t="shared" si="214"/>
        <v>0</v>
      </c>
      <c r="X511" s="63">
        <f t="shared" si="214"/>
        <v>0</v>
      </c>
      <c r="Y511" s="63">
        <f t="shared" si="214"/>
        <v>0</v>
      </c>
      <c r="Z511" s="63">
        <f t="shared" si="214"/>
        <v>0</v>
      </c>
      <c r="AA511" s="63">
        <f t="shared" si="214"/>
        <v>0</v>
      </c>
      <c r="AB511" s="63">
        <f t="shared" si="214"/>
        <v>0</v>
      </c>
      <c r="AC511" s="63">
        <f t="shared" si="214"/>
        <v>0</v>
      </c>
      <c r="AD511" s="63">
        <f t="shared" si="214"/>
        <v>0</v>
      </c>
      <c r="AE511" s="63">
        <f t="shared" si="214"/>
        <v>0</v>
      </c>
      <c r="AF511" s="63">
        <f t="shared" si="215"/>
        <v>0</v>
      </c>
      <c r="AG511" s="58" t="str">
        <f t="shared" si="216"/>
        <v>ok</v>
      </c>
    </row>
    <row r="512" spans="1:33">
      <c r="A512" s="60">
        <v>916</v>
      </c>
      <c r="B512" s="60" t="s">
        <v>159</v>
      </c>
      <c r="C512" s="44" t="s">
        <v>162</v>
      </c>
      <c r="D512" s="44" t="s">
        <v>641</v>
      </c>
      <c r="F512" s="78">
        <v>0</v>
      </c>
      <c r="H512" s="63">
        <f t="shared" si="213"/>
        <v>0</v>
      </c>
      <c r="I512" s="63">
        <f t="shared" si="213"/>
        <v>0</v>
      </c>
      <c r="J512" s="63">
        <f t="shared" si="213"/>
        <v>0</v>
      </c>
      <c r="K512" s="63">
        <f t="shared" si="213"/>
        <v>0</v>
      </c>
      <c r="L512" s="63">
        <f t="shared" si="213"/>
        <v>0</v>
      </c>
      <c r="M512" s="63">
        <f t="shared" si="213"/>
        <v>0</v>
      </c>
      <c r="N512" s="63">
        <f t="shared" si="213"/>
        <v>0</v>
      </c>
      <c r="O512" s="63">
        <f t="shared" si="213"/>
        <v>0</v>
      </c>
      <c r="P512" s="63">
        <f t="shared" si="213"/>
        <v>0</v>
      </c>
      <c r="Q512" s="63">
        <f t="shared" si="213"/>
        <v>0</v>
      </c>
      <c r="R512" s="63">
        <f t="shared" si="214"/>
        <v>0</v>
      </c>
      <c r="S512" s="63">
        <f t="shared" si="214"/>
        <v>0</v>
      </c>
      <c r="T512" s="63">
        <f t="shared" si="214"/>
        <v>0</v>
      </c>
      <c r="U512" s="63">
        <f t="shared" si="214"/>
        <v>0</v>
      </c>
      <c r="V512" s="63">
        <f t="shared" si="214"/>
        <v>0</v>
      </c>
      <c r="W512" s="63">
        <f t="shared" si="214"/>
        <v>0</v>
      </c>
      <c r="X512" s="63">
        <f t="shared" si="214"/>
        <v>0</v>
      </c>
      <c r="Y512" s="63">
        <f t="shared" si="214"/>
        <v>0</v>
      </c>
      <c r="Z512" s="63">
        <f t="shared" si="214"/>
        <v>0</v>
      </c>
      <c r="AA512" s="63">
        <f t="shared" si="214"/>
        <v>0</v>
      </c>
      <c r="AB512" s="63">
        <f t="shared" si="214"/>
        <v>0</v>
      </c>
      <c r="AC512" s="63">
        <f t="shared" si="214"/>
        <v>0</v>
      </c>
      <c r="AD512" s="63">
        <f t="shared" si="214"/>
        <v>0</v>
      </c>
      <c r="AE512" s="63">
        <f t="shared" si="214"/>
        <v>0</v>
      </c>
      <c r="AF512" s="63">
        <f t="shared" si="215"/>
        <v>0</v>
      </c>
      <c r="AG512" s="58" t="str">
        <f t="shared" si="216"/>
        <v>ok</v>
      </c>
    </row>
    <row r="513" spans="1:33">
      <c r="A513" s="60"/>
      <c r="B513" s="60"/>
      <c r="F513" s="78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8"/>
    </row>
    <row r="514" spans="1:33">
      <c r="A514" s="60" t="s">
        <v>112</v>
      </c>
      <c r="B514" s="60"/>
      <c r="C514" s="44" t="s">
        <v>85</v>
      </c>
      <c r="F514" s="75">
        <f>SUM(F502:F513)</f>
        <v>1085451.92</v>
      </c>
      <c r="G514" s="62">
        <f>SUM(G502:G513)</f>
        <v>0</v>
      </c>
      <c r="H514" s="62">
        <f t="shared" ref="H514:M514" si="217">SUM(H502:H513)</f>
        <v>0</v>
      </c>
      <c r="I514" s="62">
        <f t="shared" si="217"/>
        <v>0</v>
      </c>
      <c r="J514" s="62">
        <f t="shared" si="217"/>
        <v>0</v>
      </c>
      <c r="K514" s="62">
        <f t="shared" si="217"/>
        <v>0</v>
      </c>
      <c r="L514" s="62">
        <f t="shared" si="217"/>
        <v>0</v>
      </c>
      <c r="M514" s="62">
        <f t="shared" si="217"/>
        <v>0</v>
      </c>
      <c r="N514" s="62">
        <f>SUM(N502:N513)</f>
        <v>0</v>
      </c>
      <c r="O514" s="62">
        <f>SUM(O502:O513)</f>
        <v>0</v>
      </c>
      <c r="P514" s="62">
        <f>SUM(P502:P513)</f>
        <v>0</v>
      </c>
      <c r="Q514" s="62">
        <f t="shared" ref="Q514:AB514" si="218">SUM(Q502:Q513)</f>
        <v>0</v>
      </c>
      <c r="R514" s="62">
        <f t="shared" si="218"/>
        <v>0</v>
      </c>
      <c r="S514" s="62">
        <f t="shared" si="218"/>
        <v>0</v>
      </c>
      <c r="T514" s="62">
        <f t="shared" si="218"/>
        <v>0</v>
      </c>
      <c r="U514" s="62">
        <f t="shared" si="218"/>
        <v>0</v>
      </c>
      <c r="V514" s="62">
        <f t="shared" si="218"/>
        <v>0</v>
      </c>
      <c r="W514" s="62">
        <f t="shared" si="218"/>
        <v>0</v>
      </c>
      <c r="X514" s="62">
        <f t="shared" si="218"/>
        <v>0</v>
      </c>
      <c r="Y514" s="62">
        <f t="shared" si="218"/>
        <v>0</v>
      </c>
      <c r="Z514" s="62">
        <f t="shared" si="218"/>
        <v>0</v>
      </c>
      <c r="AA514" s="62">
        <f t="shared" si="218"/>
        <v>0</v>
      </c>
      <c r="AB514" s="62">
        <f t="shared" si="218"/>
        <v>0</v>
      </c>
      <c r="AC514" s="62">
        <f>SUM(AC502:AC513)</f>
        <v>0</v>
      </c>
      <c r="AD514" s="62">
        <f>SUM(AD502:AD513)</f>
        <v>1085451.92</v>
      </c>
      <c r="AE514" s="62">
        <f>SUM(AE502:AE513)</f>
        <v>0</v>
      </c>
      <c r="AF514" s="63">
        <f>SUM(H514:AE514)</f>
        <v>1085451.92</v>
      </c>
      <c r="AG514" s="58" t="str">
        <f>IF(ABS(AF514-F514)&lt;1,"ok","err")</f>
        <v>ok</v>
      </c>
    </row>
    <row r="515" spans="1:33">
      <c r="A515" s="60"/>
      <c r="B515" s="60"/>
      <c r="F515" s="78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G515" s="58"/>
    </row>
    <row r="516" spans="1:33">
      <c r="A516" s="60" t="s">
        <v>804</v>
      </c>
      <c r="B516" s="60"/>
      <c r="C516" s="44" t="s">
        <v>642</v>
      </c>
      <c r="F516" s="75">
        <f>F490+F499+F514</f>
        <v>55593293.480000004</v>
      </c>
      <c r="G516" s="63"/>
      <c r="H516" s="63">
        <f t="shared" ref="H516:AE516" si="219">H490+H499+H514</f>
        <v>18103460.25723663</v>
      </c>
      <c r="I516" s="63">
        <f t="shared" si="219"/>
        <v>0</v>
      </c>
      <c r="J516" s="63">
        <f t="shared" si="219"/>
        <v>0</v>
      </c>
      <c r="K516" s="63">
        <f t="shared" si="219"/>
        <v>15353660.74276337</v>
      </c>
      <c r="L516" s="63">
        <f t="shared" si="219"/>
        <v>0</v>
      </c>
      <c r="M516" s="63">
        <f t="shared" si="219"/>
        <v>0</v>
      </c>
      <c r="N516" s="63">
        <f t="shared" si="219"/>
        <v>4172132</v>
      </c>
      <c r="O516" s="63">
        <f t="shared" si="219"/>
        <v>0</v>
      </c>
      <c r="P516" s="63">
        <f t="shared" si="219"/>
        <v>0</v>
      </c>
      <c r="Q516" s="63">
        <f t="shared" si="219"/>
        <v>0</v>
      </c>
      <c r="R516" s="63">
        <f t="shared" si="219"/>
        <v>1736428.5437069198</v>
      </c>
      <c r="S516" s="63">
        <f t="shared" si="219"/>
        <v>0</v>
      </c>
      <c r="T516" s="63">
        <f t="shared" si="219"/>
        <v>1722280.9947074789</v>
      </c>
      <c r="U516" s="63">
        <f t="shared" si="219"/>
        <v>2910349.1223195679</v>
      </c>
      <c r="V516" s="63">
        <f t="shared" si="219"/>
        <v>571477.52169908036</v>
      </c>
      <c r="W516" s="63">
        <f t="shared" si="219"/>
        <v>995179.11754285323</v>
      </c>
      <c r="X516" s="63">
        <f t="shared" si="219"/>
        <v>156148.85638341264</v>
      </c>
      <c r="Y516" s="63">
        <f t="shared" si="219"/>
        <v>87038.607066968019</v>
      </c>
      <c r="Z516" s="63">
        <f t="shared" si="219"/>
        <v>39032.372273740795</v>
      </c>
      <c r="AA516" s="63">
        <f t="shared" si="219"/>
        <v>3543567.3806341151</v>
      </c>
      <c r="AB516" s="63">
        <f t="shared" si="219"/>
        <v>134667.48366586358</v>
      </c>
      <c r="AC516" s="63">
        <f t="shared" si="219"/>
        <v>4982418.5600000005</v>
      </c>
      <c r="AD516" s="63">
        <f t="shared" si="219"/>
        <v>1085451.92</v>
      </c>
      <c r="AE516" s="63">
        <f t="shared" si="219"/>
        <v>0</v>
      </c>
      <c r="AF516" s="63">
        <f>SUM(H516:AE516)</f>
        <v>55593293.480000004</v>
      </c>
      <c r="AG516" s="58" t="str">
        <f>IF(ABS(AF516-F516)&lt;1,"ok","err")</f>
        <v>ok</v>
      </c>
    </row>
    <row r="517" spans="1:33">
      <c r="A517" s="60"/>
      <c r="B517" s="60"/>
      <c r="F517" s="78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G517" s="58"/>
    </row>
    <row r="518" spans="1:33">
      <c r="A518" s="60"/>
      <c r="B518" s="60"/>
      <c r="F518" s="78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G518" s="58"/>
    </row>
    <row r="519" spans="1:33">
      <c r="A519" s="60"/>
      <c r="B519" s="60"/>
      <c r="F519" s="78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G519" s="58"/>
    </row>
    <row r="520" spans="1:33">
      <c r="A520" s="60"/>
      <c r="B520" s="60"/>
      <c r="F520" s="78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G520" s="58"/>
    </row>
    <row r="521" spans="1:33">
      <c r="A521" s="60"/>
      <c r="B521" s="60"/>
      <c r="F521" s="78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G521" s="58"/>
    </row>
    <row r="522" spans="1:33" ht="15">
      <c r="A522" s="59" t="s">
        <v>44</v>
      </c>
      <c r="B522" s="60"/>
      <c r="F522" s="78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G522" s="58"/>
    </row>
    <row r="523" spans="1:33">
      <c r="A523" s="60"/>
      <c r="B523" s="60"/>
      <c r="F523" s="78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G523" s="58"/>
    </row>
    <row r="524" spans="1:33" ht="15">
      <c r="A524" s="65" t="s">
        <v>973</v>
      </c>
      <c r="B524" s="60"/>
      <c r="F524" s="78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G524" s="58"/>
    </row>
    <row r="525" spans="1:33">
      <c r="A525" s="60">
        <v>920</v>
      </c>
      <c r="B525" s="60" t="s">
        <v>974</v>
      </c>
      <c r="C525" s="44" t="s">
        <v>87</v>
      </c>
      <c r="D525" s="44" t="s">
        <v>642</v>
      </c>
      <c r="F525" s="75">
        <v>20000454</v>
      </c>
      <c r="H525" s="63">
        <f t="shared" ref="H525:Q536" si="220">IF(VLOOKUP($D525,$C$6:$AE$653,H$2,)=0,0,((VLOOKUP($D525,$C$6:$AE$653,H$2,)/VLOOKUP($D525,$C$6:$AE$653,4,))*$F525))</f>
        <v>6512969.4869750571</v>
      </c>
      <c r="I525" s="63">
        <f t="shared" si="220"/>
        <v>0</v>
      </c>
      <c r="J525" s="63">
        <f t="shared" si="220"/>
        <v>0</v>
      </c>
      <c r="K525" s="63">
        <f t="shared" si="220"/>
        <v>5523691.1899763308</v>
      </c>
      <c r="L525" s="63">
        <f t="shared" si="220"/>
        <v>0</v>
      </c>
      <c r="M525" s="63">
        <f t="shared" si="220"/>
        <v>0</v>
      </c>
      <c r="N525" s="63">
        <f t="shared" si="220"/>
        <v>1500982.0236310991</v>
      </c>
      <c r="O525" s="63">
        <f t="shared" si="220"/>
        <v>0</v>
      </c>
      <c r="P525" s="63">
        <f t="shared" si="220"/>
        <v>0</v>
      </c>
      <c r="Q525" s="63">
        <f t="shared" si="220"/>
        <v>0</v>
      </c>
      <c r="R525" s="63">
        <f t="shared" ref="R525:AE536" si="221">IF(VLOOKUP($D525,$C$6:$AE$653,R$2,)=0,0,((VLOOKUP($D525,$C$6:$AE$653,R$2,)/VLOOKUP($D525,$C$6:$AE$653,4,))*$F525))</f>
        <v>624704.11516798008</v>
      </c>
      <c r="S525" s="63">
        <f t="shared" si="221"/>
        <v>0</v>
      </c>
      <c r="T525" s="63">
        <f t="shared" si="221"/>
        <v>619614.33931079227</v>
      </c>
      <c r="U525" s="63">
        <f t="shared" si="221"/>
        <v>1047038.2325133093</v>
      </c>
      <c r="V525" s="63">
        <f t="shared" si="221"/>
        <v>205596.91950771716</v>
      </c>
      <c r="W525" s="63">
        <f t="shared" si="221"/>
        <v>358029.41175516095</v>
      </c>
      <c r="X525" s="63">
        <f t="shared" si="221"/>
        <v>56176.704486352915</v>
      </c>
      <c r="Y525" s="63">
        <f t="shared" si="221"/>
        <v>31313.339215875658</v>
      </c>
      <c r="Z525" s="63">
        <f t="shared" si="221"/>
        <v>14042.434209311179</v>
      </c>
      <c r="AA525" s="63">
        <f t="shared" si="221"/>
        <v>1274847.23346657</v>
      </c>
      <c r="AB525" s="63">
        <f t="shared" si="221"/>
        <v>48448.484407994743</v>
      </c>
      <c r="AC525" s="63">
        <f t="shared" si="221"/>
        <v>1792493.7880119679</v>
      </c>
      <c r="AD525" s="63">
        <f t="shared" si="221"/>
        <v>390506.2973644798</v>
      </c>
      <c r="AE525" s="63">
        <f t="shared" si="221"/>
        <v>0</v>
      </c>
      <c r="AF525" s="63">
        <f t="shared" ref="AF525:AF536" si="222">SUM(H525:AE525)</f>
        <v>20000454.000000004</v>
      </c>
      <c r="AG525" s="58" t="str">
        <f t="shared" ref="AG525:AG536" si="223">IF(ABS(AF525-F525)&lt;1,"ok","err")</f>
        <v>ok</v>
      </c>
    </row>
    <row r="526" spans="1:33">
      <c r="A526" s="60">
        <v>921</v>
      </c>
      <c r="B526" s="60" t="s">
        <v>976</v>
      </c>
      <c r="C526" s="60" t="s">
        <v>87</v>
      </c>
      <c r="D526" s="60" t="s">
        <v>642</v>
      </c>
      <c r="F526" s="78">
        <v>0</v>
      </c>
      <c r="H526" s="63">
        <f t="shared" si="220"/>
        <v>0</v>
      </c>
      <c r="I526" s="63">
        <f t="shared" si="220"/>
        <v>0</v>
      </c>
      <c r="J526" s="63">
        <f t="shared" si="220"/>
        <v>0</v>
      </c>
      <c r="K526" s="63">
        <f t="shared" si="220"/>
        <v>0</v>
      </c>
      <c r="L526" s="63">
        <f t="shared" si="220"/>
        <v>0</v>
      </c>
      <c r="M526" s="63">
        <f t="shared" si="220"/>
        <v>0</v>
      </c>
      <c r="N526" s="63">
        <f t="shared" si="220"/>
        <v>0</v>
      </c>
      <c r="O526" s="63">
        <f t="shared" si="220"/>
        <v>0</v>
      </c>
      <c r="P526" s="63">
        <f t="shared" si="220"/>
        <v>0</v>
      </c>
      <c r="Q526" s="63">
        <f t="shared" si="220"/>
        <v>0</v>
      </c>
      <c r="R526" s="63">
        <f t="shared" si="221"/>
        <v>0</v>
      </c>
      <c r="S526" s="63">
        <f t="shared" si="221"/>
        <v>0</v>
      </c>
      <c r="T526" s="63">
        <f t="shared" si="221"/>
        <v>0</v>
      </c>
      <c r="U526" s="63">
        <f t="shared" si="221"/>
        <v>0</v>
      </c>
      <c r="V526" s="63">
        <f t="shared" si="221"/>
        <v>0</v>
      </c>
      <c r="W526" s="63">
        <f t="shared" si="221"/>
        <v>0</v>
      </c>
      <c r="X526" s="63">
        <f t="shared" si="221"/>
        <v>0</v>
      </c>
      <c r="Y526" s="63">
        <f t="shared" si="221"/>
        <v>0</v>
      </c>
      <c r="Z526" s="63">
        <f t="shared" si="221"/>
        <v>0</v>
      </c>
      <c r="AA526" s="63">
        <f t="shared" si="221"/>
        <v>0</v>
      </c>
      <c r="AB526" s="63">
        <f t="shared" si="221"/>
        <v>0</v>
      </c>
      <c r="AC526" s="63">
        <f t="shared" si="221"/>
        <v>0</v>
      </c>
      <c r="AD526" s="63">
        <f t="shared" si="221"/>
        <v>0</v>
      </c>
      <c r="AE526" s="63">
        <f t="shared" si="221"/>
        <v>0</v>
      </c>
      <c r="AF526" s="63">
        <f>SUM(H526:AE526)</f>
        <v>0</v>
      </c>
      <c r="AG526" s="58" t="str">
        <f t="shared" si="223"/>
        <v>ok</v>
      </c>
    </row>
    <row r="527" spans="1:33">
      <c r="A527" s="60">
        <v>922</v>
      </c>
      <c r="B527" s="60" t="s">
        <v>595</v>
      </c>
      <c r="C527" s="44" t="s">
        <v>596</v>
      </c>
      <c r="D527" s="44" t="s">
        <v>642</v>
      </c>
      <c r="F527" s="78">
        <v>-2892849</v>
      </c>
      <c r="H527" s="63">
        <f t="shared" si="220"/>
        <v>-942030.47927943571</v>
      </c>
      <c r="I527" s="63">
        <f t="shared" si="220"/>
        <v>0</v>
      </c>
      <c r="J527" s="63">
        <f t="shared" si="220"/>
        <v>0</v>
      </c>
      <c r="K527" s="63">
        <f t="shared" si="220"/>
        <v>-798942.09077613126</v>
      </c>
      <c r="L527" s="63">
        <f t="shared" si="220"/>
        <v>0</v>
      </c>
      <c r="M527" s="63">
        <f t="shared" si="220"/>
        <v>0</v>
      </c>
      <c r="N527" s="63">
        <f t="shared" si="220"/>
        <v>-217100.78911604715</v>
      </c>
      <c r="O527" s="63">
        <f t="shared" si="220"/>
        <v>0</v>
      </c>
      <c r="P527" s="63">
        <f t="shared" si="220"/>
        <v>0</v>
      </c>
      <c r="Q527" s="63">
        <f t="shared" si="220"/>
        <v>0</v>
      </c>
      <c r="R527" s="63">
        <f t="shared" si="221"/>
        <v>-90356.68264628273</v>
      </c>
      <c r="S527" s="63">
        <f t="shared" si="221"/>
        <v>0</v>
      </c>
      <c r="T527" s="63">
        <f t="shared" si="221"/>
        <v>-89620.501707655538</v>
      </c>
      <c r="U527" s="63">
        <f t="shared" si="221"/>
        <v>-151442.73744425474</v>
      </c>
      <c r="V527" s="63">
        <f t="shared" si="221"/>
        <v>-29737.367111815565</v>
      </c>
      <c r="W527" s="63">
        <f t="shared" si="221"/>
        <v>-51785.075767105373</v>
      </c>
      <c r="X527" s="63">
        <f t="shared" si="221"/>
        <v>-8125.3517243479346</v>
      </c>
      <c r="Y527" s="63">
        <f t="shared" si="221"/>
        <v>-4529.1352904942396</v>
      </c>
      <c r="Z527" s="63">
        <f t="shared" si="221"/>
        <v>-2031.0859823467824</v>
      </c>
      <c r="AA527" s="63">
        <f t="shared" si="221"/>
        <v>-184392.84150682448</v>
      </c>
      <c r="AB527" s="63">
        <f t="shared" si="221"/>
        <v>-7007.5484122102016</v>
      </c>
      <c r="AC527" s="63">
        <f t="shared" si="221"/>
        <v>-259264.80779669469</v>
      </c>
      <c r="AD527" s="63">
        <f t="shared" si="221"/>
        <v>-56482.505438353452</v>
      </c>
      <c r="AE527" s="63">
        <f t="shared" si="221"/>
        <v>0</v>
      </c>
      <c r="AF527" s="63">
        <f t="shared" si="222"/>
        <v>-2892849</v>
      </c>
      <c r="AG527" s="58" t="str">
        <f t="shared" si="223"/>
        <v>ok</v>
      </c>
    </row>
    <row r="528" spans="1:33">
      <c r="A528" s="60">
        <v>923</v>
      </c>
      <c r="B528" s="60" t="s">
        <v>978</v>
      </c>
      <c r="C528" s="44" t="s">
        <v>88</v>
      </c>
      <c r="D528" s="44" t="s">
        <v>642</v>
      </c>
      <c r="F528" s="78">
        <v>0</v>
      </c>
      <c r="H528" s="63">
        <f t="shared" si="220"/>
        <v>0</v>
      </c>
      <c r="I528" s="63">
        <f t="shared" si="220"/>
        <v>0</v>
      </c>
      <c r="J528" s="63">
        <f t="shared" si="220"/>
        <v>0</v>
      </c>
      <c r="K528" s="63">
        <f t="shared" si="220"/>
        <v>0</v>
      </c>
      <c r="L528" s="63">
        <f t="shared" si="220"/>
        <v>0</v>
      </c>
      <c r="M528" s="63">
        <f t="shared" si="220"/>
        <v>0</v>
      </c>
      <c r="N528" s="63">
        <f t="shared" si="220"/>
        <v>0</v>
      </c>
      <c r="O528" s="63">
        <f t="shared" si="220"/>
        <v>0</v>
      </c>
      <c r="P528" s="63">
        <f t="shared" si="220"/>
        <v>0</v>
      </c>
      <c r="Q528" s="63">
        <f t="shared" si="220"/>
        <v>0</v>
      </c>
      <c r="R528" s="63">
        <f t="shared" si="221"/>
        <v>0</v>
      </c>
      <c r="S528" s="63">
        <f t="shared" si="221"/>
        <v>0</v>
      </c>
      <c r="T528" s="63">
        <f t="shared" si="221"/>
        <v>0</v>
      </c>
      <c r="U528" s="63">
        <f t="shared" si="221"/>
        <v>0</v>
      </c>
      <c r="V528" s="63">
        <f t="shared" si="221"/>
        <v>0</v>
      </c>
      <c r="W528" s="63">
        <f t="shared" si="221"/>
        <v>0</v>
      </c>
      <c r="X528" s="63">
        <f t="shared" si="221"/>
        <v>0</v>
      </c>
      <c r="Y528" s="63">
        <f t="shared" si="221"/>
        <v>0</v>
      </c>
      <c r="Z528" s="63">
        <f t="shared" si="221"/>
        <v>0</v>
      </c>
      <c r="AA528" s="63">
        <f t="shared" si="221"/>
        <v>0</v>
      </c>
      <c r="AB528" s="63">
        <f t="shared" si="221"/>
        <v>0</v>
      </c>
      <c r="AC528" s="63">
        <f t="shared" si="221"/>
        <v>0</v>
      </c>
      <c r="AD528" s="63">
        <f t="shared" si="221"/>
        <v>0</v>
      </c>
      <c r="AE528" s="63">
        <f t="shared" si="221"/>
        <v>0</v>
      </c>
      <c r="AF528" s="63">
        <f t="shared" si="222"/>
        <v>0</v>
      </c>
      <c r="AG528" s="58" t="str">
        <f t="shared" si="223"/>
        <v>ok</v>
      </c>
    </row>
    <row r="529" spans="1:33">
      <c r="A529" s="60">
        <v>924</v>
      </c>
      <c r="B529" s="60" t="s">
        <v>980</v>
      </c>
      <c r="C529" s="44" t="s">
        <v>89</v>
      </c>
      <c r="D529" s="44" t="s">
        <v>894</v>
      </c>
      <c r="F529" s="78">
        <v>0</v>
      </c>
      <c r="H529" s="63">
        <f t="shared" si="220"/>
        <v>0</v>
      </c>
      <c r="I529" s="63">
        <f t="shared" si="220"/>
        <v>0</v>
      </c>
      <c r="J529" s="63">
        <f t="shared" si="220"/>
        <v>0</v>
      </c>
      <c r="K529" s="63">
        <f t="shared" si="220"/>
        <v>0</v>
      </c>
      <c r="L529" s="63">
        <f t="shared" si="220"/>
        <v>0</v>
      </c>
      <c r="M529" s="63">
        <f t="shared" si="220"/>
        <v>0</v>
      </c>
      <c r="N529" s="63">
        <f t="shared" si="220"/>
        <v>0</v>
      </c>
      <c r="O529" s="63">
        <f t="shared" si="220"/>
        <v>0</v>
      </c>
      <c r="P529" s="63">
        <f t="shared" si="220"/>
        <v>0</v>
      </c>
      <c r="Q529" s="63">
        <f t="shared" si="220"/>
        <v>0</v>
      </c>
      <c r="R529" s="63">
        <f t="shared" si="221"/>
        <v>0</v>
      </c>
      <c r="S529" s="63">
        <f t="shared" si="221"/>
        <v>0</v>
      </c>
      <c r="T529" s="63">
        <f t="shared" si="221"/>
        <v>0</v>
      </c>
      <c r="U529" s="63">
        <f t="shared" si="221"/>
        <v>0</v>
      </c>
      <c r="V529" s="63">
        <f t="shared" si="221"/>
        <v>0</v>
      </c>
      <c r="W529" s="63">
        <f t="shared" si="221"/>
        <v>0</v>
      </c>
      <c r="X529" s="63">
        <f t="shared" si="221"/>
        <v>0</v>
      </c>
      <c r="Y529" s="63">
        <f t="shared" si="221"/>
        <v>0</v>
      </c>
      <c r="Z529" s="63">
        <f t="shared" si="221"/>
        <v>0</v>
      </c>
      <c r="AA529" s="63">
        <f t="shared" si="221"/>
        <v>0</v>
      </c>
      <c r="AB529" s="63">
        <f t="shared" si="221"/>
        <v>0</v>
      </c>
      <c r="AC529" s="63">
        <f t="shared" si="221"/>
        <v>0</v>
      </c>
      <c r="AD529" s="63">
        <f t="shared" si="221"/>
        <v>0</v>
      </c>
      <c r="AE529" s="63">
        <f t="shared" si="221"/>
        <v>0</v>
      </c>
      <c r="AF529" s="63">
        <f t="shared" si="222"/>
        <v>0</v>
      </c>
      <c r="AG529" s="58" t="str">
        <f t="shared" si="223"/>
        <v>ok</v>
      </c>
    </row>
    <row r="530" spans="1:33">
      <c r="A530" s="60">
        <v>925</v>
      </c>
      <c r="B530" s="60" t="s">
        <v>1234</v>
      </c>
      <c r="C530" s="44" t="s">
        <v>90</v>
      </c>
      <c r="D530" s="44" t="s">
        <v>642</v>
      </c>
      <c r="F530" s="78">
        <v>0</v>
      </c>
      <c r="H530" s="63">
        <f t="shared" si="220"/>
        <v>0</v>
      </c>
      <c r="I530" s="63">
        <f t="shared" si="220"/>
        <v>0</v>
      </c>
      <c r="J530" s="63">
        <f t="shared" si="220"/>
        <v>0</v>
      </c>
      <c r="K530" s="63">
        <f t="shared" si="220"/>
        <v>0</v>
      </c>
      <c r="L530" s="63">
        <f t="shared" si="220"/>
        <v>0</v>
      </c>
      <c r="M530" s="63">
        <f t="shared" si="220"/>
        <v>0</v>
      </c>
      <c r="N530" s="63">
        <f t="shared" si="220"/>
        <v>0</v>
      </c>
      <c r="O530" s="63">
        <f t="shared" si="220"/>
        <v>0</v>
      </c>
      <c r="P530" s="63">
        <f t="shared" si="220"/>
        <v>0</v>
      </c>
      <c r="Q530" s="63">
        <f t="shared" si="220"/>
        <v>0</v>
      </c>
      <c r="R530" s="63">
        <f t="shared" si="221"/>
        <v>0</v>
      </c>
      <c r="S530" s="63">
        <f t="shared" si="221"/>
        <v>0</v>
      </c>
      <c r="T530" s="63">
        <f t="shared" si="221"/>
        <v>0</v>
      </c>
      <c r="U530" s="63">
        <f t="shared" si="221"/>
        <v>0</v>
      </c>
      <c r="V530" s="63">
        <f t="shared" si="221"/>
        <v>0</v>
      </c>
      <c r="W530" s="63">
        <f t="shared" si="221"/>
        <v>0</v>
      </c>
      <c r="X530" s="63">
        <f t="shared" si="221"/>
        <v>0</v>
      </c>
      <c r="Y530" s="63">
        <f t="shared" si="221"/>
        <v>0</v>
      </c>
      <c r="Z530" s="63">
        <f t="shared" si="221"/>
        <v>0</v>
      </c>
      <c r="AA530" s="63">
        <f t="shared" si="221"/>
        <v>0</v>
      </c>
      <c r="AB530" s="63">
        <f t="shared" si="221"/>
        <v>0</v>
      </c>
      <c r="AC530" s="63">
        <f t="shared" si="221"/>
        <v>0</v>
      </c>
      <c r="AD530" s="63">
        <f t="shared" si="221"/>
        <v>0</v>
      </c>
      <c r="AE530" s="63">
        <f t="shared" si="221"/>
        <v>0</v>
      </c>
      <c r="AF530" s="63">
        <f t="shared" si="222"/>
        <v>0</v>
      </c>
      <c r="AG530" s="58" t="str">
        <f t="shared" si="223"/>
        <v>ok</v>
      </c>
    </row>
    <row r="531" spans="1:33">
      <c r="A531" s="60">
        <v>926</v>
      </c>
      <c r="B531" s="60" t="s">
        <v>983</v>
      </c>
      <c r="C531" s="44" t="s">
        <v>91</v>
      </c>
      <c r="D531" s="44" t="s">
        <v>642</v>
      </c>
      <c r="F531" s="78">
        <v>0</v>
      </c>
      <c r="H531" s="63">
        <f t="shared" si="220"/>
        <v>0</v>
      </c>
      <c r="I531" s="63">
        <f t="shared" si="220"/>
        <v>0</v>
      </c>
      <c r="J531" s="63">
        <f t="shared" si="220"/>
        <v>0</v>
      </c>
      <c r="K531" s="63">
        <f t="shared" si="220"/>
        <v>0</v>
      </c>
      <c r="L531" s="63">
        <f t="shared" si="220"/>
        <v>0</v>
      </c>
      <c r="M531" s="63">
        <f t="shared" si="220"/>
        <v>0</v>
      </c>
      <c r="N531" s="63">
        <f t="shared" si="220"/>
        <v>0</v>
      </c>
      <c r="O531" s="63">
        <f t="shared" si="220"/>
        <v>0</v>
      </c>
      <c r="P531" s="63">
        <f t="shared" si="220"/>
        <v>0</v>
      </c>
      <c r="Q531" s="63">
        <f t="shared" si="220"/>
        <v>0</v>
      </c>
      <c r="R531" s="63">
        <f t="shared" si="221"/>
        <v>0</v>
      </c>
      <c r="S531" s="63">
        <f t="shared" si="221"/>
        <v>0</v>
      </c>
      <c r="T531" s="63">
        <f t="shared" si="221"/>
        <v>0</v>
      </c>
      <c r="U531" s="63">
        <f t="shared" si="221"/>
        <v>0</v>
      </c>
      <c r="V531" s="63">
        <f t="shared" si="221"/>
        <v>0</v>
      </c>
      <c r="W531" s="63">
        <f t="shared" si="221"/>
        <v>0</v>
      </c>
      <c r="X531" s="63">
        <f t="shared" si="221"/>
        <v>0</v>
      </c>
      <c r="Y531" s="63">
        <f t="shared" si="221"/>
        <v>0</v>
      </c>
      <c r="Z531" s="63">
        <f t="shared" si="221"/>
        <v>0</v>
      </c>
      <c r="AA531" s="63">
        <f t="shared" si="221"/>
        <v>0</v>
      </c>
      <c r="AB531" s="63">
        <f t="shared" si="221"/>
        <v>0</v>
      </c>
      <c r="AC531" s="63">
        <f t="shared" si="221"/>
        <v>0</v>
      </c>
      <c r="AD531" s="63">
        <f t="shared" si="221"/>
        <v>0</v>
      </c>
      <c r="AE531" s="63">
        <f t="shared" si="221"/>
        <v>0</v>
      </c>
      <c r="AF531" s="63">
        <f t="shared" si="222"/>
        <v>0</v>
      </c>
      <c r="AG531" s="58" t="str">
        <f t="shared" si="223"/>
        <v>ok</v>
      </c>
    </row>
    <row r="532" spans="1:33">
      <c r="A532" s="60">
        <v>928</v>
      </c>
      <c r="B532" s="60" t="s">
        <v>821</v>
      </c>
      <c r="C532" s="44" t="s">
        <v>92</v>
      </c>
      <c r="D532" s="44" t="s">
        <v>894</v>
      </c>
      <c r="F532" s="78">
        <v>0</v>
      </c>
      <c r="H532" s="63">
        <f t="shared" si="220"/>
        <v>0</v>
      </c>
      <c r="I532" s="63">
        <f t="shared" si="220"/>
        <v>0</v>
      </c>
      <c r="J532" s="63">
        <f t="shared" si="220"/>
        <v>0</v>
      </c>
      <c r="K532" s="63">
        <f t="shared" si="220"/>
        <v>0</v>
      </c>
      <c r="L532" s="63">
        <f t="shared" si="220"/>
        <v>0</v>
      </c>
      <c r="M532" s="63">
        <f t="shared" si="220"/>
        <v>0</v>
      </c>
      <c r="N532" s="63">
        <f t="shared" si="220"/>
        <v>0</v>
      </c>
      <c r="O532" s="63">
        <f t="shared" si="220"/>
        <v>0</v>
      </c>
      <c r="P532" s="63">
        <f t="shared" si="220"/>
        <v>0</v>
      </c>
      <c r="Q532" s="63">
        <f t="shared" si="220"/>
        <v>0</v>
      </c>
      <c r="R532" s="63">
        <f t="shared" si="221"/>
        <v>0</v>
      </c>
      <c r="S532" s="63">
        <f t="shared" si="221"/>
        <v>0</v>
      </c>
      <c r="T532" s="63">
        <f t="shared" si="221"/>
        <v>0</v>
      </c>
      <c r="U532" s="63">
        <f t="shared" si="221"/>
        <v>0</v>
      </c>
      <c r="V532" s="63">
        <f t="shared" si="221"/>
        <v>0</v>
      </c>
      <c r="W532" s="63">
        <f t="shared" si="221"/>
        <v>0</v>
      </c>
      <c r="X532" s="63">
        <f t="shared" si="221"/>
        <v>0</v>
      </c>
      <c r="Y532" s="63">
        <f t="shared" si="221"/>
        <v>0</v>
      </c>
      <c r="Z532" s="63">
        <f t="shared" si="221"/>
        <v>0</v>
      </c>
      <c r="AA532" s="63">
        <f t="shared" si="221"/>
        <v>0</v>
      </c>
      <c r="AB532" s="63">
        <f t="shared" si="221"/>
        <v>0</v>
      </c>
      <c r="AC532" s="63">
        <f t="shared" si="221"/>
        <v>0</v>
      </c>
      <c r="AD532" s="63">
        <f t="shared" si="221"/>
        <v>0</v>
      </c>
      <c r="AE532" s="63">
        <f t="shared" si="221"/>
        <v>0</v>
      </c>
      <c r="AF532" s="63">
        <f t="shared" si="222"/>
        <v>0</v>
      </c>
      <c r="AG532" s="58" t="str">
        <f t="shared" si="223"/>
        <v>ok</v>
      </c>
    </row>
    <row r="533" spans="1:33">
      <c r="A533" s="60">
        <v>929</v>
      </c>
      <c r="B533" s="60" t="s">
        <v>1084</v>
      </c>
      <c r="C533" s="44" t="s">
        <v>93</v>
      </c>
      <c r="D533" s="44" t="s">
        <v>642</v>
      </c>
      <c r="F533" s="78">
        <v>0</v>
      </c>
      <c r="H533" s="63">
        <f t="shared" si="220"/>
        <v>0</v>
      </c>
      <c r="I533" s="63">
        <f t="shared" si="220"/>
        <v>0</v>
      </c>
      <c r="J533" s="63">
        <f t="shared" si="220"/>
        <v>0</v>
      </c>
      <c r="K533" s="63">
        <f t="shared" si="220"/>
        <v>0</v>
      </c>
      <c r="L533" s="63">
        <f t="shared" si="220"/>
        <v>0</v>
      </c>
      <c r="M533" s="63">
        <f t="shared" si="220"/>
        <v>0</v>
      </c>
      <c r="N533" s="63">
        <f t="shared" si="220"/>
        <v>0</v>
      </c>
      <c r="O533" s="63">
        <f t="shared" si="220"/>
        <v>0</v>
      </c>
      <c r="P533" s="63">
        <f t="shared" si="220"/>
        <v>0</v>
      </c>
      <c r="Q533" s="63">
        <f t="shared" si="220"/>
        <v>0</v>
      </c>
      <c r="R533" s="63">
        <f t="shared" si="221"/>
        <v>0</v>
      </c>
      <c r="S533" s="63">
        <f t="shared" si="221"/>
        <v>0</v>
      </c>
      <c r="T533" s="63">
        <f t="shared" si="221"/>
        <v>0</v>
      </c>
      <c r="U533" s="63">
        <f t="shared" si="221"/>
        <v>0</v>
      </c>
      <c r="V533" s="63">
        <f t="shared" si="221"/>
        <v>0</v>
      </c>
      <c r="W533" s="63">
        <f t="shared" si="221"/>
        <v>0</v>
      </c>
      <c r="X533" s="63">
        <f t="shared" si="221"/>
        <v>0</v>
      </c>
      <c r="Y533" s="63">
        <f t="shared" si="221"/>
        <v>0</v>
      </c>
      <c r="Z533" s="63">
        <f t="shared" si="221"/>
        <v>0</v>
      </c>
      <c r="AA533" s="63">
        <f t="shared" si="221"/>
        <v>0</v>
      </c>
      <c r="AB533" s="63">
        <f t="shared" si="221"/>
        <v>0</v>
      </c>
      <c r="AC533" s="63">
        <f t="shared" si="221"/>
        <v>0</v>
      </c>
      <c r="AD533" s="63">
        <f t="shared" si="221"/>
        <v>0</v>
      </c>
      <c r="AE533" s="63">
        <f t="shared" si="221"/>
        <v>0</v>
      </c>
      <c r="AF533" s="63">
        <f t="shared" si="222"/>
        <v>0</v>
      </c>
      <c r="AG533" s="58" t="str">
        <f t="shared" si="223"/>
        <v>ok</v>
      </c>
    </row>
    <row r="534" spans="1:33">
      <c r="A534" s="60">
        <v>930</v>
      </c>
      <c r="B534" s="60" t="s">
        <v>986</v>
      </c>
      <c r="C534" s="44" t="s">
        <v>94</v>
      </c>
      <c r="D534" s="44" t="s">
        <v>642</v>
      </c>
      <c r="F534" s="78">
        <v>165400</v>
      </c>
      <c r="H534" s="63">
        <f t="shared" si="220"/>
        <v>53861.035011788954</v>
      </c>
      <c r="I534" s="63">
        <f t="shared" si="220"/>
        <v>0</v>
      </c>
      <c r="J534" s="63">
        <f t="shared" si="220"/>
        <v>0</v>
      </c>
      <c r="K534" s="63">
        <f t="shared" si="220"/>
        <v>45679.889207619242</v>
      </c>
      <c r="L534" s="63">
        <f t="shared" si="220"/>
        <v>0</v>
      </c>
      <c r="M534" s="63">
        <f t="shared" si="220"/>
        <v>0</v>
      </c>
      <c r="N534" s="63">
        <f t="shared" si="220"/>
        <v>12412.839563971089</v>
      </c>
      <c r="O534" s="63">
        <f t="shared" si="220"/>
        <v>0</v>
      </c>
      <c r="P534" s="63">
        <f t="shared" si="220"/>
        <v>0</v>
      </c>
      <c r="Q534" s="63">
        <f t="shared" si="220"/>
        <v>0</v>
      </c>
      <c r="R534" s="63">
        <f t="shared" si="221"/>
        <v>5166.185760022443</v>
      </c>
      <c r="S534" s="63">
        <f t="shared" si="221"/>
        <v>0</v>
      </c>
      <c r="T534" s="63">
        <f t="shared" si="221"/>
        <v>5124.0942691603414</v>
      </c>
      <c r="U534" s="63">
        <f t="shared" si="221"/>
        <v>8658.8096279065139</v>
      </c>
      <c r="V534" s="63">
        <f t="shared" si="221"/>
        <v>1700.2479287008393</v>
      </c>
      <c r="W534" s="63">
        <f t="shared" si="221"/>
        <v>2960.836024237431</v>
      </c>
      <c r="X534" s="63">
        <f t="shared" si="221"/>
        <v>464.57080034497079</v>
      </c>
      <c r="Y534" s="63">
        <f t="shared" si="221"/>
        <v>258.95543702687121</v>
      </c>
      <c r="Z534" s="63">
        <f t="shared" si="221"/>
        <v>116.12829479871152</v>
      </c>
      <c r="AA534" s="63">
        <f t="shared" si="221"/>
        <v>10542.747300404815</v>
      </c>
      <c r="AB534" s="63">
        <f t="shared" si="221"/>
        <v>400.6598710750431</v>
      </c>
      <c r="AC534" s="63">
        <f t="shared" si="221"/>
        <v>14823.587131431092</v>
      </c>
      <c r="AD534" s="63">
        <f t="shared" si="221"/>
        <v>3229.4137715116344</v>
      </c>
      <c r="AE534" s="63">
        <f t="shared" si="221"/>
        <v>0</v>
      </c>
      <c r="AF534" s="63">
        <f t="shared" si="222"/>
        <v>165400</v>
      </c>
      <c r="AG534" s="58" t="str">
        <f t="shared" si="223"/>
        <v>ok</v>
      </c>
    </row>
    <row r="535" spans="1:33">
      <c r="A535" s="60">
        <v>931</v>
      </c>
      <c r="B535" s="60" t="s">
        <v>988</v>
      </c>
      <c r="C535" s="44" t="s">
        <v>95</v>
      </c>
      <c r="D535" s="44" t="s">
        <v>884</v>
      </c>
      <c r="F535" s="78">
        <v>0</v>
      </c>
      <c r="H535" s="63">
        <f t="shared" si="220"/>
        <v>0</v>
      </c>
      <c r="I535" s="63">
        <f t="shared" si="220"/>
        <v>0</v>
      </c>
      <c r="J535" s="63">
        <f t="shared" si="220"/>
        <v>0</v>
      </c>
      <c r="K535" s="63">
        <f t="shared" si="220"/>
        <v>0</v>
      </c>
      <c r="L535" s="63">
        <f t="shared" si="220"/>
        <v>0</v>
      </c>
      <c r="M535" s="63">
        <f t="shared" si="220"/>
        <v>0</v>
      </c>
      <c r="N535" s="63">
        <f t="shared" si="220"/>
        <v>0</v>
      </c>
      <c r="O535" s="63">
        <f t="shared" si="220"/>
        <v>0</v>
      </c>
      <c r="P535" s="63">
        <f t="shared" si="220"/>
        <v>0</v>
      </c>
      <c r="Q535" s="63">
        <f t="shared" si="220"/>
        <v>0</v>
      </c>
      <c r="R535" s="63">
        <f t="shared" si="221"/>
        <v>0</v>
      </c>
      <c r="S535" s="63">
        <f t="shared" si="221"/>
        <v>0</v>
      </c>
      <c r="T535" s="63">
        <f t="shared" si="221"/>
        <v>0</v>
      </c>
      <c r="U535" s="63">
        <f t="shared" si="221"/>
        <v>0</v>
      </c>
      <c r="V535" s="63">
        <f t="shared" si="221"/>
        <v>0</v>
      </c>
      <c r="W535" s="63">
        <f t="shared" si="221"/>
        <v>0</v>
      </c>
      <c r="X535" s="63">
        <f t="shared" si="221"/>
        <v>0</v>
      </c>
      <c r="Y535" s="63">
        <f t="shared" si="221"/>
        <v>0</v>
      </c>
      <c r="Z535" s="63">
        <f t="shared" si="221"/>
        <v>0</v>
      </c>
      <c r="AA535" s="63">
        <f t="shared" si="221"/>
        <v>0</v>
      </c>
      <c r="AB535" s="63">
        <f t="shared" si="221"/>
        <v>0</v>
      </c>
      <c r="AC535" s="63">
        <f t="shared" si="221"/>
        <v>0</v>
      </c>
      <c r="AD535" s="63">
        <f t="shared" si="221"/>
        <v>0</v>
      </c>
      <c r="AE535" s="63">
        <f t="shared" si="221"/>
        <v>0</v>
      </c>
      <c r="AF535" s="63">
        <f t="shared" si="222"/>
        <v>0</v>
      </c>
      <c r="AG535" s="58" t="str">
        <f t="shared" si="223"/>
        <v>ok</v>
      </c>
    </row>
    <row r="536" spans="1:33">
      <c r="A536" s="60">
        <v>935</v>
      </c>
      <c r="B536" s="60" t="s">
        <v>990</v>
      </c>
      <c r="C536" s="44" t="s">
        <v>96</v>
      </c>
      <c r="D536" s="44" t="s">
        <v>884</v>
      </c>
      <c r="F536" s="78">
        <v>502248.93000000005</v>
      </c>
      <c r="H536" s="63">
        <f t="shared" si="220"/>
        <v>306591.48463598313</v>
      </c>
      <c r="I536" s="63">
        <f t="shared" si="220"/>
        <v>0</v>
      </c>
      <c r="J536" s="63">
        <f t="shared" si="220"/>
        <v>0</v>
      </c>
      <c r="K536" s="63">
        <f t="shared" si="220"/>
        <v>0</v>
      </c>
      <c r="L536" s="63">
        <f t="shared" si="220"/>
        <v>0</v>
      </c>
      <c r="M536" s="63">
        <f t="shared" si="220"/>
        <v>0</v>
      </c>
      <c r="N536" s="63">
        <f t="shared" si="220"/>
        <v>47089.30310939622</v>
      </c>
      <c r="O536" s="63">
        <f t="shared" si="220"/>
        <v>0</v>
      </c>
      <c r="P536" s="63">
        <f t="shared" si="220"/>
        <v>0</v>
      </c>
      <c r="Q536" s="63">
        <f t="shared" si="220"/>
        <v>0</v>
      </c>
      <c r="R536" s="63">
        <f t="shared" si="221"/>
        <v>18526.69899691836</v>
      </c>
      <c r="S536" s="63">
        <f t="shared" si="221"/>
        <v>0</v>
      </c>
      <c r="T536" s="63">
        <f t="shared" si="221"/>
        <v>28441.793292008482</v>
      </c>
      <c r="U536" s="63">
        <f t="shared" si="221"/>
        <v>46542.970563837342</v>
      </c>
      <c r="V536" s="63">
        <f t="shared" si="221"/>
        <v>7935.5198715195093</v>
      </c>
      <c r="W536" s="63">
        <f t="shared" si="221"/>
        <v>13559.861073008522</v>
      </c>
      <c r="X536" s="63">
        <f t="shared" si="221"/>
        <v>9721.4587905108947</v>
      </c>
      <c r="Y536" s="63">
        <f t="shared" si="221"/>
        <v>5418.8179880572197</v>
      </c>
      <c r="Z536" s="63">
        <f t="shared" si="221"/>
        <v>3464.6349211296938</v>
      </c>
      <c r="AA536" s="63">
        <f t="shared" si="221"/>
        <v>3533.3298848947429</v>
      </c>
      <c r="AB536" s="63">
        <f t="shared" si="221"/>
        <v>11423.056872735937</v>
      </c>
      <c r="AC536" s="63">
        <f t="shared" si="221"/>
        <v>0</v>
      </c>
      <c r="AD536" s="63">
        <f t="shared" si="221"/>
        <v>0</v>
      </c>
      <c r="AE536" s="63">
        <f t="shared" si="221"/>
        <v>0</v>
      </c>
      <c r="AF536" s="63">
        <f t="shared" si="222"/>
        <v>502248.93</v>
      </c>
      <c r="AG536" s="58" t="str">
        <f t="shared" si="223"/>
        <v>ok</v>
      </c>
    </row>
    <row r="537" spans="1:33">
      <c r="A537" s="60"/>
      <c r="B537" s="60"/>
      <c r="F537" s="78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58"/>
    </row>
    <row r="538" spans="1:33">
      <c r="A538" s="60" t="s">
        <v>991</v>
      </c>
      <c r="B538" s="60"/>
      <c r="C538" s="44" t="s">
        <v>97</v>
      </c>
      <c r="F538" s="75">
        <f t="shared" ref="F538:M538" si="224">SUM(F525:F537)</f>
        <v>17775253.93</v>
      </c>
      <c r="G538" s="62">
        <f t="shared" si="224"/>
        <v>0</v>
      </c>
      <c r="H538" s="62">
        <f t="shared" si="224"/>
        <v>5931391.5273433924</v>
      </c>
      <c r="I538" s="62">
        <f t="shared" si="224"/>
        <v>0</v>
      </c>
      <c r="J538" s="62">
        <f t="shared" si="224"/>
        <v>0</v>
      </c>
      <c r="K538" s="62">
        <f t="shared" si="224"/>
        <v>4770428.9884078186</v>
      </c>
      <c r="L538" s="62">
        <f t="shared" si="224"/>
        <v>0</v>
      </c>
      <c r="M538" s="62">
        <f t="shared" si="224"/>
        <v>0</v>
      </c>
      <c r="N538" s="62">
        <f>SUM(N525:N537)</f>
        <v>1343383.3771884195</v>
      </c>
      <c r="O538" s="62">
        <f>SUM(O525:O537)</f>
        <v>0</v>
      </c>
      <c r="P538" s="62">
        <f>SUM(P525:P537)</f>
        <v>0</v>
      </c>
      <c r="Q538" s="62">
        <f t="shared" ref="Q538:AB538" si="225">SUM(Q525:Q537)</f>
        <v>0</v>
      </c>
      <c r="R538" s="62">
        <f t="shared" si="225"/>
        <v>558040.31727863825</v>
      </c>
      <c r="S538" s="62">
        <f t="shared" si="225"/>
        <v>0</v>
      </c>
      <c r="T538" s="62">
        <f t="shared" si="225"/>
        <v>563559.72516430554</v>
      </c>
      <c r="U538" s="62">
        <f t="shared" si="225"/>
        <v>950797.27526079852</v>
      </c>
      <c r="V538" s="62">
        <f t="shared" si="225"/>
        <v>185495.32019612193</v>
      </c>
      <c r="W538" s="62">
        <f t="shared" si="225"/>
        <v>322765.03308530152</v>
      </c>
      <c r="X538" s="62">
        <f t="shared" si="225"/>
        <v>58237.382352860841</v>
      </c>
      <c r="Y538" s="62">
        <f t="shared" si="225"/>
        <v>32461.97735046551</v>
      </c>
      <c r="Z538" s="62">
        <f t="shared" si="225"/>
        <v>15592.111442892801</v>
      </c>
      <c r="AA538" s="62">
        <f t="shared" si="225"/>
        <v>1104530.4691450449</v>
      </c>
      <c r="AB538" s="62">
        <f t="shared" si="225"/>
        <v>53264.65273959552</v>
      </c>
      <c r="AC538" s="62">
        <f>SUM(AC525:AC537)</f>
        <v>1548052.5673467044</v>
      </c>
      <c r="AD538" s="62">
        <f>SUM(AD525:AD537)</f>
        <v>337253.20569763798</v>
      </c>
      <c r="AE538" s="62">
        <f>SUM(AE525:AE537)</f>
        <v>0</v>
      </c>
      <c r="AF538" s="63">
        <f>SUM(H538:AE538)</f>
        <v>17775253.929999996</v>
      </c>
      <c r="AG538" s="58" t="str">
        <f>IF(ABS(AF538-F538)&lt;1,"ok","err")</f>
        <v>ok</v>
      </c>
    </row>
    <row r="539" spans="1:33">
      <c r="A539" s="60"/>
      <c r="B539" s="60"/>
      <c r="F539" s="78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58"/>
    </row>
    <row r="540" spans="1:33">
      <c r="A540" s="60" t="s">
        <v>993</v>
      </c>
      <c r="B540" s="60"/>
      <c r="C540" s="44" t="s">
        <v>98</v>
      </c>
      <c r="F540" s="75">
        <f>F490+F499+F514+F538</f>
        <v>73368547.409999996</v>
      </c>
      <c r="G540" s="62"/>
      <c r="H540" s="62">
        <f t="shared" ref="H540:M540" si="226">H490+H499+H514+H538</f>
        <v>24034851.784580022</v>
      </c>
      <c r="I540" s="62">
        <f t="shared" si="226"/>
        <v>0</v>
      </c>
      <c r="J540" s="62">
        <f t="shared" si="226"/>
        <v>0</v>
      </c>
      <c r="K540" s="62">
        <f t="shared" si="226"/>
        <v>20124089.731171191</v>
      </c>
      <c r="L540" s="62">
        <f t="shared" si="226"/>
        <v>0</v>
      </c>
      <c r="M540" s="62">
        <f t="shared" si="226"/>
        <v>0</v>
      </c>
      <c r="N540" s="62">
        <f>N490+N499+N514+N538</f>
        <v>5515515.3771884199</v>
      </c>
      <c r="O540" s="62">
        <f>O490+O499+O514+O538</f>
        <v>0</v>
      </c>
      <c r="P540" s="62">
        <f>P490+P499+P514+P538</f>
        <v>0</v>
      </c>
      <c r="Q540" s="62">
        <f t="shared" ref="Q540:AB540" si="227">Q490+Q499+Q514+Q538</f>
        <v>0</v>
      </c>
      <c r="R540" s="62">
        <f t="shared" si="227"/>
        <v>2294468.860985558</v>
      </c>
      <c r="S540" s="62">
        <f t="shared" si="227"/>
        <v>0</v>
      </c>
      <c r="T540" s="62">
        <f t="shared" si="227"/>
        <v>2285840.7198717846</v>
      </c>
      <c r="U540" s="62">
        <f t="shared" si="227"/>
        <v>3861146.3975803666</v>
      </c>
      <c r="V540" s="62">
        <f t="shared" si="227"/>
        <v>756972.84189520229</v>
      </c>
      <c r="W540" s="62">
        <f t="shared" si="227"/>
        <v>1317944.1506281546</v>
      </c>
      <c r="X540" s="62">
        <f t="shared" si="227"/>
        <v>214386.23873627349</v>
      </c>
      <c r="Y540" s="62">
        <f t="shared" si="227"/>
        <v>119500.58441743354</v>
      </c>
      <c r="Z540" s="62">
        <f t="shared" si="227"/>
        <v>54624.483716633593</v>
      </c>
      <c r="AA540" s="62">
        <f t="shared" si="227"/>
        <v>4648097.8497791598</v>
      </c>
      <c r="AB540" s="62">
        <f t="shared" si="227"/>
        <v>187932.13640545908</v>
      </c>
      <c r="AC540" s="62">
        <f>AC490+AC499+AC514+AC538</f>
        <v>6530471.1273467047</v>
      </c>
      <c r="AD540" s="62">
        <f>AD490+AD499+AD514+AD538</f>
        <v>1422705.1256976379</v>
      </c>
      <c r="AE540" s="62">
        <f>AE490+AE499+AE514+AE538</f>
        <v>0</v>
      </c>
      <c r="AF540" s="63">
        <f>SUM(H540:AE540)</f>
        <v>73368547.409999996</v>
      </c>
      <c r="AG540" s="58" t="str">
        <f>IF(ABS(AF540-F540)&lt;1,"ok","err")</f>
        <v>ok</v>
      </c>
    </row>
    <row r="541" spans="1:33">
      <c r="A541" s="60"/>
      <c r="B541" s="60"/>
      <c r="F541" s="78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58"/>
    </row>
    <row r="542" spans="1:33">
      <c r="A542" s="60" t="s">
        <v>19</v>
      </c>
      <c r="B542" s="60"/>
      <c r="C542" s="44" t="s">
        <v>99</v>
      </c>
      <c r="F542" s="79">
        <f t="shared" ref="F542:M542" si="228">F540-F430</f>
        <v>73368547.409999996</v>
      </c>
      <c r="G542" s="64">
        <f t="shared" si="228"/>
        <v>0</v>
      </c>
      <c r="H542" s="64">
        <f t="shared" si="228"/>
        <v>24034851.784580022</v>
      </c>
      <c r="I542" s="64">
        <f t="shared" si="228"/>
        <v>0</v>
      </c>
      <c r="J542" s="64">
        <f t="shared" si="228"/>
        <v>0</v>
      </c>
      <c r="K542" s="64">
        <f t="shared" si="228"/>
        <v>20124089.731171191</v>
      </c>
      <c r="L542" s="64">
        <f t="shared" si="228"/>
        <v>0</v>
      </c>
      <c r="M542" s="64">
        <f t="shared" si="228"/>
        <v>0</v>
      </c>
      <c r="N542" s="64">
        <f>N540-N430</f>
        <v>5515515.3771884199</v>
      </c>
      <c r="O542" s="64">
        <f>O540-O430</f>
        <v>0</v>
      </c>
      <c r="P542" s="64">
        <f>P540-P430</f>
        <v>0</v>
      </c>
      <c r="Q542" s="64">
        <f t="shared" ref="Q542:AB542" si="229">Q540-Q430</f>
        <v>0</v>
      </c>
      <c r="R542" s="64">
        <f t="shared" si="229"/>
        <v>2294468.860985558</v>
      </c>
      <c r="S542" s="64">
        <f t="shared" si="229"/>
        <v>0</v>
      </c>
      <c r="T542" s="64">
        <f t="shared" si="229"/>
        <v>2285840.7198717846</v>
      </c>
      <c r="U542" s="64">
        <f t="shared" si="229"/>
        <v>3861146.3975803666</v>
      </c>
      <c r="V542" s="64">
        <f t="shared" si="229"/>
        <v>756972.84189520229</v>
      </c>
      <c r="W542" s="64">
        <f t="shared" si="229"/>
        <v>1317944.1506281546</v>
      </c>
      <c r="X542" s="64">
        <f t="shared" si="229"/>
        <v>214386.23873627349</v>
      </c>
      <c r="Y542" s="64">
        <f t="shared" si="229"/>
        <v>119500.58441743354</v>
      </c>
      <c r="Z542" s="64">
        <f t="shared" si="229"/>
        <v>54624.483716633593</v>
      </c>
      <c r="AA542" s="64">
        <f t="shared" si="229"/>
        <v>4648097.8497791598</v>
      </c>
      <c r="AB542" s="64">
        <f t="shared" si="229"/>
        <v>187932.13640545908</v>
      </c>
      <c r="AC542" s="64">
        <f>AC540-AC430</f>
        <v>6530471.1273467047</v>
      </c>
      <c r="AD542" s="64">
        <f>AD540-AD430</f>
        <v>1422705.1256976379</v>
      </c>
      <c r="AE542" s="64">
        <f>AE540-AE430</f>
        <v>0</v>
      </c>
      <c r="AF542" s="63">
        <f>SUM(H542:AE542)</f>
        <v>73368547.409999996</v>
      </c>
      <c r="AG542" s="58" t="str">
        <f>IF(ABS(AF542-F542)&lt;1,"ok","err")</f>
        <v>ok</v>
      </c>
    </row>
    <row r="543" spans="1:33">
      <c r="A543" s="60"/>
      <c r="B543" s="60"/>
      <c r="F543" s="79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3"/>
      <c r="AG543" s="58"/>
    </row>
    <row r="544" spans="1:33">
      <c r="A544" s="60"/>
      <c r="B544" s="60"/>
      <c r="F544" s="79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3"/>
      <c r="AG544" s="58"/>
    </row>
    <row r="545" spans="1:33">
      <c r="A545" s="60"/>
      <c r="B545" s="60"/>
      <c r="F545" s="79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3"/>
      <c r="AG545" s="58"/>
    </row>
    <row r="546" spans="1:33">
      <c r="A546" s="60"/>
      <c r="B546" s="60"/>
      <c r="F546" s="79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3"/>
      <c r="AG546" s="58"/>
    </row>
    <row r="547" spans="1:33">
      <c r="A547" s="60"/>
      <c r="B547" s="60"/>
      <c r="F547" s="79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3"/>
      <c r="AG547" s="58"/>
    </row>
    <row r="548" spans="1:33">
      <c r="A548" s="60"/>
      <c r="B548" s="60"/>
      <c r="F548" s="79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3"/>
      <c r="AG548" s="58"/>
    </row>
    <row r="549" spans="1:33">
      <c r="A549" s="60"/>
      <c r="B549" s="60"/>
      <c r="F549" s="79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3"/>
      <c r="AG549" s="58"/>
    </row>
    <row r="550" spans="1:33">
      <c r="A550" s="60"/>
      <c r="B550" s="60"/>
      <c r="F550" s="79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3"/>
      <c r="AG550" s="58"/>
    </row>
    <row r="551" spans="1:33">
      <c r="A551" s="60"/>
      <c r="B551" s="60"/>
      <c r="F551" s="79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3"/>
      <c r="AG551" s="58"/>
    </row>
    <row r="552" spans="1:33">
      <c r="A552" s="60"/>
      <c r="B552" s="60"/>
      <c r="F552" s="79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3"/>
      <c r="AG552" s="58"/>
    </row>
    <row r="553" spans="1:33">
      <c r="A553" s="60"/>
      <c r="B553" s="60"/>
      <c r="F553" s="79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3"/>
      <c r="AG553" s="58"/>
    </row>
    <row r="554" spans="1:33">
      <c r="A554" s="60"/>
      <c r="B554" s="60"/>
      <c r="F554" s="79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3"/>
      <c r="AG554" s="58"/>
    </row>
    <row r="555" spans="1:33">
      <c r="A555" s="60"/>
      <c r="B555" s="60"/>
      <c r="F555" s="79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3"/>
      <c r="AG555" s="58"/>
    </row>
    <row r="556" spans="1:33">
      <c r="A556" s="60"/>
      <c r="B556" s="60"/>
      <c r="F556" s="79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3"/>
      <c r="AG556" s="58"/>
    </row>
    <row r="557" spans="1:33">
      <c r="A557" s="60"/>
      <c r="B557" s="60"/>
      <c r="F557" s="79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3"/>
      <c r="AG557" s="58"/>
    </row>
    <row r="558" spans="1:33">
      <c r="A558" s="60"/>
      <c r="B558" s="60"/>
      <c r="F558" s="79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3"/>
      <c r="AG558" s="58"/>
    </row>
    <row r="559" spans="1:33">
      <c r="A559" s="60"/>
      <c r="B559" s="60"/>
      <c r="F559" s="79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3"/>
      <c r="AG559" s="58"/>
    </row>
    <row r="560" spans="1:33">
      <c r="A560" s="60"/>
      <c r="B560" s="60"/>
      <c r="F560" s="79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3"/>
      <c r="AG560" s="58"/>
    </row>
    <row r="561" spans="1:33">
      <c r="A561" s="60"/>
      <c r="B561" s="60"/>
      <c r="F561" s="79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3"/>
      <c r="AG561" s="58"/>
    </row>
    <row r="562" spans="1:33">
      <c r="A562" s="60"/>
      <c r="B562" s="60"/>
      <c r="F562" s="79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3"/>
      <c r="AG562" s="58"/>
    </row>
    <row r="563" spans="1:33">
      <c r="A563" s="60"/>
      <c r="B563" s="60"/>
      <c r="F563" s="79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3"/>
      <c r="AG563" s="58"/>
    </row>
    <row r="564" spans="1:33">
      <c r="A564" s="60"/>
      <c r="B564" s="60"/>
      <c r="F564" s="79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3"/>
      <c r="AG564" s="58"/>
    </row>
    <row r="565" spans="1:33">
      <c r="A565" s="60"/>
      <c r="B565" s="60"/>
      <c r="F565" s="79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3"/>
      <c r="AG565" s="58"/>
    </row>
    <row r="566" spans="1:33">
      <c r="A566" s="60"/>
      <c r="B566" s="60"/>
      <c r="F566" s="79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3"/>
      <c r="AG566" s="58"/>
    </row>
    <row r="567" spans="1:33">
      <c r="A567" s="60"/>
      <c r="B567" s="60"/>
      <c r="F567" s="79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3"/>
      <c r="AG567" s="58"/>
    </row>
    <row r="568" spans="1:33" ht="15">
      <c r="A568" s="59" t="s">
        <v>996</v>
      </c>
      <c r="B568" s="60"/>
      <c r="F568" s="111"/>
      <c r="AG568" s="58"/>
    </row>
    <row r="569" spans="1:33">
      <c r="A569" s="60"/>
      <c r="B569" s="60"/>
      <c r="AG569" s="58"/>
    </row>
    <row r="570" spans="1:33" ht="15">
      <c r="A570" s="65" t="s">
        <v>997</v>
      </c>
      <c r="B570" s="60"/>
      <c r="AG570" s="58"/>
    </row>
    <row r="571" spans="1:33">
      <c r="A571" s="68" t="s">
        <v>303</v>
      </c>
      <c r="B571" s="60"/>
      <c r="C571" s="44" t="s">
        <v>21</v>
      </c>
      <c r="D571" s="44" t="s">
        <v>191</v>
      </c>
      <c r="F571" s="75">
        <v>179722988.35269237</v>
      </c>
      <c r="H571" s="63">
        <f t="shared" ref="H571:Q578" si="230">IF(VLOOKUP($D571,$C$6:$AE$653,H$2,)=0,0,((VLOOKUP($D571,$C$6:$AE$653,H$2,)/VLOOKUP($D571,$C$6:$AE$653,4,))*$F571))</f>
        <v>179722988.35269237</v>
      </c>
      <c r="I571" s="63">
        <f t="shared" si="230"/>
        <v>0</v>
      </c>
      <c r="J571" s="63">
        <f t="shared" si="230"/>
        <v>0</v>
      </c>
      <c r="K571" s="63">
        <f t="shared" si="230"/>
        <v>0</v>
      </c>
      <c r="L571" s="63">
        <f t="shared" si="230"/>
        <v>0</v>
      </c>
      <c r="M571" s="63">
        <f t="shared" si="230"/>
        <v>0</v>
      </c>
      <c r="N571" s="63">
        <f t="shared" si="230"/>
        <v>0</v>
      </c>
      <c r="O571" s="63">
        <f t="shared" si="230"/>
        <v>0</v>
      </c>
      <c r="P571" s="63">
        <f t="shared" si="230"/>
        <v>0</v>
      </c>
      <c r="Q571" s="63">
        <f t="shared" si="230"/>
        <v>0</v>
      </c>
      <c r="R571" s="63">
        <f t="shared" ref="R571:AE578" si="231">IF(VLOOKUP($D571,$C$6:$AE$653,R$2,)=0,0,((VLOOKUP($D571,$C$6:$AE$653,R$2,)/VLOOKUP($D571,$C$6:$AE$653,4,))*$F571))</f>
        <v>0</v>
      </c>
      <c r="S571" s="63">
        <f t="shared" si="231"/>
        <v>0</v>
      </c>
      <c r="T571" s="63">
        <f t="shared" si="231"/>
        <v>0</v>
      </c>
      <c r="U571" s="63">
        <f t="shared" si="231"/>
        <v>0</v>
      </c>
      <c r="V571" s="63">
        <f t="shared" si="231"/>
        <v>0</v>
      </c>
      <c r="W571" s="63">
        <f t="shared" si="231"/>
        <v>0</v>
      </c>
      <c r="X571" s="63">
        <f t="shared" si="231"/>
        <v>0</v>
      </c>
      <c r="Y571" s="63">
        <f t="shared" si="231"/>
        <v>0</v>
      </c>
      <c r="Z571" s="63">
        <f t="shared" si="231"/>
        <v>0</v>
      </c>
      <c r="AA571" s="63">
        <f t="shared" si="231"/>
        <v>0</v>
      </c>
      <c r="AB571" s="63">
        <f t="shared" si="231"/>
        <v>0</v>
      </c>
      <c r="AC571" s="63">
        <f t="shared" si="231"/>
        <v>0</v>
      </c>
      <c r="AD571" s="63">
        <f t="shared" si="231"/>
        <v>0</v>
      </c>
      <c r="AE571" s="63">
        <f t="shared" si="231"/>
        <v>0</v>
      </c>
      <c r="AF571" s="63">
        <f t="shared" ref="AF571:AF578" si="232">SUM(H571:AE571)</f>
        <v>179722988.35269237</v>
      </c>
      <c r="AG571" s="58" t="str">
        <f t="shared" ref="AG571:AG578" si="233">IF(ABS(AF571-F571)&lt;1,"ok","err")</f>
        <v>ok</v>
      </c>
    </row>
    <row r="572" spans="1:33">
      <c r="A572" s="68" t="s">
        <v>302</v>
      </c>
      <c r="B572" s="60"/>
      <c r="C572" s="44" t="s">
        <v>34</v>
      </c>
      <c r="D572" s="44" t="s">
        <v>191</v>
      </c>
      <c r="F572" s="78">
        <v>5725979.8709662594</v>
      </c>
      <c r="H572" s="63">
        <f t="shared" si="230"/>
        <v>5725979.8709662594</v>
      </c>
      <c r="I572" s="63">
        <f t="shared" si="230"/>
        <v>0</v>
      </c>
      <c r="J572" s="63">
        <f t="shared" si="230"/>
        <v>0</v>
      </c>
      <c r="K572" s="63">
        <f t="shared" si="230"/>
        <v>0</v>
      </c>
      <c r="L572" s="63">
        <f t="shared" si="230"/>
        <v>0</v>
      </c>
      <c r="M572" s="63">
        <f t="shared" si="230"/>
        <v>0</v>
      </c>
      <c r="N572" s="63">
        <f t="shared" si="230"/>
        <v>0</v>
      </c>
      <c r="O572" s="63">
        <f t="shared" si="230"/>
        <v>0</v>
      </c>
      <c r="P572" s="63">
        <f t="shared" si="230"/>
        <v>0</v>
      </c>
      <c r="Q572" s="63">
        <f t="shared" si="230"/>
        <v>0</v>
      </c>
      <c r="R572" s="63">
        <f t="shared" si="231"/>
        <v>0</v>
      </c>
      <c r="S572" s="63">
        <f t="shared" si="231"/>
        <v>0</v>
      </c>
      <c r="T572" s="63">
        <f t="shared" si="231"/>
        <v>0</v>
      </c>
      <c r="U572" s="63">
        <f t="shared" si="231"/>
        <v>0</v>
      </c>
      <c r="V572" s="63">
        <f t="shared" si="231"/>
        <v>0</v>
      </c>
      <c r="W572" s="63">
        <f t="shared" si="231"/>
        <v>0</v>
      </c>
      <c r="X572" s="63">
        <f t="shared" si="231"/>
        <v>0</v>
      </c>
      <c r="Y572" s="63">
        <f t="shared" si="231"/>
        <v>0</v>
      </c>
      <c r="Z572" s="63">
        <f t="shared" si="231"/>
        <v>0</v>
      </c>
      <c r="AA572" s="63">
        <f t="shared" si="231"/>
        <v>0</v>
      </c>
      <c r="AB572" s="63">
        <f t="shared" si="231"/>
        <v>0</v>
      </c>
      <c r="AC572" s="63">
        <f t="shared" si="231"/>
        <v>0</v>
      </c>
      <c r="AD572" s="63">
        <f t="shared" si="231"/>
        <v>0</v>
      </c>
      <c r="AE572" s="63">
        <f t="shared" si="231"/>
        <v>0</v>
      </c>
      <c r="AF572" s="63">
        <f t="shared" si="232"/>
        <v>5725979.8709662594</v>
      </c>
      <c r="AG572" s="58" t="str">
        <f t="shared" si="233"/>
        <v>ok</v>
      </c>
    </row>
    <row r="573" spans="1:33">
      <c r="A573" s="256" t="s">
        <v>301</v>
      </c>
      <c r="B573" s="60"/>
      <c r="C573" s="44" t="s">
        <v>35</v>
      </c>
      <c r="D573" s="44" t="s">
        <v>191</v>
      </c>
      <c r="F573" s="78">
        <f>13010803.436897-611017</f>
        <v>12399786.436897</v>
      </c>
      <c r="H573" s="63">
        <f t="shared" si="230"/>
        <v>12399786.436897</v>
      </c>
      <c r="I573" s="63">
        <f t="shared" si="230"/>
        <v>0</v>
      </c>
      <c r="J573" s="63">
        <f t="shared" si="230"/>
        <v>0</v>
      </c>
      <c r="K573" s="63">
        <f t="shared" si="230"/>
        <v>0</v>
      </c>
      <c r="L573" s="63">
        <f t="shared" si="230"/>
        <v>0</v>
      </c>
      <c r="M573" s="63">
        <f t="shared" si="230"/>
        <v>0</v>
      </c>
      <c r="N573" s="63">
        <f t="shared" si="230"/>
        <v>0</v>
      </c>
      <c r="O573" s="63">
        <f t="shared" si="230"/>
        <v>0</v>
      </c>
      <c r="P573" s="63">
        <f t="shared" si="230"/>
        <v>0</v>
      </c>
      <c r="Q573" s="63">
        <f t="shared" si="230"/>
        <v>0</v>
      </c>
      <c r="R573" s="63">
        <f t="shared" si="231"/>
        <v>0</v>
      </c>
      <c r="S573" s="63">
        <f t="shared" si="231"/>
        <v>0</v>
      </c>
      <c r="T573" s="63">
        <f t="shared" si="231"/>
        <v>0</v>
      </c>
      <c r="U573" s="63">
        <f t="shared" si="231"/>
        <v>0</v>
      </c>
      <c r="V573" s="63">
        <f t="shared" si="231"/>
        <v>0</v>
      </c>
      <c r="W573" s="63">
        <f t="shared" si="231"/>
        <v>0</v>
      </c>
      <c r="X573" s="63">
        <f t="shared" si="231"/>
        <v>0</v>
      </c>
      <c r="Y573" s="63">
        <f t="shared" si="231"/>
        <v>0</v>
      </c>
      <c r="Z573" s="63">
        <f t="shared" si="231"/>
        <v>0</v>
      </c>
      <c r="AA573" s="63">
        <f t="shared" si="231"/>
        <v>0</v>
      </c>
      <c r="AB573" s="63">
        <f t="shared" si="231"/>
        <v>0</v>
      </c>
      <c r="AC573" s="63">
        <f t="shared" si="231"/>
        <v>0</v>
      </c>
      <c r="AD573" s="63">
        <f t="shared" si="231"/>
        <v>0</v>
      </c>
      <c r="AE573" s="63">
        <f t="shared" si="231"/>
        <v>0</v>
      </c>
      <c r="AF573" s="63">
        <f t="shared" si="232"/>
        <v>12399786.436897</v>
      </c>
      <c r="AG573" s="58" t="str">
        <f t="shared" si="233"/>
        <v>ok</v>
      </c>
    </row>
    <row r="574" spans="1:33">
      <c r="A574" s="60" t="s">
        <v>304</v>
      </c>
      <c r="B574" s="60"/>
      <c r="C574" s="44" t="s">
        <v>36</v>
      </c>
      <c r="D574" s="44" t="s">
        <v>1087</v>
      </c>
      <c r="F574" s="78">
        <v>12287716.575704392</v>
      </c>
      <c r="H574" s="63">
        <f t="shared" si="230"/>
        <v>0</v>
      </c>
      <c r="I574" s="63">
        <f t="shared" si="230"/>
        <v>0</v>
      </c>
      <c r="J574" s="63">
        <f t="shared" si="230"/>
        <v>0</v>
      </c>
      <c r="K574" s="63">
        <f t="shared" si="230"/>
        <v>0</v>
      </c>
      <c r="L574" s="63">
        <f t="shared" si="230"/>
        <v>0</v>
      </c>
      <c r="M574" s="63">
        <f t="shared" si="230"/>
        <v>0</v>
      </c>
      <c r="N574" s="63">
        <f t="shared" si="230"/>
        <v>12287716.575704392</v>
      </c>
      <c r="O574" s="63">
        <f t="shared" si="230"/>
        <v>0</v>
      </c>
      <c r="P574" s="63">
        <f t="shared" si="230"/>
        <v>0</v>
      </c>
      <c r="Q574" s="63">
        <f t="shared" si="230"/>
        <v>0</v>
      </c>
      <c r="R574" s="63">
        <f t="shared" si="231"/>
        <v>0</v>
      </c>
      <c r="S574" s="63">
        <f t="shared" si="231"/>
        <v>0</v>
      </c>
      <c r="T574" s="63">
        <f t="shared" si="231"/>
        <v>0</v>
      </c>
      <c r="U574" s="63">
        <f t="shared" si="231"/>
        <v>0</v>
      </c>
      <c r="V574" s="63">
        <f t="shared" si="231"/>
        <v>0</v>
      </c>
      <c r="W574" s="63">
        <f t="shared" si="231"/>
        <v>0</v>
      </c>
      <c r="X574" s="63">
        <f t="shared" si="231"/>
        <v>0</v>
      </c>
      <c r="Y574" s="63">
        <f t="shared" si="231"/>
        <v>0</v>
      </c>
      <c r="Z574" s="63">
        <f t="shared" si="231"/>
        <v>0</v>
      </c>
      <c r="AA574" s="63">
        <f t="shared" si="231"/>
        <v>0</v>
      </c>
      <c r="AB574" s="63">
        <f t="shared" si="231"/>
        <v>0</v>
      </c>
      <c r="AC574" s="63">
        <f t="shared" si="231"/>
        <v>0</v>
      </c>
      <c r="AD574" s="63">
        <f t="shared" si="231"/>
        <v>0</v>
      </c>
      <c r="AE574" s="63">
        <f t="shared" si="231"/>
        <v>0</v>
      </c>
      <c r="AF574" s="63">
        <f t="shared" si="232"/>
        <v>12287716.575704392</v>
      </c>
      <c r="AG574" s="58" t="str">
        <f t="shared" si="233"/>
        <v>ok</v>
      </c>
    </row>
    <row r="575" spans="1:33">
      <c r="A575" s="60" t="s">
        <v>305</v>
      </c>
      <c r="B575" s="60"/>
      <c r="C575" s="44" t="s">
        <v>37</v>
      </c>
      <c r="D575" s="44" t="s">
        <v>1087</v>
      </c>
      <c r="F575" s="78">
        <v>0</v>
      </c>
      <c r="H575" s="63">
        <f t="shared" si="230"/>
        <v>0</v>
      </c>
      <c r="I575" s="63">
        <f t="shared" si="230"/>
        <v>0</v>
      </c>
      <c r="J575" s="63">
        <f t="shared" si="230"/>
        <v>0</v>
      </c>
      <c r="K575" s="63">
        <f t="shared" si="230"/>
        <v>0</v>
      </c>
      <c r="L575" s="63">
        <f t="shared" si="230"/>
        <v>0</v>
      </c>
      <c r="M575" s="63">
        <f t="shared" si="230"/>
        <v>0</v>
      </c>
      <c r="N575" s="63">
        <f t="shared" si="230"/>
        <v>0</v>
      </c>
      <c r="O575" s="63">
        <f t="shared" si="230"/>
        <v>0</v>
      </c>
      <c r="P575" s="63">
        <f t="shared" si="230"/>
        <v>0</v>
      </c>
      <c r="Q575" s="63">
        <f t="shared" si="230"/>
        <v>0</v>
      </c>
      <c r="R575" s="63">
        <f t="shared" si="231"/>
        <v>0</v>
      </c>
      <c r="S575" s="63">
        <f t="shared" si="231"/>
        <v>0</v>
      </c>
      <c r="T575" s="63">
        <f t="shared" si="231"/>
        <v>0</v>
      </c>
      <c r="U575" s="63">
        <f t="shared" si="231"/>
        <v>0</v>
      </c>
      <c r="V575" s="63">
        <f t="shared" si="231"/>
        <v>0</v>
      </c>
      <c r="W575" s="63">
        <f t="shared" si="231"/>
        <v>0</v>
      </c>
      <c r="X575" s="63">
        <f t="shared" si="231"/>
        <v>0</v>
      </c>
      <c r="Y575" s="63">
        <f t="shared" si="231"/>
        <v>0</v>
      </c>
      <c r="Z575" s="63">
        <f t="shared" si="231"/>
        <v>0</v>
      </c>
      <c r="AA575" s="63">
        <f t="shared" si="231"/>
        <v>0</v>
      </c>
      <c r="AB575" s="63">
        <f t="shared" si="231"/>
        <v>0</v>
      </c>
      <c r="AC575" s="63">
        <f t="shared" si="231"/>
        <v>0</v>
      </c>
      <c r="AD575" s="63">
        <f t="shared" si="231"/>
        <v>0</v>
      </c>
      <c r="AE575" s="63">
        <f t="shared" si="231"/>
        <v>0</v>
      </c>
      <c r="AF575" s="63">
        <f t="shared" si="232"/>
        <v>0</v>
      </c>
      <c r="AG575" s="58" t="str">
        <f t="shared" si="233"/>
        <v>ok</v>
      </c>
    </row>
    <row r="576" spans="1:33">
      <c r="A576" s="60" t="s">
        <v>307</v>
      </c>
      <c r="B576" s="60"/>
      <c r="C576" s="44" t="s">
        <v>38</v>
      </c>
      <c r="D576" s="44" t="s">
        <v>861</v>
      </c>
      <c r="F576" s="78">
        <v>42603324.121205993</v>
      </c>
      <c r="H576" s="63">
        <f t="shared" si="230"/>
        <v>0</v>
      </c>
      <c r="I576" s="63">
        <f t="shared" si="230"/>
        <v>0</v>
      </c>
      <c r="J576" s="63">
        <f t="shared" si="230"/>
        <v>0</v>
      </c>
      <c r="K576" s="63">
        <f t="shared" si="230"/>
        <v>0</v>
      </c>
      <c r="L576" s="63">
        <f t="shared" si="230"/>
        <v>0</v>
      </c>
      <c r="M576" s="63">
        <f t="shared" si="230"/>
        <v>0</v>
      </c>
      <c r="N576" s="63">
        <f t="shared" si="230"/>
        <v>0</v>
      </c>
      <c r="O576" s="63">
        <f t="shared" si="230"/>
        <v>0</v>
      </c>
      <c r="P576" s="63">
        <f t="shared" si="230"/>
        <v>0</v>
      </c>
      <c r="Q576" s="63">
        <f t="shared" si="230"/>
        <v>0</v>
      </c>
      <c r="R576" s="63">
        <f t="shared" si="231"/>
        <v>5312706.683166367</v>
      </c>
      <c r="S576" s="63">
        <f t="shared" si="231"/>
        <v>0</v>
      </c>
      <c r="T576" s="63">
        <f t="shared" si="231"/>
        <v>8155954.0276885545</v>
      </c>
      <c r="U576" s="63">
        <f t="shared" si="231"/>
        <v>13346638.319651207</v>
      </c>
      <c r="V576" s="63">
        <f t="shared" si="231"/>
        <v>2275585.6001564953</v>
      </c>
      <c r="W576" s="63">
        <f t="shared" si="231"/>
        <v>3888418.7926495997</v>
      </c>
      <c r="X576" s="63">
        <f t="shared" si="231"/>
        <v>2787720.5267416714</v>
      </c>
      <c r="Y576" s="63">
        <f t="shared" si="231"/>
        <v>1553897.4614313252</v>
      </c>
      <c r="Z576" s="63">
        <f t="shared" si="231"/>
        <v>993516.92944754823</v>
      </c>
      <c r="AA576" s="63">
        <f t="shared" si="231"/>
        <v>1013215.861953288</v>
      </c>
      <c r="AB576" s="63">
        <f t="shared" si="231"/>
        <v>3275669.918319942</v>
      </c>
      <c r="AC576" s="63">
        <f t="shared" si="231"/>
        <v>0</v>
      </c>
      <c r="AD576" s="63">
        <f t="shared" si="231"/>
        <v>0</v>
      </c>
      <c r="AE576" s="63">
        <f t="shared" si="231"/>
        <v>0</v>
      </c>
      <c r="AF576" s="63">
        <f t="shared" si="232"/>
        <v>42603324.121205993</v>
      </c>
      <c r="AG576" s="58" t="str">
        <f t="shared" si="233"/>
        <v>ok</v>
      </c>
    </row>
    <row r="577" spans="1:33">
      <c r="A577" s="68" t="s">
        <v>599</v>
      </c>
      <c r="B577" s="60"/>
      <c r="C577" s="44" t="s">
        <v>39</v>
      </c>
      <c r="D577" s="44" t="s">
        <v>884</v>
      </c>
      <c r="F577" s="78">
        <f>804798.3901624+23936088.87-339957-8694-9196</f>
        <v>24383040.260162402</v>
      </c>
      <c r="H577" s="63">
        <f t="shared" si="230"/>
        <v>14884317.450516297</v>
      </c>
      <c r="I577" s="63">
        <f t="shared" si="230"/>
        <v>0</v>
      </c>
      <c r="J577" s="63">
        <f t="shared" si="230"/>
        <v>0</v>
      </c>
      <c r="K577" s="63">
        <f t="shared" si="230"/>
        <v>0</v>
      </c>
      <c r="L577" s="63">
        <f t="shared" si="230"/>
        <v>0</v>
      </c>
      <c r="M577" s="63">
        <f t="shared" si="230"/>
        <v>0</v>
      </c>
      <c r="N577" s="63">
        <f t="shared" si="230"/>
        <v>2286078.286994854</v>
      </c>
      <c r="O577" s="63">
        <f t="shared" si="230"/>
        <v>0</v>
      </c>
      <c r="P577" s="63">
        <f t="shared" si="230"/>
        <v>0</v>
      </c>
      <c r="Q577" s="63">
        <f t="shared" si="230"/>
        <v>0</v>
      </c>
      <c r="R577" s="63">
        <f t="shared" si="231"/>
        <v>899428.98938534467</v>
      </c>
      <c r="S577" s="63">
        <f t="shared" si="231"/>
        <v>0</v>
      </c>
      <c r="T577" s="63">
        <f t="shared" si="231"/>
        <v>1380784.2077637871</v>
      </c>
      <c r="U577" s="63">
        <f t="shared" si="231"/>
        <v>2259555.0877243271</v>
      </c>
      <c r="V577" s="63">
        <f t="shared" si="231"/>
        <v>385251.39418928965</v>
      </c>
      <c r="W577" s="63">
        <f t="shared" si="231"/>
        <v>658300.33418961335</v>
      </c>
      <c r="X577" s="63">
        <f t="shared" si="231"/>
        <v>471954.65618321334</v>
      </c>
      <c r="Y577" s="63">
        <f t="shared" si="231"/>
        <v>263071.25664815534</v>
      </c>
      <c r="Z577" s="63">
        <f t="shared" si="231"/>
        <v>168200.1249234516</v>
      </c>
      <c r="AA577" s="63">
        <f t="shared" si="231"/>
        <v>171535.10876732678</v>
      </c>
      <c r="AB577" s="63">
        <f t="shared" si="231"/>
        <v>554563.36287674156</v>
      </c>
      <c r="AC577" s="63">
        <f t="shared" si="231"/>
        <v>0</v>
      </c>
      <c r="AD577" s="63">
        <f t="shared" si="231"/>
        <v>0</v>
      </c>
      <c r="AE577" s="63">
        <f t="shared" si="231"/>
        <v>0</v>
      </c>
      <c r="AF577" s="63">
        <f t="shared" si="232"/>
        <v>24383040.260162406</v>
      </c>
      <c r="AG577" s="58" t="str">
        <f t="shared" si="233"/>
        <v>ok</v>
      </c>
    </row>
    <row r="578" spans="1:33">
      <c r="A578" s="68" t="s">
        <v>306</v>
      </c>
      <c r="B578" s="60"/>
      <c r="C578" s="44" t="s">
        <v>1339</v>
      </c>
      <c r="D578" s="44" t="s">
        <v>863</v>
      </c>
      <c r="F578" s="78"/>
      <c r="H578" s="63">
        <f t="shared" si="230"/>
        <v>0</v>
      </c>
      <c r="I578" s="63">
        <f t="shared" si="230"/>
        <v>0</v>
      </c>
      <c r="J578" s="63">
        <f t="shared" si="230"/>
        <v>0</v>
      </c>
      <c r="K578" s="63">
        <f t="shared" si="230"/>
        <v>0</v>
      </c>
      <c r="L578" s="63">
        <f t="shared" si="230"/>
        <v>0</v>
      </c>
      <c r="M578" s="63">
        <f t="shared" si="230"/>
        <v>0</v>
      </c>
      <c r="N578" s="63">
        <f t="shared" si="230"/>
        <v>0</v>
      </c>
      <c r="O578" s="63">
        <f t="shared" si="230"/>
        <v>0</v>
      </c>
      <c r="P578" s="63">
        <f t="shared" si="230"/>
        <v>0</v>
      </c>
      <c r="Q578" s="63">
        <f t="shared" si="230"/>
        <v>0</v>
      </c>
      <c r="R578" s="63">
        <f t="shared" si="231"/>
        <v>0</v>
      </c>
      <c r="S578" s="63">
        <f t="shared" si="231"/>
        <v>0</v>
      </c>
      <c r="T578" s="63">
        <f t="shared" si="231"/>
        <v>0</v>
      </c>
      <c r="U578" s="63">
        <f t="shared" si="231"/>
        <v>0</v>
      </c>
      <c r="V578" s="63">
        <f t="shared" si="231"/>
        <v>0</v>
      </c>
      <c r="W578" s="63">
        <f t="shared" si="231"/>
        <v>0</v>
      </c>
      <c r="X578" s="63">
        <f t="shared" si="231"/>
        <v>0</v>
      </c>
      <c r="Y578" s="63">
        <f t="shared" si="231"/>
        <v>0</v>
      </c>
      <c r="Z578" s="63">
        <f t="shared" si="231"/>
        <v>0</v>
      </c>
      <c r="AA578" s="63">
        <f t="shared" si="231"/>
        <v>0</v>
      </c>
      <c r="AB578" s="63">
        <f t="shared" si="231"/>
        <v>0</v>
      </c>
      <c r="AC578" s="63">
        <f t="shared" si="231"/>
        <v>0</v>
      </c>
      <c r="AD578" s="63">
        <f t="shared" si="231"/>
        <v>0</v>
      </c>
      <c r="AE578" s="63">
        <f t="shared" si="231"/>
        <v>0</v>
      </c>
      <c r="AF578" s="63">
        <f t="shared" si="232"/>
        <v>0</v>
      </c>
      <c r="AG578" s="58" t="str">
        <f t="shared" si="233"/>
        <v>ok</v>
      </c>
    </row>
    <row r="579" spans="1:33">
      <c r="A579" s="60"/>
      <c r="B579" s="60"/>
      <c r="F579" s="78"/>
      <c r="AG579" s="58"/>
    </row>
    <row r="580" spans="1:33">
      <c r="A580" s="60" t="s">
        <v>998</v>
      </c>
      <c r="B580" s="60"/>
      <c r="C580" s="44" t="s">
        <v>999</v>
      </c>
      <c r="F580" s="75">
        <f>SUM(F571:F579)</f>
        <v>277122835.6176284</v>
      </c>
      <c r="H580" s="63">
        <f t="shared" ref="H580:M580" si="234">SUM(H571:H579)</f>
        <v>212733072.11107191</v>
      </c>
      <c r="I580" s="63">
        <f t="shared" si="234"/>
        <v>0</v>
      </c>
      <c r="J580" s="63">
        <f t="shared" si="234"/>
        <v>0</v>
      </c>
      <c r="K580" s="63">
        <f t="shared" si="234"/>
        <v>0</v>
      </c>
      <c r="L580" s="63">
        <f t="shared" si="234"/>
        <v>0</v>
      </c>
      <c r="M580" s="63">
        <f t="shared" si="234"/>
        <v>0</v>
      </c>
      <c r="N580" s="63">
        <f>SUM(N571:N579)</f>
        <v>14573794.862699246</v>
      </c>
      <c r="O580" s="63">
        <f>SUM(O571:O579)</f>
        <v>0</v>
      </c>
      <c r="P580" s="63">
        <f>SUM(P571:P579)</f>
        <v>0</v>
      </c>
      <c r="Q580" s="63">
        <f t="shared" ref="Q580:AB580" si="235">SUM(Q571:Q579)</f>
        <v>0</v>
      </c>
      <c r="R580" s="63">
        <f t="shared" si="235"/>
        <v>6212135.672551712</v>
      </c>
      <c r="S580" s="63">
        <f t="shared" si="235"/>
        <v>0</v>
      </c>
      <c r="T580" s="63">
        <f t="shared" si="235"/>
        <v>9536738.2354523409</v>
      </c>
      <c r="U580" s="63">
        <f t="shared" si="235"/>
        <v>15606193.407375533</v>
      </c>
      <c r="V580" s="63">
        <f t="shared" si="235"/>
        <v>2660836.9943457851</v>
      </c>
      <c r="W580" s="63">
        <f t="shared" si="235"/>
        <v>4546719.1268392131</v>
      </c>
      <c r="X580" s="63">
        <f t="shared" si="235"/>
        <v>3259675.1829248848</v>
      </c>
      <c r="Y580" s="63">
        <f t="shared" si="235"/>
        <v>1816968.7180794806</v>
      </c>
      <c r="Z580" s="63">
        <f t="shared" si="235"/>
        <v>1161717.0543709998</v>
      </c>
      <c r="AA580" s="63">
        <f t="shared" si="235"/>
        <v>1184750.9707206148</v>
      </c>
      <c r="AB580" s="63">
        <f t="shared" si="235"/>
        <v>3830233.2811966836</v>
      </c>
      <c r="AC580" s="63">
        <f>SUM(AC571:AC579)</f>
        <v>0</v>
      </c>
      <c r="AD580" s="63">
        <f>SUM(AD571:AD579)</f>
        <v>0</v>
      </c>
      <c r="AE580" s="63">
        <f>SUM(AE571:AE579)</f>
        <v>0</v>
      </c>
      <c r="AF580" s="63">
        <f>SUM(H580:AE580)</f>
        <v>277122835.61762846</v>
      </c>
      <c r="AG580" s="58" t="str">
        <f>IF(ABS(AF580-F580)&lt;1,"ok","err")</f>
        <v>ok</v>
      </c>
    </row>
    <row r="581" spans="1:33">
      <c r="A581" s="60"/>
      <c r="B581" s="60"/>
      <c r="F581" s="75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58"/>
    </row>
    <row r="582" spans="1:33" ht="15">
      <c r="A582" s="65" t="s">
        <v>720</v>
      </c>
      <c r="B582" s="60"/>
      <c r="F582" s="75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58"/>
    </row>
    <row r="583" spans="1:33" ht="15">
      <c r="A583" s="65"/>
      <c r="B583" s="60" t="s">
        <v>683</v>
      </c>
      <c r="C583" s="93" t="s">
        <v>721</v>
      </c>
      <c r="D583" s="44" t="s">
        <v>616</v>
      </c>
      <c r="F583" s="75">
        <v>0</v>
      </c>
      <c r="H583" s="63">
        <f t="shared" ref="H583:Q586" si="236">IF(VLOOKUP($D583,$C$6:$AE$653,H$2,)=0,0,((VLOOKUP($D583,$C$6:$AE$653,H$2,)/VLOOKUP($D583,$C$6:$AE$653,4,))*$F583))</f>
        <v>0</v>
      </c>
      <c r="I583" s="63">
        <f t="shared" si="236"/>
        <v>0</v>
      </c>
      <c r="J583" s="63">
        <f t="shared" si="236"/>
        <v>0</v>
      </c>
      <c r="K583" s="63">
        <f t="shared" si="236"/>
        <v>0</v>
      </c>
      <c r="L583" s="63">
        <f t="shared" si="236"/>
        <v>0</v>
      </c>
      <c r="M583" s="63">
        <f t="shared" si="236"/>
        <v>0</v>
      </c>
      <c r="N583" s="63">
        <f t="shared" si="236"/>
        <v>0</v>
      </c>
      <c r="O583" s="63">
        <f t="shared" si="236"/>
        <v>0</v>
      </c>
      <c r="P583" s="63">
        <f t="shared" si="236"/>
        <v>0</v>
      </c>
      <c r="Q583" s="63">
        <f t="shared" si="236"/>
        <v>0</v>
      </c>
      <c r="R583" s="63">
        <f t="shared" ref="R583:AE586" si="237">IF(VLOOKUP($D583,$C$6:$AE$653,R$2,)=0,0,((VLOOKUP($D583,$C$6:$AE$653,R$2,)/VLOOKUP($D583,$C$6:$AE$653,4,))*$F583))</f>
        <v>0</v>
      </c>
      <c r="S583" s="63">
        <f t="shared" si="237"/>
        <v>0</v>
      </c>
      <c r="T583" s="63">
        <f t="shared" si="237"/>
        <v>0</v>
      </c>
      <c r="U583" s="63">
        <f t="shared" si="237"/>
        <v>0</v>
      </c>
      <c r="V583" s="63">
        <f t="shared" si="237"/>
        <v>0</v>
      </c>
      <c r="W583" s="63">
        <f t="shared" si="237"/>
        <v>0</v>
      </c>
      <c r="X583" s="63">
        <f t="shared" si="237"/>
        <v>0</v>
      </c>
      <c r="Y583" s="63">
        <f t="shared" si="237"/>
        <v>0</v>
      </c>
      <c r="Z583" s="63">
        <f t="shared" si="237"/>
        <v>0</v>
      </c>
      <c r="AA583" s="63">
        <f t="shared" si="237"/>
        <v>0</v>
      </c>
      <c r="AB583" s="63">
        <f t="shared" si="237"/>
        <v>0</v>
      </c>
      <c r="AC583" s="63">
        <f t="shared" si="237"/>
        <v>0</v>
      </c>
      <c r="AD583" s="63">
        <f t="shared" si="237"/>
        <v>0</v>
      </c>
      <c r="AE583" s="63">
        <f t="shared" si="237"/>
        <v>0</v>
      </c>
      <c r="AF583" s="63">
        <f>SUM(H583:AE583)</f>
        <v>0</v>
      </c>
      <c r="AG583" s="58" t="str">
        <f>IF(ABS(AF583-F583)&lt;1,"ok","err")</f>
        <v>ok</v>
      </c>
    </row>
    <row r="584" spans="1:33" ht="15">
      <c r="A584" s="65"/>
      <c r="B584" s="60" t="s">
        <v>1056</v>
      </c>
      <c r="C584" s="93" t="s">
        <v>722</v>
      </c>
      <c r="D584" s="44" t="s">
        <v>1087</v>
      </c>
      <c r="F584" s="78">
        <v>0</v>
      </c>
      <c r="H584" s="63">
        <f t="shared" si="236"/>
        <v>0</v>
      </c>
      <c r="I584" s="63">
        <f t="shared" si="236"/>
        <v>0</v>
      </c>
      <c r="J584" s="63">
        <f t="shared" si="236"/>
        <v>0</v>
      </c>
      <c r="K584" s="63">
        <f t="shared" si="236"/>
        <v>0</v>
      </c>
      <c r="L584" s="63">
        <f t="shared" si="236"/>
        <v>0</v>
      </c>
      <c r="M584" s="63">
        <f t="shared" si="236"/>
        <v>0</v>
      </c>
      <c r="N584" s="63">
        <f t="shared" si="236"/>
        <v>0</v>
      </c>
      <c r="O584" s="63">
        <f t="shared" si="236"/>
        <v>0</v>
      </c>
      <c r="P584" s="63">
        <f t="shared" si="236"/>
        <v>0</v>
      </c>
      <c r="Q584" s="63">
        <f t="shared" si="236"/>
        <v>0</v>
      </c>
      <c r="R584" s="63">
        <f t="shared" si="237"/>
        <v>0</v>
      </c>
      <c r="S584" s="63">
        <f t="shared" si="237"/>
        <v>0</v>
      </c>
      <c r="T584" s="63">
        <f t="shared" si="237"/>
        <v>0</v>
      </c>
      <c r="U584" s="63">
        <f t="shared" si="237"/>
        <v>0</v>
      </c>
      <c r="V584" s="63">
        <f t="shared" si="237"/>
        <v>0</v>
      </c>
      <c r="W584" s="63">
        <f t="shared" si="237"/>
        <v>0</v>
      </c>
      <c r="X584" s="63">
        <f t="shared" si="237"/>
        <v>0</v>
      </c>
      <c r="Y584" s="63">
        <f t="shared" si="237"/>
        <v>0</v>
      </c>
      <c r="Z584" s="63">
        <f t="shared" si="237"/>
        <v>0</v>
      </c>
      <c r="AA584" s="63">
        <f t="shared" si="237"/>
        <v>0</v>
      </c>
      <c r="AB584" s="63">
        <f t="shared" si="237"/>
        <v>0</v>
      </c>
      <c r="AC584" s="63">
        <f t="shared" si="237"/>
        <v>0</v>
      </c>
      <c r="AD584" s="63">
        <f t="shared" si="237"/>
        <v>0</v>
      </c>
      <c r="AE584" s="63">
        <f t="shared" si="237"/>
        <v>0</v>
      </c>
      <c r="AF584" s="63">
        <f>SUM(H584:AE584)</f>
        <v>0</v>
      </c>
      <c r="AG584" s="58" t="str">
        <f>IF(ABS(AF584-F584)&lt;1,"ok","err")</f>
        <v>ok</v>
      </c>
    </row>
    <row r="585" spans="1:33" ht="15">
      <c r="A585" s="65"/>
      <c r="B585" s="60" t="s">
        <v>864</v>
      </c>
      <c r="C585" s="93" t="s">
        <v>723</v>
      </c>
      <c r="D585" s="44" t="s">
        <v>861</v>
      </c>
      <c r="F585" s="78">
        <v>0</v>
      </c>
      <c r="H585" s="63">
        <f t="shared" si="236"/>
        <v>0</v>
      </c>
      <c r="I585" s="63">
        <f t="shared" si="236"/>
        <v>0</v>
      </c>
      <c r="J585" s="63">
        <f t="shared" si="236"/>
        <v>0</v>
      </c>
      <c r="K585" s="63">
        <f t="shared" si="236"/>
        <v>0</v>
      </c>
      <c r="L585" s="63">
        <f t="shared" si="236"/>
        <v>0</v>
      </c>
      <c r="M585" s="63">
        <f t="shared" si="236"/>
        <v>0</v>
      </c>
      <c r="N585" s="63">
        <f t="shared" si="236"/>
        <v>0</v>
      </c>
      <c r="O585" s="63">
        <f t="shared" si="236"/>
        <v>0</v>
      </c>
      <c r="P585" s="63">
        <f t="shared" si="236"/>
        <v>0</v>
      </c>
      <c r="Q585" s="63">
        <f t="shared" si="236"/>
        <v>0</v>
      </c>
      <c r="R585" s="63">
        <f t="shared" si="237"/>
        <v>0</v>
      </c>
      <c r="S585" s="63">
        <f t="shared" si="237"/>
        <v>0</v>
      </c>
      <c r="T585" s="63">
        <f t="shared" si="237"/>
        <v>0</v>
      </c>
      <c r="U585" s="63">
        <f t="shared" si="237"/>
        <v>0</v>
      </c>
      <c r="V585" s="63">
        <f t="shared" si="237"/>
        <v>0</v>
      </c>
      <c r="W585" s="63">
        <f t="shared" si="237"/>
        <v>0</v>
      </c>
      <c r="X585" s="63">
        <f t="shared" si="237"/>
        <v>0</v>
      </c>
      <c r="Y585" s="63">
        <f t="shared" si="237"/>
        <v>0</v>
      </c>
      <c r="Z585" s="63">
        <f t="shared" si="237"/>
        <v>0</v>
      </c>
      <c r="AA585" s="63">
        <f t="shared" si="237"/>
        <v>0</v>
      </c>
      <c r="AB585" s="63">
        <f t="shared" si="237"/>
        <v>0</v>
      </c>
      <c r="AC585" s="63">
        <f t="shared" si="237"/>
        <v>0</v>
      </c>
      <c r="AD585" s="63">
        <f t="shared" si="237"/>
        <v>0</v>
      </c>
      <c r="AE585" s="63">
        <f t="shared" si="237"/>
        <v>0</v>
      </c>
      <c r="AF585" s="63">
        <f>SUM(H585:AE585)</f>
        <v>0</v>
      </c>
      <c r="AG585" s="58" t="str">
        <f>IF(ABS(AF585-F585)&lt;1,"ok","err")</f>
        <v>ok</v>
      </c>
    </row>
    <row r="586" spans="1:33" ht="15">
      <c r="A586" s="65"/>
      <c r="B586" s="60" t="s">
        <v>684</v>
      </c>
      <c r="C586" s="93" t="s">
        <v>724</v>
      </c>
      <c r="D586" s="44" t="s">
        <v>884</v>
      </c>
      <c r="F586" s="78">
        <v>0</v>
      </c>
      <c r="H586" s="63">
        <f t="shared" si="236"/>
        <v>0</v>
      </c>
      <c r="I586" s="63">
        <f t="shared" si="236"/>
        <v>0</v>
      </c>
      <c r="J586" s="63">
        <f t="shared" si="236"/>
        <v>0</v>
      </c>
      <c r="K586" s="63">
        <f t="shared" si="236"/>
        <v>0</v>
      </c>
      <c r="L586" s="63">
        <f t="shared" si="236"/>
        <v>0</v>
      </c>
      <c r="M586" s="63">
        <f t="shared" si="236"/>
        <v>0</v>
      </c>
      <c r="N586" s="63">
        <f t="shared" si="236"/>
        <v>0</v>
      </c>
      <c r="O586" s="63">
        <f t="shared" si="236"/>
        <v>0</v>
      </c>
      <c r="P586" s="63">
        <f t="shared" si="236"/>
        <v>0</v>
      </c>
      <c r="Q586" s="63">
        <f t="shared" si="236"/>
        <v>0</v>
      </c>
      <c r="R586" s="63">
        <f t="shared" si="237"/>
        <v>0</v>
      </c>
      <c r="S586" s="63">
        <f t="shared" si="237"/>
        <v>0</v>
      </c>
      <c r="T586" s="63">
        <f t="shared" si="237"/>
        <v>0</v>
      </c>
      <c r="U586" s="63">
        <f t="shared" si="237"/>
        <v>0</v>
      </c>
      <c r="V586" s="63">
        <f t="shared" si="237"/>
        <v>0</v>
      </c>
      <c r="W586" s="63">
        <f t="shared" si="237"/>
        <v>0</v>
      </c>
      <c r="X586" s="63">
        <f t="shared" si="237"/>
        <v>0</v>
      </c>
      <c r="Y586" s="63">
        <f t="shared" si="237"/>
        <v>0</v>
      </c>
      <c r="Z586" s="63">
        <f t="shared" si="237"/>
        <v>0</v>
      </c>
      <c r="AA586" s="63">
        <f t="shared" si="237"/>
        <v>0</v>
      </c>
      <c r="AB586" s="63">
        <f t="shared" si="237"/>
        <v>0</v>
      </c>
      <c r="AC586" s="63">
        <f t="shared" si="237"/>
        <v>0</v>
      </c>
      <c r="AD586" s="63">
        <f t="shared" si="237"/>
        <v>0</v>
      </c>
      <c r="AE586" s="63">
        <f t="shared" si="237"/>
        <v>0</v>
      </c>
      <c r="AF586" s="63">
        <f>SUM(H586:AE586)</f>
        <v>0</v>
      </c>
      <c r="AG586" s="58" t="str">
        <f>IF(ABS(AF586-F586)&lt;1,"ok","err")</f>
        <v>ok</v>
      </c>
    </row>
    <row r="587" spans="1:33" ht="15">
      <c r="A587" s="65"/>
      <c r="B587" s="60"/>
      <c r="F587" s="75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58"/>
    </row>
    <row r="588" spans="1:33">
      <c r="A588" s="60" t="s">
        <v>719</v>
      </c>
      <c r="B588" s="60"/>
      <c r="C588" s="93" t="s">
        <v>726</v>
      </c>
      <c r="F588" s="75">
        <f>SUM(F583:F587)</f>
        <v>0</v>
      </c>
      <c r="H588" s="62">
        <f t="shared" ref="H588:AE588" si="238">SUM(H583:H587)</f>
        <v>0</v>
      </c>
      <c r="I588" s="62">
        <f t="shared" si="238"/>
        <v>0</v>
      </c>
      <c r="J588" s="62">
        <f t="shared" si="238"/>
        <v>0</v>
      </c>
      <c r="K588" s="62">
        <f t="shared" si="238"/>
        <v>0</v>
      </c>
      <c r="L588" s="62">
        <f t="shared" si="238"/>
        <v>0</v>
      </c>
      <c r="M588" s="62">
        <f t="shared" si="238"/>
        <v>0</v>
      </c>
      <c r="N588" s="62">
        <f t="shared" si="238"/>
        <v>0</v>
      </c>
      <c r="O588" s="62">
        <f t="shared" si="238"/>
        <v>0</v>
      </c>
      <c r="P588" s="62">
        <f t="shared" si="238"/>
        <v>0</v>
      </c>
      <c r="Q588" s="62">
        <f t="shared" si="238"/>
        <v>0</v>
      </c>
      <c r="R588" s="62">
        <f t="shared" si="238"/>
        <v>0</v>
      </c>
      <c r="S588" s="62">
        <f t="shared" si="238"/>
        <v>0</v>
      </c>
      <c r="T588" s="62">
        <f t="shared" si="238"/>
        <v>0</v>
      </c>
      <c r="U588" s="62">
        <f t="shared" si="238"/>
        <v>0</v>
      </c>
      <c r="V588" s="62">
        <f t="shared" si="238"/>
        <v>0</v>
      </c>
      <c r="W588" s="62">
        <f t="shared" si="238"/>
        <v>0</v>
      </c>
      <c r="X588" s="62">
        <f t="shared" si="238"/>
        <v>0</v>
      </c>
      <c r="Y588" s="62">
        <f t="shared" si="238"/>
        <v>0</v>
      </c>
      <c r="Z588" s="62">
        <f t="shared" si="238"/>
        <v>0</v>
      </c>
      <c r="AA588" s="62">
        <f t="shared" si="238"/>
        <v>0</v>
      </c>
      <c r="AB588" s="62">
        <f t="shared" si="238"/>
        <v>0</v>
      </c>
      <c r="AC588" s="62">
        <f t="shared" si="238"/>
        <v>0</v>
      </c>
      <c r="AD588" s="62">
        <f t="shared" si="238"/>
        <v>0</v>
      </c>
      <c r="AE588" s="62">
        <f t="shared" si="238"/>
        <v>0</v>
      </c>
      <c r="AF588" s="63">
        <f>SUM(H588:AE588)</f>
        <v>0</v>
      </c>
      <c r="AG588" s="58" t="str">
        <f>IF(ABS(AF588-F588)&lt;1,"ok","err")</f>
        <v>ok</v>
      </c>
    </row>
    <row r="589" spans="1:33">
      <c r="A589" s="60"/>
      <c r="B589" s="60"/>
      <c r="F589" s="78"/>
      <c r="AG589" s="58"/>
    </row>
    <row r="590" spans="1:33" ht="15">
      <c r="A590" s="65" t="s">
        <v>690</v>
      </c>
      <c r="B590" s="60"/>
      <c r="F590" s="75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58"/>
    </row>
    <row r="591" spans="1:33" ht="15">
      <c r="A591" s="65"/>
      <c r="B591" s="60" t="s">
        <v>683</v>
      </c>
      <c r="C591" s="44" t="s">
        <v>691</v>
      </c>
      <c r="D591" s="44" t="s">
        <v>616</v>
      </c>
      <c r="F591" s="75">
        <v>0</v>
      </c>
      <c r="H591" s="63">
        <f t="shared" ref="H591:Q594" si="239">IF(VLOOKUP($D591,$C$6:$AE$653,H$2,)=0,0,((VLOOKUP($D591,$C$6:$AE$653,H$2,)/VLOOKUP($D591,$C$6:$AE$653,4,))*$F591))</f>
        <v>0</v>
      </c>
      <c r="I591" s="63">
        <f t="shared" si="239"/>
        <v>0</v>
      </c>
      <c r="J591" s="63">
        <f t="shared" si="239"/>
        <v>0</v>
      </c>
      <c r="K591" s="63">
        <f t="shared" si="239"/>
        <v>0</v>
      </c>
      <c r="L591" s="63">
        <f t="shared" si="239"/>
        <v>0</v>
      </c>
      <c r="M591" s="63">
        <f t="shared" si="239"/>
        <v>0</v>
      </c>
      <c r="N591" s="63">
        <f t="shared" si="239"/>
        <v>0</v>
      </c>
      <c r="O591" s="63">
        <f t="shared" si="239"/>
        <v>0</v>
      </c>
      <c r="P591" s="63">
        <f t="shared" si="239"/>
        <v>0</v>
      </c>
      <c r="Q591" s="63">
        <f t="shared" si="239"/>
        <v>0</v>
      </c>
      <c r="R591" s="63">
        <f t="shared" ref="R591:AE594" si="240">IF(VLOOKUP($D591,$C$6:$AE$653,R$2,)=0,0,((VLOOKUP($D591,$C$6:$AE$653,R$2,)/VLOOKUP($D591,$C$6:$AE$653,4,))*$F591))</f>
        <v>0</v>
      </c>
      <c r="S591" s="63">
        <f t="shared" si="240"/>
        <v>0</v>
      </c>
      <c r="T591" s="63">
        <f t="shared" si="240"/>
        <v>0</v>
      </c>
      <c r="U591" s="63">
        <f t="shared" si="240"/>
        <v>0</v>
      </c>
      <c r="V591" s="63">
        <f t="shared" si="240"/>
        <v>0</v>
      </c>
      <c r="W591" s="63">
        <f t="shared" si="240"/>
        <v>0</v>
      </c>
      <c r="X591" s="63">
        <f t="shared" si="240"/>
        <v>0</v>
      </c>
      <c r="Y591" s="63">
        <f t="shared" si="240"/>
        <v>0</v>
      </c>
      <c r="Z591" s="63">
        <f t="shared" si="240"/>
        <v>0</v>
      </c>
      <c r="AA591" s="63">
        <f t="shared" si="240"/>
        <v>0</v>
      </c>
      <c r="AB591" s="63">
        <f t="shared" si="240"/>
        <v>0</v>
      </c>
      <c r="AC591" s="63">
        <f t="shared" si="240"/>
        <v>0</v>
      </c>
      <c r="AD591" s="63">
        <f t="shared" si="240"/>
        <v>0</v>
      </c>
      <c r="AE591" s="63">
        <f t="shared" si="240"/>
        <v>0</v>
      </c>
      <c r="AF591" s="63">
        <f>SUM(H591:AE591)</f>
        <v>0</v>
      </c>
      <c r="AG591" s="58" t="str">
        <f>IF(ABS(AF591-F591)&lt;1,"ok","err")</f>
        <v>ok</v>
      </c>
    </row>
    <row r="592" spans="1:33" ht="15">
      <c r="A592" s="65"/>
      <c r="B592" s="60" t="s">
        <v>1056</v>
      </c>
      <c r="C592" s="44" t="s">
        <v>693</v>
      </c>
      <c r="D592" s="44" t="s">
        <v>1087</v>
      </c>
      <c r="F592" s="78">
        <v>0</v>
      </c>
      <c r="H592" s="63">
        <f t="shared" si="239"/>
        <v>0</v>
      </c>
      <c r="I592" s="63">
        <f t="shared" si="239"/>
        <v>0</v>
      </c>
      <c r="J592" s="63">
        <f t="shared" si="239"/>
        <v>0</v>
      </c>
      <c r="K592" s="63">
        <f t="shared" si="239"/>
        <v>0</v>
      </c>
      <c r="L592" s="63">
        <f t="shared" si="239"/>
        <v>0</v>
      </c>
      <c r="M592" s="63">
        <f t="shared" si="239"/>
        <v>0</v>
      </c>
      <c r="N592" s="63">
        <f t="shared" si="239"/>
        <v>0</v>
      </c>
      <c r="O592" s="63">
        <f t="shared" si="239"/>
        <v>0</v>
      </c>
      <c r="P592" s="63">
        <f t="shared" si="239"/>
        <v>0</v>
      </c>
      <c r="Q592" s="63">
        <f t="shared" si="239"/>
        <v>0</v>
      </c>
      <c r="R592" s="63">
        <f t="shared" si="240"/>
        <v>0</v>
      </c>
      <c r="S592" s="63">
        <f t="shared" si="240"/>
        <v>0</v>
      </c>
      <c r="T592" s="63">
        <f t="shared" si="240"/>
        <v>0</v>
      </c>
      <c r="U592" s="63">
        <f t="shared" si="240"/>
        <v>0</v>
      </c>
      <c r="V592" s="63">
        <f t="shared" si="240"/>
        <v>0</v>
      </c>
      <c r="W592" s="63">
        <f t="shared" si="240"/>
        <v>0</v>
      </c>
      <c r="X592" s="63">
        <f t="shared" si="240"/>
        <v>0</v>
      </c>
      <c r="Y592" s="63">
        <f t="shared" si="240"/>
        <v>0</v>
      </c>
      <c r="Z592" s="63">
        <f t="shared" si="240"/>
        <v>0</v>
      </c>
      <c r="AA592" s="63">
        <f t="shared" si="240"/>
        <v>0</v>
      </c>
      <c r="AB592" s="63">
        <f t="shared" si="240"/>
        <v>0</v>
      </c>
      <c r="AC592" s="63">
        <f t="shared" si="240"/>
        <v>0</v>
      </c>
      <c r="AD592" s="63">
        <f t="shared" si="240"/>
        <v>0</v>
      </c>
      <c r="AE592" s="63">
        <f t="shared" si="240"/>
        <v>0</v>
      </c>
      <c r="AF592" s="63">
        <f>SUM(H592:AE592)</f>
        <v>0</v>
      </c>
      <c r="AG592" s="58" t="str">
        <f>IF(ABS(AF592-F592)&lt;1,"ok","err")</f>
        <v>ok</v>
      </c>
    </row>
    <row r="593" spans="1:33" ht="15">
      <c r="A593" s="65"/>
      <c r="B593" s="60" t="s">
        <v>864</v>
      </c>
      <c r="C593" s="44" t="s">
        <v>692</v>
      </c>
      <c r="D593" s="44" t="s">
        <v>861</v>
      </c>
      <c r="F593" s="78">
        <v>0</v>
      </c>
      <c r="H593" s="63">
        <f t="shared" si="239"/>
        <v>0</v>
      </c>
      <c r="I593" s="63">
        <f t="shared" si="239"/>
        <v>0</v>
      </c>
      <c r="J593" s="63">
        <f t="shared" si="239"/>
        <v>0</v>
      </c>
      <c r="K593" s="63">
        <f t="shared" si="239"/>
        <v>0</v>
      </c>
      <c r="L593" s="63">
        <f t="shared" si="239"/>
        <v>0</v>
      </c>
      <c r="M593" s="63">
        <f t="shared" si="239"/>
        <v>0</v>
      </c>
      <c r="N593" s="63">
        <f t="shared" si="239"/>
        <v>0</v>
      </c>
      <c r="O593" s="63">
        <f t="shared" si="239"/>
        <v>0</v>
      </c>
      <c r="P593" s="63">
        <f t="shared" si="239"/>
        <v>0</v>
      </c>
      <c r="Q593" s="63">
        <f t="shared" si="239"/>
        <v>0</v>
      </c>
      <c r="R593" s="63">
        <f t="shared" si="240"/>
        <v>0</v>
      </c>
      <c r="S593" s="63">
        <f t="shared" si="240"/>
        <v>0</v>
      </c>
      <c r="T593" s="63">
        <f t="shared" si="240"/>
        <v>0</v>
      </c>
      <c r="U593" s="63">
        <f t="shared" si="240"/>
        <v>0</v>
      </c>
      <c r="V593" s="63">
        <f t="shared" si="240"/>
        <v>0</v>
      </c>
      <c r="W593" s="63">
        <f t="shared" si="240"/>
        <v>0</v>
      </c>
      <c r="X593" s="63">
        <f t="shared" si="240"/>
        <v>0</v>
      </c>
      <c r="Y593" s="63">
        <f t="shared" si="240"/>
        <v>0</v>
      </c>
      <c r="Z593" s="63">
        <f t="shared" si="240"/>
        <v>0</v>
      </c>
      <c r="AA593" s="63">
        <f t="shared" si="240"/>
        <v>0</v>
      </c>
      <c r="AB593" s="63">
        <f t="shared" si="240"/>
        <v>0</v>
      </c>
      <c r="AC593" s="63">
        <f t="shared" si="240"/>
        <v>0</v>
      </c>
      <c r="AD593" s="63">
        <f t="shared" si="240"/>
        <v>0</v>
      </c>
      <c r="AE593" s="63">
        <f t="shared" si="240"/>
        <v>0</v>
      </c>
      <c r="AF593" s="63">
        <f>SUM(H593:AE593)</f>
        <v>0</v>
      </c>
      <c r="AG593" s="58" t="str">
        <f>IF(ABS(AF593-F593)&lt;1,"ok","err")</f>
        <v>ok</v>
      </c>
    </row>
    <row r="594" spans="1:33" ht="15">
      <c r="A594" s="65"/>
      <c r="B594" s="60" t="s">
        <v>684</v>
      </c>
      <c r="C594" s="93" t="s">
        <v>725</v>
      </c>
      <c r="D594" s="44" t="s">
        <v>884</v>
      </c>
      <c r="F594" s="78">
        <v>0</v>
      </c>
      <c r="H594" s="63">
        <f t="shared" si="239"/>
        <v>0</v>
      </c>
      <c r="I594" s="63">
        <f t="shared" si="239"/>
        <v>0</v>
      </c>
      <c r="J594" s="63">
        <f t="shared" si="239"/>
        <v>0</v>
      </c>
      <c r="K594" s="63">
        <f t="shared" si="239"/>
        <v>0</v>
      </c>
      <c r="L594" s="63">
        <f t="shared" si="239"/>
        <v>0</v>
      </c>
      <c r="M594" s="63">
        <f t="shared" si="239"/>
        <v>0</v>
      </c>
      <c r="N594" s="63">
        <f t="shared" si="239"/>
        <v>0</v>
      </c>
      <c r="O594" s="63">
        <f t="shared" si="239"/>
        <v>0</v>
      </c>
      <c r="P594" s="63">
        <f t="shared" si="239"/>
        <v>0</v>
      </c>
      <c r="Q594" s="63">
        <f t="shared" si="239"/>
        <v>0</v>
      </c>
      <c r="R594" s="63">
        <f t="shared" si="240"/>
        <v>0</v>
      </c>
      <c r="S594" s="63">
        <f t="shared" si="240"/>
        <v>0</v>
      </c>
      <c r="T594" s="63">
        <f t="shared" si="240"/>
        <v>0</v>
      </c>
      <c r="U594" s="63">
        <f t="shared" si="240"/>
        <v>0</v>
      </c>
      <c r="V594" s="63">
        <f t="shared" si="240"/>
        <v>0</v>
      </c>
      <c r="W594" s="63">
        <f t="shared" si="240"/>
        <v>0</v>
      </c>
      <c r="X594" s="63">
        <f t="shared" si="240"/>
        <v>0</v>
      </c>
      <c r="Y594" s="63">
        <f t="shared" si="240"/>
        <v>0</v>
      </c>
      <c r="Z594" s="63">
        <f t="shared" si="240"/>
        <v>0</v>
      </c>
      <c r="AA594" s="63">
        <f t="shared" si="240"/>
        <v>0</v>
      </c>
      <c r="AB594" s="63">
        <f t="shared" si="240"/>
        <v>0</v>
      </c>
      <c r="AC594" s="63">
        <f t="shared" si="240"/>
        <v>0</v>
      </c>
      <c r="AD594" s="63">
        <f t="shared" si="240"/>
        <v>0</v>
      </c>
      <c r="AE594" s="63">
        <f t="shared" si="240"/>
        <v>0</v>
      </c>
      <c r="AF594" s="63">
        <f>SUM(H594:AE594)</f>
        <v>0</v>
      </c>
      <c r="AG594" s="58" t="str">
        <f>IF(ABS(AF594-F594)&lt;1,"ok","err")</f>
        <v>ok</v>
      </c>
    </row>
    <row r="595" spans="1:33" ht="15">
      <c r="A595" s="65"/>
      <c r="B595" s="60"/>
      <c r="F595" s="75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58"/>
    </row>
    <row r="596" spans="1:33">
      <c r="A596" s="60" t="s">
        <v>694</v>
      </c>
      <c r="B596" s="60"/>
      <c r="C596" s="44" t="s">
        <v>696</v>
      </c>
      <c r="F596" s="75">
        <f>SUM(F591:F595)</f>
        <v>0</v>
      </c>
      <c r="H596" s="62">
        <f>SUM(H591:H595)</f>
        <v>0</v>
      </c>
      <c r="I596" s="62">
        <f t="shared" ref="I596:W596" si="241">SUM(I591:I595)</f>
        <v>0</v>
      </c>
      <c r="J596" s="62">
        <f t="shared" si="241"/>
        <v>0</v>
      </c>
      <c r="K596" s="62">
        <f t="shared" si="241"/>
        <v>0</v>
      </c>
      <c r="L596" s="62">
        <f t="shared" si="241"/>
        <v>0</v>
      </c>
      <c r="M596" s="62">
        <f t="shared" si="241"/>
        <v>0</v>
      </c>
      <c r="N596" s="62">
        <f t="shared" si="241"/>
        <v>0</v>
      </c>
      <c r="O596" s="62">
        <f t="shared" si="241"/>
        <v>0</v>
      </c>
      <c r="P596" s="62">
        <f t="shared" si="241"/>
        <v>0</v>
      </c>
      <c r="Q596" s="62">
        <f t="shared" si="241"/>
        <v>0</v>
      </c>
      <c r="R596" s="62">
        <f t="shared" si="241"/>
        <v>0</v>
      </c>
      <c r="S596" s="62">
        <f t="shared" si="241"/>
        <v>0</v>
      </c>
      <c r="T596" s="62">
        <f t="shared" si="241"/>
        <v>0</v>
      </c>
      <c r="U596" s="62">
        <f t="shared" si="241"/>
        <v>0</v>
      </c>
      <c r="V596" s="62">
        <f t="shared" si="241"/>
        <v>0</v>
      </c>
      <c r="W596" s="62">
        <f t="shared" si="241"/>
        <v>0</v>
      </c>
      <c r="X596" s="62">
        <f t="shared" ref="X596:AE596" si="242">SUM(X591:X595)</f>
        <v>0</v>
      </c>
      <c r="Y596" s="62">
        <f t="shared" si="242"/>
        <v>0</v>
      </c>
      <c r="Z596" s="62">
        <f t="shared" si="242"/>
        <v>0</v>
      </c>
      <c r="AA596" s="62">
        <f t="shared" si="242"/>
        <v>0</v>
      </c>
      <c r="AB596" s="62">
        <f t="shared" si="242"/>
        <v>0</v>
      </c>
      <c r="AC596" s="62">
        <f t="shared" si="242"/>
        <v>0</v>
      </c>
      <c r="AD596" s="62">
        <f t="shared" si="242"/>
        <v>0</v>
      </c>
      <c r="AE596" s="62">
        <f t="shared" si="242"/>
        <v>0</v>
      </c>
      <c r="AF596" s="63">
        <f>SUM(H596:AE596)</f>
        <v>0</v>
      </c>
      <c r="AG596" s="58" t="str">
        <f>IF(ABS(AF596-F596)&lt;1,"ok","err")</f>
        <v>ok</v>
      </c>
    </row>
    <row r="597" spans="1:33">
      <c r="A597" s="60"/>
      <c r="B597" s="60"/>
      <c r="F597" s="78"/>
      <c r="AG597" s="58"/>
    </row>
    <row r="598" spans="1:33">
      <c r="A598" s="60" t="s">
        <v>614</v>
      </c>
      <c r="B598" s="60"/>
      <c r="C598" s="44" t="s">
        <v>1000</v>
      </c>
      <c r="D598" s="44" t="s">
        <v>894</v>
      </c>
      <c r="F598" s="75">
        <f>42949138.113755-612416</f>
        <v>42336722.113755003</v>
      </c>
      <c r="H598" s="63">
        <f t="shared" ref="H598:AE598" si="243">IF(VLOOKUP($D598,$C$6:$AE$653,H$2,)=0,0,((VLOOKUP($D598,$C$6:$AE$653,H$2,)/VLOOKUP($D598,$C$6:$AE$653,4,))*$F598))</f>
        <v>25721710.883164674</v>
      </c>
      <c r="I598" s="63">
        <f t="shared" si="243"/>
        <v>0</v>
      </c>
      <c r="J598" s="63">
        <f t="shared" si="243"/>
        <v>0</v>
      </c>
      <c r="K598" s="63">
        <f t="shared" si="243"/>
        <v>0</v>
      </c>
      <c r="L598" s="63">
        <f t="shared" si="243"/>
        <v>0</v>
      </c>
      <c r="M598" s="63">
        <f t="shared" si="243"/>
        <v>0</v>
      </c>
      <c r="N598" s="63">
        <f t="shared" si="243"/>
        <v>4076188.9791705641</v>
      </c>
      <c r="O598" s="63">
        <f t="shared" si="243"/>
        <v>0</v>
      </c>
      <c r="P598" s="63">
        <f t="shared" si="243"/>
        <v>0</v>
      </c>
      <c r="Q598" s="63">
        <f t="shared" si="243"/>
        <v>0</v>
      </c>
      <c r="R598" s="63">
        <f t="shared" si="243"/>
        <v>1563612.3741103811</v>
      </c>
      <c r="S598" s="63">
        <f t="shared" si="243"/>
        <v>0</v>
      </c>
      <c r="T598" s="63">
        <f t="shared" si="243"/>
        <v>2400424.3789285575</v>
      </c>
      <c r="U598" s="63">
        <f t="shared" si="243"/>
        <v>3928123.6616180972</v>
      </c>
      <c r="V598" s="63">
        <f t="shared" si="243"/>
        <v>669740.30657974328</v>
      </c>
      <c r="W598" s="63">
        <f t="shared" si="243"/>
        <v>1144422.2507474481</v>
      </c>
      <c r="X598" s="63">
        <f t="shared" si="243"/>
        <v>820469.59697328508</v>
      </c>
      <c r="Y598" s="63">
        <f t="shared" si="243"/>
        <v>457336.24001704424</v>
      </c>
      <c r="Z598" s="63">
        <f t="shared" si="243"/>
        <v>292407.51605855033</v>
      </c>
      <c r="AA598" s="63">
        <f t="shared" si="243"/>
        <v>298205.21889810968</v>
      </c>
      <c r="AB598" s="63">
        <f t="shared" si="243"/>
        <v>964080.7074885543</v>
      </c>
      <c r="AC598" s="63">
        <f t="shared" si="243"/>
        <v>0</v>
      </c>
      <c r="AD598" s="63">
        <f t="shared" si="243"/>
        <v>0</v>
      </c>
      <c r="AE598" s="63">
        <f t="shared" si="243"/>
        <v>0</v>
      </c>
      <c r="AF598" s="63">
        <f>SUM(H598:AE598)</f>
        <v>42336722.11375501</v>
      </c>
      <c r="AG598" s="58" t="str">
        <f>IF(ABS(AF598-F598)&lt;1,"ok","err")</f>
        <v>ok</v>
      </c>
    </row>
    <row r="599" spans="1:33">
      <c r="A599" s="60"/>
      <c r="B599" s="60"/>
      <c r="AG599" s="58"/>
    </row>
    <row r="600" spans="1:33">
      <c r="A600" s="60" t="s">
        <v>687</v>
      </c>
      <c r="B600" s="60"/>
      <c r="C600" s="44" t="s">
        <v>515</v>
      </c>
      <c r="D600" s="44" t="s">
        <v>894</v>
      </c>
      <c r="F600" s="75">
        <v>-916996</v>
      </c>
      <c r="G600" s="62">
        <v>600157</v>
      </c>
      <c r="H600" s="63">
        <f t="shared" ref="H600:AE600" si="244">IF(VLOOKUP($D600,$C$6:$AE$653,H$2,)=0,0,((VLOOKUP($D600,$C$6:$AE$653,H$2,)/VLOOKUP($D600,$C$6:$AE$653,4,))*$F600))</f>
        <v>-557121.68574702344</v>
      </c>
      <c r="I600" s="63">
        <f t="shared" si="244"/>
        <v>0</v>
      </c>
      <c r="J600" s="63">
        <f t="shared" si="244"/>
        <v>0</v>
      </c>
      <c r="K600" s="63">
        <f t="shared" si="244"/>
        <v>0</v>
      </c>
      <c r="L600" s="63">
        <f t="shared" si="244"/>
        <v>0</v>
      </c>
      <c r="M600" s="63">
        <f t="shared" si="244"/>
        <v>0</v>
      </c>
      <c r="N600" s="63">
        <f t="shared" si="244"/>
        <v>-88288.577918248455</v>
      </c>
      <c r="O600" s="63">
        <f t="shared" si="244"/>
        <v>0</v>
      </c>
      <c r="P600" s="63">
        <f t="shared" si="244"/>
        <v>0</v>
      </c>
      <c r="Q600" s="63">
        <f t="shared" si="244"/>
        <v>0</v>
      </c>
      <c r="R600" s="63">
        <f t="shared" si="244"/>
        <v>-33867.201356712489</v>
      </c>
      <c r="S600" s="63">
        <f t="shared" si="244"/>
        <v>0</v>
      </c>
      <c r="T600" s="63">
        <f t="shared" si="244"/>
        <v>-51992.205439655867</v>
      </c>
      <c r="U600" s="63">
        <f t="shared" si="244"/>
        <v>-85081.543996974957</v>
      </c>
      <c r="V600" s="63">
        <f t="shared" si="244"/>
        <v>-14506.2997678997</v>
      </c>
      <c r="W600" s="63">
        <f t="shared" si="244"/>
        <v>-24787.715577665182</v>
      </c>
      <c r="X600" s="63">
        <f t="shared" si="244"/>
        <v>-17771.034245980842</v>
      </c>
      <c r="Y600" s="63">
        <f t="shared" si="244"/>
        <v>-9905.7149871887777</v>
      </c>
      <c r="Z600" s="63">
        <f t="shared" si="244"/>
        <v>-6333.4266142562346</v>
      </c>
      <c r="AA600" s="63">
        <f t="shared" si="244"/>
        <v>-6459.0024748242704</v>
      </c>
      <c r="AB600" s="63">
        <f t="shared" si="244"/>
        <v>-20881.59187356992</v>
      </c>
      <c r="AC600" s="63">
        <f t="shared" si="244"/>
        <v>0</v>
      </c>
      <c r="AD600" s="63">
        <f t="shared" si="244"/>
        <v>0</v>
      </c>
      <c r="AE600" s="63">
        <f t="shared" si="244"/>
        <v>0</v>
      </c>
      <c r="AF600" s="63">
        <f>SUM(H600:AE600)</f>
        <v>-916996</v>
      </c>
      <c r="AG600" s="58" t="str">
        <f>IF(ABS(AF600-F600)&lt;1,"ok","err")</f>
        <v>ok</v>
      </c>
    </row>
    <row r="601" spans="1:33">
      <c r="A601" s="60"/>
      <c r="B601" s="60"/>
      <c r="W601" s="44"/>
    </row>
    <row r="602" spans="1:33">
      <c r="A602" s="60" t="s">
        <v>718</v>
      </c>
      <c r="B602" s="60"/>
      <c r="C602" s="44" t="s">
        <v>1001</v>
      </c>
      <c r="D602" s="44" t="s">
        <v>894</v>
      </c>
      <c r="F602" s="75">
        <v>0</v>
      </c>
      <c r="G602" s="62">
        <v>600157</v>
      </c>
      <c r="H602" s="63">
        <f t="shared" ref="H602:AE602" si="245">IF(VLOOKUP($D602,$C$6:$AE$653,H$2,)=0,0,((VLOOKUP($D602,$C$6:$AE$653,H$2,)/VLOOKUP($D602,$C$6:$AE$653,4,))*$F602))</f>
        <v>0</v>
      </c>
      <c r="I602" s="63">
        <f t="shared" si="245"/>
        <v>0</v>
      </c>
      <c r="J602" s="63">
        <f t="shared" si="245"/>
        <v>0</v>
      </c>
      <c r="K602" s="63">
        <f t="shared" si="245"/>
        <v>0</v>
      </c>
      <c r="L602" s="63">
        <f t="shared" si="245"/>
        <v>0</v>
      </c>
      <c r="M602" s="63">
        <f t="shared" si="245"/>
        <v>0</v>
      </c>
      <c r="N602" s="63">
        <f t="shared" si="245"/>
        <v>0</v>
      </c>
      <c r="O602" s="63">
        <f t="shared" si="245"/>
        <v>0</v>
      </c>
      <c r="P602" s="63">
        <f t="shared" si="245"/>
        <v>0</v>
      </c>
      <c r="Q602" s="63">
        <f t="shared" si="245"/>
        <v>0</v>
      </c>
      <c r="R602" s="63">
        <f t="shared" si="245"/>
        <v>0</v>
      </c>
      <c r="S602" s="63">
        <f t="shared" si="245"/>
        <v>0</v>
      </c>
      <c r="T602" s="63">
        <f t="shared" si="245"/>
        <v>0</v>
      </c>
      <c r="U602" s="63">
        <f t="shared" si="245"/>
        <v>0</v>
      </c>
      <c r="V602" s="63">
        <f t="shared" si="245"/>
        <v>0</v>
      </c>
      <c r="W602" s="63">
        <f t="shared" si="245"/>
        <v>0</v>
      </c>
      <c r="X602" s="63">
        <f t="shared" si="245"/>
        <v>0</v>
      </c>
      <c r="Y602" s="63">
        <f t="shared" si="245"/>
        <v>0</v>
      </c>
      <c r="Z602" s="63">
        <f t="shared" si="245"/>
        <v>0</v>
      </c>
      <c r="AA602" s="63">
        <f t="shared" si="245"/>
        <v>0</v>
      </c>
      <c r="AB602" s="63">
        <f t="shared" si="245"/>
        <v>0</v>
      </c>
      <c r="AC602" s="63">
        <f t="shared" si="245"/>
        <v>0</v>
      </c>
      <c r="AD602" s="63">
        <f t="shared" si="245"/>
        <v>0</v>
      </c>
      <c r="AE602" s="63">
        <f t="shared" si="245"/>
        <v>0</v>
      </c>
      <c r="AF602" s="63">
        <f>SUM(H602:AE602)</f>
        <v>0</v>
      </c>
      <c r="AG602" s="58" t="str">
        <f>IF(ABS(AF602-F602)&lt;1,"ok","err")</f>
        <v>ok</v>
      </c>
    </row>
    <row r="603" spans="1:33">
      <c r="A603" s="60"/>
      <c r="B603" s="60"/>
      <c r="W603" s="44"/>
    </row>
    <row r="604" spans="1:33">
      <c r="A604" s="60" t="s">
        <v>810</v>
      </c>
      <c r="B604" s="60"/>
      <c r="C604" s="44" t="s">
        <v>1002</v>
      </c>
      <c r="D604" s="44" t="s">
        <v>894</v>
      </c>
      <c r="F604" s="75">
        <v>75433705.043134421</v>
      </c>
      <c r="H604" s="63">
        <f t="shared" ref="H604:AE604" si="246">IF(VLOOKUP($D604,$C$6:$AE$653,H$2,)=0,0,((VLOOKUP($D604,$C$6:$AE$653,H$2,)/VLOOKUP($D604,$C$6:$AE$653,4,))*$F604))</f>
        <v>45829810.507106677</v>
      </c>
      <c r="I604" s="63">
        <f t="shared" si="246"/>
        <v>0</v>
      </c>
      <c r="J604" s="63">
        <f t="shared" si="246"/>
        <v>0</v>
      </c>
      <c r="K604" s="63">
        <f t="shared" si="246"/>
        <v>0</v>
      </c>
      <c r="L604" s="63">
        <f t="shared" si="246"/>
        <v>0</v>
      </c>
      <c r="M604" s="63">
        <f t="shared" si="246"/>
        <v>0</v>
      </c>
      <c r="N604" s="63">
        <f t="shared" si="246"/>
        <v>7262773.8238366842</v>
      </c>
      <c r="O604" s="63">
        <f t="shared" si="246"/>
        <v>0</v>
      </c>
      <c r="P604" s="63">
        <f t="shared" si="246"/>
        <v>0</v>
      </c>
      <c r="Q604" s="63">
        <f t="shared" si="246"/>
        <v>0</v>
      </c>
      <c r="R604" s="63">
        <f t="shared" si="246"/>
        <v>2785975.5961625697</v>
      </c>
      <c r="S604" s="63">
        <f t="shared" si="246"/>
        <v>0</v>
      </c>
      <c r="T604" s="63">
        <f t="shared" si="246"/>
        <v>4276970.3353962824</v>
      </c>
      <c r="U604" s="63">
        <f t="shared" si="246"/>
        <v>6998957.5684978701</v>
      </c>
      <c r="V604" s="63">
        <f t="shared" si="246"/>
        <v>1193313.7526870731</v>
      </c>
      <c r="W604" s="63">
        <f t="shared" si="246"/>
        <v>2039081.1143982129</v>
      </c>
      <c r="X604" s="63">
        <f t="shared" si="246"/>
        <v>1461876.5573925725</v>
      </c>
      <c r="Y604" s="63">
        <f t="shared" si="246"/>
        <v>814861.55074281059</v>
      </c>
      <c r="Z604" s="63">
        <f t="shared" si="246"/>
        <v>520998.82129490451</v>
      </c>
      <c r="AA604" s="63">
        <f t="shared" si="246"/>
        <v>531328.91262204992</v>
      </c>
      <c r="AB604" s="63">
        <f t="shared" si="246"/>
        <v>1717756.5029967262</v>
      </c>
      <c r="AC604" s="63">
        <f t="shared" si="246"/>
        <v>0</v>
      </c>
      <c r="AD604" s="63">
        <f t="shared" si="246"/>
        <v>0</v>
      </c>
      <c r="AE604" s="63">
        <f t="shared" si="246"/>
        <v>0</v>
      </c>
      <c r="AF604" s="63">
        <f>SUM(H604:AE604)</f>
        <v>75433705.043134421</v>
      </c>
      <c r="AG604" s="58" t="str">
        <f>IF(ABS(AF604-F604)&lt;1,"ok","err")</f>
        <v>ok</v>
      </c>
    </row>
    <row r="605" spans="1:33">
      <c r="A605" s="60"/>
      <c r="B605" s="60"/>
      <c r="F605" s="75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58"/>
    </row>
    <row r="606" spans="1:33">
      <c r="A606" s="60" t="s">
        <v>1003</v>
      </c>
      <c r="B606" s="60"/>
      <c r="C606" s="44" t="s">
        <v>1004</v>
      </c>
      <c r="D606" s="44" t="s">
        <v>894</v>
      </c>
      <c r="F606" s="75">
        <v>0</v>
      </c>
      <c r="H606" s="63">
        <f t="shared" ref="H606:AE606" si="247">IF(VLOOKUP($D606,$C$6:$AE$653,H$2,)=0,0,((VLOOKUP($D606,$C$6:$AE$653,H$2,)/VLOOKUP($D606,$C$6:$AE$653,4,))*$F606))</f>
        <v>0</v>
      </c>
      <c r="I606" s="63">
        <f t="shared" si="247"/>
        <v>0</v>
      </c>
      <c r="J606" s="63">
        <f t="shared" si="247"/>
        <v>0</v>
      </c>
      <c r="K606" s="63">
        <f t="shared" si="247"/>
        <v>0</v>
      </c>
      <c r="L606" s="63">
        <f t="shared" si="247"/>
        <v>0</v>
      </c>
      <c r="M606" s="63">
        <f t="shared" si="247"/>
        <v>0</v>
      </c>
      <c r="N606" s="63">
        <f t="shared" si="247"/>
        <v>0</v>
      </c>
      <c r="O606" s="63">
        <f t="shared" si="247"/>
        <v>0</v>
      </c>
      <c r="P606" s="63">
        <f t="shared" si="247"/>
        <v>0</v>
      </c>
      <c r="Q606" s="63">
        <f t="shared" si="247"/>
        <v>0</v>
      </c>
      <c r="R606" s="63">
        <f t="shared" si="247"/>
        <v>0</v>
      </c>
      <c r="S606" s="63">
        <f t="shared" si="247"/>
        <v>0</v>
      </c>
      <c r="T606" s="63">
        <f t="shared" si="247"/>
        <v>0</v>
      </c>
      <c r="U606" s="63">
        <f t="shared" si="247"/>
        <v>0</v>
      </c>
      <c r="V606" s="63">
        <f t="shared" si="247"/>
        <v>0</v>
      </c>
      <c r="W606" s="63">
        <f t="shared" si="247"/>
        <v>0</v>
      </c>
      <c r="X606" s="63">
        <f t="shared" si="247"/>
        <v>0</v>
      </c>
      <c r="Y606" s="63">
        <f t="shared" si="247"/>
        <v>0</v>
      </c>
      <c r="Z606" s="63">
        <f t="shared" si="247"/>
        <v>0</v>
      </c>
      <c r="AA606" s="63">
        <f t="shared" si="247"/>
        <v>0</v>
      </c>
      <c r="AB606" s="63">
        <f t="shared" si="247"/>
        <v>0</v>
      </c>
      <c r="AC606" s="63">
        <f t="shared" si="247"/>
        <v>0</v>
      </c>
      <c r="AD606" s="63">
        <f t="shared" si="247"/>
        <v>0</v>
      </c>
      <c r="AE606" s="63">
        <f t="shared" si="247"/>
        <v>0</v>
      </c>
      <c r="AF606" s="63">
        <f>SUM(H606:AE606)</f>
        <v>0</v>
      </c>
      <c r="AG606" s="58" t="str">
        <f>IF(ABS(AF606-F606)&lt;1,"ok","err")</f>
        <v>ok</v>
      </c>
    </row>
    <row r="607" spans="1:33">
      <c r="A607" s="60"/>
      <c r="B607" s="60"/>
      <c r="AF607" s="63"/>
      <c r="AG607" s="58"/>
    </row>
    <row r="608" spans="1:33" ht="15">
      <c r="A608" s="65" t="s">
        <v>1005</v>
      </c>
      <c r="B608" s="60"/>
      <c r="C608" s="44" t="s">
        <v>1006</v>
      </c>
      <c r="F608" s="79">
        <f>F580+F588+F596+F598+F600+F602+F604+F606</f>
        <v>393976266.77451777</v>
      </c>
      <c r="G608" s="64"/>
      <c r="H608" s="79">
        <f t="shared" ref="H608:AE608" si="248">H580+H588+H596+H598+H600+H602+H604+H606</f>
        <v>283727471.81559622</v>
      </c>
      <c r="I608" s="79">
        <f t="shared" si="248"/>
        <v>0</v>
      </c>
      <c r="J608" s="79">
        <f t="shared" si="248"/>
        <v>0</v>
      </c>
      <c r="K608" s="79">
        <f t="shared" si="248"/>
        <v>0</v>
      </c>
      <c r="L608" s="79">
        <f t="shared" si="248"/>
        <v>0</v>
      </c>
      <c r="M608" s="79">
        <f t="shared" si="248"/>
        <v>0</v>
      </c>
      <c r="N608" s="79">
        <f t="shared" si="248"/>
        <v>25824469.087788243</v>
      </c>
      <c r="O608" s="79">
        <f t="shared" si="248"/>
        <v>0</v>
      </c>
      <c r="P608" s="79">
        <f t="shared" si="248"/>
        <v>0</v>
      </c>
      <c r="Q608" s="79">
        <f t="shared" si="248"/>
        <v>0</v>
      </c>
      <c r="R608" s="79">
        <f t="shared" si="248"/>
        <v>10527856.44146795</v>
      </c>
      <c r="S608" s="79">
        <f t="shared" si="248"/>
        <v>0</v>
      </c>
      <c r="T608" s="79">
        <f t="shared" si="248"/>
        <v>16162140.744337525</v>
      </c>
      <c r="U608" s="79">
        <f t="shared" si="248"/>
        <v>26448193.093494527</v>
      </c>
      <c r="V608" s="79">
        <f t="shared" si="248"/>
        <v>4509384.7538447017</v>
      </c>
      <c r="W608" s="79">
        <f t="shared" si="248"/>
        <v>7705434.7764072092</v>
      </c>
      <c r="X608" s="79">
        <f t="shared" si="248"/>
        <v>5524250.3030447615</v>
      </c>
      <c r="Y608" s="79">
        <f t="shared" si="248"/>
        <v>3079260.7938521467</v>
      </c>
      <c r="Z608" s="79">
        <f t="shared" si="248"/>
        <v>1968789.9651101981</v>
      </c>
      <c r="AA608" s="79">
        <f t="shared" si="248"/>
        <v>2007826.0997659501</v>
      </c>
      <c r="AB608" s="79">
        <f t="shared" si="248"/>
        <v>6491188.8998083938</v>
      </c>
      <c r="AC608" s="79">
        <f t="shared" si="248"/>
        <v>0</v>
      </c>
      <c r="AD608" s="79">
        <f t="shared" si="248"/>
        <v>0</v>
      </c>
      <c r="AE608" s="79">
        <f t="shared" si="248"/>
        <v>0</v>
      </c>
      <c r="AF608" s="63">
        <f>SUM(H608:AE608)</f>
        <v>393976266.77451771</v>
      </c>
      <c r="AG608" s="58" t="str">
        <f>IF(ABS(AF608-F608)&lt;1,"ok","err")</f>
        <v>ok</v>
      </c>
    </row>
    <row r="609" spans="1:34">
      <c r="A609" s="60"/>
      <c r="B609" s="60"/>
      <c r="AG609" s="58"/>
    </row>
    <row r="610" spans="1:34" ht="15">
      <c r="A610" s="65" t="s">
        <v>1086</v>
      </c>
      <c r="B610" s="60"/>
      <c r="F610" s="79">
        <f>F333+F608</f>
        <v>1037412928.0158303</v>
      </c>
      <c r="G610" s="64">
        <f t="shared" ref="G610:AE610" si="249">G333+G608</f>
        <v>0</v>
      </c>
      <c r="H610" s="64">
        <f t="shared" si="249"/>
        <v>395685570.0308311</v>
      </c>
      <c r="I610" s="64">
        <f t="shared" si="249"/>
        <v>0</v>
      </c>
      <c r="J610" s="64">
        <f t="shared" si="249"/>
        <v>0</v>
      </c>
      <c r="K610" s="64">
        <f t="shared" si="249"/>
        <v>397495518.54181111</v>
      </c>
      <c r="L610" s="64">
        <f t="shared" si="249"/>
        <v>0</v>
      </c>
      <c r="M610" s="64">
        <f t="shared" si="249"/>
        <v>0</v>
      </c>
      <c r="N610" s="64">
        <f t="shared" si="249"/>
        <v>60290462.199914575</v>
      </c>
      <c r="O610" s="64">
        <f t="shared" si="249"/>
        <v>0</v>
      </c>
      <c r="P610" s="64">
        <f t="shared" si="249"/>
        <v>0</v>
      </c>
      <c r="Q610" s="64">
        <f t="shared" si="249"/>
        <v>0</v>
      </c>
      <c r="R610" s="64">
        <f t="shared" si="249"/>
        <v>18602235.093585499</v>
      </c>
      <c r="S610" s="64">
        <f t="shared" si="249"/>
        <v>0</v>
      </c>
      <c r="T610" s="64">
        <f t="shared" si="249"/>
        <v>29362315.544825345</v>
      </c>
      <c r="U610" s="64">
        <f t="shared" si="249"/>
        <v>48540916.758069448</v>
      </c>
      <c r="V610" s="64">
        <f t="shared" si="249"/>
        <v>8678513.5606606212</v>
      </c>
      <c r="W610" s="64">
        <f t="shared" si="249"/>
        <v>14929225.615540747</v>
      </c>
      <c r="X610" s="64">
        <f t="shared" si="249"/>
        <v>6641279.5213026498</v>
      </c>
      <c r="Y610" s="64">
        <f t="shared" si="249"/>
        <v>3701901.7113849809</v>
      </c>
      <c r="Z610" s="64">
        <f t="shared" si="249"/>
        <v>2301702.5436082552</v>
      </c>
      <c r="AA610" s="64">
        <f t="shared" si="249"/>
        <v>15926141.35749062</v>
      </c>
      <c r="AB610" s="64">
        <f t="shared" si="249"/>
        <v>8165124.3716460401</v>
      </c>
      <c r="AC610" s="64">
        <f t="shared" si="249"/>
        <v>22203327.895651627</v>
      </c>
      <c r="AD610" s="64">
        <f t="shared" si="249"/>
        <v>4888693.2695076521</v>
      </c>
      <c r="AE610" s="64">
        <f t="shared" si="249"/>
        <v>0</v>
      </c>
      <c r="AF610" s="63">
        <f>SUM(H610:AE610)</f>
        <v>1037412928.0158303</v>
      </c>
      <c r="AG610" s="58" t="str">
        <f>IF(ABS(AF610-F610)&lt;1,"ok","err")</f>
        <v>ok</v>
      </c>
    </row>
    <row r="611" spans="1:34">
      <c r="A611" s="60"/>
      <c r="B611" s="60"/>
      <c r="AG611" s="58"/>
    </row>
    <row r="612" spans="1:34">
      <c r="A612" s="60"/>
      <c r="B612" s="60"/>
      <c r="AG612" s="58"/>
    </row>
    <row r="613" spans="1:34" s="60" customFormat="1">
      <c r="F613" s="78"/>
      <c r="W613" s="76"/>
      <c r="AG613" s="92"/>
    </row>
    <row r="614" spans="1:34" s="60" customFormat="1" ht="15">
      <c r="A614" s="59" t="s">
        <v>1217</v>
      </c>
      <c r="W614" s="76"/>
      <c r="AG614" s="92"/>
    </row>
    <row r="615" spans="1:34" s="60" customFormat="1">
      <c r="W615" s="76"/>
      <c r="AG615" s="92"/>
    </row>
    <row r="616" spans="1:34" s="60" customFormat="1">
      <c r="A616" s="60" t="s">
        <v>849</v>
      </c>
      <c r="C616" s="60" t="s">
        <v>866</v>
      </c>
      <c r="F616" s="80">
        <v>1</v>
      </c>
      <c r="G616" s="80"/>
      <c r="H616" s="204">
        <v>0</v>
      </c>
      <c r="I616" s="204">
        <v>0</v>
      </c>
      <c r="J616" s="204">
        <v>0</v>
      </c>
      <c r="K616" s="204">
        <v>0</v>
      </c>
      <c r="L616" s="204">
        <v>0</v>
      </c>
      <c r="M616" s="204">
        <v>0</v>
      </c>
      <c r="N616" s="204">
        <v>0</v>
      </c>
      <c r="O616" s="204">
        <v>0</v>
      </c>
      <c r="P616" s="204">
        <v>0</v>
      </c>
      <c r="Q616" s="204">
        <v>0</v>
      </c>
      <c r="R616" s="204">
        <v>1</v>
      </c>
      <c r="S616" s="204">
        <v>0</v>
      </c>
      <c r="T616" s="204">
        <v>0</v>
      </c>
      <c r="U616" s="204">
        <v>0</v>
      </c>
      <c r="V616" s="204">
        <v>0</v>
      </c>
      <c r="W616" s="204">
        <v>0</v>
      </c>
      <c r="X616" s="80">
        <v>0</v>
      </c>
      <c r="Y616" s="80">
        <v>0</v>
      </c>
      <c r="Z616" s="80">
        <v>0</v>
      </c>
      <c r="AA616" s="80">
        <v>0</v>
      </c>
      <c r="AB616" s="80">
        <v>0</v>
      </c>
      <c r="AC616" s="80">
        <v>0</v>
      </c>
      <c r="AD616" s="80">
        <v>0</v>
      </c>
      <c r="AE616" s="80">
        <v>0</v>
      </c>
      <c r="AF616" s="204">
        <f>SUM(H616:AE616)</f>
        <v>1</v>
      </c>
      <c r="AG616" s="92" t="str">
        <f t="shared" ref="AG616:AG640" si="250">IF(ABS(AF616-F616)&lt;0.0000001,"ok","err")</f>
        <v>ok</v>
      </c>
    </row>
    <row r="617" spans="1:34" s="60" customFormat="1">
      <c r="A617" s="60" t="s">
        <v>1007</v>
      </c>
      <c r="C617" s="60" t="s">
        <v>867</v>
      </c>
      <c r="F617" s="80">
        <v>1</v>
      </c>
      <c r="G617" s="80"/>
      <c r="H617" s="204">
        <v>0</v>
      </c>
      <c r="I617" s="204">
        <v>0</v>
      </c>
      <c r="J617" s="204">
        <v>0</v>
      </c>
      <c r="K617" s="204">
        <v>0</v>
      </c>
      <c r="L617" s="204">
        <v>0</v>
      </c>
      <c r="M617" s="204">
        <v>0</v>
      </c>
      <c r="N617" s="204">
        <v>0</v>
      </c>
      <c r="O617" s="204">
        <v>0</v>
      </c>
      <c r="P617" s="204">
        <v>0</v>
      </c>
      <c r="Q617" s="204">
        <v>0</v>
      </c>
      <c r="R617" s="204">
        <v>0</v>
      </c>
      <c r="S617" s="204">
        <v>0</v>
      </c>
      <c r="T617" s="204">
        <f>0.3601*0.7052</f>
        <v>0.25394252</v>
      </c>
      <c r="U617" s="204">
        <f>0.6399*0.7052</f>
        <v>0.45125748000000004</v>
      </c>
      <c r="V617" s="204">
        <f>0.3601*0.2948</f>
        <v>0.10615748</v>
      </c>
      <c r="W617" s="204">
        <f>0.6399*0.2948</f>
        <v>0.18864252000000001</v>
      </c>
      <c r="X617" s="80">
        <v>0</v>
      </c>
      <c r="Y617" s="80">
        <v>0</v>
      </c>
      <c r="Z617" s="80">
        <v>0</v>
      </c>
      <c r="AA617" s="80">
        <v>0</v>
      </c>
      <c r="AB617" s="80">
        <v>0</v>
      </c>
      <c r="AC617" s="80">
        <v>0</v>
      </c>
      <c r="AD617" s="80">
        <v>0</v>
      </c>
      <c r="AE617" s="80">
        <v>0</v>
      </c>
      <c r="AF617" s="204">
        <f t="shared" ref="AF617:AF625" si="251">SUM(H617:AE617)</f>
        <v>1</v>
      </c>
      <c r="AG617" s="92" t="str">
        <f t="shared" si="250"/>
        <v>ok</v>
      </c>
    </row>
    <row r="618" spans="1:34" s="60" customFormat="1">
      <c r="A618" s="60" t="s">
        <v>1008</v>
      </c>
      <c r="C618" s="60" t="s">
        <v>869</v>
      </c>
      <c r="F618" s="80">
        <v>1</v>
      </c>
      <c r="G618" s="80"/>
      <c r="H618" s="204">
        <v>0</v>
      </c>
      <c r="I618" s="204">
        <v>0</v>
      </c>
      <c r="J618" s="204">
        <v>0</v>
      </c>
      <c r="K618" s="204">
        <v>0</v>
      </c>
      <c r="L618" s="204">
        <v>0</v>
      </c>
      <c r="M618" s="204">
        <v>0</v>
      </c>
      <c r="N618" s="204">
        <v>0</v>
      </c>
      <c r="O618" s="204">
        <v>0</v>
      </c>
      <c r="P618" s="204">
        <v>0</v>
      </c>
      <c r="Q618" s="204">
        <v>0</v>
      </c>
      <c r="R618" s="204">
        <v>0</v>
      </c>
      <c r="S618" s="204">
        <v>0</v>
      </c>
      <c r="T618" s="204">
        <f>T617</f>
        <v>0.25394252</v>
      </c>
      <c r="U618" s="204">
        <f>U617</f>
        <v>0.45125748000000004</v>
      </c>
      <c r="V618" s="204">
        <f>V617</f>
        <v>0.10615748</v>
      </c>
      <c r="W618" s="204">
        <f>W617</f>
        <v>0.18864252000000001</v>
      </c>
      <c r="X618" s="80">
        <v>0</v>
      </c>
      <c r="Y618" s="80">
        <v>0</v>
      </c>
      <c r="Z618" s="80">
        <v>0</v>
      </c>
      <c r="AA618" s="80">
        <v>0</v>
      </c>
      <c r="AB618" s="80">
        <v>0</v>
      </c>
      <c r="AC618" s="80">
        <v>0</v>
      </c>
      <c r="AD618" s="80">
        <v>0</v>
      </c>
      <c r="AE618" s="80">
        <v>0</v>
      </c>
      <c r="AF618" s="204">
        <f t="shared" si="251"/>
        <v>1</v>
      </c>
      <c r="AG618" s="92" t="str">
        <f t="shared" si="250"/>
        <v>ok</v>
      </c>
      <c r="AH618" s="80"/>
    </row>
    <row r="619" spans="1:34" s="60" customFormat="1">
      <c r="A619" s="60" t="s">
        <v>1009</v>
      </c>
      <c r="C619" s="60" t="s">
        <v>870</v>
      </c>
      <c r="F619" s="80">
        <v>1</v>
      </c>
      <c r="G619" s="80"/>
      <c r="H619" s="204">
        <v>0</v>
      </c>
      <c r="I619" s="204">
        <v>0</v>
      </c>
      <c r="J619" s="204">
        <v>0</v>
      </c>
      <c r="K619" s="204">
        <v>0</v>
      </c>
      <c r="L619" s="204">
        <v>0</v>
      </c>
      <c r="M619" s="204">
        <v>0</v>
      </c>
      <c r="N619" s="204">
        <v>0</v>
      </c>
      <c r="O619" s="204">
        <v>0</v>
      </c>
      <c r="P619" s="204">
        <v>0</v>
      </c>
      <c r="Q619" s="204">
        <v>0</v>
      </c>
      <c r="R619" s="204">
        <v>0</v>
      </c>
      <c r="S619" s="204">
        <v>0</v>
      </c>
      <c r="T619" s="204">
        <f>0.4014*0.8807</f>
        <v>0.35351297999999998</v>
      </c>
      <c r="U619" s="204">
        <f>0.5986*0.8807</f>
        <v>0.52718702000000006</v>
      </c>
      <c r="V619" s="204">
        <f>0.4014*0.1193</f>
        <v>4.7887019999999995E-2</v>
      </c>
      <c r="W619" s="204">
        <f>0.5986*0.1193</f>
        <v>7.1412980000000001E-2</v>
      </c>
      <c r="X619" s="80">
        <v>0</v>
      </c>
      <c r="Y619" s="80">
        <v>0</v>
      </c>
      <c r="Z619" s="80">
        <v>0</v>
      </c>
      <c r="AA619" s="80">
        <v>0</v>
      </c>
      <c r="AB619" s="80">
        <v>0</v>
      </c>
      <c r="AC619" s="80">
        <v>0</v>
      </c>
      <c r="AD619" s="80">
        <v>0</v>
      </c>
      <c r="AE619" s="80">
        <v>0</v>
      </c>
      <c r="AF619" s="204">
        <f t="shared" si="251"/>
        <v>1</v>
      </c>
      <c r="AG619" s="92" t="str">
        <f t="shared" si="250"/>
        <v>ok</v>
      </c>
    </row>
    <row r="620" spans="1:34" s="60" customFormat="1">
      <c r="A620" s="60" t="s">
        <v>1010</v>
      </c>
      <c r="C620" s="60" t="s">
        <v>873</v>
      </c>
      <c r="F620" s="80">
        <v>1</v>
      </c>
      <c r="G620" s="80"/>
      <c r="H620" s="204">
        <v>0</v>
      </c>
      <c r="I620" s="204">
        <v>0</v>
      </c>
      <c r="J620" s="204">
        <v>0</v>
      </c>
      <c r="K620" s="204">
        <v>0</v>
      </c>
      <c r="L620" s="204">
        <v>0</v>
      </c>
      <c r="M620" s="204">
        <v>0</v>
      </c>
      <c r="N620" s="204">
        <v>0</v>
      </c>
      <c r="O620" s="204">
        <v>0</v>
      </c>
      <c r="P620" s="204">
        <v>0</v>
      </c>
      <c r="Q620" s="204">
        <v>0</v>
      </c>
      <c r="R620" s="204">
        <v>0</v>
      </c>
      <c r="S620" s="204">
        <v>0</v>
      </c>
      <c r="T620" s="204">
        <v>0</v>
      </c>
      <c r="U620" s="204">
        <v>0</v>
      </c>
      <c r="V620" s="204">
        <v>0</v>
      </c>
      <c r="W620" s="204">
        <v>0</v>
      </c>
      <c r="X620" s="80">
        <v>0.64209254115302228</v>
      </c>
      <c r="Y620" s="80">
        <v>0.35790745884697772</v>
      </c>
      <c r="Z620" s="80">
        <v>0</v>
      </c>
      <c r="AA620" s="80">
        <v>0</v>
      </c>
      <c r="AB620" s="80">
        <v>0</v>
      </c>
      <c r="AC620" s="80">
        <v>0</v>
      </c>
      <c r="AD620" s="80">
        <v>0</v>
      </c>
      <c r="AE620" s="80">
        <v>0</v>
      </c>
      <c r="AF620" s="204">
        <f t="shared" si="251"/>
        <v>1</v>
      </c>
      <c r="AG620" s="92" t="str">
        <f t="shared" si="250"/>
        <v>ok</v>
      </c>
    </row>
    <row r="621" spans="1:34" s="60" customFormat="1">
      <c r="A621" s="60" t="s">
        <v>1011</v>
      </c>
      <c r="C621" s="60" t="s">
        <v>875</v>
      </c>
      <c r="F621" s="80">
        <v>1</v>
      </c>
      <c r="G621" s="80"/>
      <c r="H621" s="204">
        <v>0</v>
      </c>
      <c r="I621" s="204">
        <v>0</v>
      </c>
      <c r="J621" s="204">
        <v>0</v>
      </c>
      <c r="K621" s="204">
        <v>0</v>
      </c>
      <c r="L621" s="204">
        <v>0</v>
      </c>
      <c r="M621" s="204">
        <v>0</v>
      </c>
      <c r="N621" s="204">
        <v>0</v>
      </c>
      <c r="O621" s="204">
        <v>0</v>
      </c>
      <c r="P621" s="204">
        <v>0</v>
      </c>
      <c r="Q621" s="204">
        <v>0</v>
      </c>
      <c r="R621" s="204">
        <v>0</v>
      </c>
      <c r="S621" s="204">
        <v>0</v>
      </c>
      <c r="T621" s="204">
        <v>0</v>
      </c>
      <c r="U621" s="204">
        <v>0</v>
      </c>
      <c r="V621" s="204">
        <v>0</v>
      </c>
      <c r="W621" s="204">
        <v>0</v>
      </c>
      <c r="X621" s="80">
        <v>0</v>
      </c>
      <c r="Y621" s="80">
        <v>0</v>
      </c>
      <c r="Z621" s="80">
        <v>1</v>
      </c>
      <c r="AA621" s="80">
        <v>0</v>
      </c>
      <c r="AB621" s="80">
        <v>0</v>
      </c>
      <c r="AC621" s="80">
        <v>0</v>
      </c>
      <c r="AD621" s="80">
        <v>0</v>
      </c>
      <c r="AE621" s="80">
        <v>0</v>
      </c>
      <c r="AF621" s="204">
        <f t="shared" si="251"/>
        <v>1</v>
      </c>
      <c r="AG621" s="92" t="str">
        <f t="shared" si="250"/>
        <v>ok</v>
      </c>
    </row>
    <row r="622" spans="1:34" s="60" customFormat="1">
      <c r="A622" s="60" t="s">
        <v>850</v>
      </c>
      <c r="C622" s="60" t="s">
        <v>877</v>
      </c>
      <c r="F622" s="80">
        <v>1</v>
      </c>
      <c r="G622" s="80"/>
      <c r="H622" s="204">
        <v>0</v>
      </c>
      <c r="I622" s="204">
        <v>0</v>
      </c>
      <c r="J622" s="204">
        <v>0</v>
      </c>
      <c r="K622" s="204">
        <v>0</v>
      </c>
      <c r="L622" s="204">
        <v>0</v>
      </c>
      <c r="M622" s="204">
        <v>0</v>
      </c>
      <c r="N622" s="204">
        <v>0</v>
      </c>
      <c r="O622" s="204">
        <v>0</v>
      </c>
      <c r="P622" s="204">
        <v>0</v>
      </c>
      <c r="Q622" s="204">
        <v>0</v>
      </c>
      <c r="R622" s="204">
        <v>0</v>
      </c>
      <c r="S622" s="204">
        <v>0</v>
      </c>
      <c r="T622" s="204">
        <v>0</v>
      </c>
      <c r="U622" s="204">
        <v>0</v>
      </c>
      <c r="V622" s="204">
        <v>0</v>
      </c>
      <c r="W622" s="204">
        <v>0</v>
      </c>
      <c r="X622" s="80">
        <v>0</v>
      </c>
      <c r="Y622" s="80">
        <v>0</v>
      </c>
      <c r="Z622" s="80">
        <v>0</v>
      </c>
      <c r="AA622" s="80">
        <v>1</v>
      </c>
      <c r="AB622" s="80">
        <v>0</v>
      </c>
      <c r="AC622" s="80">
        <v>0</v>
      </c>
      <c r="AD622" s="80">
        <v>0</v>
      </c>
      <c r="AE622" s="80">
        <v>0</v>
      </c>
      <c r="AF622" s="204">
        <f t="shared" si="251"/>
        <v>1</v>
      </c>
      <c r="AG622" s="92" t="str">
        <f t="shared" si="250"/>
        <v>ok</v>
      </c>
    </row>
    <row r="623" spans="1:34" s="60" customFormat="1">
      <c r="A623" s="60" t="s">
        <v>1012</v>
      </c>
      <c r="C623" s="60" t="s">
        <v>880</v>
      </c>
      <c r="F623" s="80">
        <v>1</v>
      </c>
      <c r="G623" s="80"/>
      <c r="H623" s="204">
        <v>0</v>
      </c>
      <c r="I623" s="204">
        <v>0</v>
      </c>
      <c r="J623" s="204">
        <v>0</v>
      </c>
      <c r="K623" s="204">
        <v>0</v>
      </c>
      <c r="L623" s="204">
        <v>0</v>
      </c>
      <c r="M623" s="204">
        <v>0</v>
      </c>
      <c r="N623" s="204">
        <v>0</v>
      </c>
      <c r="O623" s="204">
        <v>0</v>
      </c>
      <c r="P623" s="204">
        <v>0</v>
      </c>
      <c r="Q623" s="204">
        <v>0</v>
      </c>
      <c r="R623" s="204">
        <v>0</v>
      </c>
      <c r="S623" s="204">
        <v>0</v>
      </c>
      <c r="T623" s="204">
        <v>0</v>
      </c>
      <c r="U623" s="204">
        <v>0</v>
      </c>
      <c r="V623" s="204">
        <v>0</v>
      </c>
      <c r="W623" s="204">
        <v>0</v>
      </c>
      <c r="X623" s="80">
        <v>0</v>
      </c>
      <c r="Y623" s="80">
        <v>0</v>
      </c>
      <c r="Z623" s="80">
        <v>0</v>
      </c>
      <c r="AA623" s="80">
        <v>0</v>
      </c>
      <c r="AB623" s="80">
        <v>1</v>
      </c>
      <c r="AC623" s="80">
        <v>0</v>
      </c>
      <c r="AD623" s="80">
        <v>0</v>
      </c>
      <c r="AE623" s="80">
        <v>0</v>
      </c>
      <c r="AF623" s="204">
        <f t="shared" si="251"/>
        <v>1</v>
      </c>
      <c r="AG623" s="92" t="str">
        <f t="shared" si="250"/>
        <v>ok</v>
      </c>
    </row>
    <row r="624" spans="1:34" s="60" customFormat="1">
      <c r="A624" s="60" t="s">
        <v>1013</v>
      </c>
      <c r="C624" s="60" t="s">
        <v>954</v>
      </c>
      <c r="F624" s="80">
        <v>1</v>
      </c>
      <c r="G624" s="80"/>
      <c r="H624" s="204">
        <v>0</v>
      </c>
      <c r="I624" s="204">
        <v>0</v>
      </c>
      <c r="J624" s="204">
        <v>0</v>
      </c>
      <c r="K624" s="204">
        <v>0</v>
      </c>
      <c r="L624" s="204">
        <v>0</v>
      </c>
      <c r="M624" s="204">
        <v>0</v>
      </c>
      <c r="N624" s="204">
        <v>0</v>
      </c>
      <c r="O624" s="204">
        <v>0</v>
      </c>
      <c r="P624" s="204">
        <v>0</v>
      </c>
      <c r="Q624" s="204">
        <v>0</v>
      </c>
      <c r="R624" s="204">
        <v>0</v>
      </c>
      <c r="S624" s="204">
        <v>0</v>
      </c>
      <c r="T624" s="204">
        <v>0</v>
      </c>
      <c r="U624" s="204">
        <v>0</v>
      </c>
      <c r="V624" s="204">
        <v>0</v>
      </c>
      <c r="W624" s="204">
        <v>0</v>
      </c>
      <c r="X624" s="80">
        <v>0</v>
      </c>
      <c r="Y624" s="80">
        <v>0</v>
      </c>
      <c r="Z624" s="80">
        <v>0</v>
      </c>
      <c r="AA624" s="80">
        <v>0</v>
      </c>
      <c r="AB624" s="80">
        <v>0</v>
      </c>
      <c r="AC624" s="80">
        <v>0</v>
      </c>
      <c r="AD624" s="80">
        <v>1</v>
      </c>
      <c r="AE624" s="80">
        <v>0</v>
      </c>
      <c r="AF624" s="204">
        <f t="shared" si="251"/>
        <v>1</v>
      </c>
      <c r="AG624" s="92" t="str">
        <f t="shared" si="250"/>
        <v>ok</v>
      </c>
    </row>
    <row r="625" spans="1:33" s="60" customFormat="1">
      <c r="A625" s="60" t="s">
        <v>1014</v>
      </c>
      <c r="C625" s="60" t="s">
        <v>964</v>
      </c>
      <c r="F625" s="80">
        <v>1</v>
      </c>
      <c r="G625" s="80"/>
      <c r="H625" s="204">
        <v>0</v>
      </c>
      <c r="I625" s="204">
        <v>0</v>
      </c>
      <c r="J625" s="204">
        <v>0</v>
      </c>
      <c r="K625" s="204">
        <v>0</v>
      </c>
      <c r="L625" s="204">
        <v>0</v>
      </c>
      <c r="M625" s="204">
        <v>0</v>
      </c>
      <c r="N625" s="204">
        <v>0</v>
      </c>
      <c r="O625" s="204">
        <v>0</v>
      </c>
      <c r="P625" s="204">
        <v>0</v>
      </c>
      <c r="Q625" s="204">
        <v>0</v>
      </c>
      <c r="R625" s="204">
        <v>0</v>
      </c>
      <c r="S625" s="204">
        <v>0</v>
      </c>
      <c r="T625" s="204">
        <v>0</v>
      </c>
      <c r="U625" s="204">
        <v>0</v>
      </c>
      <c r="V625" s="204">
        <v>0</v>
      </c>
      <c r="W625" s="204">
        <v>0</v>
      </c>
      <c r="X625" s="80">
        <v>0</v>
      </c>
      <c r="Y625" s="80">
        <v>0</v>
      </c>
      <c r="Z625" s="80">
        <v>0</v>
      </c>
      <c r="AA625" s="80">
        <v>0</v>
      </c>
      <c r="AB625" s="80">
        <v>0</v>
      </c>
      <c r="AC625" s="80">
        <v>0</v>
      </c>
      <c r="AD625" s="80">
        <v>1</v>
      </c>
      <c r="AE625" s="80">
        <v>0</v>
      </c>
      <c r="AF625" s="204">
        <f t="shared" si="251"/>
        <v>1</v>
      </c>
      <c r="AG625" s="92" t="str">
        <f t="shared" si="250"/>
        <v>ok</v>
      </c>
    </row>
    <row r="626" spans="1:33" s="60" customFormat="1" ht="15">
      <c r="A626" s="60" t="s">
        <v>1056</v>
      </c>
      <c r="C626" s="60" t="s">
        <v>1088</v>
      </c>
      <c r="F626" s="80">
        <v>1</v>
      </c>
      <c r="G626" s="80"/>
      <c r="H626" s="204">
        <v>0</v>
      </c>
      <c r="I626" s="204">
        <v>0</v>
      </c>
      <c r="J626" s="204">
        <v>0</v>
      </c>
      <c r="K626" s="204">
        <v>0</v>
      </c>
      <c r="L626" s="204">
        <v>0</v>
      </c>
      <c r="M626" s="204">
        <v>0</v>
      </c>
      <c r="N626" s="204">
        <v>1</v>
      </c>
      <c r="O626" s="205">
        <v>0</v>
      </c>
      <c r="P626" s="205">
        <v>0</v>
      </c>
      <c r="Q626" s="204">
        <v>0</v>
      </c>
      <c r="R626" s="204">
        <v>0</v>
      </c>
      <c r="S626" s="204">
        <v>0</v>
      </c>
      <c r="T626" s="204">
        <v>0</v>
      </c>
      <c r="U626" s="204">
        <v>0</v>
      </c>
      <c r="V626" s="204">
        <v>0</v>
      </c>
      <c r="W626" s="204">
        <v>0</v>
      </c>
      <c r="X626" s="80">
        <v>0</v>
      </c>
      <c r="Y626" s="80">
        <v>0</v>
      </c>
      <c r="Z626" s="80">
        <v>0</v>
      </c>
      <c r="AA626" s="80">
        <v>0</v>
      </c>
      <c r="AB626" s="80">
        <v>0</v>
      </c>
      <c r="AC626" s="80">
        <v>0</v>
      </c>
      <c r="AD626" s="80">
        <v>0</v>
      </c>
      <c r="AE626" s="80">
        <v>0</v>
      </c>
      <c r="AF626" s="204">
        <f t="shared" ref="AF626:AF639" si="252">SUM(H626:AE626)</f>
        <v>1</v>
      </c>
      <c r="AG626" s="92" t="str">
        <f t="shared" si="250"/>
        <v>ok</v>
      </c>
    </row>
    <row r="627" spans="1:33" s="60" customFormat="1">
      <c r="A627" s="60" t="s">
        <v>40</v>
      </c>
      <c r="C627" s="60" t="s">
        <v>41</v>
      </c>
      <c r="F627" s="80">
        <v>1</v>
      </c>
      <c r="G627" s="80"/>
      <c r="H627" s="204">
        <v>0</v>
      </c>
      <c r="I627" s="204">
        <v>0</v>
      </c>
      <c r="J627" s="204">
        <v>0</v>
      </c>
      <c r="K627" s="204">
        <v>0</v>
      </c>
      <c r="L627" s="204">
        <v>0</v>
      </c>
      <c r="M627" s="204">
        <v>0</v>
      </c>
      <c r="N627" s="204">
        <v>0</v>
      </c>
      <c r="O627" s="204">
        <v>0</v>
      </c>
      <c r="P627" s="204">
        <v>0</v>
      </c>
      <c r="Q627" s="204">
        <v>0</v>
      </c>
      <c r="R627" s="204">
        <v>0</v>
      </c>
      <c r="S627" s="204">
        <v>0</v>
      </c>
      <c r="T627" s="204">
        <v>0</v>
      </c>
      <c r="U627" s="204">
        <v>0</v>
      </c>
      <c r="V627" s="204">
        <v>0</v>
      </c>
      <c r="W627" s="204">
        <v>0</v>
      </c>
      <c r="X627" s="80">
        <v>0</v>
      </c>
      <c r="Y627" s="80">
        <v>0</v>
      </c>
      <c r="Z627" s="80">
        <v>0</v>
      </c>
      <c r="AA627" s="80">
        <v>0</v>
      </c>
      <c r="AB627" s="80">
        <v>0</v>
      </c>
      <c r="AC627" s="80">
        <v>0</v>
      </c>
      <c r="AD627" s="80">
        <v>0</v>
      </c>
      <c r="AE627" s="80">
        <v>1</v>
      </c>
      <c r="AF627" s="204">
        <f t="shared" si="252"/>
        <v>1</v>
      </c>
      <c r="AG627" s="92" t="str">
        <f t="shared" si="250"/>
        <v>ok</v>
      </c>
    </row>
    <row r="628" spans="1:33" s="60" customFormat="1">
      <c r="A628" s="60" t="s">
        <v>617</v>
      </c>
      <c r="C628" s="60" t="s">
        <v>616</v>
      </c>
      <c r="F628" s="80">
        <v>1</v>
      </c>
      <c r="G628" s="80"/>
      <c r="H628" s="204">
        <v>1</v>
      </c>
      <c r="I628" s="204">
        <v>0</v>
      </c>
      <c r="J628" s="204">
        <v>0</v>
      </c>
      <c r="K628" s="204">
        <v>0</v>
      </c>
      <c r="L628" s="204">
        <v>0</v>
      </c>
      <c r="M628" s="204">
        <v>0</v>
      </c>
      <c r="N628" s="204">
        <v>0</v>
      </c>
      <c r="O628" s="204">
        <v>0</v>
      </c>
      <c r="P628" s="204">
        <v>0</v>
      </c>
      <c r="Q628" s="204">
        <v>0</v>
      </c>
      <c r="R628" s="204">
        <v>0</v>
      </c>
      <c r="S628" s="204">
        <v>0</v>
      </c>
      <c r="T628" s="204">
        <v>0</v>
      </c>
      <c r="U628" s="204">
        <v>0</v>
      </c>
      <c r="V628" s="204">
        <v>0</v>
      </c>
      <c r="W628" s="204">
        <v>0</v>
      </c>
      <c r="X628" s="80">
        <v>0</v>
      </c>
      <c r="Y628" s="80">
        <v>0</v>
      </c>
      <c r="Z628" s="80">
        <v>0</v>
      </c>
      <c r="AA628" s="80">
        <v>0</v>
      </c>
      <c r="AB628" s="80">
        <v>0</v>
      </c>
      <c r="AC628" s="80">
        <v>0</v>
      </c>
      <c r="AD628" s="80">
        <v>0</v>
      </c>
      <c r="AE628" s="80">
        <v>0</v>
      </c>
      <c r="AF628" s="204">
        <f t="shared" si="252"/>
        <v>1</v>
      </c>
      <c r="AG628" s="92" t="str">
        <f t="shared" si="250"/>
        <v>ok</v>
      </c>
    </row>
    <row r="629" spans="1:33" s="60" customFormat="1">
      <c r="A629" s="60" t="s">
        <v>622</v>
      </c>
      <c r="C629" s="60" t="s">
        <v>623</v>
      </c>
      <c r="F629" s="80">
        <v>1</v>
      </c>
      <c r="G629" s="80"/>
      <c r="H629" s="204">
        <v>0</v>
      </c>
      <c r="I629" s="204">
        <v>0</v>
      </c>
      <c r="J629" s="204">
        <v>0</v>
      </c>
      <c r="K629" s="204">
        <v>1</v>
      </c>
      <c r="L629" s="204">
        <v>0</v>
      </c>
      <c r="M629" s="204">
        <v>0</v>
      </c>
      <c r="N629" s="204">
        <v>0</v>
      </c>
      <c r="O629" s="204">
        <v>0</v>
      </c>
      <c r="P629" s="204">
        <v>0</v>
      </c>
      <c r="Q629" s="204">
        <v>0</v>
      </c>
      <c r="R629" s="204">
        <v>0</v>
      </c>
      <c r="S629" s="204">
        <v>0</v>
      </c>
      <c r="T629" s="204">
        <v>0</v>
      </c>
      <c r="U629" s="204">
        <v>0</v>
      </c>
      <c r="V629" s="204">
        <v>0</v>
      </c>
      <c r="W629" s="204">
        <v>0</v>
      </c>
      <c r="X629" s="80">
        <v>0</v>
      </c>
      <c r="Y629" s="80">
        <v>0</v>
      </c>
      <c r="Z629" s="80">
        <v>0</v>
      </c>
      <c r="AA629" s="80">
        <v>0</v>
      </c>
      <c r="AB629" s="80">
        <v>0</v>
      </c>
      <c r="AC629" s="80">
        <v>0</v>
      </c>
      <c r="AD629" s="80">
        <v>0</v>
      </c>
      <c r="AE629" s="80">
        <v>0</v>
      </c>
      <c r="AF629" s="204">
        <f t="shared" si="252"/>
        <v>1</v>
      </c>
      <c r="AG629" s="92" t="str">
        <f t="shared" si="250"/>
        <v>ok</v>
      </c>
    </row>
    <row r="630" spans="1:33" s="60" customFormat="1">
      <c r="A630" s="60" t="s">
        <v>618</v>
      </c>
      <c r="C630" s="60" t="s">
        <v>619</v>
      </c>
      <c r="F630" s="80">
        <v>1</v>
      </c>
      <c r="G630" s="80"/>
      <c r="H630" s="204">
        <v>0</v>
      </c>
      <c r="I630" s="204">
        <v>0</v>
      </c>
      <c r="J630" s="204">
        <v>0</v>
      </c>
      <c r="K630" s="204">
        <v>1</v>
      </c>
      <c r="L630" s="204">
        <v>0</v>
      </c>
      <c r="M630" s="204">
        <v>0</v>
      </c>
      <c r="N630" s="204">
        <v>0</v>
      </c>
      <c r="O630" s="204">
        <v>0</v>
      </c>
      <c r="P630" s="204">
        <v>0</v>
      </c>
      <c r="Q630" s="204">
        <v>0</v>
      </c>
      <c r="R630" s="204">
        <v>0</v>
      </c>
      <c r="S630" s="204">
        <v>0</v>
      </c>
      <c r="T630" s="204">
        <v>0</v>
      </c>
      <c r="U630" s="204">
        <v>0</v>
      </c>
      <c r="V630" s="204">
        <v>0</v>
      </c>
      <c r="W630" s="204">
        <v>0</v>
      </c>
      <c r="X630" s="80">
        <v>0</v>
      </c>
      <c r="Y630" s="80">
        <v>0</v>
      </c>
      <c r="Z630" s="80">
        <v>0</v>
      </c>
      <c r="AA630" s="80">
        <v>0</v>
      </c>
      <c r="AB630" s="80">
        <v>0</v>
      </c>
      <c r="AC630" s="80">
        <v>0</v>
      </c>
      <c r="AD630" s="80">
        <v>0</v>
      </c>
      <c r="AE630" s="80">
        <v>0</v>
      </c>
      <c r="AF630" s="204">
        <f t="shared" si="252"/>
        <v>1</v>
      </c>
      <c r="AG630" s="92" t="str">
        <f t="shared" si="250"/>
        <v>ok</v>
      </c>
    </row>
    <row r="631" spans="1:33" s="60" customFormat="1">
      <c r="A631" s="60" t="s">
        <v>620</v>
      </c>
      <c r="C631" s="60" t="s">
        <v>621</v>
      </c>
      <c r="F631" s="78">
        <f>F365+F366+F368+F369+F370</f>
        <v>12601985</v>
      </c>
      <c r="G631" s="111"/>
      <c r="H631" s="78">
        <f>H365+H366+H368+H369+H370</f>
        <v>11007917</v>
      </c>
      <c r="I631" s="78">
        <f t="shared" ref="I631:AE631" si="253">I365+I366+I368+I369+I370</f>
        <v>0</v>
      </c>
      <c r="J631" s="78">
        <f t="shared" si="253"/>
        <v>0</v>
      </c>
      <c r="K631" s="78">
        <f t="shared" si="253"/>
        <v>1594068</v>
      </c>
      <c r="L631" s="81">
        <f t="shared" si="253"/>
        <v>0</v>
      </c>
      <c r="M631" s="81">
        <f t="shared" si="253"/>
        <v>0</v>
      </c>
      <c r="N631" s="81">
        <f t="shared" si="253"/>
        <v>0</v>
      </c>
      <c r="O631" s="81">
        <f t="shared" si="253"/>
        <v>0</v>
      </c>
      <c r="P631" s="81">
        <f t="shared" si="253"/>
        <v>0</v>
      </c>
      <c r="Q631" s="81">
        <f t="shared" si="253"/>
        <v>0</v>
      </c>
      <c r="R631" s="81">
        <f t="shared" si="253"/>
        <v>0</v>
      </c>
      <c r="S631" s="81">
        <f t="shared" si="253"/>
        <v>0</v>
      </c>
      <c r="T631" s="81">
        <f t="shared" si="253"/>
        <v>0</v>
      </c>
      <c r="U631" s="81">
        <f t="shared" si="253"/>
        <v>0</v>
      </c>
      <c r="V631" s="81">
        <f t="shared" si="253"/>
        <v>0</v>
      </c>
      <c r="W631" s="81">
        <f t="shared" si="253"/>
        <v>0</v>
      </c>
      <c r="X631" s="81">
        <f t="shared" si="253"/>
        <v>0</v>
      </c>
      <c r="Y631" s="81">
        <f t="shared" si="253"/>
        <v>0</v>
      </c>
      <c r="Z631" s="81">
        <f t="shared" si="253"/>
        <v>0</v>
      </c>
      <c r="AA631" s="81">
        <f t="shared" si="253"/>
        <v>0</v>
      </c>
      <c r="AB631" s="81">
        <f t="shared" si="253"/>
        <v>0</v>
      </c>
      <c r="AC631" s="81">
        <f t="shared" si="253"/>
        <v>0</v>
      </c>
      <c r="AD631" s="81">
        <f t="shared" si="253"/>
        <v>0</v>
      </c>
      <c r="AE631" s="81">
        <f t="shared" si="253"/>
        <v>0</v>
      </c>
      <c r="AF631" s="365">
        <f t="shared" si="252"/>
        <v>12601985</v>
      </c>
      <c r="AG631" s="92" t="str">
        <f t="shared" si="250"/>
        <v>ok</v>
      </c>
    </row>
    <row r="632" spans="1:33" s="60" customFormat="1" ht="15">
      <c r="A632" s="60" t="s">
        <v>624</v>
      </c>
      <c r="C632" s="60" t="s">
        <v>624</v>
      </c>
      <c r="F632" s="80">
        <v>1</v>
      </c>
      <c r="G632" s="80"/>
      <c r="H632" s="204">
        <f>H628</f>
        <v>1</v>
      </c>
      <c r="I632" s="205">
        <f>I628</f>
        <v>0</v>
      </c>
      <c r="J632" s="205">
        <f>J628</f>
        <v>0</v>
      </c>
      <c r="K632" s="204">
        <v>0</v>
      </c>
      <c r="L632" s="204">
        <v>0</v>
      </c>
      <c r="M632" s="204">
        <v>0</v>
      </c>
      <c r="N632" s="204">
        <v>0</v>
      </c>
      <c r="O632" s="204">
        <v>0</v>
      </c>
      <c r="P632" s="204">
        <v>0</v>
      </c>
      <c r="Q632" s="204">
        <v>0</v>
      </c>
      <c r="R632" s="204">
        <v>0</v>
      </c>
      <c r="S632" s="204">
        <v>0</v>
      </c>
      <c r="T632" s="204">
        <v>0</v>
      </c>
      <c r="U632" s="204">
        <v>0</v>
      </c>
      <c r="V632" s="204">
        <v>0</v>
      </c>
      <c r="W632" s="204">
        <v>0</v>
      </c>
      <c r="X632" s="80">
        <v>0</v>
      </c>
      <c r="Y632" s="80">
        <v>0</v>
      </c>
      <c r="Z632" s="80">
        <v>0</v>
      </c>
      <c r="AA632" s="80">
        <v>0</v>
      </c>
      <c r="AB632" s="80">
        <v>0</v>
      </c>
      <c r="AC632" s="80">
        <v>0</v>
      </c>
      <c r="AD632" s="80">
        <v>0</v>
      </c>
      <c r="AE632" s="80">
        <v>0</v>
      </c>
      <c r="AF632" s="204">
        <f t="shared" si="252"/>
        <v>1</v>
      </c>
      <c r="AG632" s="92" t="str">
        <f t="shared" si="250"/>
        <v>ok</v>
      </c>
    </row>
    <row r="633" spans="1:33" s="60" customFormat="1">
      <c r="A633" s="60" t="s">
        <v>625</v>
      </c>
      <c r="C633" s="60" t="s">
        <v>626</v>
      </c>
      <c r="F633" s="78">
        <f>F376+F377+F378+F379</f>
        <v>7744702</v>
      </c>
      <c r="G633" s="111"/>
      <c r="H633" s="78">
        <f>H376+H377+H378+H379</f>
        <v>30396</v>
      </c>
      <c r="I633" s="78">
        <f t="shared" ref="I633:AE633" si="254">I376+I377+I378+I379</f>
        <v>0</v>
      </c>
      <c r="J633" s="78">
        <f t="shared" si="254"/>
        <v>0</v>
      </c>
      <c r="K633" s="78">
        <f t="shared" si="254"/>
        <v>7714306</v>
      </c>
      <c r="L633" s="81">
        <f t="shared" si="254"/>
        <v>0</v>
      </c>
      <c r="M633" s="81">
        <f t="shared" si="254"/>
        <v>0</v>
      </c>
      <c r="N633" s="81">
        <f t="shared" si="254"/>
        <v>0</v>
      </c>
      <c r="O633" s="81">
        <f t="shared" si="254"/>
        <v>0</v>
      </c>
      <c r="P633" s="81">
        <f t="shared" si="254"/>
        <v>0</v>
      </c>
      <c r="Q633" s="81">
        <f t="shared" si="254"/>
        <v>0</v>
      </c>
      <c r="R633" s="81">
        <f t="shared" si="254"/>
        <v>0</v>
      </c>
      <c r="S633" s="81">
        <f t="shared" si="254"/>
        <v>0</v>
      </c>
      <c r="T633" s="81">
        <f t="shared" si="254"/>
        <v>0</v>
      </c>
      <c r="U633" s="81">
        <f t="shared" si="254"/>
        <v>0</v>
      </c>
      <c r="V633" s="81">
        <f t="shared" si="254"/>
        <v>0</v>
      </c>
      <c r="W633" s="81">
        <f t="shared" si="254"/>
        <v>0</v>
      </c>
      <c r="X633" s="81">
        <f t="shared" si="254"/>
        <v>0</v>
      </c>
      <c r="Y633" s="81">
        <f t="shared" si="254"/>
        <v>0</v>
      </c>
      <c r="Z633" s="81">
        <f t="shared" si="254"/>
        <v>0</v>
      </c>
      <c r="AA633" s="81">
        <f t="shared" si="254"/>
        <v>0</v>
      </c>
      <c r="AB633" s="81">
        <f t="shared" si="254"/>
        <v>0</v>
      </c>
      <c r="AC633" s="81">
        <f t="shared" si="254"/>
        <v>0</v>
      </c>
      <c r="AD633" s="81">
        <f t="shared" si="254"/>
        <v>0</v>
      </c>
      <c r="AE633" s="81">
        <f t="shared" si="254"/>
        <v>0</v>
      </c>
      <c r="AF633" s="78">
        <f t="shared" si="252"/>
        <v>7744702</v>
      </c>
      <c r="AG633" s="92" t="str">
        <f t="shared" si="250"/>
        <v>ok</v>
      </c>
    </row>
    <row r="634" spans="1:33" s="60" customFormat="1">
      <c r="A634" s="60" t="s">
        <v>627</v>
      </c>
      <c r="C634" s="60" t="s">
        <v>628</v>
      </c>
      <c r="F634" s="78">
        <f>F387+F388+F389+F390+F391</f>
        <v>262377</v>
      </c>
      <c r="G634" s="111"/>
      <c r="H634" s="78">
        <f t="shared" ref="H634:M634" si="255">H387+H388+H389+H390+H391</f>
        <v>262377</v>
      </c>
      <c r="I634" s="78">
        <f t="shared" si="255"/>
        <v>0</v>
      </c>
      <c r="J634" s="78">
        <f t="shared" si="255"/>
        <v>0</v>
      </c>
      <c r="K634" s="78">
        <f t="shared" si="255"/>
        <v>0</v>
      </c>
      <c r="L634" s="81">
        <f t="shared" si="255"/>
        <v>0</v>
      </c>
      <c r="M634" s="81">
        <f t="shared" si="255"/>
        <v>0</v>
      </c>
      <c r="N634" s="81">
        <f>N387+N388+N389+N390+N391</f>
        <v>0</v>
      </c>
      <c r="O634" s="81">
        <f>O387+O388+O389+O390+O391</f>
        <v>0</v>
      </c>
      <c r="P634" s="81">
        <f>P387+P388+P389+P390+P391</f>
        <v>0</v>
      </c>
      <c r="Q634" s="81">
        <f t="shared" ref="Q634:AB634" si="256">Q387+Q388+Q389+Q390+Q391</f>
        <v>0</v>
      </c>
      <c r="R634" s="81">
        <f t="shared" si="256"/>
        <v>0</v>
      </c>
      <c r="S634" s="81">
        <f t="shared" si="256"/>
        <v>0</v>
      </c>
      <c r="T634" s="81">
        <f t="shared" si="256"/>
        <v>0</v>
      </c>
      <c r="U634" s="81">
        <f t="shared" si="256"/>
        <v>0</v>
      </c>
      <c r="V634" s="81">
        <f t="shared" si="256"/>
        <v>0</v>
      </c>
      <c r="W634" s="81">
        <f t="shared" si="256"/>
        <v>0</v>
      </c>
      <c r="X634" s="81">
        <f t="shared" si="256"/>
        <v>0</v>
      </c>
      <c r="Y634" s="81">
        <f t="shared" si="256"/>
        <v>0</v>
      </c>
      <c r="Z634" s="81">
        <f t="shared" si="256"/>
        <v>0</v>
      </c>
      <c r="AA634" s="81">
        <f t="shared" si="256"/>
        <v>0</v>
      </c>
      <c r="AB634" s="81">
        <f t="shared" si="256"/>
        <v>0</v>
      </c>
      <c r="AC634" s="81">
        <f>AC387+AC388+AC389+AC390+AC391</f>
        <v>0</v>
      </c>
      <c r="AD634" s="81">
        <f>AD387+AD388+AD389+AD390+AD391</f>
        <v>0</v>
      </c>
      <c r="AE634" s="81">
        <f>AE387+AE388+AE389+AE390+AE391</f>
        <v>0</v>
      </c>
      <c r="AF634" s="78">
        <f t="shared" si="252"/>
        <v>262377</v>
      </c>
      <c r="AG634" s="92" t="str">
        <f t="shared" si="250"/>
        <v>ok</v>
      </c>
    </row>
    <row r="635" spans="1:33" s="60" customFormat="1">
      <c r="A635" s="60" t="s">
        <v>634</v>
      </c>
      <c r="C635" s="60" t="s">
        <v>635</v>
      </c>
      <c r="F635" s="78">
        <f>F397+F398+F399+F400</f>
        <v>158283</v>
      </c>
      <c r="G635" s="111"/>
      <c r="H635" s="78">
        <f>H397+H398+H399+H400</f>
        <v>86045</v>
      </c>
      <c r="I635" s="78">
        <f t="shared" ref="I635:AE635" si="257">I397+I398+I399+I400</f>
        <v>0</v>
      </c>
      <c r="J635" s="78">
        <f t="shared" si="257"/>
        <v>0</v>
      </c>
      <c r="K635" s="78">
        <f t="shared" si="257"/>
        <v>72238</v>
      </c>
      <c r="L635" s="81">
        <f t="shared" si="257"/>
        <v>0</v>
      </c>
      <c r="M635" s="81">
        <f t="shared" si="257"/>
        <v>0</v>
      </c>
      <c r="N635" s="81">
        <f t="shared" si="257"/>
        <v>0</v>
      </c>
      <c r="O635" s="81">
        <f t="shared" si="257"/>
        <v>0</v>
      </c>
      <c r="P635" s="81">
        <f t="shared" si="257"/>
        <v>0</v>
      </c>
      <c r="Q635" s="81">
        <f t="shared" si="257"/>
        <v>0</v>
      </c>
      <c r="R635" s="81">
        <f t="shared" si="257"/>
        <v>0</v>
      </c>
      <c r="S635" s="81">
        <f t="shared" si="257"/>
        <v>0</v>
      </c>
      <c r="T635" s="81">
        <f t="shared" si="257"/>
        <v>0</v>
      </c>
      <c r="U635" s="81">
        <f t="shared" si="257"/>
        <v>0</v>
      </c>
      <c r="V635" s="81">
        <f t="shared" si="257"/>
        <v>0</v>
      </c>
      <c r="W635" s="81">
        <f t="shared" si="257"/>
        <v>0</v>
      </c>
      <c r="X635" s="81">
        <f t="shared" si="257"/>
        <v>0</v>
      </c>
      <c r="Y635" s="81">
        <f t="shared" si="257"/>
        <v>0</v>
      </c>
      <c r="Z635" s="81">
        <f t="shared" si="257"/>
        <v>0</v>
      </c>
      <c r="AA635" s="81">
        <f t="shared" si="257"/>
        <v>0</v>
      </c>
      <c r="AB635" s="81">
        <f t="shared" si="257"/>
        <v>0</v>
      </c>
      <c r="AC635" s="81">
        <f t="shared" si="257"/>
        <v>0</v>
      </c>
      <c r="AD635" s="81">
        <f t="shared" si="257"/>
        <v>0</v>
      </c>
      <c r="AE635" s="81">
        <f t="shared" si="257"/>
        <v>0</v>
      </c>
      <c r="AF635" s="78">
        <f t="shared" si="252"/>
        <v>158283</v>
      </c>
      <c r="AG635" s="92" t="str">
        <f t="shared" si="250"/>
        <v>ok</v>
      </c>
    </row>
    <row r="636" spans="1:33" s="60" customFormat="1">
      <c r="A636" s="60" t="s">
        <v>637</v>
      </c>
      <c r="C636" s="60" t="s">
        <v>636</v>
      </c>
      <c r="F636" s="78">
        <f>F454+F455+F456+F457+F458+F459+F460+F461+F462+F463</f>
        <v>8228555</v>
      </c>
      <c r="G636" s="111"/>
      <c r="H636" s="78">
        <f>H454+H455+H456+H457+H458+H459+H460+H461+H462+H463</f>
        <v>0</v>
      </c>
      <c r="I636" s="78">
        <f t="shared" ref="I636:AE636" si="258">I454+I455+I456+I457+I458+I459+I460+I461+I462+I463</f>
        <v>0</v>
      </c>
      <c r="J636" s="78">
        <f t="shared" si="258"/>
        <v>0</v>
      </c>
      <c r="K636" s="78">
        <f t="shared" si="258"/>
        <v>0</v>
      </c>
      <c r="L636" s="81">
        <f t="shared" si="258"/>
        <v>0</v>
      </c>
      <c r="M636" s="81">
        <f t="shared" si="258"/>
        <v>0</v>
      </c>
      <c r="N636" s="81">
        <f t="shared" si="258"/>
        <v>0</v>
      </c>
      <c r="O636" s="81">
        <f t="shared" si="258"/>
        <v>0</v>
      </c>
      <c r="P636" s="81">
        <f t="shared" si="258"/>
        <v>0</v>
      </c>
      <c r="Q636" s="81">
        <f t="shared" si="258"/>
        <v>0</v>
      </c>
      <c r="R636" s="81">
        <f t="shared" si="258"/>
        <v>1220520.9680450442</v>
      </c>
      <c r="S636" s="81">
        <f t="shared" si="258"/>
        <v>0</v>
      </c>
      <c r="T636" s="81">
        <f t="shared" si="258"/>
        <v>973421.84185554693</v>
      </c>
      <c r="U636" s="81">
        <f t="shared" si="258"/>
        <v>1651299.6766921924</v>
      </c>
      <c r="V636" s="81">
        <f t="shared" si="258"/>
        <v>329314.48042335309</v>
      </c>
      <c r="W636" s="81">
        <f t="shared" si="258"/>
        <v>574563.38616658899</v>
      </c>
      <c r="X636" s="81">
        <f t="shared" si="258"/>
        <v>98167.480594296954</v>
      </c>
      <c r="Y636" s="81">
        <f t="shared" si="258"/>
        <v>54719.329799131789</v>
      </c>
      <c r="Z636" s="81">
        <f t="shared" si="258"/>
        <v>34985.951050711454</v>
      </c>
      <c r="AA636" s="81">
        <f t="shared" si="258"/>
        <v>3176211.634135488</v>
      </c>
      <c r="AB636" s="81">
        <f t="shared" si="258"/>
        <v>115350.25123764618</v>
      </c>
      <c r="AC636" s="81">
        <f t="shared" si="258"/>
        <v>0</v>
      </c>
      <c r="AD636" s="81">
        <f t="shared" si="258"/>
        <v>0</v>
      </c>
      <c r="AE636" s="81">
        <f t="shared" si="258"/>
        <v>0</v>
      </c>
      <c r="AF636" s="78">
        <f t="shared" si="252"/>
        <v>8228555</v>
      </c>
      <c r="AG636" s="92" t="str">
        <f t="shared" si="250"/>
        <v>ok</v>
      </c>
    </row>
    <row r="637" spans="1:33" s="60" customFormat="1">
      <c r="A637" s="60" t="s">
        <v>638</v>
      </c>
      <c r="C637" s="60" t="s">
        <v>639</v>
      </c>
      <c r="F637" s="78">
        <f>F475+F476+F477+F478+F479+F480+F481+F482</f>
        <v>2715913</v>
      </c>
      <c r="G637" s="111"/>
      <c r="H637" s="78">
        <f>H475+H476+H477+H478+H479+H480+H481+H482</f>
        <v>0</v>
      </c>
      <c r="I637" s="78">
        <f t="shared" ref="I637:AE637" si="259">I475+I476+I477+I478+I479+I480+I481+I482</f>
        <v>0</v>
      </c>
      <c r="J637" s="78">
        <f t="shared" si="259"/>
        <v>0</v>
      </c>
      <c r="K637" s="78">
        <f t="shared" si="259"/>
        <v>0</v>
      </c>
      <c r="L637" s="81">
        <f t="shared" si="259"/>
        <v>0</v>
      </c>
      <c r="M637" s="81">
        <f t="shared" si="259"/>
        <v>0</v>
      </c>
      <c r="N637" s="81">
        <f t="shared" si="259"/>
        <v>0</v>
      </c>
      <c r="O637" s="81">
        <f t="shared" si="259"/>
        <v>0</v>
      </c>
      <c r="P637" s="81">
        <f t="shared" si="259"/>
        <v>0</v>
      </c>
      <c r="Q637" s="81">
        <f t="shared" si="259"/>
        <v>0</v>
      </c>
      <c r="R637" s="81">
        <f t="shared" si="259"/>
        <v>374744</v>
      </c>
      <c r="S637" s="81">
        <f t="shared" si="259"/>
        <v>0</v>
      </c>
      <c r="T637" s="81">
        <f t="shared" si="259"/>
        <v>636274.68161274004</v>
      </c>
      <c r="U637" s="81">
        <f t="shared" si="259"/>
        <v>1068062.6678872602</v>
      </c>
      <c r="V637" s="81">
        <f t="shared" si="259"/>
        <v>204075.03558726</v>
      </c>
      <c r="W637" s="81">
        <f t="shared" si="259"/>
        <v>354162.61491273995</v>
      </c>
      <c r="X637" s="81">
        <f t="shared" si="259"/>
        <v>46627.476153450174</v>
      </c>
      <c r="Y637" s="81">
        <f t="shared" si="259"/>
        <v>25990.52384654983</v>
      </c>
      <c r="Z637" s="81">
        <f t="shared" si="259"/>
        <v>0</v>
      </c>
      <c r="AA637" s="81">
        <f t="shared" si="259"/>
        <v>0</v>
      </c>
      <c r="AB637" s="81">
        <f t="shared" si="259"/>
        <v>5976</v>
      </c>
      <c r="AC637" s="81">
        <f t="shared" si="259"/>
        <v>0</v>
      </c>
      <c r="AD637" s="81">
        <f t="shared" si="259"/>
        <v>0</v>
      </c>
      <c r="AE637" s="81">
        <f t="shared" si="259"/>
        <v>0</v>
      </c>
      <c r="AF637" s="78">
        <f t="shared" si="252"/>
        <v>2715913</v>
      </c>
      <c r="AG637" s="92" t="str">
        <f t="shared" si="250"/>
        <v>ok</v>
      </c>
    </row>
    <row r="638" spans="1:33" s="60" customFormat="1">
      <c r="A638" s="60" t="s">
        <v>951</v>
      </c>
      <c r="C638" s="60" t="s">
        <v>640</v>
      </c>
      <c r="F638" s="80">
        <v>1</v>
      </c>
      <c r="G638" s="80"/>
      <c r="H638" s="204">
        <v>0</v>
      </c>
      <c r="I638" s="204">
        <v>0</v>
      </c>
      <c r="J638" s="204">
        <v>0</v>
      </c>
      <c r="K638" s="204">
        <v>0</v>
      </c>
      <c r="L638" s="204">
        <v>0</v>
      </c>
      <c r="M638" s="204">
        <v>0</v>
      </c>
      <c r="N638" s="204">
        <v>0</v>
      </c>
      <c r="O638" s="204">
        <v>0</v>
      </c>
      <c r="P638" s="204">
        <v>0</v>
      </c>
      <c r="Q638" s="204">
        <v>0</v>
      </c>
      <c r="R638" s="204">
        <v>0</v>
      </c>
      <c r="S638" s="204">
        <v>0</v>
      </c>
      <c r="T638" s="204">
        <v>0</v>
      </c>
      <c r="U638" s="204">
        <v>0</v>
      </c>
      <c r="V638" s="204">
        <v>0</v>
      </c>
      <c r="W638" s="204">
        <v>0</v>
      </c>
      <c r="X638" s="80">
        <v>0</v>
      </c>
      <c r="Y638" s="80">
        <v>0</v>
      </c>
      <c r="Z638" s="80">
        <v>0</v>
      </c>
      <c r="AA638" s="80">
        <v>0</v>
      </c>
      <c r="AB638" s="80">
        <v>0</v>
      </c>
      <c r="AC638" s="80">
        <v>1</v>
      </c>
      <c r="AD638" s="80">
        <v>0</v>
      </c>
      <c r="AE638" s="80">
        <v>0</v>
      </c>
      <c r="AF638" s="204">
        <f t="shared" si="252"/>
        <v>1</v>
      </c>
      <c r="AG638" s="92" t="str">
        <f t="shared" si="250"/>
        <v>ok</v>
      </c>
    </row>
    <row r="639" spans="1:33" s="60" customFormat="1">
      <c r="A639" s="60" t="s">
        <v>962</v>
      </c>
      <c r="C639" s="60" t="s">
        <v>641</v>
      </c>
      <c r="F639" s="80">
        <v>1</v>
      </c>
      <c r="G639" s="80"/>
      <c r="H639" s="204">
        <v>0</v>
      </c>
      <c r="I639" s="204">
        <v>0</v>
      </c>
      <c r="J639" s="204">
        <v>0</v>
      </c>
      <c r="K639" s="204">
        <v>0</v>
      </c>
      <c r="L639" s="204">
        <v>0</v>
      </c>
      <c r="M639" s="204">
        <v>0</v>
      </c>
      <c r="N639" s="204">
        <v>0</v>
      </c>
      <c r="O639" s="204">
        <v>0</v>
      </c>
      <c r="P639" s="204">
        <v>0</v>
      </c>
      <c r="Q639" s="204">
        <v>0</v>
      </c>
      <c r="R639" s="204">
        <v>0</v>
      </c>
      <c r="S639" s="204">
        <v>0</v>
      </c>
      <c r="T639" s="204">
        <v>0</v>
      </c>
      <c r="U639" s="204">
        <v>0</v>
      </c>
      <c r="V639" s="204">
        <v>0</v>
      </c>
      <c r="W639" s="204">
        <v>0</v>
      </c>
      <c r="X639" s="80">
        <v>0</v>
      </c>
      <c r="Y639" s="80">
        <v>0</v>
      </c>
      <c r="Z639" s="80">
        <v>0</v>
      </c>
      <c r="AA639" s="80">
        <v>0</v>
      </c>
      <c r="AB639" s="80">
        <v>0</v>
      </c>
      <c r="AC639" s="80">
        <v>0</v>
      </c>
      <c r="AD639" s="80">
        <v>1</v>
      </c>
      <c r="AE639" s="80">
        <v>0</v>
      </c>
      <c r="AF639" s="204">
        <f t="shared" si="252"/>
        <v>1</v>
      </c>
      <c r="AG639" s="92" t="str">
        <f t="shared" si="250"/>
        <v>ok</v>
      </c>
    </row>
    <row r="640" spans="1:33" s="60" customFormat="1">
      <c r="A640" s="60" t="s">
        <v>820</v>
      </c>
      <c r="C640" s="60" t="s">
        <v>819</v>
      </c>
      <c r="F640" s="78">
        <f t="shared" ref="F640:AE640" si="260">F39+F40</f>
        <v>1160271504.5446146</v>
      </c>
      <c r="G640" s="78">
        <f t="shared" si="260"/>
        <v>0</v>
      </c>
      <c r="H640" s="78">
        <f t="shared" si="260"/>
        <v>0</v>
      </c>
      <c r="I640" s="78">
        <f t="shared" si="260"/>
        <v>0</v>
      </c>
      <c r="J640" s="78">
        <f t="shared" si="260"/>
        <v>0</v>
      </c>
      <c r="K640" s="78">
        <f t="shared" si="260"/>
        <v>0</v>
      </c>
      <c r="L640" s="78">
        <f t="shared" si="260"/>
        <v>0</v>
      </c>
      <c r="M640" s="78">
        <f t="shared" si="260"/>
        <v>0</v>
      </c>
      <c r="N640" s="78">
        <f t="shared" si="260"/>
        <v>0</v>
      </c>
      <c r="O640" s="78">
        <f t="shared" si="260"/>
        <v>0</v>
      </c>
      <c r="P640" s="78">
        <f t="shared" si="260"/>
        <v>0</v>
      </c>
      <c r="Q640" s="78">
        <f t="shared" si="260"/>
        <v>0</v>
      </c>
      <c r="R640" s="78">
        <f t="shared" si="260"/>
        <v>0</v>
      </c>
      <c r="S640" s="78">
        <f t="shared" si="260"/>
        <v>0</v>
      </c>
      <c r="T640" s="78">
        <f t="shared" si="260"/>
        <v>342041384.40241784</v>
      </c>
      <c r="U640" s="78">
        <f t="shared" si="260"/>
        <v>559726383.01709938</v>
      </c>
      <c r="V640" s="78">
        <f t="shared" si="260"/>
        <v>95432667.516435459</v>
      </c>
      <c r="W640" s="78">
        <f t="shared" si="260"/>
        <v>163071069.60866195</v>
      </c>
      <c r="X640" s="78">
        <f t="shared" si="260"/>
        <v>0</v>
      </c>
      <c r="Y640" s="78">
        <f t="shared" si="260"/>
        <v>0</v>
      </c>
      <c r="Z640" s="78">
        <f t="shared" si="260"/>
        <v>0</v>
      </c>
      <c r="AA640" s="78">
        <f t="shared" si="260"/>
        <v>0</v>
      </c>
      <c r="AB640" s="78">
        <f t="shared" si="260"/>
        <v>0</v>
      </c>
      <c r="AC640" s="78">
        <f t="shared" si="260"/>
        <v>0</v>
      </c>
      <c r="AD640" s="78">
        <f t="shared" si="260"/>
        <v>0</v>
      </c>
      <c r="AE640" s="78">
        <f t="shared" si="260"/>
        <v>0</v>
      </c>
      <c r="AF640" s="78">
        <f t="shared" ref="AF640:AF648" si="261">SUM(H640:AE640)</f>
        <v>1160271504.5446148</v>
      </c>
      <c r="AG640" s="92" t="str">
        <f t="shared" si="250"/>
        <v>err</v>
      </c>
    </row>
    <row r="641" spans="1:33" s="60" customFormat="1">
      <c r="A641" s="60" t="s">
        <v>839</v>
      </c>
      <c r="D641" s="60" t="s">
        <v>616</v>
      </c>
      <c r="F641" s="78">
        <v>27272357.152828299</v>
      </c>
      <c r="G641" s="78"/>
      <c r="H641" s="78">
        <f t="shared" ref="H641:Q642" si="262">IF(VLOOKUP($D641,$C$6:$AE$653,H$2,)=0,0,((VLOOKUP($D641,$C$6:$AE$653,H$2,)/VLOOKUP($D641,$C$6:$AE$653,4,))*$F641))</f>
        <v>27272357.152828299</v>
      </c>
      <c r="I641" s="78">
        <f t="shared" si="262"/>
        <v>0</v>
      </c>
      <c r="J641" s="78">
        <f t="shared" si="262"/>
        <v>0</v>
      </c>
      <c r="K641" s="78">
        <f t="shared" si="262"/>
        <v>0</v>
      </c>
      <c r="L641" s="78">
        <f t="shared" si="262"/>
        <v>0</v>
      </c>
      <c r="M641" s="78">
        <f t="shared" si="262"/>
        <v>0</v>
      </c>
      <c r="N641" s="78">
        <f t="shared" si="262"/>
        <v>0</v>
      </c>
      <c r="O641" s="78">
        <f t="shared" si="262"/>
        <v>0</v>
      </c>
      <c r="P641" s="78">
        <f t="shared" si="262"/>
        <v>0</v>
      </c>
      <c r="Q641" s="78">
        <f t="shared" si="262"/>
        <v>0</v>
      </c>
      <c r="R641" s="78">
        <f t="shared" ref="R641:AE642" si="263">IF(VLOOKUP($D641,$C$6:$AE$653,R$2,)=0,0,((VLOOKUP($D641,$C$6:$AE$653,R$2,)/VLOOKUP($D641,$C$6:$AE$653,4,))*$F641))</f>
        <v>0</v>
      </c>
      <c r="S641" s="78">
        <f t="shared" si="263"/>
        <v>0</v>
      </c>
      <c r="T641" s="78">
        <f t="shared" si="263"/>
        <v>0</v>
      </c>
      <c r="U641" s="78">
        <f t="shared" si="263"/>
        <v>0</v>
      </c>
      <c r="V641" s="78">
        <f t="shared" si="263"/>
        <v>0</v>
      </c>
      <c r="W641" s="78">
        <f t="shared" si="263"/>
        <v>0</v>
      </c>
      <c r="X641" s="78">
        <f t="shared" si="263"/>
        <v>0</v>
      </c>
      <c r="Y641" s="78">
        <f t="shared" si="263"/>
        <v>0</v>
      </c>
      <c r="Z641" s="78">
        <f t="shared" si="263"/>
        <v>0</v>
      </c>
      <c r="AA641" s="78">
        <f t="shared" si="263"/>
        <v>0</v>
      </c>
      <c r="AB641" s="78">
        <f t="shared" si="263"/>
        <v>0</v>
      </c>
      <c r="AC641" s="78">
        <f t="shared" si="263"/>
        <v>0</v>
      </c>
      <c r="AD641" s="78">
        <f t="shared" si="263"/>
        <v>0</v>
      </c>
      <c r="AE641" s="78">
        <f t="shared" si="263"/>
        <v>0</v>
      </c>
      <c r="AF641" s="78">
        <f t="shared" si="261"/>
        <v>27272357.152828299</v>
      </c>
      <c r="AG641" s="92" t="str">
        <f>IF(ABS(AF641-F641)&lt;1,"ok","err")</f>
        <v>ok</v>
      </c>
    </row>
    <row r="642" spans="1:33" s="60" customFormat="1">
      <c r="A642" s="60" t="s">
        <v>840</v>
      </c>
      <c r="D642" s="60" t="s">
        <v>619</v>
      </c>
      <c r="F642" s="78">
        <v>22555449.143752601</v>
      </c>
      <c r="G642" s="80"/>
      <c r="H642" s="78">
        <f t="shared" si="262"/>
        <v>0</v>
      </c>
      <c r="I642" s="78">
        <f t="shared" si="262"/>
        <v>0</v>
      </c>
      <c r="J642" s="78">
        <f t="shared" si="262"/>
        <v>0</v>
      </c>
      <c r="K642" s="78">
        <f t="shared" si="262"/>
        <v>22555449.143752601</v>
      </c>
      <c r="L642" s="78">
        <f t="shared" si="262"/>
        <v>0</v>
      </c>
      <c r="M642" s="78">
        <f t="shared" si="262"/>
        <v>0</v>
      </c>
      <c r="N642" s="78">
        <f t="shared" si="262"/>
        <v>0</v>
      </c>
      <c r="O642" s="78">
        <f t="shared" si="262"/>
        <v>0</v>
      </c>
      <c r="P642" s="78">
        <f t="shared" si="262"/>
        <v>0</v>
      </c>
      <c r="Q642" s="78">
        <f t="shared" si="262"/>
        <v>0</v>
      </c>
      <c r="R642" s="78">
        <f t="shared" si="263"/>
        <v>0</v>
      </c>
      <c r="S642" s="78">
        <f t="shared" si="263"/>
        <v>0</v>
      </c>
      <c r="T642" s="78">
        <f t="shared" si="263"/>
        <v>0</v>
      </c>
      <c r="U642" s="78">
        <f t="shared" si="263"/>
        <v>0</v>
      </c>
      <c r="V642" s="78">
        <f t="shared" si="263"/>
        <v>0</v>
      </c>
      <c r="W642" s="78">
        <f t="shared" si="263"/>
        <v>0</v>
      </c>
      <c r="X642" s="78">
        <f t="shared" si="263"/>
        <v>0</v>
      </c>
      <c r="Y642" s="78">
        <f t="shared" si="263"/>
        <v>0</v>
      </c>
      <c r="Z642" s="78">
        <f t="shared" si="263"/>
        <v>0</v>
      </c>
      <c r="AA642" s="78">
        <f t="shared" si="263"/>
        <v>0</v>
      </c>
      <c r="AB642" s="78">
        <f t="shared" si="263"/>
        <v>0</v>
      </c>
      <c r="AC642" s="78">
        <f t="shared" si="263"/>
        <v>0</v>
      </c>
      <c r="AD642" s="78">
        <f t="shared" si="263"/>
        <v>0</v>
      </c>
      <c r="AE642" s="78">
        <f t="shared" si="263"/>
        <v>0</v>
      </c>
      <c r="AF642" s="78">
        <f t="shared" si="261"/>
        <v>22555449.143752601</v>
      </c>
      <c r="AG642" s="92" t="str">
        <f>IF(ABS(AF642-F642)&lt;1,"ok","err")</f>
        <v>ok</v>
      </c>
    </row>
    <row r="643" spans="1:33" s="60" customFormat="1">
      <c r="A643" s="60" t="s">
        <v>10</v>
      </c>
      <c r="C643" s="60" t="s">
        <v>912</v>
      </c>
      <c r="F643" s="78">
        <f>F641+F642</f>
        <v>49827806.296580896</v>
      </c>
      <c r="G643" s="78"/>
      <c r="H643" s="78">
        <f>H641+H642</f>
        <v>27272357.152828299</v>
      </c>
      <c r="I643" s="78">
        <f t="shared" ref="I643:AE643" si="264">I641+I642</f>
        <v>0</v>
      </c>
      <c r="J643" s="78">
        <f t="shared" si="264"/>
        <v>0</v>
      </c>
      <c r="K643" s="78">
        <f t="shared" si="264"/>
        <v>22555449.143752601</v>
      </c>
      <c r="L643" s="78">
        <f t="shared" si="264"/>
        <v>0</v>
      </c>
      <c r="M643" s="78">
        <f t="shared" si="264"/>
        <v>0</v>
      </c>
      <c r="N643" s="78">
        <f t="shared" si="264"/>
        <v>0</v>
      </c>
      <c r="O643" s="78">
        <f t="shared" si="264"/>
        <v>0</v>
      </c>
      <c r="P643" s="78">
        <f t="shared" si="264"/>
        <v>0</v>
      </c>
      <c r="Q643" s="78">
        <f t="shared" si="264"/>
        <v>0</v>
      </c>
      <c r="R643" s="78">
        <f t="shared" si="264"/>
        <v>0</v>
      </c>
      <c r="S643" s="78">
        <f t="shared" si="264"/>
        <v>0</v>
      </c>
      <c r="T643" s="78">
        <f t="shared" si="264"/>
        <v>0</v>
      </c>
      <c r="U643" s="78">
        <f t="shared" si="264"/>
        <v>0</v>
      </c>
      <c r="V643" s="78">
        <f t="shared" si="264"/>
        <v>0</v>
      </c>
      <c r="W643" s="78">
        <f t="shared" si="264"/>
        <v>0</v>
      </c>
      <c r="X643" s="78">
        <f t="shared" si="264"/>
        <v>0</v>
      </c>
      <c r="Y643" s="78">
        <f t="shared" si="264"/>
        <v>0</v>
      </c>
      <c r="Z643" s="78">
        <f t="shared" si="264"/>
        <v>0</v>
      </c>
      <c r="AA643" s="78">
        <f t="shared" si="264"/>
        <v>0</v>
      </c>
      <c r="AB643" s="78">
        <f t="shared" si="264"/>
        <v>0</v>
      </c>
      <c r="AC643" s="78">
        <f t="shared" si="264"/>
        <v>0</v>
      </c>
      <c r="AD643" s="78">
        <f t="shared" si="264"/>
        <v>0</v>
      </c>
      <c r="AE643" s="78">
        <f t="shared" si="264"/>
        <v>0</v>
      </c>
      <c r="AF643" s="78">
        <f t="shared" si="261"/>
        <v>49827806.296580896</v>
      </c>
      <c r="AG643" s="92" t="str">
        <f>IF(ABS(AF643-F643)&lt;1,"ok","err")</f>
        <v>ok</v>
      </c>
    </row>
    <row r="644" spans="1:33" s="60" customFormat="1">
      <c r="A644" s="60" t="s">
        <v>115</v>
      </c>
      <c r="C644" s="60" t="s">
        <v>113</v>
      </c>
      <c r="F644" s="82">
        <v>1</v>
      </c>
      <c r="H644" s="78">
        <v>0</v>
      </c>
      <c r="I644" s="78">
        <v>0</v>
      </c>
      <c r="J644" s="78">
        <v>0</v>
      </c>
      <c r="K644" s="78">
        <v>0</v>
      </c>
      <c r="L644" s="78">
        <v>0</v>
      </c>
      <c r="M644" s="78">
        <v>0</v>
      </c>
      <c r="N644" s="78">
        <v>0</v>
      </c>
      <c r="O644" s="78">
        <v>0</v>
      </c>
      <c r="P644" s="78">
        <v>0</v>
      </c>
      <c r="Q644" s="78">
        <v>0</v>
      </c>
      <c r="R644" s="78">
        <v>0</v>
      </c>
      <c r="S644" s="78">
        <v>0</v>
      </c>
      <c r="T644" s="78">
        <v>0</v>
      </c>
      <c r="U644" s="78">
        <v>0</v>
      </c>
      <c r="V644" s="78">
        <v>0</v>
      </c>
      <c r="W644" s="78">
        <v>0</v>
      </c>
      <c r="X644" s="78">
        <v>0</v>
      </c>
      <c r="Y644" s="78">
        <v>0</v>
      </c>
      <c r="Z644" s="78">
        <v>0</v>
      </c>
      <c r="AA644" s="78">
        <v>0</v>
      </c>
      <c r="AB644" s="78">
        <v>0</v>
      </c>
      <c r="AC644" s="82">
        <v>1</v>
      </c>
      <c r="AD644" s="78">
        <v>0</v>
      </c>
      <c r="AE644" s="78">
        <v>0</v>
      </c>
      <c r="AF644" s="204">
        <f t="shared" si="261"/>
        <v>1</v>
      </c>
      <c r="AG644" s="92" t="str">
        <f>IF(ABS(AF644-F644)&lt;1,"ok","err")</f>
        <v>ok</v>
      </c>
    </row>
    <row r="645" spans="1:33" s="60" customFormat="1">
      <c r="A645" s="60" t="s">
        <v>116</v>
      </c>
      <c r="C645" s="60" t="s">
        <v>114</v>
      </c>
      <c r="F645" s="82">
        <v>1</v>
      </c>
      <c r="H645" s="78">
        <v>0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  <c r="Z645" s="78">
        <v>0</v>
      </c>
      <c r="AA645" s="78">
        <v>0</v>
      </c>
      <c r="AB645" s="78">
        <v>0</v>
      </c>
      <c r="AC645" s="82">
        <v>1</v>
      </c>
      <c r="AD645" s="78">
        <v>0</v>
      </c>
      <c r="AE645" s="78">
        <v>0</v>
      </c>
      <c r="AF645" s="204">
        <f t="shared" si="261"/>
        <v>1</v>
      </c>
      <c r="AG645" s="92" t="str">
        <f>IF(ABS(AF645-F645)&lt;1,"ok","err")</f>
        <v>ok</v>
      </c>
    </row>
    <row r="646" spans="1:33" s="60" customFormat="1">
      <c r="A646" s="60" t="s">
        <v>121</v>
      </c>
      <c r="C646" s="60" t="s">
        <v>118</v>
      </c>
      <c r="F646" s="80">
        <v>1</v>
      </c>
      <c r="G646" s="80"/>
      <c r="H646" s="204">
        <v>0</v>
      </c>
      <c r="I646" s="204">
        <v>0</v>
      </c>
      <c r="J646" s="204">
        <v>0</v>
      </c>
      <c r="K646" s="204">
        <v>0</v>
      </c>
      <c r="L646" s="204">
        <v>0</v>
      </c>
      <c r="M646" s="204">
        <v>1</v>
      </c>
      <c r="N646" s="204">
        <v>0</v>
      </c>
      <c r="O646" s="204">
        <v>0</v>
      </c>
      <c r="P646" s="204">
        <v>0</v>
      </c>
      <c r="Q646" s="204">
        <v>0</v>
      </c>
      <c r="R646" s="204">
        <v>0</v>
      </c>
      <c r="S646" s="204">
        <v>0</v>
      </c>
      <c r="T646" s="204">
        <v>0</v>
      </c>
      <c r="U646" s="204">
        <v>0</v>
      </c>
      <c r="V646" s="204">
        <v>0</v>
      </c>
      <c r="W646" s="204">
        <v>0</v>
      </c>
      <c r="X646" s="80">
        <v>0</v>
      </c>
      <c r="Y646" s="80">
        <v>0</v>
      </c>
      <c r="Z646" s="80">
        <v>0</v>
      </c>
      <c r="AA646" s="80">
        <v>0</v>
      </c>
      <c r="AB646" s="80">
        <v>0</v>
      </c>
      <c r="AC646" s="80">
        <v>0</v>
      </c>
      <c r="AD646" s="80">
        <v>0</v>
      </c>
      <c r="AE646" s="80">
        <v>0</v>
      </c>
      <c r="AF646" s="204">
        <f t="shared" si="261"/>
        <v>1</v>
      </c>
      <c r="AG646" s="92" t="str">
        <f>IF(ABS(AF646-F646)&lt;0.0000001,"ok","err")</f>
        <v>ok</v>
      </c>
    </row>
    <row r="647" spans="1:33" s="60" customFormat="1">
      <c r="A647" s="60" t="s">
        <v>120</v>
      </c>
      <c r="C647" s="60" t="s">
        <v>119</v>
      </c>
      <c r="F647" s="80">
        <v>1</v>
      </c>
      <c r="G647" s="80"/>
      <c r="H647" s="204">
        <v>1</v>
      </c>
      <c r="I647" s="204">
        <v>0</v>
      </c>
      <c r="J647" s="204">
        <v>0</v>
      </c>
      <c r="K647" s="204">
        <v>0</v>
      </c>
      <c r="L647" s="204">
        <v>0</v>
      </c>
      <c r="M647" s="204">
        <v>0</v>
      </c>
      <c r="N647" s="204">
        <v>0</v>
      </c>
      <c r="O647" s="204">
        <v>0</v>
      </c>
      <c r="P647" s="204">
        <v>0</v>
      </c>
      <c r="Q647" s="204">
        <v>0</v>
      </c>
      <c r="R647" s="204">
        <v>0</v>
      </c>
      <c r="S647" s="204">
        <v>0</v>
      </c>
      <c r="T647" s="204">
        <v>0</v>
      </c>
      <c r="U647" s="204">
        <v>0</v>
      </c>
      <c r="V647" s="204">
        <v>0</v>
      </c>
      <c r="W647" s="204">
        <v>0</v>
      </c>
      <c r="X647" s="80">
        <v>0</v>
      </c>
      <c r="Y647" s="80">
        <v>0</v>
      </c>
      <c r="Z647" s="80">
        <v>0</v>
      </c>
      <c r="AA647" s="80">
        <v>0</v>
      </c>
      <c r="AB647" s="80">
        <v>0</v>
      </c>
      <c r="AC647" s="80">
        <v>0</v>
      </c>
      <c r="AD647" s="80">
        <v>0</v>
      </c>
      <c r="AE647" s="80">
        <v>0</v>
      </c>
      <c r="AF647" s="204">
        <f t="shared" si="261"/>
        <v>1</v>
      </c>
      <c r="AG647" s="92" t="str">
        <f>IF(ABS(AF647-F647)&lt;0.0000001,"ok","err")</f>
        <v>ok</v>
      </c>
    </row>
    <row r="648" spans="1:33" s="60" customFormat="1">
      <c r="C648" s="60" t="s">
        <v>856</v>
      </c>
      <c r="F648" s="80">
        <v>1</v>
      </c>
      <c r="G648" s="80"/>
      <c r="H648" s="204">
        <v>0</v>
      </c>
      <c r="I648" s="204">
        <v>0</v>
      </c>
      <c r="J648" s="204">
        <v>0</v>
      </c>
      <c r="K648" s="204">
        <v>1</v>
      </c>
      <c r="L648" s="204">
        <v>0</v>
      </c>
      <c r="M648" s="204">
        <v>0</v>
      </c>
      <c r="N648" s="204">
        <v>0</v>
      </c>
      <c r="O648" s="204">
        <v>0</v>
      </c>
      <c r="P648" s="204">
        <v>0</v>
      </c>
      <c r="Q648" s="204">
        <v>0</v>
      </c>
      <c r="R648" s="204">
        <v>0</v>
      </c>
      <c r="S648" s="204">
        <v>0</v>
      </c>
      <c r="T648" s="204">
        <v>0</v>
      </c>
      <c r="U648" s="204">
        <v>0</v>
      </c>
      <c r="V648" s="204">
        <v>0</v>
      </c>
      <c r="W648" s="204">
        <v>0</v>
      </c>
      <c r="X648" s="80">
        <v>0</v>
      </c>
      <c r="Y648" s="80">
        <v>0</v>
      </c>
      <c r="Z648" s="80">
        <v>0</v>
      </c>
      <c r="AA648" s="80">
        <v>0</v>
      </c>
      <c r="AB648" s="80">
        <v>0</v>
      </c>
      <c r="AC648" s="80">
        <v>0</v>
      </c>
      <c r="AD648" s="80">
        <v>0</v>
      </c>
      <c r="AE648" s="80">
        <v>0</v>
      </c>
      <c r="AF648" s="204">
        <f t="shared" si="261"/>
        <v>1</v>
      </c>
      <c r="AG648" s="92" t="str">
        <f>IF(ABS(AF648-F648)&lt;0.0000001,"ok","err")</f>
        <v>ok</v>
      </c>
    </row>
    <row r="649" spans="1:33" s="60" customFormat="1">
      <c r="W649" s="76"/>
      <c r="AG649" s="92"/>
    </row>
    <row r="650" spans="1:33" s="60" customFormat="1" ht="15">
      <c r="A650" s="65" t="s">
        <v>831</v>
      </c>
      <c r="W650" s="76"/>
      <c r="AG650" s="92"/>
    </row>
    <row r="651" spans="1:33" s="60" customFormat="1">
      <c r="A651" s="60" t="s">
        <v>818</v>
      </c>
      <c r="D651" s="60" t="s">
        <v>1089</v>
      </c>
      <c r="F651" s="80">
        <v>1</v>
      </c>
      <c r="H651" s="109">
        <f t="shared" ref="H651:AE651" si="265">H50/$F$50</f>
        <v>0.61043730772305094</v>
      </c>
      <c r="I651" s="109">
        <f t="shared" si="265"/>
        <v>0</v>
      </c>
      <c r="J651" s="109">
        <f t="shared" si="265"/>
        <v>0</v>
      </c>
      <c r="K651" s="109">
        <f t="shared" si="265"/>
        <v>0</v>
      </c>
      <c r="L651" s="109">
        <f t="shared" si="265"/>
        <v>0</v>
      </c>
      <c r="M651" s="109">
        <f t="shared" si="265"/>
        <v>0</v>
      </c>
      <c r="N651" s="109">
        <f t="shared" si="265"/>
        <v>9.3756900804937926E-2</v>
      </c>
      <c r="O651" s="109">
        <f t="shared" si="265"/>
        <v>0</v>
      </c>
      <c r="P651" s="109">
        <f t="shared" si="265"/>
        <v>0</v>
      </c>
      <c r="Q651" s="109">
        <f t="shared" si="265"/>
        <v>0</v>
      </c>
      <c r="R651" s="109">
        <f t="shared" si="265"/>
        <v>3.6887483258388143E-2</v>
      </c>
      <c r="S651" s="109">
        <f t="shared" si="265"/>
        <v>0</v>
      </c>
      <c r="T651" s="109">
        <f t="shared" si="265"/>
        <v>5.6628877819627173E-2</v>
      </c>
      <c r="U651" s="109">
        <f t="shared" si="265"/>
        <v>9.2669128361980463E-2</v>
      </c>
      <c r="V651" s="109">
        <f t="shared" si="265"/>
        <v>1.5799973673452143E-2</v>
      </c>
      <c r="W651" s="109">
        <f t="shared" si="265"/>
        <v>2.6998287628026446E-2</v>
      </c>
      <c r="X651" s="109">
        <f t="shared" si="265"/>
        <v>1.9355857643162909E-2</v>
      </c>
      <c r="Y651" s="109">
        <f t="shared" si="265"/>
        <v>1.0789108078452689E-2</v>
      </c>
      <c r="Z651" s="109">
        <f t="shared" si="265"/>
        <v>6.8982425131890145E-3</v>
      </c>
      <c r="AA651" s="109">
        <f t="shared" si="265"/>
        <v>7.0350172471143795E-3</v>
      </c>
      <c r="AB651" s="109">
        <f t="shared" si="265"/>
        <v>2.2743815248617724E-2</v>
      </c>
      <c r="AC651" s="109">
        <f t="shared" si="265"/>
        <v>0</v>
      </c>
      <c r="AD651" s="109">
        <f t="shared" si="265"/>
        <v>0</v>
      </c>
      <c r="AE651" s="109">
        <f t="shared" si="265"/>
        <v>0</v>
      </c>
      <c r="AF651" s="204">
        <f t="shared" ref="AF651:AF669" si="266">SUM(H651:AE651)</f>
        <v>1</v>
      </c>
      <c r="AG651" s="92" t="str">
        <f t="shared" ref="AG651:AG669" si="267">IF(ABS(AF651-F651)&lt;0.0000001,"ok","err")</f>
        <v>ok</v>
      </c>
    </row>
    <row r="652" spans="1:33" s="60" customFormat="1">
      <c r="A652" s="60" t="s">
        <v>881</v>
      </c>
      <c r="D652" s="60" t="s">
        <v>861</v>
      </c>
      <c r="F652" s="80">
        <v>1</v>
      </c>
      <c r="H652" s="109">
        <f t="shared" ref="H652:AE652" si="268">H48/$F$48</f>
        <v>0</v>
      </c>
      <c r="I652" s="109">
        <f t="shared" si="268"/>
        <v>0</v>
      </c>
      <c r="J652" s="109">
        <f t="shared" si="268"/>
        <v>0</v>
      </c>
      <c r="K652" s="109">
        <f t="shared" si="268"/>
        <v>0</v>
      </c>
      <c r="L652" s="109">
        <f t="shared" si="268"/>
        <v>0</v>
      </c>
      <c r="M652" s="109">
        <f t="shared" si="268"/>
        <v>0</v>
      </c>
      <c r="N652" s="109">
        <f t="shared" si="268"/>
        <v>0</v>
      </c>
      <c r="O652" s="109">
        <f t="shared" si="268"/>
        <v>0</v>
      </c>
      <c r="P652" s="109">
        <f t="shared" si="268"/>
        <v>0</v>
      </c>
      <c r="Q652" s="109">
        <f t="shared" si="268"/>
        <v>0</v>
      </c>
      <c r="R652" s="109">
        <f t="shared" si="268"/>
        <v>0.12470169388782373</v>
      </c>
      <c r="S652" s="109">
        <f t="shared" si="268"/>
        <v>0</v>
      </c>
      <c r="T652" s="109">
        <f t="shared" si="268"/>
        <v>0.19143938168967647</v>
      </c>
      <c r="U652" s="109">
        <f t="shared" si="268"/>
        <v>0.31327692368980803</v>
      </c>
      <c r="V652" s="109">
        <f t="shared" si="268"/>
        <v>5.3413334454430812E-2</v>
      </c>
      <c r="W652" s="109">
        <f t="shared" si="268"/>
        <v>9.1270314531962118E-2</v>
      </c>
      <c r="X652" s="109">
        <f t="shared" si="268"/>
        <v>6.5434343076390872E-2</v>
      </c>
      <c r="Y652" s="109">
        <f t="shared" si="268"/>
        <v>3.6473620157208952E-2</v>
      </c>
      <c r="Z652" s="109">
        <f t="shared" si="268"/>
        <v>2.3320173952178083E-2</v>
      </c>
      <c r="AA652" s="109">
        <f t="shared" si="268"/>
        <v>2.3782554128187271E-2</v>
      </c>
      <c r="AB652" s="109">
        <f t="shared" si="268"/>
        <v>7.688766043233379E-2</v>
      </c>
      <c r="AC652" s="109">
        <f t="shared" si="268"/>
        <v>0</v>
      </c>
      <c r="AD652" s="109">
        <f t="shared" si="268"/>
        <v>0</v>
      </c>
      <c r="AE652" s="109">
        <f t="shared" si="268"/>
        <v>0</v>
      </c>
      <c r="AF652" s="204">
        <f t="shared" si="266"/>
        <v>1.0000000000000002</v>
      </c>
      <c r="AG652" s="92" t="str">
        <f t="shared" si="267"/>
        <v>ok</v>
      </c>
    </row>
    <row r="653" spans="1:33" s="60" customFormat="1">
      <c r="A653" s="60" t="s">
        <v>1059</v>
      </c>
      <c r="D653" s="60" t="s">
        <v>1087</v>
      </c>
      <c r="F653" s="80">
        <v>1</v>
      </c>
      <c r="H653" s="109">
        <f t="shared" ref="H653:AE653" si="269">H33/$F$33</f>
        <v>0</v>
      </c>
      <c r="I653" s="109">
        <f t="shared" si="269"/>
        <v>0</v>
      </c>
      <c r="J653" s="109">
        <f t="shared" si="269"/>
        <v>0</v>
      </c>
      <c r="K653" s="109">
        <f t="shared" si="269"/>
        <v>0</v>
      </c>
      <c r="L653" s="109">
        <f t="shared" si="269"/>
        <v>0</v>
      </c>
      <c r="M653" s="109">
        <f t="shared" si="269"/>
        <v>0</v>
      </c>
      <c r="N653" s="109">
        <f t="shared" si="269"/>
        <v>1</v>
      </c>
      <c r="O653" s="109">
        <f t="shared" si="269"/>
        <v>0</v>
      </c>
      <c r="P653" s="109">
        <f t="shared" si="269"/>
        <v>0</v>
      </c>
      <c r="Q653" s="109">
        <f t="shared" si="269"/>
        <v>0</v>
      </c>
      <c r="R653" s="109">
        <f t="shared" si="269"/>
        <v>0</v>
      </c>
      <c r="S653" s="109">
        <f t="shared" si="269"/>
        <v>0</v>
      </c>
      <c r="T653" s="109">
        <f t="shared" si="269"/>
        <v>0</v>
      </c>
      <c r="U653" s="109">
        <f t="shared" si="269"/>
        <v>0</v>
      </c>
      <c r="V653" s="109">
        <f t="shared" si="269"/>
        <v>0</v>
      </c>
      <c r="W653" s="109">
        <f t="shared" si="269"/>
        <v>0</v>
      </c>
      <c r="X653" s="109">
        <f t="shared" si="269"/>
        <v>0</v>
      </c>
      <c r="Y653" s="109">
        <f t="shared" si="269"/>
        <v>0</v>
      </c>
      <c r="Z653" s="109">
        <f t="shared" si="269"/>
        <v>0</v>
      </c>
      <c r="AA653" s="109">
        <f t="shared" si="269"/>
        <v>0</v>
      </c>
      <c r="AB653" s="109">
        <f t="shared" si="269"/>
        <v>0</v>
      </c>
      <c r="AC653" s="109">
        <f t="shared" si="269"/>
        <v>0</v>
      </c>
      <c r="AD653" s="109">
        <f t="shared" si="269"/>
        <v>0</v>
      </c>
      <c r="AE653" s="109">
        <f t="shared" si="269"/>
        <v>0</v>
      </c>
      <c r="AF653" s="204">
        <f t="shared" si="266"/>
        <v>1</v>
      </c>
      <c r="AG653" s="92" t="str">
        <f t="shared" si="267"/>
        <v>ok</v>
      </c>
    </row>
    <row r="654" spans="1:33" s="60" customFormat="1">
      <c r="A654" s="60" t="s">
        <v>19</v>
      </c>
      <c r="D654" s="60" t="s">
        <v>903</v>
      </c>
      <c r="F654" s="80">
        <v>1</v>
      </c>
      <c r="H654" s="109">
        <f>H335/$F$335</f>
        <v>0.14707976030885322</v>
      </c>
      <c r="I654" s="109">
        <f t="shared" ref="I654:AE654" si="270">I335/$F$335</f>
        <v>0</v>
      </c>
      <c r="J654" s="109">
        <f t="shared" si="270"/>
        <v>0</v>
      </c>
      <c r="K654" s="109">
        <f t="shared" si="270"/>
        <v>0.62967469397489018</v>
      </c>
      <c r="L654" s="109">
        <f t="shared" si="270"/>
        <v>0</v>
      </c>
      <c r="M654" s="109">
        <f t="shared" si="270"/>
        <v>0</v>
      </c>
      <c r="N654" s="109">
        <f t="shared" si="270"/>
        <v>5.742800867517929E-2</v>
      </c>
      <c r="O654" s="109">
        <f t="shared" si="270"/>
        <v>0</v>
      </c>
      <c r="P654" s="109">
        <f t="shared" si="270"/>
        <v>0</v>
      </c>
      <c r="Q654" s="109">
        <f t="shared" si="270"/>
        <v>0</v>
      </c>
      <c r="R654" s="109">
        <f t="shared" si="270"/>
        <v>1.3453710321706785E-2</v>
      </c>
      <c r="S654" s="109">
        <f t="shared" si="270"/>
        <v>0</v>
      </c>
      <c r="T654" s="109">
        <f t="shared" si="270"/>
        <v>2.1994426520371639E-2</v>
      </c>
      <c r="U654" s="109">
        <f t="shared" si="270"/>
        <v>3.6811390350483197E-2</v>
      </c>
      <c r="V654" s="109">
        <f t="shared" si="270"/>
        <v>6.9466956749761133E-3</v>
      </c>
      <c r="W654" s="109">
        <f t="shared" si="270"/>
        <v>1.2036441881359385E-2</v>
      </c>
      <c r="X654" s="109">
        <f t="shared" si="270"/>
        <v>1.8612190697030284E-3</v>
      </c>
      <c r="Y654" s="109">
        <f t="shared" si="270"/>
        <v>1.0374582243218935E-3</v>
      </c>
      <c r="Z654" s="109">
        <f t="shared" si="270"/>
        <v>5.5470638504062674E-4</v>
      </c>
      <c r="AA654" s="109">
        <f t="shared" si="270"/>
        <v>2.3191008213927566E-2</v>
      </c>
      <c r="AB654" s="109">
        <f t="shared" si="270"/>
        <v>2.7891487265620258E-3</v>
      </c>
      <c r="AC654" s="109">
        <f t="shared" si="270"/>
        <v>3.6995681594351341E-2</v>
      </c>
      <c r="AD654" s="109">
        <f t="shared" si="270"/>
        <v>8.1456500782737997E-3</v>
      </c>
      <c r="AE654" s="109">
        <f t="shared" si="270"/>
        <v>0</v>
      </c>
      <c r="AF654" s="204">
        <f t="shared" si="266"/>
        <v>1.0000000000000002</v>
      </c>
      <c r="AG654" s="92" t="str">
        <f t="shared" si="267"/>
        <v>ok</v>
      </c>
    </row>
    <row r="655" spans="1:33" s="60" customFormat="1">
      <c r="A655" s="60" t="s">
        <v>885</v>
      </c>
      <c r="D655" s="60" t="s">
        <v>886</v>
      </c>
      <c r="F655" s="80">
        <v>1</v>
      </c>
      <c r="H655" s="109">
        <f t="shared" ref="H655:AE655" si="271">H69/$F$69</f>
        <v>0.61016834105937556</v>
      </c>
      <c r="I655" s="109">
        <f t="shared" si="271"/>
        <v>0</v>
      </c>
      <c r="J655" s="109">
        <f t="shared" si="271"/>
        <v>0</v>
      </c>
      <c r="K655" s="109">
        <f t="shared" si="271"/>
        <v>0</v>
      </c>
      <c r="L655" s="109">
        <f t="shared" si="271"/>
        <v>0</v>
      </c>
      <c r="M655" s="109">
        <f t="shared" si="271"/>
        <v>0</v>
      </c>
      <c r="N655" s="109">
        <f t="shared" si="271"/>
        <v>9.3710432468776958E-2</v>
      </c>
      <c r="O655" s="109">
        <f t="shared" si="271"/>
        <v>0</v>
      </c>
      <c r="P655" s="109">
        <f t="shared" si="271"/>
        <v>0</v>
      </c>
      <c r="Q655" s="109">
        <f t="shared" si="271"/>
        <v>0</v>
      </c>
      <c r="R655" s="109">
        <f t="shared" si="271"/>
        <v>3.692681853717926E-2</v>
      </c>
      <c r="S655" s="109">
        <f t="shared" si="271"/>
        <v>0</v>
      </c>
      <c r="T655" s="109">
        <f t="shared" si="271"/>
        <v>5.6689264500959152E-2</v>
      </c>
      <c r="U655" s="109">
        <f t="shared" si="271"/>
        <v>9.2767946868353338E-2</v>
      </c>
      <c r="V655" s="109">
        <f t="shared" si="271"/>
        <v>1.5816822108597042E-2</v>
      </c>
      <c r="W655" s="109">
        <f t="shared" si="271"/>
        <v>2.7027077479675917E-2</v>
      </c>
      <c r="X655" s="109">
        <f t="shared" si="271"/>
        <v>1.9376497925160514E-2</v>
      </c>
      <c r="Y655" s="109">
        <f t="shared" si="271"/>
        <v>1.0800613134821014E-2</v>
      </c>
      <c r="Z655" s="109">
        <f t="shared" si="271"/>
        <v>6.905598512255807E-3</v>
      </c>
      <c r="AA655" s="109">
        <f t="shared" si="271"/>
        <v>7.042519097071917E-3</v>
      </c>
      <c r="AB655" s="109">
        <f t="shared" si="271"/>
        <v>2.2768068307773625E-2</v>
      </c>
      <c r="AC655" s="109">
        <f t="shared" si="271"/>
        <v>0</v>
      </c>
      <c r="AD655" s="109">
        <f t="shared" si="271"/>
        <v>0</v>
      </c>
      <c r="AE655" s="109">
        <f t="shared" si="271"/>
        <v>0</v>
      </c>
      <c r="AF655" s="204">
        <f t="shared" si="266"/>
        <v>1</v>
      </c>
      <c r="AG655" s="92" t="str">
        <f t="shared" si="267"/>
        <v>ok</v>
      </c>
    </row>
    <row r="656" spans="1:33" s="60" customFormat="1">
      <c r="A656" s="60" t="s">
        <v>832</v>
      </c>
      <c r="D656" s="60" t="s">
        <v>98</v>
      </c>
      <c r="F656" s="80">
        <v>1</v>
      </c>
      <c r="H656" s="109">
        <f>H540/$F$540</f>
        <v>0.32759067247532991</v>
      </c>
      <c r="I656" s="109">
        <f t="shared" ref="I656:AE656" si="272">I540/$F$540</f>
        <v>0</v>
      </c>
      <c r="J656" s="109">
        <f t="shared" si="272"/>
        <v>0</v>
      </c>
      <c r="K656" s="109">
        <f t="shared" si="272"/>
        <v>0.27428769468084513</v>
      </c>
      <c r="L656" s="109">
        <f t="shared" si="272"/>
        <v>0</v>
      </c>
      <c r="M656" s="109">
        <f t="shared" si="272"/>
        <v>0</v>
      </c>
      <c r="N656" s="109">
        <f t="shared" si="272"/>
        <v>7.5175474667182329E-2</v>
      </c>
      <c r="O656" s="109">
        <f t="shared" si="272"/>
        <v>0</v>
      </c>
      <c r="P656" s="109">
        <f t="shared" si="272"/>
        <v>0</v>
      </c>
      <c r="Q656" s="109">
        <f t="shared" si="272"/>
        <v>0</v>
      </c>
      <c r="R656" s="109">
        <f t="shared" si="272"/>
        <v>3.1273194604270249E-2</v>
      </c>
      <c r="S656" s="109">
        <f t="shared" si="272"/>
        <v>0</v>
      </c>
      <c r="T656" s="109">
        <f t="shared" si="272"/>
        <v>3.1155594605110429E-2</v>
      </c>
      <c r="U656" s="109">
        <f t="shared" si="272"/>
        <v>5.2626725400509965E-2</v>
      </c>
      <c r="V656" s="109">
        <f t="shared" si="272"/>
        <v>1.0317402601213667E-2</v>
      </c>
      <c r="W656" s="109">
        <f t="shared" si="272"/>
        <v>1.7963339839116417E-2</v>
      </c>
      <c r="X656" s="109">
        <f t="shared" si="272"/>
        <v>2.9220455672678758E-3</v>
      </c>
      <c r="Y656" s="109">
        <f t="shared" si="272"/>
        <v>1.6287713009995593E-3</v>
      </c>
      <c r="Z656" s="109">
        <f t="shared" si="272"/>
        <v>7.4452181002548207E-4</v>
      </c>
      <c r="AA656" s="109">
        <f t="shared" si="272"/>
        <v>6.3352731025251741E-2</v>
      </c>
      <c r="AB656" s="109">
        <f t="shared" si="272"/>
        <v>2.5614809484403706E-3</v>
      </c>
      <c r="AC656" s="109">
        <f t="shared" si="272"/>
        <v>8.900913753754669E-2</v>
      </c>
      <c r="AD656" s="109">
        <f t="shared" si="272"/>
        <v>1.9391212936890254E-2</v>
      </c>
      <c r="AE656" s="109">
        <f t="shared" si="272"/>
        <v>0</v>
      </c>
      <c r="AF656" s="204">
        <f t="shared" si="266"/>
        <v>1</v>
      </c>
      <c r="AG656" s="92" t="str">
        <f t="shared" si="267"/>
        <v>ok</v>
      </c>
    </row>
    <row r="657" spans="1:33" s="60" customFormat="1">
      <c r="A657" s="60" t="s">
        <v>267</v>
      </c>
      <c r="D657" s="60" t="s">
        <v>18</v>
      </c>
      <c r="F657" s="80">
        <v>1</v>
      </c>
      <c r="H657" s="109">
        <f>H308/$F$308</f>
        <v>0.14494815376761611</v>
      </c>
      <c r="I657" s="109">
        <f t="shared" ref="I657:AE657" si="273">I308/$F$308</f>
        <v>0</v>
      </c>
      <c r="J657" s="109">
        <f t="shared" si="273"/>
        <v>0</v>
      </c>
      <c r="K657" s="109">
        <f t="shared" si="273"/>
        <v>0.67605346010541334</v>
      </c>
      <c r="L657" s="109">
        <f t="shared" si="273"/>
        <v>0</v>
      </c>
      <c r="M657" s="109">
        <f t="shared" si="273"/>
        <v>0</v>
      </c>
      <c r="N657" s="109">
        <f t="shared" si="273"/>
        <v>4.9836348953259751E-2</v>
      </c>
      <c r="O657" s="109">
        <f t="shared" si="273"/>
        <v>0</v>
      </c>
      <c r="P657" s="109">
        <f t="shared" si="273"/>
        <v>0</v>
      </c>
      <c r="Q657" s="109">
        <f t="shared" si="273"/>
        <v>0</v>
      </c>
      <c r="R657" s="109">
        <f t="shared" si="273"/>
        <v>9.5476673787142832E-3</v>
      </c>
      <c r="S657" s="109">
        <f t="shared" si="273"/>
        <v>0</v>
      </c>
      <c r="T657" s="109">
        <f t="shared" si="273"/>
        <v>1.838720165655813E-2</v>
      </c>
      <c r="U657" s="109">
        <f t="shared" si="273"/>
        <v>3.0748590560060303E-2</v>
      </c>
      <c r="V657" s="109">
        <f t="shared" si="273"/>
        <v>5.7821754501481016E-3</v>
      </c>
      <c r="W657" s="109">
        <f t="shared" si="273"/>
        <v>1.0014122240769734E-2</v>
      </c>
      <c r="X657" s="109">
        <f t="shared" si="273"/>
        <v>1.2412870339670221E-3</v>
      </c>
      <c r="Y657" s="109">
        <f t="shared" si="273"/>
        <v>6.919032063961672E-4</v>
      </c>
      <c r="Z657" s="109">
        <f t="shared" si="273"/>
        <v>3.6568178365626436E-4</v>
      </c>
      <c r="AA657" s="109">
        <f t="shared" si="273"/>
        <v>1.6248235878006216E-2</v>
      </c>
      <c r="AB657" s="109">
        <f t="shared" si="273"/>
        <v>2.2253035721858236E-3</v>
      </c>
      <c r="AC657" s="109">
        <f t="shared" si="273"/>
        <v>2.7767935017802878E-2</v>
      </c>
      <c r="AD657" s="109">
        <f t="shared" si="273"/>
        <v>6.1419333954456957E-3</v>
      </c>
      <c r="AE657" s="109">
        <f t="shared" si="273"/>
        <v>0</v>
      </c>
      <c r="AF657" s="204">
        <f t="shared" si="266"/>
        <v>0.99999999999999956</v>
      </c>
      <c r="AG657" s="92" t="str">
        <f t="shared" si="267"/>
        <v>ok</v>
      </c>
    </row>
    <row r="658" spans="1:33" s="60" customFormat="1">
      <c r="A658" s="60" t="s">
        <v>833</v>
      </c>
      <c r="D658" s="60" t="s">
        <v>629</v>
      </c>
      <c r="F658" s="80">
        <v>1</v>
      </c>
      <c r="H658" s="109">
        <f>H372/$F$372</f>
        <v>0.87350659439762857</v>
      </c>
      <c r="I658" s="109">
        <f t="shared" ref="I658:AE658" si="274">I372/$F$372</f>
        <v>0</v>
      </c>
      <c r="J658" s="109">
        <f t="shared" si="274"/>
        <v>0</v>
      </c>
      <c r="K658" s="109">
        <f t="shared" si="274"/>
        <v>0.12649340560237138</v>
      </c>
      <c r="L658" s="109">
        <f t="shared" si="274"/>
        <v>0</v>
      </c>
      <c r="M658" s="109">
        <f t="shared" si="274"/>
        <v>0</v>
      </c>
      <c r="N658" s="109">
        <f t="shared" si="274"/>
        <v>0</v>
      </c>
      <c r="O658" s="109">
        <f t="shared" si="274"/>
        <v>0</v>
      </c>
      <c r="P658" s="109">
        <f t="shared" si="274"/>
        <v>0</v>
      </c>
      <c r="Q658" s="109">
        <f t="shared" si="274"/>
        <v>0</v>
      </c>
      <c r="R658" s="109">
        <f t="shared" si="274"/>
        <v>0</v>
      </c>
      <c r="S658" s="109">
        <f t="shared" si="274"/>
        <v>0</v>
      </c>
      <c r="T658" s="109">
        <f t="shared" si="274"/>
        <v>0</v>
      </c>
      <c r="U658" s="109">
        <f t="shared" si="274"/>
        <v>0</v>
      </c>
      <c r="V658" s="109">
        <f t="shared" si="274"/>
        <v>0</v>
      </c>
      <c r="W658" s="109">
        <f t="shared" si="274"/>
        <v>0</v>
      </c>
      <c r="X658" s="109">
        <f t="shared" si="274"/>
        <v>0</v>
      </c>
      <c r="Y658" s="109">
        <f t="shared" si="274"/>
        <v>0</v>
      </c>
      <c r="Z658" s="109">
        <f t="shared" si="274"/>
        <v>0</v>
      </c>
      <c r="AA658" s="109">
        <f t="shared" si="274"/>
        <v>0</v>
      </c>
      <c r="AB658" s="109">
        <f t="shared" si="274"/>
        <v>0</v>
      </c>
      <c r="AC658" s="109">
        <f t="shared" si="274"/>
        <v>0</v>
      </c>
      <c r="AD658" s="109">
        <f t="shared" si="274"/>
        <v>0</v>
      </c>
      <c r="AE658" s="109">
        <f t="shared" si="274"/>
        <v>0</v>
      </c>
      <c r="AF658" s="204">
        <f t="shared" si="266"/>
        <v>1</v>
      </c>
      <c r="AG658" s="92" t="str">
        <f t="shared" si="267"/>
        <v>ok</v>
      </c>
    </row>
    <row r="659" spans="1:33" s="60" customFormat="1">
      <c r="A659" s="60" t="s">
        <v>834</v>
      </c>
      <c r="D659" s="60" t="s">
        <v>86</v>
      </c>
      <c r="F659" s="80">
        <v>1</v>
      </c>
      <c r="H659" s="109">
        <f>H381/$F$381</f>
        <v>3.9247475241784638E-3</v>
      </c>
      <c r="I659" s="109">
        <f t="shared" ref="I659:AE659" si="275">I381/$F$381</f>
        <v>0</v>
      </c>
      <c r="J659" s="109">
        <f t="shared" si="275"/>
        <v>0</v>
      </c>
      <c r="K659" s="109">
        <f t="shared" si="275"/>
        <v>0.99607525247582152</v>
      </c>
      <c r="L659" s="109">
        <f t="shared" si="275"/>
        <v>0</v>
      </c>
      <c r="M659" s="109">
        <f t="shared" si="275"/>
        <v>0</v>
      </c>
      <c r="N659" s="109">
        <f t="shared" si="275"/>
        <v>0</v>
      </c>
      <c r="O659" s="109">
        <f t="shared" si="275"/>
        <v>0</v>
      </c>
      <c r="P659" s="109">
        <f t="shared" si="275"/>
        <v>0</v>
      </c>
      <c r="Q659" s="109">
        <f t="shared" si="275"/>
        <v>0</v>
      </c>
      <c r="R659" s="109">
        <f t="shared" si="275"/>
        <v>0</v>
      </c>
      <c r="S659" s="109">
        <f t="shared" si="275"/>
        <v>0</v>
      </c>
      <c r="T659" s="109">
        <f t="shared" si="275"/>
        <v>0</v>
      </c>
      <c r="U659" s="109">
        <f t="shared" si="275"/>
        <v>0</v>
      </c>
      <c r="V659" s="109">
        <f t="shared" si="275"/>
        <v>0</v>
      </c>
      <c r="W659" s="109">
        <f t="shared" si="275"/>
        <v>0</v>
      </c>
      <c r="X659" s="109">
        <f t="shared" si="275"/>
        <v>0</v>
      </c>
      <c r="Y659" s="109">
        <f t="shared" si="275"/>
        <v>0</v>
      </c>
      <c r="Z659" s="109">
        <f t="shared" si="275"/>
        <v>0</v>
      </c>
      <c r="AA659" s="109">
        <f t="shared" si="275"/>
        <v>0</v>
      </c>
      <c r="AB659" s="109">
        <f t="shared" si="275"/>
        <v>0</v>
      </c>
      <c r="AC659" s="109">
        <f t="shared" si="275"/>
        <v>0</v>
      </c>
      <c r="AD659" s="109">
        <f t="shared" si="275"/>
        <v>0</v>
      </c>
      <c r="AE659" s="109">
        <f t="shared" si="275"/>
        <v>0</v>
      </c>
      <c r="AF659" s="204">
        <f t="shared" si="266"/>
        <v>1</v>
      </c>
      <c r="AG659" s="92" t="str">
        <f t="shared" si="267"/>
        <v>ok</v>
      </c>
    </row>
    <row r="660" spans="1:33" s="60" customFormat="1">
      <c r="A660" s="60" t="s">
        <v>835</v>
      </c>
      <c r="D660" s="60" t="s">
        <v>630</v>
      </c>
      <c r="F660" s="80">
        <v>1</v>
      </c>
      <c r="H660" s="109">
        <f>H393/$F$393</f>
        <v>1</v>
      </c>
      <c r="I660" s="109">
        <f t="shared" ref="I660:AE660" si="276">I393/$F$393</f>
        <v>0</v>
      </c>
      <c r="J660" s="109">
        <f t="shared" si="276"/>
        <v>0</v>
      </c>
      <c r="K660" s="109">
        <f t="shared" si="276"/>
        <v>0</v>
      </c>
      <c r="L660" s="109">
        <f t="shared" si="276"/>
        <v>0</v>
      </c>
      <c r="M660" s="109">
        <f t="shared" si="276"/>
        <v>0</v>
      </c>
      <c r="N660" s="109">
        <f t="shared" si="276"/>
        <v>0</v>
      </c>
      <c r="O660" s="109">
        <f t="shared" si="276"/>
        <v>0</v>
      </c>
      <c r="P660" s="109">
        <f t="shared" si="276"/>
        <v>0</v>
      </c>
      <c r="Q660" s="109">
        <f t="shared" si="276"/>
        <v>0</v>
      </c>
      <c r="R660" s="109">
        <f t="shared" si="276"/>
        <v>0</v>
      </c>
      <c r="S660" s="109">
        <f t="shared" si="276"/>
        <v>0</v>
      </c>
      <c r="T660" s="109">
        <f t="shared" si="276"/>
        <v>0</v>
      </c>
      <c r="U660" s="109">
        <f t="shared" si="276"/>
        <v>0</v>
      </c>
      <c r="V660" s="109">
        <f t="shared" si="276"/>
        <v>0</v>
      </c>
      <c r="W660" s="109">
        <f t="shared" si="276"/>
        <v>0</v>
      </c>
      <c r="X660" s="109">
        <f t="shared" si="276"/>
        <v>0</v>
      </c>
      <c r="Y660" s="109">
        <f t="shared" si="276"/>
        <v>0</v>
      </c>
      <c r="Z660" s="109">
        <f t="shared" si="276"/>
        <v>0</v>
      </c>
      <c r="AA660" s="109">
        <f t="shared" si="276"/>
        <v>0</v>
      </c>
      <c r="AB660" s="109">
        <f t="shared" si="276"/>
        <v>0</v>
      </c>
      <c r="AC660" s="109">
        <f t="shared" si="276"/>
        <v>0</v>
      </c>
      <c r="AD660" s="109">
        <f t="shared" si="276"/>
        <v>0</v>
      </c>
      <c r="AE660" s="109">
        <f t="shared" si="276"/>
        <v>0</v>
      </c>
      <c r="AF660" s="204">
        <f t="shared" si="266"/>
        <v>1</v>
      </c>
      <c r="AG660" s="92" t="str">
        <f t="shared" si="267"/>
        <v>ok</v>
      </c>
    </row>
    <row r="661" spans="1:33" s="60" customFormat="1">
      <c r="A661" s="60" t="s">
        <v>836</v>
      </c>
      <c r="D661" s="60" t="s">
        <v>631</v>
      </c>
      <c r="F661" s="80">
        <v>1</v>
      </c>
      <c r="H661" s="109">
        <f>H402/$F$402</f>
        <v>0.54361491758432678</v>
      </c>
      <c r="I661" s="109">
        <f t="shared" ref="I661:AE661" si="277">I402/$F$402</f>
        <v>0</v>
      </c>
      <c r="J661" s="109">
        <f t="shared" si="277"/>
        <v>0</v>
      </c>
      <c r="K661" s="109">
        <f t="shared" si="277"/>
        <v>0.45638508241567322</v>
      </c>
      <c r="L661" s="109">
        <f t="shared" si="277"/>
        <v>0</v>
      </c>
      <c r="M661" s="109">
        <f t="shared" si="277"/>
        <v>0</v>
      </c>
      <c r="N661" s="109">
        <f t="shared" si="277"/>
        <v>0</v>
      </c>
      <c r="O661" s="109">
        <f t="shared" si="277"/>
        <v>0</v>
      </c>
      <c r="P661" s="109">
        <f t="shared" si="277"/>
        <v>0</v>
      </c>
      <c r="Q661" s="109">
        <f t="shared" si="277"/>
        <v>0</v>
      </c>
      <c r="R661" s="109">
        <f t="shared" si="277"/>
        <v>0</v>
      </c>
      <c r="S661" s="109">
        <f t="shared" si="277"/>
        <v>0</v>
      </c>
      <c r="T661" s="109">
        <f t="shared" si="277"/>
        <v>0</v>
      </c>
      <c r="U661" s="109">
        <f t="shared" si="277"/>
        <v>0</v>
      </c>
      <c r="V661" s="109">
        <f t="shared" si="277"/>
        <v>0</v>
      </c>
      <c r="W661" s="109">
        <f t="shared" si="277"/>
        <v>0</v>
      </c>
      <c r="X661" s="109">
        <f t="shared" si="277"/>
        <v>0</v>
      </c>
      <c r="Y661" s="109">
        <f t="shared" si="277"/>
        <v>0</v>
      </c>
      <c r="Z661" s="109">
        <f t="shared" si="277"/>
        <v>0</v>
      </c>
      <c r="AA661" s="109">
        <f t="shared" si="277"/>
        <v>0</v>
      </c>
      <c r="AB661" s="109">
        <f t="shared" si="277"/>
        <v>0</v>
      </c>
      <c r="AC661" s="109">
        <f t="shared" si="277"/>
        <v>0</v>
      </c>
      <c r="AD661" s="109">
        <f t="shared" si="277"/>
        <v>0</v>
      </c>
      <c r="AE661" s="109">
        <f t="shared" si="277"/>
        <v>0</v>
      </c>
      <c r="AF661" s="204">
        <f t="shared" si="266"/>
        <v>1</v>
      </c>
      <c r="AG661" s="92" t="str">
        <f t="shared" si="267"/>
        <v>ok</v>
      </c>
    </row>
    <row r="662" spans="1:33" s="60" customFormat="1">
      <c r="A662" s="60" t="s">
        <v>837</v>
      </c>
      <c r="D662" s="60" t="s">
        <v>632</v>
      </c>
      <c r="F662" s="80">
        <v>1</v>
      </c>
      <c r="H662" s="109">
        <f>H415/$F$415</f>
        <v>1</v>
      </c>
      <c r="I662" s="109">
        <f t="shared" ref="I662:AE662" si="278">I415/$F$415</f>
        <v>0</v>
      </c>
      <c r="J662" s="109">
        <f t="shared" si="278"/>
        <v>0</v>
      </c>
      <c r="K662" s="109">
        <f t="shared" si="278"/>
        <v>0</v>
      </c>
      <c r="L662" s="109">
        <f t="shared" si="278"/>
        <v>0</v>
      </c>
      <c r="M662" s="109">
        <f t="shared" si="278"/>
        <v>0</v>
      </c>
      <c r="N662" s="109">
        <f t="shared" si="278"/>
        <v>0</v>
      </c>
      <c r="O662" s="109">
        <f t="shared" si="278"/>
        <v>0</v>
      </c>
      <c r="P662" s="109">
        <f t="shared" si="278"/>
        <v>0</v>
      </c>
      <c r="Q662" s="109">
        <f t="shared" si="278"/>
        <v>0</v>
      </c>
      <c r="R662" s="109">
        <f t="shared" si="278"/>
        <v>0</v>
      </c>
      <c r="S662" s="109">
        <f t="shared" si="278"/>
        <v>0</v>
      </c>
      <c r="T662" s="109">
        <f t="shared" si="278"/>
        <v>0</v>
      </c>
      <c r="U662" s="109">
        <f t="shared" si="278"/>
        <v>0</v>
      </c>
      <c r="V662" s="109">
        <f t="shared" si="278"/>
        <v>0</v>
      </c>
      <c r="W662" s="109">
        <f t="shared" si="278"/>
        <v>0</v>
      </c>
      <c r="X662" s="109">
        <f t="shared" si="278"/>
        <v>0</v>
      </c>
      <c r="Y662" s="109">
        <f t="shared" si="278"/>
        <v>0</v>
      </c>
      <c r="Z662" s="109">
        <f t="shared" si="278"/>
        <v>0</v>
      </c>
      <c r="AA662" s="109">
        <f t="shared" si="278"/>
        <v>0</v>
      </c>
      <c r="AB662" s="109">
        <f t="shared" si="278"/>
        <v>0</v>
      </c>
      <c r="AC662" s="109">
        <f t="shared" si="278"/>
        <v>0</v>
      </c>
      <c r="AD662" s="109">
        <f t="shared" si="278"/>
        <v>0</v>
      </c>
      <c r="AE662" s="109">
        <f t="shared" si="278"/>
        <v>0</v>
      </c>
      <c r="AF662" s="204">
        <f t="shared" si="266"/>
        <v>1</v>
      </c>
      <c r="AG662" s="92" t="str">
        <f t="shared" si="267"/>
        <v>ok</v>
      </c>
    </row>
    <row r="663" spans="1:33" s="60" customFormat="1">
      <c r="A663" s="60" t="s">
        <v>103</v>
      </c>
      <c r="D663" s="60" t="s">
        <v>644</v>
      </c>
      <c r="F663" s="80">
        <v>1</v>
      </c>
      <c r="H663" s="257">
        <f>H450/$F$450</f>
        <v>0</v>
      </c>
      <c r="I663" s="257">
        <f t="shared" ref="I663:AE663" si="279">I450/$F$450</f>
        <v>0</v>
      </c>
      <c r="J663" s="257">
        <f t="shared" si="279"/>
        <v>0</v>
      </c>
      <c r="K663" s="257">
        <f t="shared" si="279"/>
        <v>0</v>
      </c>
      <c r="L663" s="257">
        <f t="shared" si="279"/>
        <v>0</v>
      </c>
      <c r="M663" s="257">
        <f t="shared" si="279"/>
        <v>0</v>
      </c>
      <c r="N663" s="257">
        <f t="shared" si="279"/>
        <v>1</v>
      </c>
      <c r="O663" s="257">
        <f t="shared" si="279"/>
        <v>0</v>
      </c>
      <c r="P663" s="257">
        <f t="shared" si="279"/>
        <v>0</v>
      </c>
      <c r="Q663" s="257">
        <f t="shared" si="279"/>
        <v>0</v>
      </c>
      <c r="R663" s="257">
        <f t="shared" si="279"/>
        <v>0</v>
      </c>
      <c r="S663" s="257">
        <f t="shared" si="279"/>
        <v>0</v>
      </c>
      <c r="T663" s="257">
        <f t="shared" si="279"/>
        <v>0</v>
      </c>
      <c r="U663" s="257">
        <f t="shared" si="279"/>
        <v>0</v>
      </c>
      <c r="V663" s="257">
        <f t="shared" si="279"/>
        <v>0</v>
      </c>
      <c r="W663" s="257">
        <f t="shared" si="279"/>
        <v>0</v>
      </c>
      <c r="X663" s="257">
        <f t="shared" si="279"/>
        <v>0</v>
      </c>
      <c r="Y663" s="257">
        <f t="shared" si="279"/>
        <v>0</v>
      </c>
      <c r="Z663" s="257">
        <f t="shared" si="279"/>
        <v>0</v>
      </c>
      <c r="AA663" s="257">
        <f t="shared" si="279"/>
        <v>0</v>
      </c>
      <c r="AB663" s="257">
        <f t="shared" si="279"/>
        <v>0</v>
      </c>
      <c r="AC663" s="257">
        <f t="shared" si="279"/>
        <v>0</v>
      </c>
      <c r="AD663" s="257">
        <f t="shared" si="279"/>
        <v>0</v>
      </c>
      <c r="AE663" s="257">
        <f t="shared" si="279"/>
        <v>0</v>
      </c>
      <c r="AF663" s="204">
        <f t="shared" si="266"/>
        <v>1</v>
      </c>
      <c r="AG663" s="92" t="str">
        <f t="shared" si="267"/>
        <v>ok</v>
      </c>
    </row>
    <row r="664" spans="1:33" s="60" customFormat="1">
      <c r="A664" s="60" t="s">
        <v>106</v>
      </c>
      <c r="D664" s="60" t="s">
        <v>63</v>
      </c>
      <c r="F664" s="80">
        <v>1</v>
      </c>
      <c r="H664" s="109">
        <f>H465/$F$465</f>
        <v>0</v>
      </c>
      <c r="I664" s="109">
        <f t="shared" ref="I664:AE664" si="280">I465/$F$465</f>
        <v>0</v>
      </c>
      <c r="J664" s="109">
        <f t="shared" si="280"/>
        <v>0</v>
      </c>
      <c r="K664" s="109">
        <f t="shared" si="280"/>
        <v>0</v>
      </c>
      <c r="L664" s="109">
        <f t="shared" si="280"/>
        <v>0</v>
      </c>
      <c r="M664" s="109">
        <f t="shared" si="280"/>
        <v>0</v>
      </c>
      <c r="N664" s="109">
        <f t="shared" si="280"/>
        <v>0</v>
      </c>
      <c r="O664" s="109">
        <f t="shared" si="280"/>
        <v>0</v>
      </c>
      <c r="P664" s="109">
        <f t="shared" si="280"/>
        <v>0</v>
      </c>
      <c r="Q664" s="109">
        <f t="shared" si="280"/>
        <v>0</v>
      </c>
      <c r="R664" s="109">
        <f t="shared" si="280"/>
        <v>0.14832749711766455</v>
      </c>
      <c r="S664" s="109">
        <f t="shared" si="280"/>
        <v>0</v>
      </c>
      <c r="T664" s="109">
        <f t="shared" si="280"/>
        <v>0.11829802946635795</v>
      </c>
      <c r="U664" s="109">
        <f t="shared" si="280"/>
        <v>0.20067918081512398</v>
      </c>
      <c r="V664" s="109">
        <f t="shared" si="280"/>
        <v>4.0020936898805808E-2</v>
      </c>
      <c r="W664" s="109">
        <f t="shared" si="280"/>
        <v>6.9825550921952764E-2</v>
      </c>
      <c r="X664" s="109">
        <f t="shared" si="280"/>
        <v>1.1930099585443247E-2</v>
      </c>
      <c r="Y664" s="109">
        <f t="shared" si="280"/>
        <v>6.6499318287514386E-3</v>
      </c>
      <c r="Z664" s="109">
        <f t="shared" si="280"/>
        <v>4.2517733734187173E-3</v>
      </c>
      <c r="AA664" s="109">
        <f t="shared" si="280"/>
        <v>0.38599871230556126</v>
      </c>
      <c r="AB664" s="109">
        <f t="shared" si="280"/>
        <v>1.4018287686920266E-2</v>
      </c>
      <c r="AC664" s="109">
        <f t="shared" si="280"/>
        <v>0</v>
      </c>
      <c r="AD664" s="109">
        <f t="shared" si="280"/>
        <v>0</v>
      </c>
      <c r="AE664" s="109">
        <f t="shared" si="280"/>
        <v>0</v>
      </c>
      <c r="AF664" s="204">
        <f t="shared" si="266"/>
        <v>0.99999999999999989</v>
      </c>
      <c r="AG664" s="92" t="str">
        <f t="shared" si="267"/>
        <v>ok</v>
      </c>
    </row>
    <row r="665" spans="1:33" s="60" customFormat="1">
      <c r="A665" s="60" t="s">
        <v>108</v>
      </c>
      <c r="D665" s="60" t="s">
        <v>72</v>
      </c>
      <c r="F665" s="80">
        <v>1</v>
      </c>
      <c r="H665" s="109">
        <f>H484/$F$484</f>
        <v>0</v>
      </c>
      <c r="I665" s="109">
        <f t="shared" ref="I665:AE665" si="281">I484/$F$484</f>
        <v>0</v>
      </c>
      <c r="J665" s="109">
        <f t="shared" si="281"/>
        <v>0</v>
      </c>
      <c r="K665" s="109">
        <f t="shared" si="281"/>
        <v>0</v>
      </c>
      <c r="L665" s="109">
        <f t="shared" si="281"/>
        <v>0</v>
      </c>
      <c r="M665" s="109">
        <f t="shared" si="281"/>
        <v>0</v>
      </c>
      <c r="N665" s="109">
        <f t="shared" si="281"/>
        <v>0</v>
      </c>
      <c r="O665" s="109">
        <f t="shared" si="281"/>
        <v>0</v>
      </c>
      <c r="P665" s="109">
        <f t="shared" si="281"/>
        <v>0</v>
      </c>
      <c r="Q665" s="109">
        <f t="shared" si="281"/>
        <v>0</v>
      </c>
      <c r="R665" s="109">
        <f t="shared" si="281"/>
        <v>0.13798085579324521</v>
      </c>
      <c r="S665" s="109">
        <f t="shared" si="281"/>
        <v>0</v>
      </c>
      <c r="T665" s="109">
        <f t="shared" si="281"/>
        <v>0.23427653301587351</v>
      </c>
      <c r="U665" s="109">
        <f t="shared" si="281"/>
        <v>0.39326100205980835</v>
      </c>
      <c r="V665" s="109">
        <f t="shared" si="281"/>
        <v>7.5140490725314105E-2</v>
      </c>
      <c r="W665" s="109">
        <f t="shared" si="281"/>
        <v>0.13040278348855061</v>
      </c>
      <c r="X665" s="109">
        <f t="shared" si="281"/>
        <v>1.7168251027720762E-2</v>
      </c>
      <c r="Y665" s="109">
        <f t="shared" si="281"/>
        <v>9.5697188557033411E-3</v>
      </c>
      <c r="Z665" s="109">
        <f t="shared" si="281"/>
        <v>0</v>
      </c>
      <c r="AA665" s="109">
        <f t="shared" si="281"/>
        <v>0</v>
      </c>
      <c r="AB665" s="109">
        <f t="shared" si="281"/>
        <v>2.200365033784219E-3</v>
      </c>
      <c r="AC665" s="109">
        <f t="shared" si="281"/>
        <v>0</v>
      </c>
      <c r="AD665" s="109">
        <f t="shared" si="281"/>
        <v>0</v>
      </c>
      <c r="AE665" s="109">
        <f t="shared" si="281"/>
        <v>0</v>
      </c>
      <c r="AF665" s="204">
        <f t="shared" si="266"/>
        <v>1.0000000000000002</v>
      </c>
      <c r="AG665" s="92" t="str">
        <f t="shared" si="267"/>
        <v>ok</v>
      </c>
    </row>
    <row r="666" spans="1:33" s="60" customFormat="1">
      <c r="A666" s="60" t="s">
        <v>804</v>
      </c>
      <c r="D666" s="60" t="s">
        <v>642</v>
      </c>
      <c r="F666" s="80">
        <v>1</v>
      </c>
      <c r="H666" s="109">
        <f>H516/$F$516</f>
        <v>0.32564108229618471</v>
      </c>
      <c r="I666" s="109">
        <f t="shared" ref="I666:AE666" si="282">I516/$F$516</f>
        <v>0</v>
      </c>
      <c r="J666" s="109">
        <f t="shared" si="282"/>
        <v>0</v>
      </c>
      <c r="K666" s="109">
        <f t="shared" si="282"/>
        <v>0.27617829025162782</v>
      </c>
      <c r="L666" s="109">
        <f t="shared" si="282"/>
        <v>0</v>
      </c>
      <c r="M666" s="109">
        <f t="shared" si="282"/>
        <v>0</v>
      </c>
      <c r="N666" s="109">
        <f t="shared" si="282"/>
        <v>7.5047397605629312E-2</v>
      </c>
      <c r="O666" s="109">
        <f t="shared" si="282"/>
        <v>0</v>
      </c>
      <c r="P666" s="109">
        <f t="shared" si="282"/>
        <v>0</v>
      </c>
      <c r="Q666" s="109">
        <f t="shared" si="282"/>
        <v>0</v>
      </c>
      <c r="R666" s="109">
        <f t="shared" si="282"/>
        <v>3.1234496735323112E-2</v>
      </c>
      <c r="S666" s="109">
        <f t="shared" si="282"/>
        <v>0</v>
      </c>
      <c r="T666" s="109">
        <f t="shared" si="282"/>
        <v>3.0980013719228185E-2</v>
      </c>
      <c r="U666" s="109">
        <f t="shared" si="282"/>
        <v>5.2350723264247369E-2</v>
      </c>
      <c r="V666" s="109">
        <f t="shared" si="282"/>
        <v>1.0279612628179198E-2</v>
      </c>
      <c r="W666" s="109">
        <f t="shared" si="282"/>
        <v>1.7901064233599946E-2</v>
      </c>
      <c r="X666" s="109">
        <f t="shared" si="282"/>
        <v>2.8087714652053858E-3</v>
      </c>
      <c r="Y666" s="109">
        <f t="shared" si="282"/>
        <v>1.5656314209605271E-3</v>
      </c>
      <c r="Z666" s="109">
        <f t="shared" si="282"/>
        <v>7.0210577266451946E-4</v>
      </c>
      <c r="AA666" s="109">
        <f t="shared" si="282"/>
        <v>6.3740914754563574E-2</v>
      </c>
      <c r="AB666" s="109">
        <f t="shared" si="282"/>
        <v>2.4223692326181567E-3</v>
      </c>
      <c r="AC666" s="109">
        <f t="shared" si="282"/>
        <v>8.9622654966330664E-2</v>
      </c>
      <c r="AD666" s="109">
        <f t="shared" si="282"/>
        <v>1.9524871653637452E-2</v>
      </c>
      <c r="AE666" s="109">
        <f t="shared" si="282"/>
        <v>0</v>
      </c>
      <c r="AF666" s="204">
        <f t="shared" si="266"/>
        <v>1</v>
      </c>
      <c r="AG666" s="92" t="str">
        <f t="shared" si="267"/>
        <v>ok</v>
      </c>
    </row>
    <row r="667" spans="1:33" s="60" customFormat="1">
      <c r="A667" s="60" t="s">
        <v>883</v>
      </c>
      <c r="D667" s="60" t="s">
        <v>884</v>
      </c>
      <c r="F667" s="80">
        <v>1</v>
      </c>
      <c r="H667" s="109">
        <f>H60/$F$60</f>
        <v>0.61043730772305094</v>
      </c>
      <c r="I667" s="109">
        <f t="shared" ref="I667:AE667" si="283">I60/$F$60</f>
        <v>0</v>
      </c>
      <c r="J667" s="109">
        <f t="shared" si="283"/>
        <v>0</v>
      </c>
      <c r="K667" s="109">
        <f t="shared" si="283"/>
        <v>0</v>
      </c>
      <c r="L667" s="109">
        <f t="shared" si="283"/>
        <v>0</v>
      </c>
      <c r="M667" s="109">
        <f t="shared" si="283"/>
        <v>0</v>
      </c>
      <c r="N667" s="109">
        <f t="shared" si="283"/>
        <v>9.3756900804937926E-2</v>
      </c>
      <c r="O667" s="109">
        <f t="shared" si="283"/>
        <v>0</v>
      </c>
      <c r="P667" s="109">
        <f t="shared" si="283"/>
        <v>0</v>
      </c>
      <c r="Q667" s="109">
        <f t="shared" si="283"/>
        <v>0</v>
      </c>
      <c r="R667" s="109">
        <f t="shared" si="283"/>
        <v>3.6887483258388143E-2</v>
      </c>
      <c r="S667" s="109">
        <f t="shared" si="283"/>
        <v>0</v>
      </c>
      <c r="T667" s="109">
        <f t="shared" si="283"/>
        <v>5.6628877819627173E-2</v>
      </c>
      <c r="U667" s="109">
        <f t="shared" si="283"/>
        <v>9.2669128361980463E-2</v>
      </c>
      <c r="V667" s="109">
        <f t="shared" si="283"/>
        <v>1.5799973673452143E-2</v>
      </c>
      <c r="W667" s="109">
        <f t="shared" si="283"/>
        <v>2.6998287628026446E-2</v>
      </c>
      <c r="X667" s="109">
        <f t="shared" si="283"/>
        <v>1.9355857643162909E-2</v>
      </c>
      <c r="Y667" s="109">
        <f t="shared" si="283"/>
        <v>1.0789108078452689E-2</v>
      </c>
      <c r="Z667" s="109">
        <f t="shared" si="283"/>
        <v>6.8982425131890145E-3</v>
      </c>
      <c r="AA667" s="109">
        <f t="shared" si="283"/>
        <v>7.0350172471143795E-3</v>
      </c>
      <c r="AB667" s="109">
        <f t="shared" si="283"/>
        <v>2.2743815248617724E-2</v>
      </c>
      <c r="AC667" s="109">
        <f t="shared" si="283"/>
        <v>0</v>
      </c>
      <c r="AD667" s="109">
        <f t="shared" si="283"/>
        <v>0</v>
      </c>
      <c r="AE667" s="109">
        <f t="shared" si="283"/>
        <v>0</v>
      </c>
      <c r="AF667" s="204">
        <f t="shared" si="266"/>
        <v>1</v>
      </c>
      <c r="AG667" s="92" t="str">
        <f t="shared" si="267"/>
        <v>ok</v>
      </c>
    </row>
    <row r="668" spans="1:33" s="60" customFormat="1">
      <c r="A668" s="60" t="s">
        <v>190</v>
      </c>
      <c r="D668" s="60" t="s">
        <v>191</v>
      </c>
      <c r="F668" s="80">
        <v>1</v>
      </c>
      <c r="H668" s="109">
        <f>H29/$F$29</f>
        <v>1</v>
      </c>
      <c r="I668" s="109">
        <f t="shared" ref="I668:AE668" si="284">I29/$F$29</f>
        <v>0</v>
      </c>
      <c r="J668" s="109">
        <f t="shared" si="284"/>
        <v>0</v>
      </c>
      <c r="K668" s="109">
        <f t="shared" si="284"/>
        <v>0</v>
      </c>
      <c r="L668" s="109">
        <f t="shared" si="284"/>
        <v>0</v>
      </c>
      <c r="M668" s="109">
        <f t="shared" si="284"/>
        <v>0</v>
      </c>
      <c r="N668" s="109">
        <f t="shared" si="284"/>
        <v>0</v>
      </c>
      <c r="O668" s="109">
        <f t="shared" si="284"/>
        <v>0</v>
      </c>
      <c r="P668" s="109">
        <f t="shared" si="284"/>
        <v>0</v>
      </c>
      <c r="Q668" s="109">
        <f t="shared" si="284"/>
        <v>0</v>
      </c>
      <c r="R668" s="109">
        <f t="shared" si="284"/>
        <v>0</v>
      </c>
      <c r="S668" s="109">
        <f t="shared" si="284"/>
        <v>0</v>
      </c>
      <c r="T668" s="109">
        <f t="shared" si="284"/>
        <v>0</v>
      </c>
      <c r="U668" s="109">
        <f t="shared" si="284"/>
        <v>0</v>
      </c>
      <c r="V668" s="109">
        <f t="shared" si="284"/>
        <v>0</v>
      </c>
      <c r="W668" s="109">
        <f t="shared" si="284"/>
        <v>0</v>
      </c>
      <c r="X668" s="109">
        <f t="shared" si="284"/>
        <v>0</v>
      </c>
      <c r="Y668" s="109">
        <f t="shared" si="284"/>
        <v>0</v>
      </c>
      <c r="Z668" s="109">
        <f t="shared" si="284"/>
        <v>0</v>
      </c>
      <c r="AA668" s="109">
        <f t="shared" si="284"/>
        <v>0</v>
      </c>
      <c r="AB668" s="109">
        <f t="shared" si="284"/>
        <v>0</v>
      </c>
      <c r="AC668" s="109">
        <f t="shared" si="284"/>
        <v>0</v>
      </c>
      <c r="AD668" s="109">
        <f t="shared" si="284"/>
        <v>0</v>
      </c>
      <c r="AE668" s="109">
        <f t="shared" si="284"/>
        <v>0</v>
      </c>
      <c r="AF668" s="204">
        <f t="shared" si="266"/>
        <v>1</v>
      </c>
      <c r="AG668" s="92" t="str">
        <f t="shared" si="267"/>
        <v>ok</v>
      </c>
    </row>
    <row r="669" spans="1:33" s="60" customFormat="1">
      <c r="A669" s="60" t="s">
        <v>862</v>
      </c>
      <c r="D669" s="60" t="s">
        <v>863</v>
      </c>
      <c r="F669" s="80">
        <v>1</v>
      </c>
      <c r="H669" s="109">
        <f>H15/$F$15</f>
        <v>0.61043730772305094</v>
      </c>
      <c r="I669" s="109">
        <f t="shared" ref="I669:AE669" si="285">I15/$F$15</f>
        <v>0</v>
      </c>
      <c r="J669" s="109">
        <f t="shared" si="285"/>
        <v>0</v>
      </c>
      <c r="K669" s="109">
        <f t="shared" si="285"/>
        <v>0</v>
      </c>
      <c r="L669" s="109">
        <f t="shared" si="285"/>
        <v>0</v>
      </c>
      <c r="M669" s="109">
        <f t="shared" si="285"/>
        <v>0</v>
      </c>
      <c r="N669" s="109">
        <f t="shared" si="285"/>
        <v>9.3756900804937926E-2</v>
      </c>
      <c r="O669" s="109">
        <f t="shared" si="285"/>
        <v>0</v>
      </c>
      <c r="P669" s="109">
        <f t="shared" si="285"/>
        <v>0</v>
      </c>
      <c r="Q669" s="109">
        <f t="shared" si="285"/>
        <v>0</v>
      </c>
      <c r="R669" s="109">
        <f t="shared" si="285"/>
        <v>3.6887483258388143E-2</v>
      </c>
      <c r="S669" s="109">
        <f t="shared" si="285"/>
        <v>0</v>
      </c>
      <c r="T669" s="109">
        <f t="shared" si="285"/>
        <v>5.6628877819627173E-2</v>
      </c>
      <c r="U669" s="109">
        <f t="shared" si="285"/>
        <v>9.2669128361980463E-2</v>
      </c>
      <c r="V669" s="109">
        <f t="shared" si="285"/>
        <v>1.5799973673452143E-2</v>
      </c>
      <c r="W669" s="109">
        <f t="shared" si="285"/>
        <v>2.6998287628026446E-2</v>
      </c>
      <c r="X669" s="109">
        <f t="shared" si="285"/>
        <v>1.9355857643162909E-2</v>
      </c>
      <c r="Y669" s="109">
        <f t="shared" si="285"/>
        <v>1.0789108078452689E-2</v>
      </c>
      <c r="Z669" s="109">
        <f t="shared" si="285"/>
        <v>6.8982425131890145E-3</v>
      </c>
      <c r="AA669" s="109">
        <f t="shared" si="285"/>
        <v>7.0350172471143795E-3</v>
      </c>
      <c r="AB669" s="109">
        <f t="shared" si="285"/>
        <v>2.2743815248617724E-2</v>
      </c>
      <c r="AC669" s="109">
        <f t="shared" si="285"/>
        <v>0</v>
      </c>
      <c r="AD669" s="109">
        <f t="shared" si="285"/>
        <v>0</v>
      </c>
      <c r="AE669" s="109">
        <f t="shared" si="285"/>
        <v>0</v>
      </c>
      <c r="AF669" s="204">
        <f t="shared" si="266"/>
        <v>1</v>
      </c>
      <c r="AG669" s="92" t="str">
        <f t="shared" si="267"/>
        <v>ok</v>
      </c>
    </row>
    <row r="670" spans="1:33" s="60" customFormat="1">
      <c r="W670" s="76"/>
    </row>
  </sheetData>
  <autoFilter ref="C2:D669"/>
  <mergeCells count="4">
    <mergeCell ref="V3:W3"/>
    <mergeCell ref="X3:Y3"/>
    <mergeCell ref="H3:J3"/>
    <mergeCell ref="S3:U3"/>
  </mergeCells>
  <phoneticPr fontId="0" type="noConversion"/>
  <pageMargins left="1" right="1" top="1.5" bottom="1" header="0.5" footer="0.5"/>
  <pageSetup fitToWidth="2"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570312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570312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96"/>
      <c r="M1" s="196"/>
      <c r="N1" s="196"/>
    </row>
    <row r="2" spans="1:14" ht="15.7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.75">
      <c r="A3" s="433" t="s">
        <v>1103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196"/>
      <c r="M3" s="196"/>
      <c r="N3" s="196"/>
    </row>
    <row r="4" spans="1:14" ht="15.75">
      <c r="A4" s="433" t="s">
        <v>1357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196"/>
      <c r="M4" s="196"/>
      <c r="N4" s="196"/>
    </row>
    <row r="5" spans="1:14" ht="15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.75">
      <c r="A6" s="433" t="s">
        <v>1218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196"/>
      <c r="M6" s="196"/>
      <c r="N6" s="196"/>
    </row>
    <row r="8" spans="1:14" ht="15.75" thickBot="1"/>
    <row r="9" spans="1:14" ht="15.75" thickBot="1">
      <c r="A9" s="154"/>
      <c r="B9" s="155"/>
      <c r="C9" s="156"/>
      <c r="D9" s="154"/>
      <c r="E9" s="430" t="s">
        <v>683</v>
      </c>
      <c r="F9" s="431"/>
      <c r="G9" s="157" t="s">
        <v>1056</v>
      </c>
      <c r="H9" s="430" t="s">
        <v>864</v>
      </c>
      <c r="I9" s="431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5.7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Proforma'!K176</f>
        <v>351297120.6955809</v>
      </c>
      <c r="E14" s="301">
        <f>'Allocation Proforma'!K125+'Allocation Proforma'!K126+'Allocation Proforma'!K127</f>
        <v>263110967.78052303</v>
      </c>
      <c r="F14" s="301">
        <f>'Allocation Proforma'!K128</f>
        <v>13568786.402307633</v>
      </c>
      <c r="G14" s="301">
        <f>'Allocation Proforma'!K137</f>
        <v>37407340.512622215</v>
      </c>
      <c r="H14" s="301">
        <f>'Allocation Proforma'!K147+'Allocation Proforma'!K149+'Allocation Proforma'!K154+'Allocation Proforma'!K143</f>
        <v>36684134.019476965</v>
      </c>
      <c r="I14" s="301">
        <f>'Allocation Proforma'!K148+'Allocation Proforma'!K150+'Allocation Proforma'!K155+'Allocation Proforma'!K159+'Allocation Proforma'!K162+'Allocation Proforma'!K165</f>
        <v>495674.45997575624</v>
      </c>
      <c r="J14" s="301">
        <f>'Allocation Proforma'!K168+'Allocation Proforma'!K171</f>
        <v>30217.520675222408</v>
      </c>
      <c r="K14" s="242">
        <f>SUM(E14:J14)</f>
        <v>351297120.6955809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351297120.6955809</v>
      </c>
      <c r="E16" s="301">
        <f t="shared" ref="E16:K16" si="1">E14+E15</f>
        <v>263110967.78052303</v>
      </c>
      <c r="F16" s="301">
        <f t="shared" si="1"/>
        <v>13568786.402307633</v>
      </c>
      <c r="G16" s="301">
        <f t="shared" si="1"/>
        <v>37407340.512622215</v>
      </c>
      <c r="H16" s="301">
        <f t="shared" si="1"/>
        <v>36684134.019476965</v>
      </c>
      <c r="I16" s="301">
        <f t="shared" si="1"/>
        <v>495674.45997575624</v>
      </c>
      <c r="J16" s="301">
        <f t="shared" si="1"/>
        <v>30217.520675222408</v>
      </c>
      <c r="K16" s="242">
        <f t="shared" si="1"/>
        <v>351297120.6955809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Proforma'!K944</f>
        <v>8.5214719612706685E-2</v>
      </c>
      <c r="E18" s="303">
        <f t="shared" ref="E18:J18" si="2">D18</f>
        <v>8.5214719612706685E-2</v>
      </c>
      <c r="F18" s="303">
        <f t="shared" si="2"/>
        <v>8.5214719612706685E-2</v>
      </c>
      <c r="G18" s="303">
        <f t="shared" si="2"/>
        <v>8.5214719612706685E-2</v>
      </c>
      <c r="H18" s="303">
        <f t="shared" si="2"/>
        <v>8.5214719612706685E-2</v>
      </c>
      <c r="I18" s="303">
        <f t="shared" si="2"/>
        <v>8.5214719612706685E-2</v>
      </c>
      <c r="J18" s="303">
        <f t="shared" si="2"/>
        <v>8.5214719612706685E-2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29935685.640825104</v>
      </c>
      <c r="E20" s="320">
        <f t="shared" ref="E20:J20" si="3">E18*E16</f>
        <v>22420927.346445173</v>
      </c>
      <c r="F20" s="320">
        <f t="shared" si="3"/>
        <v>1156260.328757352</v>
      </c>
      <c r="G20" s="320">
        <f t="shared" si="3"/>
        <v>3187656.0332401455</v>
      </c>
      <c r="H20" s="320">
        <f t="shared" si="3"/>
        <v>3126028.1947046844</v>
      </c>
      <c r="I20" s="320">
        <f t="shared" si="3"/>
        <v>42238.760126013869</v>
      </c>
      <c r="J20" s="320">
        <f t="shared" si="3"/>
        <v>2574.9775517302446</v>
      </c>
      <c r="K20" s="242">
        <f>SUM(E20:J20)</f>
        <v>29935685.6408251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Proforma'!K738</f>
        <v>7604692.6482977429</v>
      </c>
      <c r="E22" s="320">
        <f t="shared" ref="E22:J22" si="4">(E14/$D$14)*$D$22</f>
        <v>5695685.8581853379</v>
      </c>
      <c r="F22" s="320">
        <f t="shared" si="4"/>
        <v>293729.84895417979</v>
      </c>
      <c r="G22" s="320">
        <f t="shared" si="4"/>
        <v>809774.1502277191</v>
      </c>
      <c r="H22" s="320">
        <f t="shared" si="4"/>
        <v>794118.56190199312</v>
      </c>
      <c r="I22" s="320">
        <f t="shared" si="4"/>
        <v>10730.096262283441</v>
      </c>
      <c r="J22" s="320">
        <f t="shared" si="4"/>
        <v>654.13276622833291</v>
      </c>
      <c r="K22" s="242">
        <f>SUM(E22:J22)</f>
        <v>7604692.648297742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22330992.992527362</v>
      </c>
      <c r="E24" s="320">
        <f t="shared" ref="E24:J24" si="5">E20-E22</f>
        <v>16725241.488259835</v>
      </c>
      <c r="F24" s="320">
        <f t="shared" si="5"/>
        <v>862530.47980317217</v>
      </c>
      <c r="G24" s="320">
        <f t="shared" si="5"/>
        <v>2377881.8830124266</v>
      </c>
      <c r="H24" s="320">
        <f t="shared" si="5"/>
        <v>2331909.6328026913</v>
      </c>
      <c r="I24" s="320">
        <f t="shared" si="5"/>
        <v>31508.663863730428</v>
      </c>
      <c r="J24" s="320">
        <f t="shared" si="5"/>
        <v>1920.8447855019117</v>
      </c>
      <c r="K24" s="242">
        <f>SUM(E24:J24)</f>
        <v>22330992.992527355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Proforma'!K767+'Allocation Proforma'!K935</f>
        <v>5130377.955989439</v>
      </c>
      <c r="E26" s="320">
        <f t="shared" ref="E26:J26" si="6">$D$26*(E24/$K$24)</f>
        <v>3842498.6416269927</v>
      </c>
      <c r="F26" s="320">
        <f t="shared" si="6"/>
        <v>198159.90096956133</v>
      </c>
      <c r="G26" s="320">
        <f t="shared" si="6"/>
        <v>546300.50704130903</v>
      </c>
      <c r="H26" s="320">
        <f t="shared" si="6"/>
        <v>535738.72776252008</v>
      </c>
      <c r="I26" s="320">
        <f t="shared" si="6"/>
        <v>7238.8789232640574</v>
      </c>
      <c r="J26" s="320">
        <f t="shared" si="6"/>
        <v>441.2996657924682</v>
      </c>
      <c r="K26" s="242">
        <f>SUM(E26:J26)</f>
        <v>5130377.9559894409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Proforma'!K758</f>
        <v>89976180.806202412</v>
      </c>
      <c r="E28" s="320">
        <f>'Allocation Proforma'!K182+'Allocation Proforma'!K183+'Allocation Proforma'!K184</f>
        <v>14666349.487308323</v>
      </c>
      <c r="F28" s="320">
        <f>'Allocation Proforma'!K185</f>
        <v>68825160.332896098</v>
      </c>
      <c r="G28" s="320">
        <f>'Allocation Proforma'!K194</f>
        <v>3716813.9840023415</v>
      </c>
      <c r="H28" s="320">
        <f>'Allocation Proforma'!K200+'Allocation Proforma'!K204+'Allocation Proforma'!K206+'Allocation Proforma'!K211</f>
        <v>2423266.9934145948</v>
      </c>
      <c r="I28" s="320">
        <f>'Allocation Proforma'!K205+'Allocation Proforma'!K207+'Allocation Proforma'!K212+'Allocation Proforma'!K216+'Allocation Proforma'!K219</f>
        <v>199645.42532075944</v>
      </c>
      <c r="J28" s="320">
        <f>'Allocation Proforma'!K225+'Allocation Proforma'!K228</f>
        <v>144944.58326029649</v>
      </c>
      <c r="K28" s="242">
        <f t="shared" ref="K28:K39" si="7">SUM(E28:J28)</f>
        <v>89976180.806202412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Proforma'!K759</f>
        <v>31260609.338087685</v>
      </c>
      <c r="E29" s="316">
        <f>'Allocation Proforma'!K302</f>
        <v>27874227.501054779</v>
      </c>
      <c r="F29" s="316">
        <v>0</v>
      </c>
      <c r="G29" s="316">
        <f>'Allocation Proforma'!K308</f>
        <v>1571638.5821072957</v>
      </c>
      <c r="H29" s="316">
        <f>'Allocation Proforma'!K314+'Allocation Proforma'!K318+'Allocation Proforma'!K320+'Allocation Proforma'!K325</f>
        <v>1793867.3265097775</v>
      </c>
      <c r="I29" s="316">
        <f>'Allocation Proforma'!K319+'Allocation Proforma'!K321+'Allocation Proforma'!K326+'Allocation Proforma'!K330+'Allocation Proforma'!K333</f>
        <v>20875.928415836788</v>
      </c>
      <c r="J29" s="316">
        <v>0</v>
      </c>
      <c r="K29" s="242">
        <f t="shared" si="7"/>
        <v>31260609.338087689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Proforma'!K764+'Allocation Proforma'!K765</f>
        <v>4177025.6107027545</v>
      </c>
      <c r="E30" s="316">
        <f>'Allocation Proforma'!K417+'Allocation Proforma'!K474+'Allocation Proforma'!K359+'Allocation Proforma'!K531+'Allocation Proforma'!K589</f>
        <v>3300062.4547391464</v>
      </c>
      <c r="F30" s="316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316">
        <f>'Allocation Proforma'!K365+'Allocation Proforma'!K423+'Allocation Proforma'!K480+'Allocation Proforma'!K537+'Allocation Proforma'!K595</f>
        <v>430055.3281596335</v>
      </c>
      <c r="H30" s="316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441741.78220445447</v>
      </c>
      <c r="I30" s="316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5166.0455995201492</v>
      </c>
      <c r="J30" s="316">
        <v>0</v>
      </c>
      <c r="K30" s="242">
        <f t="shared" si="7"/>
        <v>4177025.6107027545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1341</v>
      </c>
      <c r="C31" s="173"/>
      <c r="D31" s="305">
        <f>'Allocation Proforma'!K769</f>
        <v>323559.95278453775</v>
      </c>
      <c r="E31" s="316">
        <f t="shared" ref="E31:J31" si="8">$D$31*(E14/$K$14)</f>
        <v>242336.66402843074</v>
      </c>
      <c r="F31" s="316">
        <f t="shared" si="8"/>
        <v>12497.443414797004</v>
      </c>
      <c r="G31" s="316">
        <f t="shared" si="8"/>
        <v>34453.79030176442</v>
      </c>
      <c r="H31" s="316">
        <f t="shared" si="8"/>
        <v>33787.685614335671</v>
      </c>
      <c r="I31" s="316">
        <f t="shared" si="8"/>
        <v>456.53777221031015</v>
      </c>
      <c r="J31" s="316">
        <f t="shared" si="8"/>
        <v>27.83165299955089</v>
      </c>
      <c r="K31" s="242">
        <f t="shared" si="7"/>
        <v>323559.95278453775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Proforma'!K932+'Allocation Proforma'!K933</f>
        <v>62503.325086464654</v>
      </c>
      <c r="E36" s="316">
        <f t="shared" ref="E36:J36" si="10">(E14/($D$14)*$D$36)</f>
        <v>46813.108859070788</v>
      </c>
      <c r="F36" s="316">
        <f t="shared" si="10"/>
        <v>2414.1793871039367</v>
      </c>
      <c r="G36" s="316">
        <f t="shared" si="10"/>
        <v>6655.5716712138637</v>
      </c>
      <c r="H36" s="316">
        <f t="shared" si="10"/>
        <v>6526.8976574439912</v>
      </c>
      <c r="I36" s="316">
        <f t="shared" si="10"/>
        <v>88.191163786308351</v>
      </c>
      <c r="J36" s="316">
        <f t="shared" si="10"/>
        <v>5.3763478457515053</v>
      </c>
      <c r="K36" s="242">
        <f t="shared" si="7"/>
        <v>62503.32508646464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f>'Allocation Proforma'!K768</f>
        <v>-142467</v>
      </c>
      <c r="E37" s="316">
        <f>D37</f>
        <v>-142467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-142467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-79963.674913535346</v>
      </c>
      <c r="E39" s="301">
        <f t="shared" si="11"/>
        <v>-95653.89114092922</v>
      </c>
      <c r="F39" s="301">
        <f t="shared" si="11"/>
        <v>2414.1793871039367</v>
      </c>
      <c r="G39" s="301">
        <f t="shared" si="11"/>
        <v>6655.5716712138637</v>
      </c>
      <c r="H39" s="301">
        <f t="shared" si="11"/>
        <v>6526.8976574439912</v>
      </c>
      <c r="I39" s="301">
        <f t="shared" si="11"/>
        <v>88.191163786308351</v>
      </c>
      <c r="J39" s="301">
        <f t="shared" si="11"/>
        <v>5.3763478457515053</v>
      </c>
      <c r="K39" s="242">
        <f t="shared" si="7"/>
        <v>-79963.67491353536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160723475.6296784</v>
      </c>
      <c r="E41" s="320">
        <f t="shared" si="12"/>
        <v>72250748.204061911</v>
      </c>
      <c r="F41" s="320">
        <f t="shared" si="12"/>
        <v>70194492.185424924</v>
      </c>
      <c r="G41" s="320">
        <f t="shared" si="12"/>
        <v>9493573.7965237033</v>
      </c>
      <c r="H41" s="320">
        <f t="shared" si="12"/>
        <v>8360957.6078678109</v>
      </c>
      <c r="I41" s="320">
        <f t="shared" si="12"/>
        <v>275709.76732139097</v>
      </c>
      <c r="J41" s="320">
        <f t="shared" si="12"/>
        <v>147994.06847866453</v>
      </c>
      <c r="K41" s="242">
        <f>SUM(E41:J41)</f>
        <v>160723475.6296784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Proforma'!K700</f>
        <v>-87243.381926604081</v>
      </c>
      <c r="E43" s="266">
        <f>D43</f>
        <v>-87243.381926604081</v>
      </c>
      <c r="F43" s="266"/>
      <c r="G43" s="266"/>
      <c r="H43" s="266"/>
      <c r="I43" s="266"/>
      <c r="J43" s="266"/>
      <c r="K43" s="242">
        <f>SUM(E43:J43)</f>
        <v>-87243.381926604081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Proforma'!K698</f>
        <v>-5957247.5283633946</v>
      </c>
      <c r="E44" s="316">
        <v>0</v>
      </c>
      <c r="F44" s="316">
        <f>D44</f>
        <v>-5957247.5283633946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-5957247.5283633946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1337</v>
      </c>
      <c r="C45" s="173"/>
      <c r="D45" s="304">
        <f>-'Allocation Proforma'!K699</f>
        <v>-1304274.4630886875</v>
      </c>
      <c r="E45" s="316">
        <v>0</v>
      </c>
      <c r="F45" s="316">
        <v>0</v>
      </c>
      <c r="G45" s="316">
        <f>D45</f>
        <v>-1304274.4630886875</v>
      </c>
      <c r="H45" s="316">
        <v>0</v>
      </c>
      <c r="I45" s="316">
        <v>0</v>
      </c>
      <c r="J45" s="316">
        <v>0</v>
      </c>
      <c r="K45" s="242">
        <f>SUM(E45:J45)</f>
        <v>-1304274.4630886875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Proforma'!K702-'Allocation Proforma'!K703-'Allocation Proforma'!K704-'Allocation Proforma'!K705</f>
        <v>-466965.72031417798</v>
      </c>
      <c r="E46" s="316">
        <f>-(E14/($D$14)*('Allocation Proforma'!K702+'Allocation Proforma'!K703+'Allocation Proforma'!K704+'Allocation Proforma'!K705))</f>
        <v>-349743.26675071428</v>
      </c>
      <c r="F46" s="316">
        <f>(F14/($D$14)*-('Allocation Proforma'!K702+'Allocation Proforma'!K703+'Allocation Proforma'!K704+'Allocation Proforma'!K705))</f>
        <v>-18036.464698591859</v>
      </c>
      <c r="G46" s="316">
        <f>(G14/($D$14)*-('Allocation Proforma'!K702+'Allocation Proforma'!K703+'Allocation Proforma'!K704+'Allocation Proforma'!K705))</f>
        <v>-49724.135720005921</v>
      </c>
      <c r="H46" s="316">
        <f>(H14/($D$14)*-('Allocation Proforma'!K702+'Allocation Proforma'!K703+'Allocation Proforma'!K704+'Allocation Proforma'!K705))</f>
        <v>-48762.805207706871</v>
      </c>
      <c r="I46" s="316">
        <f>(I14/($D$14)*-('Allocation Proforma'!K702+'Allocation Proforma'!K703+'Allocation Proforma'!K704+'Allocation Proforma'!K705))</f>
        <v>-658.88095178695232</v>
      </c>
      <c r="J46" s="316">
        <f>(J14/($D$14)*-('Allocation Proforma'!K702+'Allocation Proforma'!K703+'Allocation Proforma'!K704+'Allocation Proforma'!K705))</f>
        <v>-40.166985372024712</v>
      </c>
      <c r="K46" s="242">
        <f>SUM(E46:J46)</f>
        <v>-466965.72031417786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-7815731.0936928643</v>
      </c>
      <c r="E47" s="141">
        <f>SUM(E43:E46)</f>
        <v>-436986.64867731836</v>
      </c>
      <c r="F47" s="141">
        <f t="shared" ref="F47:I47" si="13">SUM(F43:F46)</f>
        <v>-5975283.9930619868</v>
      </c>
      <c r="G47" s="141">
        <f t="shared" si="13"/>
        <v>-1353998.5988086935</v>
      </c>
      <c r="H47" s="141">
        <f t="shared" si="13"/>
        <v>-48762.805207706871</v>
      </c>
      <c r="I47" s="141">
        <f t="shared" si="13"/>
        <v>-658.88095178695232</v>
      </c>
      <c r="J47" s="141">
        <f>SUM(J43:J46)</f>
        <v>-40.166985372024712</v>
      </c>
      <c r="K47" s="242">
        <f>SUM(E47:J47)</f>
        <v>-7815731.0936928652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Proforma'!J924-SUM('Allocation Proforma'!H699:I705)-'Allocation Proforma'!#REF!-'Allocation Proforma'!J918-'Allocation Proforma'!J922</f>
        <v>#REF!</v>
      </c>
      <c r="D49" s="233">
        <f t="shared" ref="D49:J49" si="14">D41+D47</f>
        <v>152907744.53598553</v>
      </c>
      <c r="E49" s="301">
        <f t="shared" si="14"/>
        <v>71813761.555384591</v>
      </c>
      <c r="F49" s="301">
        <f t="shared" si="14"/>
        <v>64219208.192362934</v>
      </c>
      <c r="G49" s="301">
        <f t="shared" si="14"/>
        <v>8139575.1977150096</v>
      </c>
      <c r="H49" s="301">
        <f t="shared" si="14"/>
        <v>8312194.8026601039</v>
      </c>
      <c r="I49" s="301">
        <f t="shared" si="14"/>
        <v>275050.88636960404</v>
      </c>
      <c r="J49" s="301">
        <f t="shared" si="14"/>
        <v>147953.90149329251</v>
      </c>
      <c r="K49" s="242">
        <f>SUM(E49:J49)</f>
        <v>152907744.53598556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4306226</v>
      </c>
      <c r="F51" s="317">
        <f>'Allocation Proforma'!K962</f>
        <v>1992826476</v>
      </c>
      <c r="G51" s="317">
        <v>5354606</v>
      </c>
      <c r="H51" s="317">
        <f>G51</f>
        <v>5354606</v>
      </c>
      <c r="I51" s="317">
        <f>'Allocation Proforma'!$K$978*12</f>
        <v>1584</v>
      </c>
      <c r="J51" s="317">
        <f>'Allocation Proforma'!$K$978*12</f>
        <v>1584</v>
      </c>
      <c r="K51" s="337"/>
      <c r="L51" s="178"/>
    </row>
    <row r="52" spans="1:12" ht="15.7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5.75" thickBot="1">
      <c r="A53" s="184" t="s">
        <v>1336</v>
      </c>
      <c r="B53" s="329" t="s">
        <v>1154</v>
      </c>
      <c r="C53" s="185"/>
      <c r="D53" s="239"/>
      <c r="E53" s="319">
        <f t="shared" ref="E53:H53" si="15">E49/E51</f>
        <v>16.676728428880555</v>
      </c>
      <c r="F53" s="396">
        <f t="shared" si="15"/>
        <v>3.2225188176576061E-2</v>
      </c>
      <c r="G53" s="319">
        <f t="shared" si="15"/>
        <v>1.5201072119433268</v>
      </c>
      <c r="H53" s="319">
        <f t="shared" si="15"/>
        <v>1.5523448042041008</v>
      </c>
      <c r="I53" s="319">
        <f>I49/I51/30.5</f>
        <v>5.6932208637523605</v>
      </c>
      <c r="J53" s="319">
        <f>J49/J51/30.5</f>
        <v>3.0624669128434445</v>
      </c>
      <c r="K53" s="330">
        <f>I53+J53</f>
        <v>8.7556877765958046</v>
      </c>
      <c r="L53" s="186"/>
    </row>
    <row r="55" spans="1:12">
      <c r="D55" s="220"/>
      <c r="F55" s="264"/>
      <c r="J55" s="313" t="s">
        <v>1227</v>
      </c>
      <c r="K55" s="188">
        <f>I53+J53</f>
        <v>8.7556877765958046</v>
      </c>
    </row>
    <row r="56" spans="1:12">
      <c r="D56" s="220"/>
      <c r="I56" s="19"/>
      <c r="J56" s="313" t="s">
        <v>1240</v>
      </c>
      <c r="K56" s="3">
        <f>E53+G53+H53</f>
        <v>19.749180445027982</v>
      </c>
    </row>
    <row r="57" spans="1:12">
      <c r="J57" s="313" t="s">
        <v>1241</v>
      </c>
      <c r="K57" s="417">
        <f>F53</f>
        <v>3.2225188176576061E-2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280"/>
    </row>
    <row r="61" spans="1:12">
      <c r="J61" s="306"/>
      <c r="K61" s="3"/>
    </row>
    <row r="64" spans="1:12">
      <c r="E64" s="238"/>
      <c r="F64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570312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570312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96"/>
      <c r="M1" s="196"/>
      <c r="N1" s="196"/>
    </row>
    <row r="2" spans="1:14" ht="15.7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.75">
      <c r="A3" s="433" t="s">
        <v>1103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196"/>
      <c r="M3" s="196"/>
      <c r="N3" s="196"/>
    </row>
    <row r="4" spans="1:14" ht="15.75">
      <c r="A4" s="433" t="s">
        <v>1357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196"/>
      <c r="M4" s="196"/>
      <c r="N4" s="196"/>
    </row>
    <row r="5" spans="1:14" ht="15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.75">
      <c r="A6" s="433" t="s">
        <v>1097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196"/>
      <c r="M6" s="196"/>
      <c r="N6" s="196"/>
    </row>
    <row r="8" spans="1:14" ht="15.75" thickBot="1"/>
    <row r="9" spans="1:14" ht="15.75" thickBot="1">
      <c r="A9" s="154"/>
      <c r="B9" s="155"/>
      <c r="C9" s="156"/>
      <c r="D9" s="154"/>
      <c r="E9" s="430" t="s">
        <v>683</v>
      </c>
      <c r="F9" s="431"/>
      <c r="G9" s="157" t="s">
        <v>1056</v>
      </c>
      <c r="H9" s="430" t="s">
        <v>864</v>
      </c>
      <c r="I9" s="431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5.7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Proforma'!M176</f>
        <v>160366121.29716793</v>
      </c>
      <c r="E14" s="301">
        <f>'Allocation Proforma'!M125+'Allocation Proforma'!M126+'Allocation Proforma'!M127</f>
        <v>134604637.2070277</v>
      </c>
      <c r="F14" s="301">
        <f>'Allocation Proforma'!M128</f>
        <v>7018768.0220372546</v>
      </c>
      <c r="G14" s="301">
        <f>'Allocation Proforma'!M137</f>
        <v>18468304.909479789</v>
      </c>
      <c r="H14" s="301">
        <f>'Allocation Proforma'!M147+'Allocation Proforma'!M149+'Allocation Proforma'!M154+'Allocation Proforma'!M143</f>
        <v>0</v>
      </c>
      <c r="I14" s="301">
        <f>'Allocation Proforma'!M148+'Allocation Proforma'!M150+'Allocation Proforma'!M155+'Allocation Proforma'!M159+'Allocation Proforma'!M162+'Allocation Proforma'!M165</f>
        <v>271435.19067788246</v>
      </c>
      <c r="J14" s="301">
        <f>'Allocation Proforma'!M168+'Allocation Proforma'!M171</f>
        <v>2975.967945287055</v>
      </c>
      <c r="K14" s="242">
        <f>SUM(E14:J14)</f>
        <v>160366121.29716793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160366121.29716793</v>
      </c>
      <c r="E16" s="301">
        <f t="shared" ref="E16:K16" si="1">E14+E15</f>
        <v>134604637.2070277</v>
      </c>
      <c r="F16" s="301">
        <f t="shared" si="1"/>
        <v>7018768.0220372546</v>
      </c>
      <c r="G16" s="301">
        <f t="shared" si="1"/>
        <v>18468304.909479789</v>
      </c>
      <c r="H16" s="301">
        <f t="shared" si="1"/>
        <v>0</v>
      </c>
      <c r="I16" s="301">
        <f t="shared" si="1"/>
        <v>271435.19067788246</v>
      </c>
      <c r="J16" s="301">
        <f t="shared" si="1"/>
        <v>2975.967945287055</v>
      </c>
      <c r="K16" s="242">
        <f t="shared" si="1"/>
        <v>160366121.29716793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Proforma'!M944</f>
        <v>7.3382396643096967E-2</v>
      </c>
      <c r="E18" s="303">
        <f t="shared" ref="E18:J18" si="2">D18</f>
        <v>7.3382396643096967E-2</v>
      </c>
      <c r="F18" s="303">
        <f t="shared" si="2"/>
        <v>7.3382396643096967E-2</v>
      </c>
      <c r="G18" s="303">
        <f t="shared" si="2"/>
        <v>7.3382396643096967E-2</v>
      </c>
      <c r="H18" s="303">
        <f t="shared" si="2"/>
        <v>7.3382396643096967E-2</v>
      </c>
      <c r="I18" s="303">
        <f t="shared" si="2"/>
        <v>7.3382396643096967E-2</v>
      </c>
      <c r="J18" s="303">
        <f t="shared" si="2"/>
        <v>7.3382396643096967E-2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11768050.321143776</v>
      </c>
      <c r="E20" s="320">
        <f t="shared" ref="E20:J20" si="3">E18*E16</f>
        <v>9877610.877526274</v>
      </c>
      <c r="F20" s="320">
        <f t="shared" si="3"/>
        <v>515054.01893902296</v>
      </c>
      <c r="G20" s="320">
        <f t="shared" si="3"/>
        <v>1355248.4761931009</v>
      </c>
      <c r="H20" s="320">
        <f t="shared" si="3"/>
        <v>0</v>
      </c>
      <c r="I20" s="320">
        <f t="shared" si="3"/>
        <v>19918.564825219026</v>
      </c>
      <c r="J20" s="320">
        <f t="shared" si="3"/>
        <v>218.38366015819696</v>
      </c>
      <c r="K20" s="242">
        <f>SUM(E20:J20)</f>
        <v>11768050.321143774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Proforma'!M738</f>
        <v>3465255.9840087472</v>
      </c>
      <c r="E22" s="320">
        <f t="shared" ref="E22:J22" si="4">(E14/$D$14)*$D$22</f>
        <v>2908591.420582151</v>
      </c>
      <c r="F22" s="320">
        <f t="shared" si="4"/>
        <v>151664.37706418082</v>
      </c>
      <c r="G22" s="320">
        <f t="shared" si="4"/>
        <v>399070.59910417104</v>
      </c>
      <c r="H22" s="320">
        <f t="shared" si="4"/>
        <v>0</v>
      </c>
      <c r="I22" s="320">
        <f t="shared" si="4"/>
        <v>5865.2813397170967</v>
      </c>
      <c r="J22" s="320">
        <f t="shared" si="4"/>
        <v>64.305918526984428</v>
      </c>
      <c r="K22" s="242">
        <f>SUM(E22:J22)</f>
        <v>3465255.9840087472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8302794.337135029</v>
      </c>
      <c r="E24" s="320">
        <f t="shared" ref="E24:J24" si="5">E20-E22</f>
        <v>6969019.4569441229</v>
      </c>
      <c r="F24" s="320">
        <f t="shared" si="5"/>
        <v>363389.64187484211</v>
      </c>
      <c r="G24" s="320">
        <f t="shared" si="5"/>
        <v>956177.87708892988</v>
      </c>
      <c r="H24" s="320">
        <f t="shared" si="5"/>
        <v>0</v>
      </c>
      <c r="I24" s="320">
        <f t="shared" si="5"/>
        <v>14053.283485501928</v>
      </c>
      <c r="J24" s="320">
        <f t="shared" si="5"/>
        <v>154.07774163121252</v>
      </c>
      <c r="K24" s="242">
        <f>SUM(E24:J24)</f>
        <v>8302794.3371350281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Proforma'!M767+'Allocation Proforma'!M935</f>
        <v>1951700.5708390262</v>
      </c>
      <c r="E26" s="320">
        <f t="shared" ref="E26:J26" si="6">$D$26*(E24/$K$24)</f>
        <v>1638176.1007221881</v>
      </c>
      <c r="F26" s="320">
        <f t="shared" si="6"/>
        <v>85420.37086382242</v>
      </c>
      <c r="G26" s="320">
        <f t="shared" si="6"/>
        <v>224764.43866512255</v>
      </c>
      <c r="H26" s="320">
        <f t="shared" si="6"/>
        <v>0</v>
      </c>
      <c r="I26" s="320">
        <f t="shared" si="6"/>
        <v>3303.4422252449822</v>
      </c>
      <c r="J26" s="320">
        <f t="shared" si="6"/>
        <v>36.218362648133478</v>
      </c>
      <c r="K26" s="242">
        <f>SUM(E26:J26)</f>
        <v>1951700.5708390262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Proforma'!M758</f>
        <v>45090267.33885818</v>
      </c>
      <c r="E28" s="320">
        <f>'Allocation Proforma'!M182+'Allocation Proforma'!M183+'Allocation Proforma'!M184</f>
        <v>7503140.8555244273</v>
      </c>
      <c r="F28" s="320">
        <f>'Allocation Proforma'!M185</f>
        <v>35601403.112511456</v>
      </c>
      <c r="G28" s="320">
        <f>'Allocation Proforma'!M194</f>
        <v>1835020.9613327512</v>
      </c>
      <c r="H28" s="320">
        <f>'Allocation Proforma'!M200+'Allocation Proforma'!M204+'Allocation Proforma'!M206+'Allocation Proforma'!M211</f>
        <v>0</v>
      </c>
      <c r="I28" s="320">
        <f>'Allocation Proforma'!M205+'Allocation Proforma'!M207+'Allocation Proforma'!M212+'Allocation Proforma'!M216+'Allocation Proforma'!M219</f>
        <v>136383.57938523268</v>
      </c>
      <c r="J28" s="320">
        <f>'Allocation Proforma'!M225+'Allocation Proforma'!M228</f>
        <v>14318.83010430769</v>
      </c>
      <c r="K28" s="242">
        <f t="shared" ref="K28:K39" si="7">SUM(E28:J28)</f>
        <v>45090267.33885818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Proforma'!M759</f>
        <v>15047504.08467748</v>
      </c>
      <c r="E29" s="316">
        <f>'Allocation Proforma'!M302</f>
        <v>14260143.968363211</v>
      </c>
      <c r="F29" s="316">
        <v>0</v>
      </c>
      <c r="G29" s="316">
        <f>'Allocation Proforma'!M308</f>
        <v>775930.60998458485</v>
      </c>
      <c r="H29" s="316">
        <f>'Allocation Proforma'!M314+'Allocation Proforma'!M318+'Allocation Proforma'!M320+'Allocation Proforma'!M325</f>
        <v>0</v>
      </c>
      <c r="I29" s="316">
        <f>'Allocation Proforma'!M319+'Allocation Proforma'!M321+'Allocation Proforma'!M326+'Allocation Proforma'!M330+'Allocation Proforma'!M333</f>
        <v>11429.506329685308</v>
      </c>
      <c r="J29" s="316">
        <v>0</v>
      </c>
      <c r="K29" s="242">
        <f t="shared" si="7"/>
        <v>15047504.08467748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Proforma'!M764+'Allocation Proforma'!M765</f>
        <v>1903429.3539325586</v>
      </c>
      <c r="E30" s="316">
        <f>'Allocation Proforma'!M417+'Allocation Proforma'!M474+'Allocation Proforma'!M359+'Allocation Proforma'!M531+'Allocation Proforma'!M589</f>
        <v>1688275.1533612751</v>
      </c>
      <c r="F30" s="316">
        <f>'Allocation Proforma'!M356+'Allocation Proforma'!M357+'Allocation Proforma'!M358+'Allocation Proforma'!M414+'Allocation Proforma'!M415+'Allocation Proforma'!M416+'Allocation Proforma'!M471+'Allocation Proforma'!M472+'Allocation Proforma'!M473+'Allocation Proforma'!M528+'Allocation Proforma'!M529+'Allocation Proforma'!M530+'Allocation Proforma'!M586+'Allocation Proforma'!M587+'Allocation Proforma'!M588</f>
        <v>0</v>
      </c>
      <c r="G30" s="316">
        <f>'Allocation Proforma'!M365+'Allocation Proforma'!M423+'Allocation Proforma'!M480+'Allocation Proforma'!M537+'Allocation Proforma'!M595</f>
        <v>212321.77480563024</v>
      </c>
      <c r="H30" s="316">
        <f>'Allocation Proforma'!M371+'Allocation Proforma'!M375+'Allocation Proforma'!M377+'Allocation Proforma'!M382+'Allocation Proforma'!M429+'Allocation Proforma'!M433+'Allocation Proforma'!M435+'Allocation Proforma'!M440+'Allocation Proforma'!M486+'Allocation Proforma'!M490+'Allocation Proforma'!M492+'Allocation Proforma'!M497+'Allocation Proforma'!M543+'Allocation Proforma'!M547+'Allocation Proforma'!M549+'Allocation Proforma'!M554+'Allocation Proforma'!M601+'Allocation Proforma'!M605+'Allocation Proforma'!M607+'Allocation Proforma'!M612</f>
        <v>0</v>
      </c>
      <c r="I30" s="316">
        <f>'Allocation Proforma'!M376+'Allocation Proforma'!M378+'Allocation Proforma'!M383+'Allocation Proforma'!M387+'Allocation Proforma'!M391+'Allocation Proforma'!M434+'Allocation Proforma'!M436+'Allocation Proforma'!M441+'Allocation Proforma'!M445+'Allocation Proforma'!M448+'Allocation Proforma'!M491+'Allocation Proforma'!M493+'Allocation Proforma'!M498+'Allocation Proforma'!M502+'Allocation Proforma'!M505+'Allocation Proforma'!M548+'Allocation Proforma'!M550+'Allocation Proforma'!M555+'Allocation Proforma'!M559+'Allocation Proforma'!M562+'Allocation Proforma'!M606+'Allocation Proforma'!M608+'Allocation Proforma'!M613+'Allocation Proforma'!M617+'Allocation Proforma'!M620</f>
        <v>2832.4257656533341</v>
      </c>
      <c r="J30" s="316">
        <v>0</v>
      </c>
      <c r="K30" s="242">
        <f t="shared" si="7"/>
        <v>1903429.3539325588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1341</v>
      </c>
      <c r="C31" s="173"/>
      <c r="D31" s="305">
        <f>'Allocation Proforma'!M769</f>
        <v>165529.66387784967</v>
      </c>
      <c r="E31" s="316">
        <f t="shared" ref="E31:J31" si="8">$D$31*(E14/$K$14)</f>
        <v>138938.69960221255</v>
      </c>
      <c r="F31" s="316">
        <f t="shared" si="8"/>
        <v>7244.7615626464876</v>
      </c>
      <c r="G31" s="316">
        <f t="shared" si="8"/>
        <v>19062.955936902232</v>
      </c>
      <c r="H31" s="316">
        <f t="shared" si="8"/>
        <v>0</v>
      </c>
      <c r="I31" s="316">
        <f t="shared" si="8"/>
        <v>280.17498655012611</v>
      </c>
      <c r="J31" s="316">
        <f t="shared" si="8"/>
        <v>3.0717895382765028</v>
      </c>
      <c r="K31" s="242">
        <f t="shared" si="7"/>
        <v>165529.66387784967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Proforma'!M932+'Allocation Proforma'!M933</f>
        <v>29378.136797635336</v>
      </c>
      <c r="E36" s="316">
        <f t="shared" ref="E36:J36" si="10">(E14/($D$14)*$D$36)</f>
        <v>24658.783373181021</v>
      </c>
      <c r="F36" s="316">
        <f t="shared" si="10"/>
        <v>1285.7973082742403</v>
      </c>
      <c r="G36" s="316">
        <f t="shared" si="10"/>
        <v>3383.2855946283917</v>
      </c>
      <c r="H36" s="316">
        <f t="shared" si="10"/>
        <v>0</v>
      </c>
      <c r="I36" s="316">
        <f t="shared" si="10"/>
        <v>49.725341605352455</v>
      </c>
      <c r="J36" s="316">
        <f t="shared" si="10"/>
        <v>0.54517994633050237</v>
      </c>
      <c r="K36" s="242">
        <f t="shared" si="7"/>
        <v>29378.136797635336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f>'Allocation Proforma'!M768</f>
        <v>-2325893</v>
      </c>
      <c r="E37" s="316">
        <f>D37</f>
        <v>-2325893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-2325893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-2296514.8632023646</v>
      </c>
      <c r="E39" s="301">
        <f t="shared" si="11"/>
        <v>-2301234.2166268188</v>
      </c>
      <c r="F39" s="301">
        <f t="shared" si="11"/>
        <v>1285.7973082742403</v>
      </c>
      <c r="G39" s="301">
        <f t="shared" si="11"/>
        <v>3383.2855946283917</v>
      </c>
      <c r="H39" s="301">
        <f t="shared" si="11"/>
        <v>0</v>
      </c>
      <c r="I39" s="301">
        <f t="shared" si="11"/>
        <v>49.725341605352455</v>
      </c>
      <c r="J39" s="301">
        <f t="shared" si="11"/>
        <v>0.54517994633050237</v>
      </c>
      <c r="K39" s="242">
        <f t="shared" si="7"/>
        <v>-2296514.8632023646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73629966.47012651</v>
      </c>
      <c r="E41" s="320">
        <f t="shared" si="12"/>
        <v>32805051.438472766</v>
      </c>
      <c r="F41" s="320">
        <f t="shared" si="12"/>
        <v>36210408.061185226</v>
      </c>
      <c r="G41" s="320">
        <f t="shared" si="12"/>
        <v>4425732.5025127204</v>
      </c>
      <c r="H41" s="320">
        <f t="shared" si="12"/>
        <v>0</v>
      </c>
      <c r="I41" s="320">
        <f t="shared" si="12"/>
        <v>174197.41885919077</v>
      </c>
      <c r="J41" s="320">
        <f t="shared" si="12"/>
        <v>14577.049096598626</v>
      </c>
      <c r="K41" s="242">
        <f>SUM(E41:J41)</f>
        <v>73629966.470126495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Proforma'!M700</f>
        <v>-44632.741356265149</v>
      </c>
      <c r="E43" s="266">
        <f>D43</f>
        <v>-44632.741356265149</v>
      </c>
      <c r="F43" s="266"/>
      <c r="G43" s="266"/>
      <c r="H43" s="266"/>
      <c r="I43" s="266"/>
      <c r="J43" s="266"/>
      <c r="K43" s="242">
        <f>SUM(E43:J43)</f>
        <v>-44632.741356265149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Proforma'!M698</f>
        <v>-3081523.8158901553</v>
      </c>
      <c r="E44" s="316">
        <v>0</v>
      </c>
      <c r="F44" s="316">
        <f>D44</f>
        <v>-3081523.8158901553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-3081523.8158901553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1337</v>
      </c>
      <c r="C45" s="173"/>
      <c r="D45" s="304">
        <f>-'Allocation Proforma'!M699</f>
        <v>-643930.79379278771</v>
      </c>
      <c r="E45" s="316">
        <v>0</v>
      </c>
      <c r="F45" s="316">
        <v>0</v>
      </c>
      <c r="G45" s="316">
        <f>D45</f>
        <v>-643930.79379278771</v>
      </c>
      <c r="H45" s="316">
        <v>0</v>
      </c>
      <c r="I45" s="316">
        <v>0</v>
      </c>
      <c r="J45" s="316">
        <v>0</v>
      </c>
      <c r="K45" s="242">
        <f>SUM(E45:J45)</f>
        <v>-643930.79379278771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Proforma'!M702-'Allocation Proforma'!M703-'Allocation Proforma'!M704-'Allocation Proforma'!M705</f>
        <v>-208293.80195764703</v>
      </c>
      <c r="E46" s="316">
        <f>-(E14/($D$14)*('Allocation Proforma'!M702+'Allocation Proforma'!M703+'Allocation Proforma'!M704+'Allocation Proforma'!M705))</f>
        <v>-174833.13444381906</v>
      </c>
      <c r="F46" s="316">
        <f>(F14/($D$14)*-('Allocation Proforma'!M702+'Allocation Proforma'!M703+'Allocation Proforma'!M704+'Allocation Proforma'!M705))</f>
        <v>-9116.4259916206629</v>
      </c>
      <c r="G46" s="316">
        <f>(G14/($D$14)*-('Allocation Proforma'!M702+'Allocation Proforma'!M703+'Allocation Proforma'!M704+'Allocation Proforma'!M705))</f>
        <v>-23987.81871253351</v>
      </c>
      <c r="H46" s="316">
        <f>(H14/($D$14)*-('Allocation Proforma'!M702+'Allocation Proforma'!M703+'Allocation Proforma'!M704+'Allocation Proforma'!M705))</f>
        <v>0</v>
      </c>
      <c r="I46" s="316">
        <f>(I14/($D$14)*-('Allocation Proforma'!M702+'Allocation Proforma'!M703+'Allocation Proforma'!M704+'Allocation Proforma'!M705))</f>
        <v>-352.55743166991141</v>
      </c>
      <c r="J46" s="316">
        <f>(J14/($D$14)*-('Allocation Proforma'!M702+'Allocation Proforma'!M703+'Allocation Proforma'!M704+'Allocation Proforma'!M705))</f>
        <v>-3.8653780038694157</v>
      </c>
      <c r="K46" s="242">
        <f>SUM(E46:J46)</f>
        <v>-208293.801957647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-3978381.1529968553</v>
      </c>
      <c r="E47" s="141">
        <f>SUM(E43:E46)</f>
        <v>-219465.87580008421</v>
      </c>
      <c r="F47" s="141">
        <f t="shared" ref="F47:I47" si="13">SUM(F43:F46)</f>
        <v>-3090640.2418817761</v>
      </c>
      <c r="G47" s="141">
        <f t="shared" si="13"/>
        <v>-667918.61250532116</v>
      </c>
      <c r="H47" s="141">
        <f t="shared" si="13"/>
        <v>0</v>
      </c>
      <c r="I47" s="141">
        <f t="shared" si="13"/>
        <v>-352.55743166991141</v>
      </c>
      <c r="J47" s="141">
        <f>SUM(J43:J46)</f>
        <v>-3.8653780038694157</v>
      </c>
      <c r="K47" s="242">
        <f>SUM(E47:J47)</f>
        <v>-3978381.1529968553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Proforma'!J924-SUM('Allocation Proforma'!H699:I705)-'Allocation Proforma'!#REF!-'Allocation Proforma'!J918-'Allocation Proforma'!J922</f>
        <v>#REF!</v>
      </c>
      <c r="D49" s="233">
        <f t="shared" ref="D49:J49" si="14">D41+D47</f>
        <v>69651585.317129657</v>
      </c>
      <c r="E49" s="301">
        <f t="shared" si="14"/>
        <v>32585585.562672682</v>
      </c>
      <c r="F49" s="301">
        <f t="shared" si="14"/>
        <v>33119767.819303449</v>
      </c>
      <c r="G49" s="301">
        <f t="shared" si="14"/>
        <v>3757813.890007399</v>
      </c>
      <c r="H49" s="301">
        <f t="shared" si="14"/>
        <v>0</v>
      </c>
      <c r="I49" s="301">
        <f t="shared" si="14"/>
        <v>173844.86142752087</v>
      </c>
      <c r="J49" s="301">
        <f t="shared" si="14"/>
        <v>14573.183718594757</v>
      </c>
      <c r="K49" s="242">
        <f>SUM(E49:J49)</f>
        <v>69651585.317129642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2084830</v>
      </c>
      <c r="F51" s="317">
        <f>'Allocation Proforma'!M962</f>
        <v>1050890542</v>
      </c>
      <c r="G51" s="317">
        <v>2400000</v>
      </c>
      <c r="H51" s="317">
        <f>G51</f>
        <v>2400000</v>
      </c>
      <c r="I51" s="317">
        <f>'Allocation Proforma'!$M$978*12</f>
        <v>156</v>
      </c>
      <c r="J51" s="317">
        <f>'Allocation Proforma'!$M$978*12</f>
        <v>156</v>
      </c>
      <c r="K51" s="337"/>
      <c r="L51" s="178"/>
    </row>
    <row r="52" spans="1:12" ht="15.7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5.75" thickBot="1">
      <c r="A53" s="184" t="s">
        <v>1336</v>
      </c>
      <c r="B53" s="329" t="s">
        <v>1154</v>
      </c>
      <c r="C53" s="185"/>
      <c r="D53" s="239"/>
      <c r="E53" s="319">
        <f t="shared" ref="E53:H53" si="15">E49/E51</f>
        <v>15.629852583986551</v>
      </c>
      <c r="F53" s="396">
        <f t="shared" si="15"/>
        <v>3.151590626771808E-2</v>
      </c>
      <c r="G53" s="319">
        <f t="shared" si="15"/>
        <v>1.565755787503083</v>
      </c>
      <c r="H53" s="319">
        <f t="shared" si="15"/>
        <v>0</v>
      </c>
      <c r="I53" s="319">
        <f>I49/I51/30.5</f>
        <v>36.537381552652562</v>
      </c>
      <c r="J53" s="319">
        <f>J49/J51/30.5</f>
        <v>3.0628801426218488</v>
      </c>
      <c r="K53" s="330">
        <f>I53+J53</f>
        <v>39.600261695274412</v>
      </c>
      <c r="L53" s="186"/>
    </row>
    <row r="55" spans="1:12">
      <c r="D55" s="220"/>
      <c r="F55" s="264"/>
      <c r="J55" s="313" t="s">
        <v>1227</v>
      </c>
      <c r="K55" s="188">
        <f>I53+J53</f>
        <v>39.600261695274412</v>
      </c>
      <c r="L55" s="188"/>
    </row>
    <row r="56" spans="1:12">
      <c r="D56" s="220"/>
      <c r="I56" s="19"/>
      <c r="J56" s="313" t="s">
        <v>1240</v>
      </c>
      <c r="K56" s="3">
        <f>E53+G53+H53</f>
        <v>17.195608371489634</v>
      </c>
    </row>
    <row r="57" spans="1:12">
      <c r="J57" s="313" t="s">
        <v>1241</v>
      </c>
      <c r="K57" s="417">
        <f>F53</f>
        <v>3.151590626771808E-2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280"/>
    </row>
    <row r="61" spans="1:12">
      <c r="J61" s="306"/>
      <c r="K61" s="3"/>
    </row>
    <row r="65" spans="5:6">
      <c r="E65" s="238"/>
      <c r="F65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570312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570312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96"/>
      <c r="M1" s="196"/>
      <c r="N1" s="196"/>
    </row>
    <row r="2" spans="1:14" ht="15.7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.75">
      <c r="A3" s="433" t="s">
        <v>1103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196"/>
      <c r="M3" s="196"/>
      <c r="N3" s="196"/>
    </row>
    <row r="4" spans="1:14" ht="15.75">
      <c r="A4" s="433" t="s">
        <v>1357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196"/>
      <c r="M4" s="196"/>
      <c r="N4" s="196"/>
    </row>
    <row r="5" spans="1:14" ht="15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.75">
      <c r="A6" s="433" t="s">
        <v>572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196"/>
      <c r="M6" s="196"/>
      <c r="N6" s="196"/>
    </row>
    <row r="8" spans="1:14" ht="15.75" thickBot="1"/>
    <row r="9" spans="1:14" ht="15.75" thickBot="1">
      <c r="A9" s="154"/>
      <c r="B9" s="155"/>
      <c r="C9" s="156"/>
      <c r="D9" s="154"/>
      <c r="E9" s="430" t="s">
        <v>683</v>
      </c>
      <c r="F9" s="431"/>
      <c r="G9" s="157" t="s">
        <v>1056</v>
      </c>
      <c r="H9" s="430" t="s">
        <v>864</v>
      </c>
      <c r="I9" s="431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5.7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Proforma'!N176</f>
        <v>10299117.756014783</v>
      </c>
      <c r="E14" s="301">
        <f>'Allocation Proforma'!N125+'Allocation Proforma'!N126+'Allocation Proforma'!N127</f>
        <v>7557586.2057706146</v>
      </c>
      <c r="F14" s="301">
        <f>'Allocation Proforma'!N128</f>
        <v>383711.43889834936</v>
      </c>
      <c r="G14" s="301">
        <f>'Allocation Proforma'!N137</f>
        <v>1186786.1684246748</v>
      </c>
      <c r="H14" s="301">
        <f>'Allocation Proforma'!N147+'Allocation Proforma'!N149+'Allocation Proforma'!N154+'Allocation Proforma'!N143</f>
        <v>1163841.7021456547</v>
      </c>
      <c r="I14" s="301">
        <f>'Allocation Proforma'!N148+'Allocation Proforma'!N150+'Allocation Proforma'!N155+'Allocation Proforma'!N159+'Allocation Proforma'!N162+'Allocation Proforma'!N165</f>
        <v>7096.9490795413731</v>
      </c>
      <c r="J14" s="301">
        <f>'Allocation Proforma'!N168+'Allocation Proforma'!N171</f>
        <v>95.29169594892781</v>
      </c>
      <c r="K14" s="242">
        <f>SUM(E14:J14)</f>
        <v>10299117.756014783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10299117.756014783</v>
      </c>
      <c r="E16" s="301">
        <f t="shared" ref="E16:K16" si="1">E14+E15</f>
        <v>7557586.2057706146</v>
      </c>
      <c r="F16" s="301">
        <f t="shared" si="1"/>
        <v>383711.43889834936</v>
      </c>
      <c r="G16" s="301">
        <f t="shared" si="1"/>
        <v>1186786.1684246748</v>
      </c>
      <c r="H16" s="301">
        <f t="shared" si="1"/>
        <v>1163841.7021456547</v>
      </c>
      <c r="I16" s="301">
        <f t="shared" si="1"/>
        <v>7096.9490795413731</v>
      </c>
      <c r="J16" s="301">
        <f t="shared" si="1"/>
        <v>95.29169594892781</v>
      </c>
      <c r="K16" s="242">
        <f t="shared" si="1"/>
        <v>10299117.756014783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Proforma'!N944</f>
        <v>5.6003856907417389E-2</v>
      </c>
      <c r="E18" s="303">
        <f t="shared" ref="E18:J18" si="2">D18</f>
        <v>5.6003856907417389E-2</v>
      </c>
      <c r="F18" s="303">
        <f t="shared" si="2"/>
        <v>5.6003856907417389E-2</v>
      </c>
      <c r="G18" s="303">
        <f t="shared" si="2"/>
        <v>5.6003856907417389E-2</v>
      </c>
      <c r="H18" s="303">
        <f t="shared" si="2"/>
        <v>5.6003856907417389E-2</v>
      </c>
      <c r="I18" s="303">
        <f t="shared" si="2"/>
        <v>5.6003856907417389E-2</v>
      </c>
      <c r="J18" s="303">
        <f t="shared" si="2"/>
        <v>5.6003856907417389E-2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576790.31708049355</v>
      </c>
      <c r="E20" s="320">
        <f t="shared" ref="E20:J20" si="3">E18*E16</f>
        <v>423253.97643344902</v>
      </c>
      <c r="F20" s="320">
        <f t="shared" si="3"/>
        <v>21489.320517802389</v>
      </c>
      <c r="G20" s="320">
        <f t="shared" si="3"/>
        <v>66464.602756157634</v>
      </c>
      <c r="H20" s="320">
        <f t="shared" si="3"/>
        <v>65179.624149850337</v>
      </c>
      <c r="I20" s="320">
        <f t="shared" si="3"/>
        <v>397.45652072986263</v>
      </c>
      <c r="J20" s="320">
        <f t="shared" si="3"/>
        <v>5.3367025043888781</v>
      </c>
      <c r="K20" s="242">
        <f>SUM(E20:J20)</f>
        <v>576790.31708049367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Proforma'!N738</f>
        <v>223075.08448583473</v>
      </c>
      <c r="E22" s="320">
        <f t="shared" ref="E22:J22" si="4">(E14/$D$14)*$D$22</f>
        <v>163694.52425929124</v>
      </c>
      <c r="F22" s="320">
        <f t="shared" si="4"/>
        <v>8311.0479633501946</v>
      </c>
      <c r="G22" s="320">
        <f t="shared" si="4"/>
        <v>25705.349823128519</v>
      </c>
      <c r="H22" s="320">
        <f t="shared" si="4"/>
        <v>25208.38116280947</v>
      </c>
      <c r="I22" s="320">
        <f t="shared" si="4"/>
        <v>153.71729433676808</v>
      </c>
      <c r="J22" s="320">
        <f t="shared" si="4"/>
        <v>2.0639829185554399</v>
      </c>
      <c r="K22" s="242">
        <f>SUM(E22:J22)</f>
        <v>223075.08448583476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353715.23259465885</v>
      </c>
      <c r="E24" s="320">
        <f t="shared" ref="E24:J24" si="5">E20-E22</f>
        <v>259559.45217415778</v>
      </c>
      <c r="F24" s="320">
        <f t="shared" si="5"/>
        <v>13178.272554452195</v>
      </c>
      <c r="G24" s="320">
        <f t="shared" si="5"/>
        <v>40759.252933029115</v>
      </c>
      <c r="H24" s="320">
        <f t="shared" si="5"/>
        <v>39971.242987040867</v>
      </c>
      <c r="I24" s="320">
        <f t="shared" si="5"/>
        <v>243.73922639309455</v>
      </c>
      <c r="J24" s="320">
        <f t="shared" si="5"/>
        <v>3.2727195858334381</v>
      </c>
      <c r="K24" s="242">
        <f>SUM(E24:J24)</f>
        <v>353715.23259465897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Proforma'!N767+'Allocation Proforma'!N935</f>
        <v>112027.60125187111</v>
      </c>
      <c r="E26" s="320">
        <f t="shared" ref="E26:J26" si="6">$D$26*(E24/$K$24)</f>
        <v>82206.871883978136</v>
      </c>
      <c r="F26" s="320">
        <f t="shared" si="6"/>
        <v>4173.7819773525343</v>
      </c>
      <c r="G26" s="320">
        <f t="shared" si="6"/>
        <v>12909.14530711814</v>
      </c>
      <c r="H26" s="320">
        <f t="shared" si="6"/>
        <v>12659.56921913314</v>
      </c>
      <c r="I26" s="320">
        <f t="shared" si="6"/>
        <v>77.196338601272458</v>
      </c>
      <c r="J26" s="320">
        <f t="shared" si="6"/>
        <v>1.0365256878577338</v>
      </c>
      <c r="K26" s="242">
        <f>SUM(E26:J26)</f>
        <v>112027.60125187109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Proforma'!N758</f>
        <v>2565873.7866510917</v>
      </c>
      <c r="E28" s="320">
        <f>'Allocation Proforma'!N182+'Allocation Proforma'!N183+'Allocation Proforma'!N184</f>
        <v>421275.48505219509</v>
      </c>
      <c r="F28" s="320">
        <f>'Allocation Proforma'!N185</f>
        <v>1946305.3305381683</v>
      </c>
      <c r="G28" s="320">
        <f>'Allocation Proforma'!N194</f>
        <v>117919.72822374213</v>
      </c>
      <c r="H28" s="320">
        <f>'Allocation Proforma'!N200+'Allocation Proforma'!N204+'Allocation Proforma'!N206+'Allocation Proforma'!N211</f>
        <v>76880.625855080114</v>
      </c>
      <c r="I28" s="320">
        <f>'Allocation Proforma'!N205+'Allocation Proforma'!N207+'Allocation Proforma'!N212+'Allocation Proforma'!N216+'Allocation Proforma'!N219</f>
        <v>3034.2513425248671</v>
      </c>
      <c r="J28" s="320">
        <f>'Allocation Proforma'!N225+'Allocation Proforma'!N228</f>
        <v>458.36563938110288</v>
      </c>
      <c r="K28" s="242">
        <f t="shared" ref="K28:K39" si="7">SUM(E28:J28)</f>
        <v>2565873.7866510917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Proforma'!N759</f>
        <v>907749.3053380663</v>
      </c>
      <c r="E29" s="316">
        <f>'Allocation Proforma'!N302</f>
        <v>800657.9088493546</v>
      </c>
      <c r="F29" s="316">
        <v>0</v>
      </c>
      <c r="G29" s="316">
        <f>'Allocation Proforma'!N308</f>
        <v>49861.842767949238</v>
      </c>
      <c r="H29" s="316">
        <f>'Allocation Proforma'!N314+'Allocation Proforma'!N318+'Allocation Proforma'!N320+'Allocation Proforma'!N325</f>
        <v>56912.277160478581</v>
      </c>
      <c r="I29" s="316">
        <f>'Allocation Proforma'!N319+'Allocation Proforma'!N321+'Allocation Proforma'!N326+'Allocation Proforma'!N330+'Allocation Proforma'!N333</f>
        <v>317.2765602839952</v>
      </c>
      <c r="J29" s="316">
        <v>0</v>
      </c>
      <c r="K29" s="242">
        <f t="shared" si="7"/>
        <v>907749.3053380663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Proforma'!N764+'Allocation Proforma'!N765</f>
        <v>122527.9982885034</v>
      </c>
      <c r="E30" s="316">
        <f>'Allocation Proforma'!N417+'Allocation Proforma'!N474+'Allocation Proforma'!N359+'Allocation Proforma'!N531+'Allocation Proforma'!N589</f>
        <v>94790.827978415895</v>
      </c>
      <c r="F30" s="316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316">
        <f>'Allocation Proforma'!N365+'Allocation Proforma'!N423+'Allocation Proforma'!N480+'Allocation Proforma'!N537+'Allocation Proforma'!N595</f>
        <v>13643.945496338371</v>
      </c>
      <c r="H30" s="316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14014.710213323377</v>
      </c>
      <c r="I30" s="316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78.514600425751766</v>
      </c>
      <c r="J30" s="316">
        <v>0</v>
      </c>
      <c r="K30" s="242">
        <f t="shared" si="7"/>
        <v>122527.9982885034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1341</v>
      </c>
      <c r="C31" s="173"/>
      <c r="D31" s="305">
        <f>'Allocation Proforma'!N769</f>
        <v>9293.919810838197</v>
      </c>
      <c r="E31" s="316">
        <f t="shared" ref="E31:J31" si="8">$D$31*(E14/$K$14)</f>
        <v>6819.9628185538904</v>
      </c>
      <c r="F31" s="316">
        <f t="shared" si="8"/>
        <v>346.26105149054291</v>
      </c>
      <c r="G31" s="316">
        <f t="shared" si="8"/>
        <v>1070.955371445217</v>
      </c>
      <c r="H31" s="316">
        <f t="shared" si="8"/>
        <v>1050.2502941025332</v>
      </c>
      <c r="I31" s="316">
        <f t="shared" si="8"/>
        <v>6.4042840570823749</v>
      </c>
      <c r="J31" s="316">
        <f t="shared" si="8"/>
        <v>8.5991188931779303E-2</v>
      </c>
      <c r="K31" s="242">
        <f t="shared" si="7"/>
        <v>9293.9198108381952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Proforma'!N932+'Allocation Proforma'!N933</f>
        <v>1662.1745476783435</v>
      </c>
      <c r="E36" s="316">
        <f t="shared" ref="E36:J36" si="10">(E14/($D$14)*$D$36)</f>
        <v>1219.7187886098804</v>
      </c>
      <c r="F36" s="316">
        <f t="shared" si="10"/>
        <v>61.927186628912132</v>
      </c>
      <c r="G36" s="316">
        <f t="shared" si="10"/>
        <v>191.53541200557245</v>
      </c>
      <c r="H36" s="316">
        <f t="shared" si="10"/>
        <v>187.83240474198635</v>
      </c>
      <c r="I36" s="316">
        <f t="shared" si="10"/>
        <v>1.1453765658028066</v>
      </c>
      <c r="J36" s="316">
        <f t="shared" si="10"/>
        <v>1.5379126189610679E-2</v>
      </c>
      <c r="K36" s="242">
        <f t="shared" si="7"/>
        <v>1662.1745476783437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6">
        <f>D37</f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1662.1745476783435</v>
      </c>
      <c r="E39" s="301">
        <f t="shared" si="11"/>
        <v>1219.7187886098804</v>
      </c>
      <c r="F39" s="301">
        <f t="shared" si="11"/>
        <v>61.927186628912132</v>
      </c>
      <c r="G39" s="301">
        <f t="shared" si="11"/>
        <v>191.53541200557245</v>
      </c>
      <c r="H39" s="301">
        <f t="shared" si="11"/>
        <v>187.83240474198635</v>
      </c>
      <c r="I39" s="301">
        <f t="shared" si="11"/>
        <v>1.1453765658028066</v>
      </c>
      <c r="J39" s="301">
        <f t="shared" si="11"/>
        <v>1.5379126189610679E-2</v>
      </c>
      <c r="K39" s="242">
        <f t="shared" si="7"/>
        <v>1662.1745476783437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4295925.1029685428</v>
      </c>
      <c r="E41" s="320">
        <f t="shared" si="12"/>
        <v>1830224.7518045567</v>
      </c>
      <c r="F41" s="320">
        <f t="shared" si="12"/>
        <v>1972376.6212714424</v>
      </c>
      <c r="G41" s="320">
        <f t="shared" si="12"/>
        <v>262061.75533475631</v>
      </c>
      <c r="H41" s="320">
        <f t="shared" si="12"/>
        <v>226884.88929671008</v>
      </c>
      <c r="I41" s="320">
        <f t="shared" si="12"/>
        <v>3912.2450231886351</v>
      </c>
      <c r="J41" s="320">
        <f t="shared" si="12"/>
        <v>464.84023788847088</v>
      </c>
      <c r="K41" s="242">
        <f>SUM(E41:J41)</f>
        <v>4295925.1029685428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Proforma'!N700</f>
        <v>-2505.9745146894979</v>
      </c>
      <c r="E43" s="266">
        <f>D43</f>
        <v>-2505.9745146894979</v>
      </c>
      <c r="F43" s="266"/>
      <c r="G43" s="266"/>
      <c r="H43" s="266"/>
      <c r="I43" s="266"/>
      <c r="J43" s="266"/>
      <c r="K43" s="242">
        <f>SUM(E43:J43)</f>
        <v>-2505.9745146894979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Proforma'!N698</f>
        <v>-168464.88353543528</v>
      </c>
      <c r="E44" s="316">
        <v>0</v>
      </c>
      <c r="F44" s="316">
        <f>D44</f>
        <v>-168464.88353543528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-168464.88353543528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1337</v>
      </c>
      <c r="C45" s="173"/>
      <c r="D45" s="304">
        <f>-'Allocation Proforma'!N699</f>
        <v>-41379.442414540899</v>
      </c>
      <c r="E45" s="316">
        <v>0</v>
      </c>
      <c r="F45" s="316">
        <v>0</v>
      </c>
      <c r="G45" s="316">
        <f>D45</f>
        <v>-41379.442414540899</v>
      </c>
      <c r="H45" s="316">
        <v>0</v>
      </c>
      <c r="I45" s="316">
        <v>0</v>
      </c>
      <c r="J45" s="316">
        <v>0</v>
      </c>
      <c r="K45" s="242">
        <f>SUM(E45:J45)</f>
        <v>-41379.442414540899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Proforma'!N702-'Allocation Proforma'!N703-'Allocation Proforma'!N704-'Allocation Proforma'!N705</f>
        <v>-13290.695362948933</v>
      </c>
      <c r="E46" s="316">
        <f>-(E14/($D$14)*('Allocation Proforma'!N702+'Allocation Proforma'!N703+'Allocation Proforma'!N704+'Allocation Proforma'!N705))</f>
        <v>-9752.8330406224504</v>
      </c>
      <c r="F46" s="316">
        <f>(F14/($D$14)*-('Allocation Proforma'!N702+'Allocation Proforma'!N703+'Allocation Proforma'!N704+'Allocation Proforma'!N705))</f>
        <v>-495.16783500202502</v>
      </c>
      <c r="G46" s="316">
        <f>(G14/($D$14)*-('Allocation Proforma'!N702+'Allocation Proforma'!N703+'Allocation Proforma'!N704+'Allocation Proforma'!N705))</f>
        <v>-1531.5111254342198</v>
      </c>
      <c r="H46" s="316">
        <f>(H14/($D$14)*-('Allocation Proforma'!N702+'Allocation Proforma'!N703+'Allocation Proforma'!N704+'Allocation Proforma'!N705))</f>
        <v>-1501.901995914187</v>
      </c>
      <c r="I46" s="316">
        <f>(I14/($D$14)*-('Allocation Proforma'!N702+'Allocation Proforma'!N703+'Allocation Proforma'!N704+'Allocation Proforma'!N705))</f>
        <v>-9.1583949671280784</v>
      </c>
      <c r="J46" s="316">
        <f>(J14/($D$14)*-('Allocation Proforma'!N702+'Allocation Proforma'!N703+'Allocation Proforma'!N704+'Allocation Proforma'!N705))</f>
        <v>-0.12297100892319737</v>
      </c>
      <c r="K46" s="242">
        <f>SUM(E46:J46)</f>
        <v>-13290.695362948933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-225640.99582761462</v>
      </c>
      <c r="E47" s="141">
        <f>SUM(E43:E46)</f>
        <v>-12258.807555311949</v>
      </c>
      <c r="F47" s="141">
        <f t="shared" ref="F47:I47" si="13">SUM(F43:F46)</f>
        <v>-168960.05137043732</v>
      </c>
      <c r="G47" s="141">
        <f t="shared" si="13"/>
        <v>-42910.953539975118</v>
      </c>
      <c r="H47" s="141">
        <f t="shared" si="13"/>
        <v>-1501.901995914187</v>
      </c>
      <c r="I47" s="141">
        <f t="shared" si="13"/>
        <v>-9.1583949671280784</v>
      </c>
      <c r="J47" s="141">
        <f>SUM(J43:J46)</f>
        <v>-0.12297100892319737</v>
      </c>
      <c r="K47" s="242">
        <f>SUM(E47:J47)</f>
        <v>-225640.99582761456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Proforma'!I924-SUM('Allocation Proforma'!H699:I705)-'Allocation Proforma'!#REF!-'Allocation Proforma'!I918-'Allocation Proforma'!I922</f>
        <v>#REF!</v>
      </c>
      <c r="D49" s="233">
        <f t="shared" ref="D49:J49" si="14">D41+D47</f>
        <v>4070284.107140928</v>
      </c>
      <c r="E49" s="301">
        <f t="shared" si="14"/>
        <v>1817965.9442492446</v>
      </c>
      <c r="F49" s="301">
        <f t="shared" si="14"/>
        <v>1803416.5699010051</v>
      </c>
      <c r="G49" s="301">
        <f t="shared" si="14"/>
        <v>219150.80179478117</v>
      </c>
      <c r="H49" s="301">
        <f t="shared" si="14"/>
        <v>225382.98730079591</v>
      </c>
      <c r="I49" s="301">
        <f t="shared" si="14"/>
        <v>3903.086628221507</v>
      </c>
      <c r="J49" s="301">
        <f t="shared" si="14"/>
        <v>464.71726687954771</v>
      </c>
      <c r="K49" s="242">
        <f>SUM(E49:J49)</f>
        <v>4070284.107140928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112370.54515797552</v>
      </c>
      <c r="F51" s="317">
        <f>'Allocation Proforma'!N962</f>
        <v>56355100</v>
      </c>
      <c r="G51" s="317">
        <f>E51</f>
        <v>112370.54515797552</v>
      </c>
      <c r="H51" s="317">
        <f>E51</f>
        <v>112370.54515797552</v>
      </c>
      <c r="I51" s="317">
        <f>'Allocation Proforma'!$N$978*12</f>
        <v>24</v>
      </c>
      <c r="J51" s="317">
        <f>'Allocation Proforma'!$N$978*12</f>
        <v>24</v>
      </c>
      <c r="K51" s="337"/>
      <c r="L51" s="178"/>
    </row>
    <row r="52" spans="1:12" ht="15.7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5.75" thickBot="1">
      <c r="A53" s="184" t="s">
        <v>1336</v>
      </c>
      <c r="B53" s="329" t="s">
        <v>1154</v>
      </c>
      <c r="C53" s="185"/>
      <c r="D53" s="239"/>
      <c r="E53" s="319">
        <f t="shared" ref="E53:H53" si="15">E49/E51</f>
        <v>16.178313824974929</v>
      </c>
      <c r="F53" s="396">
        <f t="shared" si="15"/>
        <v>3.2000947028769447E-2</v>
      </c>
      <c r="G53" s="319">
        <f t="shared" si="15"/>
        <v>1.950251300166687</v>
      </c>
      <c r="H53" s="319">
        <f t="shared" si="15"/>
        <v>2.0057123242033086</v>
      </c>
      <c r="I53" s="319">
        <f>I49/I51/30.5</f>
        <v>5.3320855576796538</v>
      </c>
      <c r="J53" s="319">
        <f>J49/J51/30.5</f>
        <v>0.63485965420703239</v>
      </c>
      <c r="K53" s="330">
        <f>I53+J53</f>
        <v>5.9669452118866859</v>
      </c>
      <c r="L53" s="186"/>
    </row>
    <row r="55" spans="1:12">
      <c r="D55" s="220"/>
      <c r="F55" s="264"/>
      <c r="J55" s="313" t="s">
        <v>1227</v>
      </c>
      <c r="K55" s="188">
        <f>I53+J53</f>
        <v>5.9669452118866859</v>
      </c>
    </row>
    <row r="56" spans="1:12">
      <c r="D56" s="220"/>
      <c r="I56" s="19"/>
      <c r="J56" s="313" t="s">
        <v>1240</v>
      </c>
      <c r="K56" s="3">
        <f>E53+G53+H53</f>
        <v>20.134277449344925</v>
      </c>
    </row>
    <row r="57" spans="1:12">
      <c r="J57" s="313" t="s">
        <v>1241</v>
      </c>
      <c r="K57" s="417">
        <f>F53</f>
        <v>3.2000947028769447E-2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280"/>
    </row>
    <row r="61" spans="1:12">
      <c r="J61" s="306"/>
      <c r="K61" s="3"/>
    </row>
    <row r="65" spans="5:5">
      <c r="E65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zoomScale="75" zoomScaleNormal="75" workbookViewId="0"/>
  </sheetViews>
  <sheetFormatPr defaultColWidth="9.140625" defaultRowHeight="15"/>
  <cols>
    <col min="1" max="1" width="9.140625" style="90"/>
    <col min="2" max="2" width="56.5703125" style="90" customWidth="1"/>
    <col min="3" max="3" width="13.140625" bestFit="1" customWidth="1"/>
    <col min="4" max="4" width="13.140625" customWidth="1"/>
    <col min="5" max="6" width="13.5703125" style="90" bestFit="1" customWidth="1"/>
    <col min="7" max="7" width="16.140625" style="90" bestFit="1" customWidth="1"/>
    <col min="8" max="8" width="14.85546875" style="90" customWidth="1"/>
    <col min="9" max="13" width="9.140625" style="90"/>
    <col min="14" max="14" width="17.28515625" style="90" customWidth="1"/>
    <col min="15" max="15" width="13" style="90" customWidth="1"/>
    <col min="16" max="16384" width="9.140625" style="90"/>
  </cols>
  <sheetData>
    <row r="1" spans="1:22">
      <c r="A1" s="89" t="s">
        <v>597</v>
      </c>
    </row>
    <row r="2" spans="1:22">
      <c r="A2" s="90" t="s">
        <v>667</v>
      </c>
    </row>
    <row r="5" spans="1:22" ht="12.75">
      <c r="C5" s="91" t="s">
        <v>1289</v>
      </c>
      <c r="D5" s="91" t="s">
        <v>1290</v>
      </c>
      <c r="E5" s="91" t="s">
        <v>1291</v>
      </c>
      <c r="F5" s="91" t="s">
        <v>1292</v>
      </c>
    </row>
    <row r="6" spans="1:22" ht="12.75">
      <c r="C6" s="91" t="s">
        <v>143</v>
      </c>
      <c r="D6" s="91" t="s">
        <v>143</v>
      </c>
      <c r="E6" s="91" t="s">
        <v>1197</v>
      </c>
      <c r="F6" s="91" t="s">
        <v>1197</v>
      </c>
      <c r="G6" s="103" t="s">
        <v>848</v>
      </c>
      <c r="H6" s="89"/>
    </row>
    <row r="7" spans="1:22" ht="12.75">
      <c r="C7" s="104" t="s">
        <v>1181</v>
      </c>
      <c r="D7" s="104" t="s">
        <v>1181</v>
      </c>
      <c r="E7" s="104" t="s">
        <v>808</v>
      </c>
      <c r="F7" s="104" t="s">
        <v>808</v>
      </c>
      <c r="G7" s="103" t="s">
        <v>143</v>
      </c>
      <c r="H7" s="103" t="s">
        <v>850</v>
      </c>
    </row>
    <row r="8" spans="1:22" ht="13.5" thickBot="1">
      <c r="C8" s="95" t="s">
        <v>144</v>
      </c>
      <c r="D8" s="95" t="s">
        <v>144</v>
      </c>
      <c r="E8" s="95" t="s">
        <v>142</v>
      </c>
      <c r="F8" s="95" t="s">
        <v>142</v>
      </c>
      <c r="G8" s="105" t="s">
        <v>144</v>
      </c>
      <c r="H8" s="105" t="s">
        <v>658</v>
      </c>
    </row>
    <row r="9" spans="1:22">
      <c r="E9" s="88"/>
      <c r="F9" s="88"/>
      <c r="H9" s="96"/>
    </row>
    <row r="10" spans="1:22">
      <c r="A10" s="31" t="s">
        <v>1167</v>
      </c>
      <c r="C10" s="211">
        <v>69.784971799999994</v>
      </c>
      <c r="D10" s="211">
        <v>148.78497179999999</v>
      </c>
      <c r="E10" s="343">
        <f>'Billing Det'!B8-F10</f>
        <v>377598.80273972603</v>
      </c>
      <c r="F10" s="343">
        <v>0</v>
      </c>
      <c r="G10" s="352">
        <f>(C10*E10)+(D10*F10)</f>
        <v>26350721.800905541</v>
      </c>
      <c r="H10" s="97">
        <f>G10/$G$40</f>
        <v>0.6835462479753851</v>
      </c>
    </row>
    <row r="11" spans="1:22">
      <c r="C11" s="212"/>
      <c r="D11" s="212"/>
      <c r="E11" s="343"/>
      <c r="F11" s="343"/>
      <c r="G11" s="352"/>
      <c r="H11" s="97"/>
      <c r="Q11" s="89"/>
      <c r="R11" s="89"/>
      <c r="S11" s="89"/>
      <c r="T11" s="89"/>
      <c r="U11" s="89"/>
      <c r="V11" s="89"/>
    </row>
    <row r="12" spans="1:22">
      <c r="A12" s="153" t="s">
        <v>1220</v>
      </c>
      <c r="C12" s="211">
        <f>(28784/(28784+16576))*88.95+(16576/(28784+16576))*339.47</f>
        <v>180.49804938271606</v>
      </c>
      <c r="D12" s="211">
        <f>(28784/(28784+16576))*165.42+(16576/(28784+16576))*386.49</f>
        <v>246.20607407407408</v>
      </c>
      <c r="E12" s="343">
        <f>'Billing Det'!B10-F12</f>
        <v>45359.323287671228</v>
      </c>
      <c r="F12" s="343">
        <v>0</v>
      </c>
      <c r="G12" s="352">
        <f>(C12*E12)+(D12*F12)</f>
        <v>8187269.3747446639</v>
      </c>
      <c r="H12" s="97">
        <f>G12/$G$40</f>
        <v>0.21238041616295206</v>
      </c>
      <c r="Q12" s="89"/>
      <c r="R12" s="89"/>
      <c r="S12" s="89"/>
      <c r="T12" s="89"/>
      <c r="U12" s="89"/>
      <c r="V12" s="89"/>
    </row>
    <row r="13" spans="1:22">
      <c r="C13" s="212"/>
      <c r="D13" s="212"/>
      <c r="E13" s="343"/>
      <c r="F13" s="343"/>
      <c r="G13" s="352"/>
      <c r="H13" s="97"/>
      <c r="I13" s="89"/>
      <c r="J13" s="89"/>
      <c r="K13" s="89"/>
      <c r="L13" s="89"/>
    </row>
    <row r="14" spans="1:22">
      <c r="A14" s="189" t="s">
        <v>1099</v>
      </c>
      <c r="C14" s="211">
        <v>3823.0146610129336</v>
      </c>
      <c r="D14" s="211">
        <v>3869.704801858004</v>
      </c>
      <c r="E14" s="343">
        <f>'Billing Det'!B12-F14</f>
        <v>70</v>
      </c>
      <c r="F14" s="343">
        <v>0</v>
      </c>
      <c r="G14" s="352">
        <f>(C14*E14)+(D14*F14)</f>
        <v>267611.02627090533</v>
      </c>
      <c r="H14" s="97">
        <f>G14/$G$40</f>
        <v>6.9419165936484275E-3</v>
      </c>
    </row>
    <row r="15" spans="1:22">
      <c r="C15" s="212"/>
      <c r="D15" s="212"/>
      <c r="E15" s="343"/>
      <c r="F15" s="343"/>
      <c r="G15" s="352"/>
      <c r="H15" s="97"/>
    </row>
    <row r="16" spans="1:22">
      <c r="A16" s="189" t="s">
        <v>1100</v>
      </c>
      <c r="C16" s="211">
        <v>822.86947344050952</v>
      </c>
      <c r="D16" s="211">
        <v>869.75028434578735</v>
      </c>
      <c r="E16" s="343">
        <f>'Billing Det'!B14-F16</f>
        <v>2782.3972602739727</v>
      </c>
      <c r="F16" s="343">
        <v>0</v>
      </c>
      <c r="G16" s="352">
        <f>(C16*E16)+(D16*F16)</f>
        <v>2289549.7684639604</v>
      </c>
      <c r="H16" s="97">
        <f>G16/$G$40</f>
        <v>5.9391661663426243E-2</v>
      </c>
    </row>
    <row r="17" spans="1:8">
      <c r="C17" s="212"/>
      <c r="D17" s="212"/>
      <c r="E17" s="343"/>
      <c r="F17" s="343"/>
      <c r="G17" s="352"/>
      <c r="H17" s="97"/>
    </row>
    <row r="18" spans="1:8">
      <c r="A18" s="189" t="s">
        <v>1221</v>
      </c>
      <c r="C18" s="211">
        <v>4061.9125422969328</v>
      </c>
      <c r="D18" s="211">
        <v>0</v>
      </c>
      <c r="E18" s="343">
        <f>'Billing Det'!B16-F18</f>
        <v>131.59452054794519</v>
      </c>
      <c r="F18" s="343">
        <v>0</v>
      </c>
      <c r="G18" s="352">
        <f>(C18*E18)+(D18*F18)</f>
        <v>534525.43351125007</v>
      </c>
      <c r="H18" s="97">
        <f>G18/$G$40</f>
        <v>1.3865762664287819E-2</v>
      </c>
    </row>
    <row r="19" spans="1:8">
      <c r="C19" s="211"/>
      <c r="D19" s="211"/>
      <c r="E19" s="343"/>
      <c r="F19" s="343"/>
      <c r="G19" s="352"/>
      <c r="H19" s="97"/>
    </row>
    <row r="20" spans="1:8">
      <c r="A20" s="189" t="s">
        <v>1198</v>
      </c>
      <c r="C20" s="211">
        <v>896.28693240468874</v>
      </c>
      <c r="D20" s="211">
        <v>0</v>
      </c>
      <c r="E20" s="343">
        <f>'Billing Det'!B18-F20</f>
        <v>505.00547945205477</v>
      </c>
      <c r="F20" s="343">
        <v>0</v>
      </c>
      <c r="G20" s="352">
        <f>(C20*E20)+(D20*F20)</f>
        <v>452629.81202564127</v>
      </c>
      <c r="H20" s="97">
        <f>G20/$G$40</f>
        <v>1.1741363749713249E-2</v>
      </c>
    </row>
    <row r="21" spans="1:8">
      <c r="C21" s="212"/>
      <c r="D21" s="212"/>
      <c r="E21" s="343"/>
      <c r="F21" s="343"/>
      <c r="G21" s="352"/>
      <c r="H21" s="97"/>
    </row>
    <row r="22" spans="1:8">
      <c r="A22" s="189" t="s">
        <v>1101</v>
      </c>
      <c r="C22" s="211">
        <v>29057.394848745451</v>
      </c>
      <c r="D22" s="211">
        <v>0</v>
      </c>
      <c r="E22" s="343">
        <f>'Billing Det'!B20-F22</f>
        <v>13</v>
      </c>
      <c r="F22" s="347">
        <v>0</v>
      </c>
      <c r="G22" s="352">
        <f>(C22*E22)+(D22*F22)</f>
        <v>377746.13303369086</v>
      </c>
      <c r="H22" s="97">
        <f>G22/$G$40</f>
        <v>9.7988568917879437E-3</v>
      </c>
    </row>
    <row r="23" spans="1:8">
      <c r="C23" s="212"/>
      <c r="D23" s="212"/>
      <c r="E23" s="343"/>
      <c r="F23" s="343"/>
      <c r="G23" s="352"/>
      <c r="H23" s="97"/>
    </row>
    <row r="24" spans="1:8">
      <c r="A24" s="189" t="s">
        <v>572</v>
      </c>
      <c r="C24" s="211">
        <f>C18</f>
        <v>4061.9125422969328</v>
      </c>
      <c r="D24" s="211">
        <f>D18</f>
        <v>0</v>
      </c>
      <c r="E24" s="343">
        <f>'Billing Det'!B22-F24</f>
        <v>2</v>
      </c>
      <c r="F24" s="343">
        <v>0</v>
      </c>
      <c r="G24" s="352">
        <f>(C24*E24)+(D24*F24)</f>
        <v>8123.8250845938655</v>
      </c>
      <c r="H24" s="97">
        <f>G24/$G$40</f>
        <v>2.1073465075220914E-4</v>
      </c>
    </row>
    <row r="25" spans="1:8">
      <c r="C25" s="212"/>
      <c r="D25" s="212"/>
      <c r="E25" s="343"/>
      <c r="F25" s="343"/>
      <c r="G25" s="352"/>
      <c r="H25" s="97"/>
    </row>
    <row r="26" spans="1:8">
      <c r="A26" s="153" t="s">
        <v>1180</v>
      </c>
      <c r="C26" s="211">
        <v>0</v>
      </c>
      <c r="D26" s="211">
        <v>0</v>
      </c>
      <c r="E26" s="343">
        <f>'Billing Det'!B24-F26</f>
        <v>91009</v>
      </c>
      <c r="F26" s="343">
        <v>0</v>
      </c>
      <c r="G26" s="352">
        <f>(C26*E26)+(D26*F26)</f>
        <v>0</v>
      </c>
      <c r="H26" s="97">
        <f>G26/$G$40</f>
        <v>0</v>
      </c>
    </row>
    <row r="27" spans="1:8">
      <c r="C27" s="212"/>
      <c r="D27" s="212"/>
      <c r="E27" s="343"/>
      <c r="F27" s="343"/>
      <c r="G27" s="352"/>
      <c r="H27" s="97"/>
    </row>
    <row r="28" spans="1:8">
      <c r="A28" s="153" t="s">
        <v>1199</v>
      </c>
      <c r="C28" s="211">
        <f>C10</f>
        <v>69.784971799999994</v>
      </c>
      <c r="D28" s="211">
        <f>D10</f>
        <v>148.78497179999999</v>
      </c>
      <c r="E28" s="343">
        <f>'Billing Det'!B26-F28</f>
        <v>161</v>
      </c>
      <c r="F28" s="343">
        <v>0</v>
      </c>
      <c r="G28" s="352">
        <f>(C28*E28)+(D28*F28)</f>
        <v>11235.380459799999</v>
      </c>
      <c r="H28" s="97">
        <f>G28/$G$40</f>
        <v>2.9144940377338457E-4</v>
      </c>
    </row>
    <row r="29" spans="1:8">
      <c r="A29" s="153"/>
      <c r="C29" s="212"/>
      <c r="D29" s="212"/>
      <c r="E29" s="343"/>
      <c r="F29" s="343"/>
      <c r="G29" s="352"/>
      <c r="H29" s="97"/>
    </row>
    <row r="30" spans="1:8">
      <c r="A30" s="153" t="s">
        <v>1257</v>
      </c>
      <c r="C30" s="211">
        <f>C10</f>
        <v>69.784971799999994</v>
      </c>
      <c r="D30" s="211">
        <f>D10</f>
        <v>148.78497179999999</v>
      </c>
      <c r="E30" s="343">
        <f>'Billing Det'!B28-F30</f>
        <v>1000</v>
      </c>
      <c r="F30" s="343">
        <v>0</v>
      </c>
      <c r="G30" s="352">
        <f>(C30*E30)+(D30*F30)</f>
        <v>69784.971799999999</v>
      </c>
      <c r="H30" s="97">
        <f>G30/$G$40</f>
        <v>1.8102447439340657E-3</v>
      </c>
    </row>
    <row r="31" spans="1:8">
      <c r="C31" s="211"/>
      <c r="D31" s="211"/>
      <c r="E31" s="343"/>
      <c r="F31" s="343"/>
      <c r="G31" s="352"/>
      <c r="H31" s="97"/>
    </row>
    <row r="32" spans="1:8">
      <c r="A32" s="153" t="s">
        <v>1252</v>
      </c>
      <c r="C32" s="211">
        <f>C16</f>
        <v>822.86947344050952</v>
      </c>
      <c r="D32" s="211">
        <f>D16</f>
        <v>869.75028434578735</v>
      </c>
      <c r="E32" s="343">
        <f>'Billing Det'!B30-F32</f>
        <v>1</v>
      </c>
      <c r="F32" s="343">
        <v>0</v>
      </c>
      <c r="G32" s="352">
        <f>(C32*E32)+(D32*F32)</f>
        <v>822.86947344050952</v>
      </c>
      <c r="H32" s="97">
        <f>G32/$G$40</f>
        <v>2.1345500339364968E-5</v>
      </c>
    </row>
    <row r="33" spans="1:15">
      <c r="A33" s="153"/>
      <c r="C33" s="211"/>
      <c r="D33" s="211"/>
      <c r="E33" s="343"/>
      <c r="F33" s="343"/>
      <c r="G33" s="352"/>
      <c r="H33" s="97"/>
    </row>
    <row r="34" spans="1:15">
      <c r="A34" s="153" t="s">
        <v>1247</v>
      </c>
      <c r="C34" s="211">
        <v>0</v>
      </c>
      <c r="D34" s="211">
        <v>0</v>
      </c>
      <c r="E34" s="343">
        <f>'Billing Det'!B32-F34</f>
        <v>10</v>
      </c>
      <c r="F34" s="343">
        <v>0</v>
      </c>
      <c r="G34" s="352">
        <f>(C34*E34)+(D34*F34)</f>
        <v>0</v>
      </c>
      <c r="H34" s="97">
        <f>G34/$G$40</f>
        <v>0</v>
      </c>
    </row>
    <row r="35" spans="1:15">
      <c r="A35" s="153"/>
      <c r="C35" s="211"/>
      <c r="D35" s="211"/>
      <c r="E35" s="343"/>
      <c r="F35" s="343"/>
      <c r="G35" s="352"/>
      <c r="H35" s="97"/>
    </row>
    <row r="36" spans="1:15">
      <c r="A36" s="153" t="s">
        <v>1249</v>
      </c>
      <c r="C36" s="211">
        <v>0</v>
      </c>
      <c r="D36" s="211">
        <v>0</v>
      </c>
      <c r="E36" s="343">
        <f>'Billing Det'!B34-F36</f>
        <v>0</v>
      </c>
      <c r="F36" s="343"/>
      <c r="G36" s="352">
        <f>(C36*E36)+(D36*F36)</f>
        <v>0</v>
      </c>
      <c r="H36" s="97">
        <f>G36/$G$40</f>
        <v>0</v>
      </c>
    </row>
    <row r="37" spans="1:15">
      <c r="A37" s="153"/>
      <c r="C37" s="211"/>
      <c r="D37" s="211"/>
      <c r="E37" s="343"/>
      <c r="F37" s="343"/>
      <c r="G37" s="352"/>
      <c r="H37" s="97"/>
    </row>
    <row r="38" spans="1:15">
      <c r="A38" s="153" t="s">
        <v>1250</v>
      </c>
      <c r="C38" s="211">
        <v>0</v>
      </c>
      <c r="D38" s="211">
        <v>0</v>
      </c>
      <c r="E38" s="343">
        <f>'Billing Det'!B36-F38</f>
        <v>0</v>
      </c>
      <c r="F38" s="343"/>
      <c r="G38" s="352">
        <f>(C38*E38)+(D38*F38)</f>
        <v>0</v>
      </c>
      <c r="H38" s="97">
        <f>G38/$G$40</f>
        <v>0</v>
      </c>
    </row>
    <row r="39" spans="1:15">
      <c r="A39" s="99"/>
      <c r="B39" s="100"/>
      <c r="C39" s="100"/>
      <c r="D39" s="100"/>
      <c r="E39" s="346"/>
      <c r="F39" s="346"/>
      <c r="G39" s="349"/>
      <c r="H39" s="102"/>
    </row>
    <row r="40" spans="1:15">
      <c r="C40" s="90"/>
      <c r="D40" s="90"/>
      <c r="E40" s="343">
        <f>SUM(E10:E39)</f>
        <v>518643.12328767125</v>
      </c>
      <c r="F40" s="343">
        <f>SUM(F10:F39)</f>
        <v>0</v>
      </c>
      <c r="G40" s="360">
        <f>SUM(G10:G39)</f>
        <v>38550020.395773493</v>
      </c>
      <c r="H40" s="97">
        <f>SUM(H10:H39)</f>
        <v>0.99999999999999989</v>
      </c>
    </row>
    <row r="41" spans="1:15" ht="12.75">
      <c r="C41" s="90"/>
      <c r="D41" s="90"/>
      <c r="N41" s="88"/>
      <c r="O41" s="88"/>
    </row>
    <row r="42" spans="1:15" ht="12.75">
      <c r="C42" s="90"/>
      <c r="D42" s="90"/>
      <c r="N42" s="88"/>
      <c r="O42" s="88"/>
    </row>
    <row r="43" spans="1:15" ht="12.75">
      <c r="B43" s="90" t="s">
        <v>608</v>
      </c>
      <c r="C43" s="90"/>
      <c r="D43" s="90"/>
      <c r="G43" s="94">
        <f>'Functional Assignment'!F43</f>
        <v>42308484.608643189</v>
      </c>
    </row>
    <row r="44" spans="1:15" ht="12.75">
      <c r="C44" s="405"/>
      <c r="D44" s="90"/>
    </row>
    <row r="45" spans="1:15" ht="12.75">
      <c r="C45" s="90"/>
      <c r="D45" s="90"/>
    </row>
    <row r="46" spans="1:15">
      <c r="A46" s="345"/>
      <c r="B46" s="344"/>
      <c r="C46" s="36"/>
      <c r="D46" s="20"/>
      <c r="E46" s="344"/>
      <c r="F46" s="344"/>
      <c r="G46" s="344"/>
      <c r="H46" s="344"/>
    </row>
    <row r="47" spans="1:15">
      <c r="A47" s="344"/>
      <c r="B47" s="344"/>
      <c r="C47" s="20"/>
      <c r="D47" s="20"/>
      <c r="E47" s="344"/>
      <c r="F47" s="344"/>
      <c r="G47" s="344"/>
      <c r="H47" s="344"/>
    </row>
    <row r="48" spans="1:15">
      <c r="A48" s="344"/>
      <c r="B48" s="344"/>
      <c r="C48" s="20"/>
      <c r="D48" s="20"/>
      <c r="E48" s="344"/>
      <c r="F48" s="344"/>
      <c r="G48" s="344"/>
      <c r="H48" s="344"/>
    </row>
    <row r="49" spans="1:8">
      <c r="A49" s="344"/>
      <c r="B49" s="344"/>
      <c r="C49" s="20"/>
      <c r="D49" s="20"/>
      <c r="E49" s="344"/>
      <c r="F49" s="344"/>
      <c r="G49" s="344"/>
      <c r="H49" s="344"/>
    </row>
    <row r="50" spans="1:8">
      <c r="A50" s="344"/>
      <c r="B50" s="344"/>
      <c r="C50" s="20"/>
      <c r="D50" s="20"/>
      <c r="E50" s="344"/>
      <c r="F50" s="344"/>
      <c r="G50" s="344"/>
      <c r="H50" s="344"/>
    </row>
    <row r="51" spans="1:8" ht="12.75">
      <c r="A51" s="344"/>
      <c r="B51" s="344"/>
      <c r="C51" s="104"/>
      <c r="D51" s="104"/>
      <c r="E51" s="104"/>
      <c r="F51" s="104"/>
      <c r="G51" s="359"/>
      <c r="H51" s="345"/>
    </row>
    <row r="52" spans="1:8" ht="12.75">
      <c r="A52" s="344"/>
      <c r="B52" s="344"/>
      <c r="C52" s="104"/>
      <c r="D52" s="104"/>
      <c r="E52" s="104"/>
      <c r="F52" s="104"/>
      <c r="G52" s="359"/>
      <c r="H52" s="359"/>
    </row>
    <row r="53" spans="1:8" ht="12.75">
      <c r="A53" s="344"/>
      <c r="B53" s="344"/>
      <c r="C53" s="104"/>
      <c r="D53" s="104"/>
      <c r="E53" s="104"/>
      <c r="F53" s="104"/>
      <c r="G53" s="359"/>
      <c r="H53" s="359"/>
    </row>
    <row r="54" spans="1:8">
      <c r="A54" s="344"/>
      <c r="B54" s="344"/>
      <c r="C54" s="20"/>
      <c r="D54" s="20"/>
      <c r="E54" s="357"/>
      <c r="F54" s="357"/>
      <c r="G54" s="344"/>
      <c r="H54" s="355"/>
    </row>
    <row r="55" spans="1:8">
      <c r="A55" s="153"/>
      <c r="B55" s="344"/>
      <c r="C55" s="353"/>
      <c r="D55" s="353"/>
      <c r="E55" s="350"/>
      <c r="F55" s="350"/>
      <c r="G55" s="348"/>
      <c r="H55" s="361"/>
    </row>
    <row r="56" spans="1:8">
      <c r="A56" s="344"/>
      <c r="B56" s="344"/>
      <c r="C56" s="358"/>
      <c r="D56" s="358"/>
      <c r="E56" s="350"/>
      <c r="F56" s="350"/>
      <c r="G56" s="348"/>
      <c r="H56" s="361"/>
    </row>
    <row r="57" spans="1:8">
      <c r="A57" s="153"/>
      <c r="B57" s="344"/>
      <c r="C57" s="353"/>
      <c r="D57" s="353"/>
      <c r="E57" s="350"/>
      <c r="F57" s="350"/>
      <c r="G57" s="348"/>
      <c r="H57" s="361"/>
    </row>
    <row r="58" spans="1:8">
      <c r="A58" s="344"/>
      <c r="B58" s="344"/>
      <c r="C58" s="358"/>
      <c r="D58" s="358"/>
      <c r="E58" s="350"/>
      <c r="F58" s="350"/>
      <c r="G58" s="348"/>
      <c r="H58" s="361"/>
    </row>
    <row r="59" spans="1:8">
      <c r="A59" s="189"/>
      <c r="B59" s="344"/>
      <c r="C59" s="353"/>
      <c r="D59" s="353"/>
      <c r="E59" s="350"/>
      <c r="F59" s="350"/>
      <c r="G59" s="348"/>
      <c r="H59" s="361"/>
    </row>
    <row r="60" spans="1:8">
      <c r="A60" s="344"/>
      <c r="B60" s="344"/>
      <c r="C60" s="358"/>
      <c r="D60" s="358"/>
      <c r="E60" s="350"/>
      <c r="F60" s="350"/>
      <c r="G60" s="348"/>
      <c r="H60" s="361"/>
    </row>
    <row r="61" spans="1:8">
      <c r="A61" s="189"/>
      <c r="B61" s="344"/>
      <c r="C61" s="353"/>
      <c r="D61" s="353"/>
      <c r="E61" s="350"/>
      <c r="F61" s="350"/>
      <c r="G61" s="348"/>
      <c r="H61" s="361"/>
    </row>
    <row r="62" spans="1:8">
      <c r="A62" s="344"/>
      <c r="B62" s="344"/>
      <c r="C62" s="358"/>
      <c r="D62" s="358"/>
      <c r="E62" s="350"/>
      <c r="F62" s="350"/>
      <c r="G62" s="348"/>
      <c r="H62" s="361"/>
    </row>
    <row r="63" spans="1:8">
      <c r="A63" s="189"/>
      <c r="B63" s="344"/>
      <c r="C63" s="353"/>
      <c r="D63" s="353"/>
      <c r="E63" s="350"/>
      <c r="F63" s="350"/>
      <c r="G63" s="348"/>
      <c r="H63" s="361"/>
    </row>
    <row r="64" spans="1:8">
      <c r="A64" s="344"/>
      <c r="B64" s="344"/>
      <c r="C64" s="353"/>
      <c r="D64" s="353"/>
      <c r="E64" s="350"/>
      <c r="F64" s="350"/>
      <c r="G64" s="348"/>
      <c r="H64" s="361"/>
    </row>
    <row r="65" spans="1:8">
      <c r="A65" s="189"/>
      <c r="B65" s="344"/>
      <c r="C65" s="353"/>
      <c r="D65" s="353"/>
      <c r="E65" s="350"/>
      <c r="F65" s="350"/>
      <c r="G65" s="348"/>
      <c r="H65" s="361"/>
    </row>
    <row r="66" spans="1:8">
      <c r="A66" s="344"/>
      <c r="B66" s="344"/>
      <c r="C66" s="358"/>
      <c r="D66" s="358"/>
      <c r="E66" s="350"/>
      <c r="F66" s="350"/>
      <c r="G66" s="348"/>
      <c r="H66" s="361"/>
    </row>
    <row r="67" spans="1:8">
      <c r="A67" s="189"/>
      <c r="B67" s="344"/>
      <c r="C67" s="353"/>
      <c r="D67" s="353"/>
      <c r="E67" s="356"/>
      <c r="F67" s="356"/>
      <c r="G67" s="348"/>
      <c r="H67" s="361"/>
    </row>
    <row r="68" spans="1:8">
      <c r="A68" s="344"/>
      <c r="B68" s="344"/>
      <c r="C68" s="358"/>
      <c r="D68" s="358"/>
      <c r="E68" s="350"/>
      <c r="F68" s="350"/>
      <c r="G68" s="348"/>
      <c r="H68" s="361"/>
    </row>
    <row r="69" spans="1:8">
      <c r="A69" s="189"/>
      <c r="B69" s="344"/>
      <c r="C69" s="353"/>
      <c r="D69" s="353"/>
      <c r="E69" s="350"/>
      <c r="F69" s="350"/>
      <c r="G69" s="348"/>
      <c r="H69" s="361"/>
    </row>
    <row r="70" spans="1:8">
      <c r="A70" s="344"/>
      <c r="B70" s="344"/>
      <c r="C70" s="358"/>
      <c r="D70" s="358"/>
      <c r="E70" s="350"/>
      <c r="F70" s="350"/>
      <c r="G70" s="348"/>
      <c r="H70" s="361"/>
    </row>
    <row r="71" spans="1:8">
      <c r="A71" s="153"/>
      <c r="B71" s="344"/>
      <c r="C71" s="353"/>
      <c r="D71" s="353"/>
      <c r="E71" s="350"/>
      <c r="F71" s="350"/>
      <c r="G71" s="348"/>
      <c r="H71" s="361"/>
    </row>
    <row r="72" spans="1:8">
      <c r="A72" s="344"/>
      <c r="B72" s="344"/>
      <c r="C72" s="358"/>
      <c r="D72" s="358"/>
      <c r="E72" s="350"/>
      <c r="F72" s="350"/>
      <c r="G72" s="348"/>
      <c r="H72" s="361"/>
    </row>
    <row r="73" spans="1:8">
      <c r="A73" s="189"/>
      <c r="B73" s="344"/>
      <c r="C73" s="353"/>
      <c r="D73" s="353"/>
      <c r="E73" s="350"/>
      <c r="F73" s="350"/>
      <c r="G73" s="348"/>
      <c r="H73" s="361"/>
    </row>
    <row r="74" spans="1:8">
      <c r="A74" s="344"/>
      <c r="B74" s="344"/>
      <c r="C74" s="358"/>
      <c r="D74" s="358"/>
      <c r="E74" s="350"/>
      <c r="F74" s="350"/>
      <c r="G74" s="348"/>
      <c r="H74" s="361"/>
    </row>
    <row r="75" spans="1:8">
      <c r="A75" s="153"/>
      <c r="B75" s="344"/>
      <c r="C75" s="353"/>
      <c r="D75" s="353"/>
      <c r="E75" s="350"/>
      <c r="F75" s="350"/>
      <c r="G75" s="348"/>
      <c r="H75" s="361"/>
    </row>
    <row r="76" spans="1:8">
      <c r="A76" s="344"/>
      <c r="B76" s="344"/>
      <c r="C76" s="353"/>
      <c r="D76" s="353"/>
      <c r="E76" s="350"/>
      <c r="F76" s="350"/>
      <c r="G76" s="348"/>
      <c r="H76" s="361"/>
    </row>
    <row r="77" spans="1:8">
      <c r="A77" s="153"/>
      <c r="B77" s="344"/>
      <c r="C77" s="353"/>
      <c r="D77" s="353"/>
      <c r="E77" s="350"/>
      <c r="F77" s="350"/>
      <c r="G77" s="348"/>
      <c r="H77" s="361"/>
    </row>
    <row r="78" spans="1:8">
      <c r="A78" s="153"/>
      <c r="B78" s="344"/>
      <c r="C78" s="353"/>
      <c r="D78" s="353"/>
      <c r="E78" s="350"/>
      <c r="F78" s="350"/>
      <c r="G78" s="348"/>
      <c r="H78" s="361"/>
    </row>
    <row r="79" spans="1:8">
      <c r="A79" s="153"/>
      <c r="B79" s="344"/>
      <c r="C79" s="353"/>
      <c r="D79" s="353"/>
      <c r="E79" s="350"/>
      <c r="F79" s="350"/>
      <c r="G79" s="348"/>
      <c r="H79" s="361"/>
    </row>
    <row r="80" spans="1:8">
      <c r="A80" s="153"/>
      <c r="B80" s="344"/>
      <c r="C80" s="353"/>
      <c r="D80" s="353"/>
      <c r="E80" s="350"/>
      <c r="F80" s="350"/>
      <c r="G80" s="348"/>
      <c r="H80" s="361"/>
    </row>
    <row r="81" spans="1:8">
      <c r="A81" s="153"/>
      <c r="B81" s="344"/>
      <c r="C81" s="353"/>
      <c r="D81" s="353"/>
      <c r="E81" s="350"/>
      <c r="F81" s="350"/>
      <c r="G81" s="348"/>
      <c r="H81" s="361"/>
    </row>
    <row r="82" spans="1:8">
      <c r="A82" s="153"/>
      <c r="B82" s="344"/>
      <c r="C82" s="353"/>
      <c r="D82" s="353"/>
      <c r="E82" s="350"/>
      <c r="F82" s="350"/>
      <c r="G82" s="348"/>
      <c r="H82" s="361"/>
    </row>
    <row r="83" spans="1:8">
      <c r="A83" s="153"/>
      <c r="B83" s="344"/>
      <c r="C83" s="353"/>
      <c r="D83" s="353"/>
      <c r="E83" s="350"/>
      <c r="F83" s="350"/>
      <c r="G83" s="348"/>
      <c r="H83" s="361"/>
    </row>
    <row r="84" spans="1:8" ht="12.75">
      <c r="A84" s="345"/>
      <c r="B84" s="344"/>
      <c r="C84" s="344"/>
      <c r="D84" s="344"/>
      <c r="E84" s="350"/>
      <c r="F84" s="350"/>
      <c r="G84" s="348"/>
      <c r="H84" s="361"/>
    </row>
    <row r="85" spans="1:8" ht="12.75">
      <c r="A85" s="344"/>
      <c r="B85" s="344"/>
      <c r="C85" s="344"/>
      <c r="D85" s="344"/>
      <c r="E85" s="350"/>
      <c r="F85" s="350"/>
      <c r="G85" s="354"/>
      <c r="H85" s="361"/>
    </row>
    <row r="86" spans="1:8" ht="12.75">
      <c r="C86" s="90"/>
      <c r="D86" s="90"/>
    </row>
    <row r="87" spans="1:8" ht="12.75">
      <c r="C87" s="90"/>
      <c r="D87" s="90"/>
    </row>
    <row r="88" spans="1:8" ht="12.75">
      <c r="C88" s="90"/>
      <c r="D88" s="90"/>
      <c r="G88" s="94"/>
    </row>
  </sheetData>
  <phoneticPr fontId="0" type="noConversion"/>
  <pageMargins left="0.75" right="0.75" top="1" bottom="1" header="0.5" footer="0.5"/>
  <pageSetup scale="58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="75" workbookViewId="0"/>
  </sheetViews>
  <sheetFormatPr defaultColWidth="9.140625" defaultRowHeight="15"/>
  <cols>
    <col min="1" max="1" width="9.140625" style="90"/>
    <col min="2" max="2" width="56.5703125" style="90" customWidth="1"/>
    <col min="3" max="3" width="12" bestFit="1" customWidth="1"/>
    <col min="4" max="4" width="13.5703125" style="90" bestFit="1" customWidth="1"/>
    <col min="5" max="5" width="16.140625" style="90" bestFit="1" customWidth="1"/>
    <col min="6" max="6" width="14.85546875" style="90" customWidth="1"/>
    <col min="7" max="11" width="9.140625" style="90"/>
    <col min="12" max="12" width="17.28515625" style="90" customWidth="1"/>
    <col min="13" max="13" width="13" style="90" customWidth="1"/>
    <col min="14" max="16384" width="9.140625" style="90"/>
  </cols>
  <sheetData>
    <row r="1" spans="1:20">
      <c r="A1" s="89" t="s">
        <v>597</v>
      </c>
    </row>
    <row r="2" spans="1:20">
      <c r="A2" s="90" t="s">
        <v>669</v>
      </c>
    </row>
    <row r="6" spans="1:20" ht="12.75">
      <c r="C6" s="91" t="s">
        <v>178</v>
      </c>
      <c r="D6" s="91" t="s">
        <v>1197</v>
      </c>
      <c r="E6" s="103" t="s">
        <v>848</v>
      </c>
      <c r="F6" s="89"/>
    </row>
    <row r="7" spans="1:20" ht="12.75">
      <c r="C7" s="104" t="s">
        <v>1181</v>
      </c>
      <c r="D7" s="104" t="s">
        <v>808</v>
      </c>
      <c r="E7" s="103" t="s">
        <v>178</v>
      </c>
      <c r="F7" s="103" t="s">
        <v>1011</v>
      </c>
    </row>
    <row r="8" spans="1:20" ht="13.5" thickBot="1">
      <c r="C8" s="95" t="s">
        <v>144</v>
      </c>
      <c r="D8" s="95" t="s">
        <v>142</v>
      </c>
      <c r="E8" s="105" t="s">
        <v>144</v>
      </c>
      <c r="F8" s="105" t="s">
        <v>658</v>
      </c>
    </row>
    <row r="9" spans="1:20">
      <c r="D9" s="88"/>
      <c r="F9" s="96"/>
    </row>
    <row r="10" spans="1:20">
      <c r="A10" s="31" t="s">
        <v>1167</v>
      </c>
      <c r="C10" s="211">
        <v>933.06</v>
      </c>
      <c r="D10" s="106">
        <f>'Billing Det'!B8</f>
        <v>377598.80273972603</v>
      </c>
      <c r="E10" s="98">
        <f>C10*D10</f>
        <v>352322338.88432872</v>
      </c>
      <c r="F10" s="97">
        <f>E10/$E$40</f>
        <v>0.86132171949530889</v>
      </c>
    </row>
    <row r="11" spans="1:20">
      <c r="C11" s="212"/>
      <c r="D11" s="106"/>
      <c r="E11" s="98"/>
      <c r="F11" s="97"/>
      <c r="O11" s="89"/>
      <c r="P11" s="89"/>
      <c r="Q11" s="89"/>
      <c r="R11" s="89"/>
      <c r="S11" s="89"/>
      <c r="T11" s="89"/>
    </row>
    <row r="12" spans="1:20">
      <c r="A12" s="153" t="s">
        <v>1220</v>
      </c>
      <c r="C12" s="211">
        <v>1106.26</v>
      </c>
      <c r="D12" s="106">
        <f>'Billing Det'!B10</f>
        <v>45359.323287671228</v>
      </c>
      <c r="E12" s="98">
        <f>C12*D12</f>
        <v>50179204.98021917</v>
      </c>
      <c r="F12" s="97">
        <f>E12/$E$40</f>
        <v>0.1226730023799589</v>
      </c>
      <c r="O12" s="89"/>
      <c r="P12" s="89"/>
      <c r="Q12" s="89"/>
      <c r="R12" s="89"/>
      <c r="S12" s="89"/>
      <c r="T12" s="89"/>
    </row>
    <row r="13" spans="1:20">
      <c r="C13" s="212"/>
      <c r="D13" s="106"/>
      <c r="E13" s="98"/>
      <c r="F13" s="97"/>
      <c r="G13" s="89"/>
      <c r="H13" s="89"/>
      <c r="I13" s="89"/>
      <c r="J13" s="89"/>
    </row>
    <row r="14" spans="1:20">
      <c r="A14" s="189" t="s">
        <v>1099</v>
      </c>
      <c r="C14" s="211">
        <v>0</v>
      </c>
      <c r="D14" s="106">
        <f>'Billing Det'!B12</f>
        <v>70</v>
      </c>
      <c r="E14" s="98">
        <f>C14*D14</f>
        <v>0</v>
      </c>
      <c r="F14" s="97">
        <f>E14/$E$40</f>
        <v>0</v>
      </c>
    </row>
    <row r="15" spans="1:20">
      <c r="C15" s="212"/>
      <c r="D15" s="106"/>
      <c r="E15" s="98"/>
      <c r="F15" s="97"/>
    </row>
    <row r="16" spans="1:20">
      <c r="A16" s="189" t="s">
        <v>1100</v>
      </c>
      <c r="C16" s="211">
        <v>1855.01</v>
      </c>
      <c r="D16" s="106">
        <f>'Billing Det'!B14</f>
        <v>2782.3972602739727</v>
      </c>
      <c r="E16" s="98">
        <f>C16*D16</f>
        <v>5161374.7417808222</v>
      </c>
      <c r="F16" s="97">
        <f>E16/$E$40</f>
        <v>1.2618002541728852E-2</v>
      </c>
    </row>
    <row r="17" spans="1:6">
      <c r="C17" s="212"/>
      <c r="D17" s="106"/>
      <c r="E17" s="98"/>
      <c r="F17" s="97"/>
    </row>
    <row r="18" spans="1:6">
      <c r="A18" s="189" t="s">
        <v>1221</v>
      </c>
      <c r="C18" s="211">
        <v>0</v>
      </c>
      <c r="D18" s="106">
        <f>'Billing Det'!B16</f>
        <v>131.59452054794519</v>
      </c>
      <c r="E18" s="98">
        <f>C18*D18</f>
        <v>0</v>
      </c>
      <c r="F18" s="97">
        <f>E18/$E$40</f>
        <v>0</v>
      </c>
    </row>
    <row r="19" spans="1:6">
      <c r="C19" s="211"/>
      <c r="D19" s="106"/>
      <c r="E19" s="98"/>
      <c r="F19" s="97"/>
    </row>
    <row r="20" spans="1:6">
      <c r="A20" s="189" t="s">
        <v>1198</v>
      </c>
      <c r="C20" s="211">
        <v>2739.98</v>
      </c>
      <c r="D20" s="106">
        <f>'Billing Det'!B18</f>
        <v>505.00547945205477</v>
      </c>
      <c r="E20" s="98">
        <f>C20*D20</f>
        <v>1383704.913589041</v>
      </c>
      <c r="F20" s="97">
        <f>E20/$E$40</f>
        <v>3.3827406437543731E-3</v>
      </c>
    </row>
    <row r="21" spans="1:6">
      <c r="C21" s="212"/>
      <c r="D21" s="106"/>
      <c r="E21" s="98"/>
      <c r="F21" s="97"/>
    </row>
    <row r="22" spans="1:6">
      <c r="A22" s="189" t="s">
        <v>1101</v>
      </c>
      <c r="C22" s="211">
        <v>0</v>
      </c>
      <c r="D22" s="106">
        <f>'Billing Det'!B20</f>
        <v>13</v>
      </c>
      <c r="E22" s="98">
        <f>C22*D22</f>
        <v>0</v>
      </c>
      <c r="F22" s="97">
        <f>E22/$E$40</f>
        <v>0</v>
      </c>
    </row>
    <row r="23" spans="1:6">
      <c r="C23" s="212"/>
      <c r="D23" s="106"/>
      <c r="E23" s="98"/>
      <c r="F23" s="97"/>
    </row>
    <row r="24" spans="1:6">
      <c r="A24" s="189" t="s">
        <v>572</v>
      </c>
      <c r="C24" s="211">
        <v>0</v>
      </c>
      <c r="D24" s="106">
        <f>'Billing Det'!B22</f>
        <v>2</v>
      </c>
      <c r="E24" s="98">
        <f>C24*D24</f>
        <v>0</v>
      </c>
      <c r="F24" s="97">
        <f>E24/$E$40</f>
        <v>0</v>
      </c>
    </row>
    <row r="25" spans="1:6">
      <c r="C25" s="211"/>
      <c r="D25" s="106"/>
      <c r="E25" s="98"/>
      <c r="F25" s="97"/>
    </row>
    <row r="26" spans="1:6">
      <c r="A26" s="153" t="s">
        <v>1180</v>
      </c>
      <c r="C26" s="211">
        <v>0</v>
      </c>
      <c r="D26" s="106">
        <f>'Billing Det'!B24</f>
        <v>91009</v>
      </c>
      <c r="E26" s="98">
        <f>C26*D26</f>
        <v>0</v>
      </c>
      <c r="F26" s="97">
        <f>E26/$E$40</f>
        <v>0</v>
      </c>
    </row>
    <row r="27" spans="1:6">
      <c r="C27" s="211"/>
      <c r="D27" s="106"/>
      <c r="E27" s="98"/>
      <c r="F27" s="97"/>
    </row>
    <row r="28" spans="1:6">
      <c r="A28" s="153" t="s">
        <v>1199</v>
      </c>
      <c r="C28" s="211">
        <v>0</v>
      </c>
      <c r="D28" s="106">
        <f>'Billing Det'!B26</f>
        <v>161</v>
      </c>
      <c r="E28" s="98">
        <f>C28*D28</f>
        <v>0</v>
      </c>
      <c r="F28" s="97">
        <f>E28/$E$40</f>
        <v>0</v>
      </c>
    </row>
    <row r="29" spans="1:6">
      <c r="A29" s="153"/>
      <c r="C29" s="211"/>
      <c r="D29" s="106"/>
      <c r="E29" s="98"/>
      <c r="F29" s="97"/>
    </row>
    <row r="30" spans="1:6">
      <c r="A30" s="153" t="s">
        <v>1257</v>
      </c>
      <c r="C30" s="211">
        <v>0</v>
      </c>
      <c r="D30" s="106">
        <f>'Billing Det'!B28</f>
        <v>1000</v>
      </c>
      <c r="E30" s="98">
        <f>C30*D30</f>
        <v>0</v>
      </c>
      <c r="F30" s="97">
        <f>E30/$E$40</f>
        <v>0</v>
      </c>
    </row>
    <row r="31" spans="1:6">
      <c r="C31" s="211"/>
      <c r="D31" s="106"/>
      <c r="E31" s="98"/>
      <c r="F31" s="97"/>
    </row>
    <row r="32" spans="1:6">
      <c r="A32" s="153" t="s">
        <v>1252</v>
      </c>
      <c r="C32" s="211">
        <f>C16</f>
        <v>1855.01</v>
      </c>
      <c r="D32" s="106">
        <f>'Billing Det'!B30</f>
        <v>1</v>
      </c>
      <c r="E32" s="98">
        <f>C32*D32</f>
        <v>1855.01</v>
      </c>
      <c r="F32" s="97">
        <f>E32/$E$40</f>
        <v>4.5349392489289618E-6</v>
      </c>
    </row>
    <row r="33" spans="1:13">
      <c r="A33" s="153"/>
      <c r="C33" s="211"/>
      <c r="D33" s="106"/>
      <c r="E33" s="98"/>
      <c r="F33" s="97"/>
    </row>
    <row r="34" spans="1:13">
      <c r="A34" s="153" t="s">
        <v>1247</v>
      </c>
      <c r="C34" s="211">
        <v>0</v>
      </c>
      <c r="D34" s="106">
        <f>'Billing Det'!B32</f>
        <v>10</v>
      </c>
      <c r="E34" s="98">
        <f>C34*D34</f>
        <v>0</v>
      </c>
      <c r="F34" s="97">
        <f>E34/$E$40</f>
        <v>0</v>
      </c>
    </row>
    <row r="35" spans="1:13">
      <c r="A35" s="153"/>
      <c r="C35" s="211"/>
      <c r="D35" s="106"/>
      <c r="E35" s="98"/>
      <c r="F35" s="97"/>
    </row>
    <row r="36" spans="1:13">
      <c r="A36" s="153" t="s">
        <v>1249</v>
      </c>
      <c r="C36" s="211">
        <v>0</v>
      </c>
      <c r="D36" s="106">
        <f>'Billing Det'!B34</f>
        <v>0</v>
      </c>
      <c r="E36" s="98">
        <f>C36*D36</f>
        <v>0</v>
      </c>
      <c r="F36" s="97">
        <f>E36/$E$40</f>
        <v>0</v>
      </c>
    </row>
    <row r="37" spans="1:13">
      <c r="A37" s="153"/>
      <c r="C37" s="211"/>
      <c r="D37" s="106"/>
      <c r="E37" s="98"/>
      <c r="F37" s="97"/>
    </row>
    <row r="38" spans="1:13">
      <c r="A38" s="153" t="s">
        <v>1250</v>
      </c>
      <c r="C38" s="211">
        <v>0</v>
      </c>
      <c r="D38" s="106">
        <f>'Billing Det'!B36</f>
        <v>0</v>
      </c>
      <c r="E38" s="98">
        <f>C38*D38</f>
        <v>0</v>
      </c>
      <c r="F38" s="97">
        <f>E38/$E$40</f>
        <v>0</v>
      </c>
    </row>
    <row r="39" spans="1:13">
      <c r="A39" s="99"/>
      <c r="B39" s="100"/>
      <c r="C39" s="351"/>
      <c r="D39" s="107"/>
      <c r="E39" s="101"/>
      <c r="F39" s="102"/>
    </row>
    <row r="40" spans="1:13" ht="12.75">
      <c r="C40" s="90"/>
      <c r="D40" s="106">
        <f>SUM(D10:D39)</f>
        <v>518643.12328767125</v>
      </c>
      <c r="E40" s="94">
        <f>SUM(E10:E39)</f>
        <v>409048478.52991778</v>
      </c>
      <c r="F40" s="97">
        <f>SUM(F10:F39)</f>
        <v>0.99999999999999989</v>
      </c>
    </row>
    <row r="41" spans="1:13" ht="12.75">
      <c r="C41" s="90"/>
      <c r="L41" s="88"/>
      <c r="M41" s="88"/>
    </row>
    <row r="42" spans="1:13" ht="12.75">
      <c r="C42" s="90"/>
      <c r="L42" s="88"/>
      <c r="M42" s="88"/>
    </row>
    <row r="43" spans="1:13" ht="12.75">
      <c r="B43" s="90" t="s">
        <v>608</v>
      </c>
      <c r="C43" s="90"/>
      <c r="E43" s="94">
        <f>'Functional Assignment'!F42</f>
        <v>41665745.640769236</v>
      </c>
    </row>
    <row r="44" spans="1:13" ht="12.75">
      <c r="C44" s="90"/>
    </row>
    <row r="45" spans="1:13" ht="12.75">
      <c r="C45" s="90"/>
    </row>
    <row r="46" spans="1:13" ht="12.75">
      <c r="C46" s="90"/>
    </row>
    <row r="47" spans="1:13" ht="12.75">
      <c r="C47" s="90"/>
    </row>
    <row r="48" spans="1:13" ht="12.75">
      <c r="C48" s="90"/>
    </row>
    <row r="49" spans="3:5" ht="12.75">
      <c r="C49" s="90"/>
      <c r="E49" s="108"/>
    </row>
    <row r="50" spans="3:5" ht="12.75">
      <c r="C50" s="90"/>
    </row>
    <row r="51" spans="3:5" ht="12.75">
      <c r="C51" s="90"/>
    </row>
    <row r="52" spans="3:5" ht="12.75">
      <c r="C52" s="90"/>
    </row>
    <row r="53" spans="3:5" ht="12.75">
      <c r="C53" s="90"/>
    </row>
    <row r="54" spans="3:5" ht="12.75">
      <c r="C54" s="90"/>
    </row>
    <row r="55" spans="3:5" ht="12.75">
      <c r="C55" s="90"/>
    </row>
    <row r="56" spans="3:5" ht="12.75">
      <c r="C56" s="90"/>
    </row>
    <row r="57" spans="3:5" ht="12.75">
      <c r="C57" s="90"/>
    </row>
    <row r="58" spans="3:5" ht="12.75">
      <c r="C58" s="90"/>
    </row>
    <row r="62" spans="3:5" ht="12.75">
      <c r="C62" s="90"/>
    </row>
    <row r="63" spans="3:5" ht="12.75">
      <c r="C63" s="90"/>
    </row>
    <row r="64" spans="3:5" ht="12.75">
      <c r="C64" s="90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61"/>
  <sheetViews>
    <sheetView tabSelected="1" topLeftCell="S1" zoomScale="50" zoomScaleNormal="50" zoomScaleSheetLayoutView="90" workbookViewId="0">
      <selection activeCell="AE15" sqref="AE15"/>
    </sheetView>
  </sheetViews>
  <sheetFormatPr defaultColWidth="9.140625" defaultRowHeight="14.25"/>
  <cols>
    <col min="1" max="1" width="7.5703125" style="60" customWidth="1"/>
    <col min="2" max="2" width="33" style="60" customWidth="1"/>
    <col min="3" max="3" width="12.5703125" style="60" customWidth="1"/>
    <col min="4" max="4" width="14.28515625" style="60" bestFit="1" customWidth="1"/>
    <col min="5" max="5" width="17.28515625" style="60" bestFit="1" customWidth="1"/>
    <col min="6" max="6" width="18.28515625" style="60" bestFit="1" customWidth="1"/>
    <col min="7" max="7" width="18.28515625" style="60" customWidth="1"/>
    <col min="8" max="8" width="22" style="60" bestFit="1" customWidth="1"/>
    <col min="9" max="14" width="18.28515625" style="60" customWidth="1"/>
    <col min="15" max="15" width="19" style="60" customWidth="1"/>
    <col min="16" max="16" width="19" style="60" bestFit="1" customWidth="1"/>
    <col min="17" max="17" width="23.28515625" style="60" customWidth="1"/>
    <col min="18" max="18" width="23.140625" style="60" bestFit="1" customWidth="1"/>
    <col min="19" max="20" width="20.28515625" style="60" bestFit="1" customWidth="1"/>
    <col min="21" max="21" width="18.28515625" style="60" customWidth="1"/>
    <col min="22" max="23" width="18.28515625" style="60" hidden="1" customWidth="1"/>
    <col min="24" max="24" width="15" style="60" hidden="1" customWidth="1"/>
    <col min="25" max="25" width="15.28515625" style="60" hidden="1" customWidth="1"/>
    <col min="26" max="26" width="15.5703125" style="60" hidden="1" customWidth="1"/>
    <col min="27" max="27" width="22.5703125" style="60" customWidth="1"/>
    <col min="28" max="28" width="10.5703125" style="60" customWidth="1"/>
    <col min="29" max="29" width="15.42578125" style="60" bestFit="1" customWidth="1"/>
    <col min="30" max="32" width="9.140625" style="60"/>
    <col min="33" max="33" width="7.42578125" style="60" customWidth="1"/>
    <col min="34" max="36" width="20.5703125" style="60" customWidth="1"/>
    <col min="37" max="16384" width="9.140625" style="60"/>
  </cols>
  <sheetData>
    <row r="2" spans="1:28" s="92" customFormat="1">
      <c r="D2" s="92">
        <v>1</v>
      </c>
      <c r="E2" s="92">
        <f t="shared" ref="E2:AB2" si="0">+D2+1</f>
        <v>2</v>
      </c>
      <c r="F2" s="92">
        <f t="shared" si="0"/>
        <v>3</v>
      </c>
      <c r="G2" s="92">
        <f t="shared" si="0"/>
        <v>4</v>
      </c>
      <c r="H2" s="92">
        <f t="shared" si="0"/>
        <v>5</v>
      </c>
      <c r="I2" s="92">
        <f t="shared" si="0"/>
        <v>6</v>
      </c>
      <c r="J2" s="92">
        <f t="shared" si="0"/>
        <v>7</v>
      </c>
      <c r="K2" s="92">
        <f>+J2+1</f>
        <v>8</v>
      </c>
      <c r="L2" s="92">
        <f t="shared" si="0"/>
        <v>9</v>
      </c>
      <c r="M2" s="92">
        <f t="shared" si="0"/>
        <v>10</v>
      </c>
      <c r="N2" s="92">
        <f t="shared" si="0"/>
        <v>11</v>
      </c>
      <c r="O2" s="92">
        <f t="shared" si="0"/>
        <v>12</v>
      </c>
      <c r="P2" s="92">
        <f t="shared" si="0"/>
        <v>13</v>
      </c>
      <c r="Q2" s="92">
        <f t="shared" si="0"/>
        <v>14</v>
      </c>
      <c r="R2" s="92">
        <f t="shared" si="0"/>
        <v>15</v>
      </c>
      <c r="S2" s="92">
        <f>R2+1</f>
        <v>16</v>
      </c>
      <c r="T2" s="92">
        <f t="shared" si="0"/>
        <v>17</v>
      </c>
      <c r="U2" s="92">
        <f>+T2+1</f>
        <v>18</v>
      </c>
      <c r="V2" s="92">
        <f t="shared" si="0"/>
        <v>19</v>
      </c>
      <c r="W2" s="92">
        <f>+V2+1</f>
        <v>20</v>
      </c>
      <c r="X2" s="92">
        <f t="shared" si="0"/>
        <v>21</v>
      </c>
      <c r="Y2" s="92">
        <f t="shared" si="0"/>
        <v>22</v>
      </c>
      <c r="Z2" s="92">
        <f t="shared" si="0"/>
        <v>23</v>
      </c>
      <c r="AA2" s="92">
        <f t="shared" si="0"/>
        <v>24</v>
      </c>
      <c r="AB2" s="92">
        <f t="shared" si="0"/>
        <v>25</v>
      </c>
    </row>
    <row r="3" spans="1:28" ht="29.25" customHeight="1">
      <c r="A3" s="65"/>
      <c r="B3" s="65"/>
      <c r="C3" s="65"/>
      <c r="D3" s="72"/>
      <c r="E3" s="134" t="s">
        <v>1015</v>
      </c>
      <c r="F3" s="135" t="s">
        <v>848</v>
      </c>
      <c r="G3" s="71" t="s">
        <v>194</v>
      </c>
      <c r="H3" s="71" t="s">
        <v>1215</v>
      </c>
      <c r="I3" s="72" t="s">
        <v>1096</v>
      </c>
      <c r="J3" s="72" t="s">
        <v>1096</v>
      </c>
      <c r="K3" s="71" t="s">
        <v>1200</v>
      </c>
      <c r="L3" s="72" t="s">
        <v>1200</v>
      </c>
      <c r="M3" s="72" t="s">
        <v>1097</v>
      </c>
      <c r="N3" s="71" t="s">
        <v>572</v>
      </c>
      <c r="O3" s="71" t="s">
        <v>1012</v>
      </c>
      <c r="P3" s="72" t="s">
        <v>1012</v>
      </c>
      <c r="Q3" s="71" t="s">
        <v>846</v>
      </c>
      <c r="R3" s="71" t="s">
        <v>1319</v>
      </c>
      <c r="S3" s="71" t="s">
        <v>1247</v>
      </c>
      <c r="T3" s="71" t="s">
        <v>1249</v>
      </c>
      <c r="U3" s="72" t="s">
        <v>1250</v>
      </c>
      <c r="V3" s="71" t="s">
        <v>181</v>
      </c>
      <c r="W3" s="71" t="s">
        <v>181</v>
      </c>
      <c r="X3" s="72" t="s">
        <v>181</v>
      </c>
      <c r="Y3" s="72" t="s">
        <v>181</v>
      </c>
      <c r="Z3" s="72" t="s">
        <v>181</v>
      </c>
      <c r="AA3" s="136"/>
      <c r="AB3" s="65"/>
    </row>
    <row r="4" spans="1:28" ht="15.75" thickBot="1">
      <c r="A4" s="137" t="s">
        <v>851</v>
      </c>
      <c r="B4" s="137"/>
      <c r="C4" s="138" t="s">
        <v>333</v>
      </c>
      <c r="D4" s="139" t="s">
        <v>852</v>
      </c>
      <c r="E4" s="139" t="s">
        <v>853</v>
      </c>
      <c r="F4" s="73" t="s">
        <v>854</v>
      </c>
      <c r="G4" s="73" t="s">
        <v>1104</v>
      </c>
      <c r="H4" s="73" t="s">
        <v>569</v>
      </c>
      <c r="I4" s="73" t="s">
        <v>570</v>
      </c>
      <c r="J4" s="73" t="s">
        <v>571</v>
      </c>
      <c r="K4" s="73" t="s">
        <v>570</v>
      </c>
      <c r="L4" s="73" t="s">
        <v>571</v>
      </c>
      <c r="M4" s="73" t="s">
        <v>1056</v>
      </c>
      <c r="N4" s="73" t="s">
        <v>857</v>
      </c>
      <c r="O4" s="73" t="s">
        <v>1345</v>
      </c>
      <c r="P4" s="73" t="s">
        <v>1098</v>
      </c>
      <c r="Q4" s="73" t="s">
        <v>573</v>
      </c>
      <c r="R4" s="73" t="s">
        <v>1253</v>
      </c>
      <c r="S4" s="73" t="s">
        <v>1248</v>
      </c>
      <c r="T4" s="73" t="s">
        <v>1256</v>
      </c>
      <c r="U4" s="73" t="s">
        <v>1251</v>
      </c>
      <c r="V4" s="73"/>
      <c r="W4" s="73"/>
      <c r="X4" s="73"/>
      <c r="Y4" s="73"/>
      <c r="Z4" s="73"/>
      <c r="AA4" s="73" t="s">
        <v>858</v>
      </c>
      <c r="AB4" s="73" t="s">
        <v>859</v>
      </c>
    </row>
    <row r="6" spans="1:28" ht="15">
      <c r="A6" s="65" t="s">
        <v>860</v>
      </c>
    </row>
    <row r="8" spans="1:28" ht="15">
      <c r="A8" s="65" t="s">
        <v>352</v>
      </c>
    </row>
    <row r="9" spans="1:28">
      <c r="A9" s="68" t="s">
        <v>1254</v>
      </c>
      <c r="C9" s="60" t="s">
        <v>894</v>
      </c>
      <c r="D9" s="60" t="s">
        <v>1425</v>
      </c>
      <c r="E9" s="60" t="s">
        <v>1406</v>
      </c>
      <c r="F9" s="75">
        <f>VLOOKUP(C9,'Functional Assignment'!$C$2:$AP$780,'Functional Assignment'!$H$2,)</f>
        <v>3865573604.4296021</v>
      </c>
      <c r="G9" s="75">
        <f t="shared" ref="G9:P14" si="1">IF(VLOOKUP($E9,$D$6:$AN$1148,3,)=0,0,(VLOOKUP($E9,$D$6:$AN$1148,G$2,)/VLOOKUP($E9,$D$6:$AN$1148,3,))*$F9)</f>
        <v>1609789347.7328846</v>
      </c>
      <c r="H9" s="75">
        <f t="shared" si="1"/>
        <v>463388995.82314497</v>
      </c>
      <c r="I9" s="75">
        <f t="shared" si="1"/>
        <v>33548920.95925004</v>
      </c>
      <c r="J9" s="75">
        <f t="shared" si="1"/>
        <v>540231323.65356517</v>
      </c>
      <c r="K9" s="75">
        <f t="shared" si="1"/>
        <v>506354012.0409739</v>
      </c>
      <c r="L9" s="75">
        <f t="shared" si="1"/>
        <v>418742060.79590762</v>
      </c>
      <c r="M9" s="75">
        <f t="shared" si="1"/>
        <v>259045066.28531215</v>
      </c>
      <c r="N9" s="75">
        <f t="shared" si="1"/>
        <v>14544487.175577005</v>
      </c>
      <c r="O9" s="75">
        <f t="shared" si="1"/>
        <v>15890678.857549757</v>
      </c>
      <c r="P9" s="75">
        <f t="shared" si="1"/>
        <v>553472.66879226884</v>
      </c>
      <c r="Q9" s="75">
        <f t="shared" ref="Q9:Z14" si="2">IF(VLOOKUP($E9,$D$6:$AN$1148,3,)=0,0,(VLOOKUP($E9,$D$6:$AN$1148,Q$2,)/VLOOKUP($E9,$D$6:$AN$1148,3,))*$F9)</f>
        <v>762209.12442842696</v>
      </c>
      <c r="R9" s="75">
        <f t="shared" si="2"/>
        <v>740.08773483196217</v>
      </c>
      <c r="S9" s="75">
        <f t="shared" si="2"/>
        <v>6575.1144805660724</v>
      </c>
      <c r="T9" s="75">
        <f t="shared" si="2"/>
        <v>2630742.58</v>
      </c>
      <c r="U9" s="75">
        <f t="shared" si="2"/>
        <v>84971.530000000013</v>
      </c>
      <c r="V9" s="75">
        <f t="shared" si="2"/>
        <v>0</v>
      </c>
      <c r="W9" s="75">
        <f t="shared" si="2"/>
        <v>0</v>
      </c>
      <c r="X9" s="75">
        <f t="shared" si="2"/>
        <v>0</v>
      </c>
      <c r="Y9" s="75">
        <f t="shared" si="2"/>
        <v>0</v>
      </c>
      <c r="Z9" s="75">
        <f t="shared" si="2"/>
        <v>0</v>
      </c>
      <c r="AA9" s="79">
        <f t="shared" ref="AA9:AA15" si="3">SUM(G9:Z9)</f>
        <v>3865573604.4296012</v>
      </c>
      <c r="AB9" s="92" t="str">
        <f t="shared" ref="AB9:AB15" si="4">IF(ABS(F9-AA9)&lt;0.01,"ok","err")</f>
        <v>ok</v>
      </c>
    </row>
    <row r="10" spans="1:28" hidden="1">
      <c r="A10" s="68" t="s">
        <v>1255</v>
      </c>
      <c r="C10" s="60" t="s">
        <v>894</v>
      </c>
      <c r="D10" s="60" t="s">
        <v>353</v>
      </c>
      <c r="E10" s="60" t="s">
        <v>1406</v>
      </c>
      <c r="F10" s="78">
        <f>VLOOKUP(C10,'Functional Assignment'!$C$2:$AP$780,'Functional Assignment'!$I$2,)</f>
        <v>0</v>
      </c>
      <c r="G10" s="78">
        <f t="shared" si="1"/>
        <v>0</v>
      </c>
      <c r="H10" s="78">
        <f t="shared" si="1"/>
        <v>0</v>
      </c>
      <c r="I10" s="78">
        <f t="shared" si="1"/>
        <v>0</v>
      </c>
      <c r="J10" s="78">
        <f t="shared" si="1"/>
        <v>0</v>
      </c>
      <c r="K10" s="78">
        <f t="shared" si="1"/>
        <v>0</v>
      </c>
      <c r="L10" s="78">
        <f t="shared" si="1"/>
        <v>0</v>
      </c>
      <c r="M10" s="78">
        <f t="shared" si="1"/>
        <v>0</v>
      </c>
      <c r="N10" s="78">
        <f t="shared" si="1"/>
        <v>0</v>
      </c>
      <c r="O10" s="78">
        <f t="shared" si="1"/>
        <v>0</v>
      </c>
      <c r="P10" s="78">
        <f t="shared" si="1"/>
        <v>0</v>
      </c>
      <c r="Q10" s="78">
        <f t="shared" si="2"/>
        <v>0</v>
      </c>
      <c r="R10" s="78">
        <f t="shared" si="2"/>
        <v>0</v>
      </c>
      <c r="S10" s="78">
        <f t="shared" si="2"/>
        <v>0</v>
      </c>
      <c r="T10" s="78">
        <f t="shared" si="2"/>
        <v>0</v>
      </c>
      <c r="U10" s="78">
        <f t="shared" si="2"/>
        <v>0</v>
      </c>
      <c r="V10" s="78">
        <f t="shared" si="2"/>
        <v>0</v>
      </c>
      <c r="W10" s="78">
        <f t="shared" si="2"/>
        <v>0</v>
      </c>
      <c r="X10" s="78">
        <f t="shared" si="2"/>
        <v>0</v>
      </c>
      <c r="Y10" s="78">
        <f t="shared" si="2"/>
        <v>0</v>
      </c>
      <c r="Z10" s="78">
        <f t="shared" si="2"/>
        <v>0</v>
      </c>
      <c r="AA10" s="78">
        <f t="shared" si="3"/>
        <v>0</v>
      </c>
      <c r="AB10" s="92" t="str">
        <f t="shared" si="4"/>
        <v>ok</v>
      </c>
    </row>
    <row r="11" spans="1:28" hidden="1">
      <c r="A11" s="68" t="s">
        <v>1255</v>
      </c>
      <c r="C11" s="60" t="s">
        <v>894</v>
      </c>
      <c r="D11" s="60" t="s">
        <v>354</v>
      </c>
      <c r="E11" s="60" t="s">
        <v>1406</v>
      </c>
      <c r="F11" s="78">
        <f>VLOOKUP(C11,'Functional Assignment'!$C$2:$AP$780,'Functional Assignment'!$J$2,)</f>
        <v>0</v>
      </c>
      <c r="G11" s="78">
        <f t="shared" si="1"/>
        <v>0</v>
      </c>
      <c r="H11" s="78">
        <f t="shared" si="1"/>
        <v>0</v>
      </c>
      <c r="I11" s="78">
        <f t="shared" si="1"/>
        <v>0</v>
      </c>
      <c r="J11" s="78">
        <f t="shared" si="1"/>
        <v>0</v>
      </c>
      <c r="K11" s="78">
        <f t="shared" si="1"/>
        <v>0</v>
      </c>
      <c r="L11" s="78">
        <f t="shared" si="1"/>
        <v>0</v>
      </c>
      <c r="M11" s="78">
        <f t="shared" si="1"/>
        <v>0</v>
      </c>
      <c r="N11" s="78">
        <f t="shared" si="1"/>
        <v>0</v>
      </c>
      <c r="O11" s="78">
        <f t="shared" si="1"/>
        <v>0</v>
      </c>
      <c r="P11" s="78">
        <f t="shared" si="1"/>
        <v>0</v>
      </c>
      <c r="Q11" s="78">
        <f t="shared" si="2"/>
        <v>0</v>
      </c>
      <c r="R11" s="78">
        <f t="shared" si="2"/>
        <v>0</v>
      </c>
      <c r="S11" s="78">
        <f t="shared" si="2"/>
        <v>0</v>
      </c>
      <c r="T11" s="78">
        <f t="shared" si="2"/>
        <v>0</v>
      </c>
      <c r="U11" s="78">
        <f t="shared" si="2"/>
        <v>0</v>
      </c>
      <c r="V11" s="78">
        <f t="shared" si="2"/>
        <v>0</v>
      </c>
      <c r="W11" s="78">
        <f t="shared" si="2"/>
        <v>0</v>
      </c>
      <c r="X11" s="78">
        <f t="shared" si="2"/>
        <v>0</v>
      </c>
      <c r="Y11" s="78">
        <f t="shared" si="2"/>
        <v>0</v>
      </c>
      <c r="Z11" s="78">
        <f t="shared" si="2"/>
        <v>0</v>
      </c>
      <c r="AA11" s="78">
        <f t="shared" si="3"/>
        <v>0</v>
      </c>
      <c r="AB11" s="92" t="str">
        <f t="shared" si="4"/>
        <v>ok</v>
      </c>
    </row>
    <row r="12" spans="1:28">
      <c r="A12" s="68" t="s">
        <v>1162</v>
      </c>
      <c r="C12" s="60" t="s">
        <v>894</v>
      </c>
      <c r="D12" s="60" t="s">
        <v>355</v>
      </c>
      <c r="E12" s="60" t="s">
        <v>1017</v>
      </c>
      <c r="F12" s="78">
        <f>VLOOKUP(C12,'Functional Assignment'!$C$2:$AP$780,'Functional Assignment'!$K$2,)</f>
        <v>0</v>
      </c>
      <c r="G12" s="78">
        <f t="shared" si="1"/>
        <v>0</v>
      </c>
      <c r="H12" s="78">
        <f t="shared" si="1"/>
        <v>0</v>
      </c>
      <c r="I12" s="78">
        <f t="shared" si="1"/>
        <v>0</v>
      </c>
      <c r="J12" s="78">
        <f t="shared" si="1"/>
        <v>0</v>
      </c>
      <c r="K12" s="78">
        <f t="shared" si="1"/>
        <v>0</v>
      </c>
      <c r="L12" s="78">
        <f t="shared" si="1"/>
        <v>0</v>
      </c>
      <c r="M12" s="78">
        <f t="shared" si="1"/>
        <v>0</v>
      </c>
      <c r="N12" s="78">
        <f t="shared" si="1"/>
        <v>0</v>
      </c>
      <c r="O12" s="78">
        <f t="shared" si="1"/>
        <v>0</v>
      </c>
      <c r="P12" s="78">
        <f t="shared" si="1"/>
        <v>0</v>
      </c>
      <c r="Q12" s="78">
        <f t="shared" si="2"/>
        <v>0</v>
      </c>
      <c r="R12" s="78">
        <f t="shared" si="2"/>
        <v>0</v>
      </c>
      <c r="S12" s="78">
        <f t="shared" si="2"/>
        <v>0</v>
      </c>
      <c r="T12" s="78">
        <f t="shared" si="2"/>
        <v>0</v>
      </c>
      <c r="U12" s="78">
        <f t="shared" si="2"/>
        <v>0</v>
      </c>
      <c r="V12" s="78">
        <f t="shared" si="2"/>
        <v>0</v>
      </c>
      <c r="W12" s="78">
        <f t="shared" si="2"/>
        <v>0</v>
      </c>
      <c r="X12" s="78">
        <f t="shared" si="2"/>
        <v>0</v>
      </c>
      <c r="Y12" s="78">
        <f t="shared" si="2"/>
        <v>0</v>
      </c>
      <c r="Z12" s="78">
        <f t="shared" si="2"/>
        <v>0</v>
      </c>
      <c r="AA12" s="78">
        <f t="shared" si="3"/>
        <v>0</v>
      </c>
      <c r="AB12" s="92" t="str">
        <f t="shared" si="4"/>
        <v>ok</v>
      </c>
    </row>
    <row r="13" spans="1:28" hidden="1">
      <c r="A13" s="68" t="s">
        <v>1163</v>
      </c>
      <c r="C13" s="60" t="s">
        <v>886</v>
      </c>
      <c r="D13" s="60" t="s">
        <v>356</v>
      </c>
      <c r="E13" s="60" t="s">
        <v>1017</v>
      </c>
      <c r="F13" s="78">
        <f>VLOOKUP(C13,'Functional Assignment'!$C$2:$AP$780,'Functional Assignment'!$L$2,)</f>
        <v>0</v>
      </c>
      <c r="G13" s="78">
        <f t="shared" si="1"/>
        <v>0</v>
      </c>
      <c r="H13" s="78">
        <f t="shared" si="1"/>
        <v>0</v>
      </c>
      <c r="I13" s="78">
        <f t="shared" si="1"/>
        <v>0</v>
      </c>
      <c r="J13" s="78">
        <f t="shared" si="1"/>
        <v>0</v>
      </c>
      <c r="K13" s="78">
        <f t="shared" si="1"/>
        <v>0</v>
      </c>
      <c r="L13" s="78">
        <f t="shared" si="1"/>
        <v>0</v>
      </c>
      <c r="M13" s="78">
        <f t="shared" si="1"/>
        <v>0</v>
      </c>
      <c r="N13" s="78">
        <f t="shared" si="1"/>
        <v>0</v>
      </c>
      <c r="O13" s="78">
        <f t="shared" si="1"/>
        <v>0</v>
      </c>
      <c r="P13" s="78">
        <f t="shared" si="1"/>
        <v>0</v>
      </c>
      <c r="Q13" s="78">
        <f t="shared" si="2"/>
        <v>0</v>
      </c>
      <c r="R13" s="78">
        <f t="shared" si="2"/>
        <v>0</v>
      </c>
      <c r="S13" s="78">
        <f t="shared" si="2"/>
        <v>0</v>
      </c>
      <c r="T13" s="78">
        <f t="shared" si="2"/>
        <v>0</v>
      </c>
      <c r="U13" s="78">
        <f t="shared" si="2"/>
        <v>0</v>
      </c>
      <c r="V13" s="78">
        <f t="shared" si="2"/>
        <v>0</v>
      </c>
      <c r="W13" s="78">
        <f t="shared" si="2"/>
        <v>0</v>
      </c>
      <c r="X13" s="78">
        <f t="shared" si="2"/>
        <v>0</v>
      </c>
      <c r="Y13" s="78">
        <f t="shared" si="2"/>
        <v>0</v>
      </c>
      <c r="Z13" s="78">
        <f t="shared" si="2"/>
        <v>0</v>
      </c>
      <c r="AA13" s="78">
        <f t="shared" si="3"/>
        <v>0</v>
      </c>
      <c r="AB13" s="92" t="str">
        <f t="shared" si="4"/>
        <v>ok</v>
      </c>
    </row>
    <row r="14" spans="1:28" hidden="1">
      <c r="A14" s="68" t="s">
        <v>1163</v>
      </c>
      <c r="C14" s="60" t="s">
        <v>886</v>
      </c>
      <c r="D14" s="60" t="s">
        <v>357</v>
      </c>
      <c r="E14" s="60" t="s">
        <v>1017</v>
      </c>
      <c r="F14" s="78">
        <f>VLOOKUP(C14,'Functional Assignment'!$C$2:$AP$780,'Functional Assignment'!$M$2,)</f>
        <v>0</v>
      </c>
      <c r="G14" s="78">
        <f t="shared" si="1"/>
        <v>0</v>
      </c>
      <c r="H14" s="78">
        <f t="shared" si="1"/>
        <v>0</v>
      </c>
      <c r="I14" s="78">
        <f t="shared" si="1"/>
        <v>0</v>
      </c>
      <c r="J14" s="78">
        <f t="shared" si="1"/>
        <v>0</v>
      </c>
      <c r="K14" s="78">
        <f t="shared" si="1"/>
        <v>0</v>
      </c>
      <c r="L14" s="78">
        <f t="shared" si="1"/>
        <v>0</v>
      </c>
      <c r="M14" s="78">
        <f t="shared" si="1"/>
        <v>0</v>
      </c>
      <c r="N14" s="78">
        <f t="shared" si="1"/>
        <v>0</v>
      </c>
      <c r="O14" s="78">
        <f t="shared" si="1"/>
        <v>0</v>
      </c>
      <c r="P14" s="78">
        <f t="shared" si="1"/>
        <v>0</v>
      </c>
      <c r="Q14" s="78">
        <f t="shared" si="2"/>
        <v>0</v>
      </c>
      <c r="R14" s="78">
        <f t="shared" si="2"/>
        <v>0</v>
      </c>
      <c r="S14" s="78">
        <f t="shared" si="2"/>
        <v>0</v>
      </c>
      <c r="T14" s="78">
        <f t="shared" si="2"/>
        <v>0</v>
      </c>
      <c r="U14" s="78">
        <f t="shared" si="2"/>
        <v>0</v>
      </c>
      <c r="V14" s="78">
        <f t="shared" si="2"/>
        <v>0</v>
      </c>
      <c r="W14" s="78">
        <f t="shared" si="2"/>
        <v>0</v>
      </c>
      <c r="X14" s="78">
        <f t="shared" si="2"/>
        <v>0</v>
      </c>
      <c r="Y14" s="78">
        <f t="shared" si="2"/>
        <v>0</v>
      </c>
      <c r="Z14" s="78">
        <f t="shared" si="2"/>
        <v>0</v>
      </c>
      <c r="AA14" s="78">
        <f t="shared" si="3"/>
        <v>0</v>
      </c>
      <c r="AB14" s="92" t="str">
        <f t="shared" si="4"/>
        <v>ok</v>
      </c>
    </row>
    <row r="15" spans="1:28">
      <c r="A15" s="60" t="s">
        <v>374</v>
      </c>
      <c r="D15" s="60" t="s">
        <v>1018</v>
      </c>
      <c r="F15" s="75">
        <f>SUM(F9:F14)</f>
        <v>3865573604.4296021</v>
      </c>
      <c r="G15" s="75">
        <f t="shared" ref="G15:P15" si="5">SUM(G9:G14)</f>
        <v>1609789347.7328846</v>
      </c>
      <c r="H15" s="75">
        <f t="shared" si="5"/>
        <v>463388995.82314497</v>
      </c>
      <c r="I15" s="75">
        <f t="shared" si="5"/>
        <v>33548920.95925004</v>
      </c>
      <c r="J15" s="75">
        <f t="shared" si="5"/>
        <v>540231323.65356517</v>
      </c>
      <c r="K15" s="75">
        <f t="shared" si="5"/>
        <v>506354012.0409739</v>
      </c>
      <c r="L15" s="75">
        <f t="shared" si="5"/>
        <v>418742060.79590762</v>
      </c>
      <c r="M15" s="75">
        <f t="shared" si="5"/>
        <v>259045066.28531215</v>
      </c>
      <c r="N15" s="75">
        <f t="shared" si="5"/>
        <v>14544487.175577005</v>
      </c>
      <c r="O15" s="75">
        <f>SUM(O9:O14)</f>
        <v>15890678.857549757</v>
      </c>
      <c r="P15" s="75">
        <f t="shared" si="5"/>
        <v>553472.66879226884</v>
      </c>
      <c r="Q15" s="75">
        <f t="shared" ref="Q15:Z15" si="6">SUM(Q9:Q14)</f>
        <v>762209.12442842696</v>
      </c>
      <c r="R15" s="75">
        <f t="shared" si="6"/>
        <v>740.08773483196217</v>
      </c>
      <c r="S15" s="75">
        <f t="shared" si="6"/>
        <v>6575.1144805660724</v>
      </c>
      <c r="T15" s="75">
        <f t="shared" si="6"/>
        <v>2630742.58</v>
      </c>
      <c r="U15" s="75">
        <f t="shared" si="6"/>
        <v>84971.530000000013</v>
      </c>
      <c r="V15" s="75">
        <f t="shared" si="6"/>
        <v>0</v>
      </c>
      <c r="W15" s="75">
        <f t="shared" si="6"/>
        <v>0</v>
      </c>
      <c r="X15" s="75">
        <f t="shared" si="6"/>
        <v>0</v>
      </c>
      <c r="Y15" s="75">
        <f t="shared" si="6"/>
        <v>0</v>
      </c>
      <c r="Z15" s="75">
        <f t="shared" si="6"/>
        <v>0</v>
      </c>
      <c r="AA15" s="79">
        <f t="shared" si="3"/>
        <v>3865573604.4296012</v>
      </c>
      <c r="AB15" s="92" t="str">
        <f t="shared" si="4"/>
        <v>ok</v>
      </c>
    </row>
    <row r="16" spans="1:28">
      <c r="F16" s="78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28" ht="15">
      <c r="A17" s="65" t="s">
        <v>1057</v>
      </c>
      <c r="F17" s="78"/>
      <c r="G17" s="78"/>
    </row>
    <row r="18" spans="1:28">
      <c r="A18" s="68" t="s">
        <v>1228</v>
      </c>
      <c r="C18" s="60" t="s">
        <v>894</v>
      </c>
      <c r="D18" s="60" t="s">
        <v>348</v>
      </c>
      <c r="E18" s="60" t="s">
        <v>1232</v>
      </c>
      <c r="F18" s="75">
        <f>VLOOKUP(C18,'Functional Assignment'!$C$2:$AP$780,'Functional Assignment'!$N$2,)</f>
        <v>612587887.1790638</v>
      </c>
      <c r="G18" s="75">
        <f t="shared" ref="G18:P20" si="7">IF(VLOOKUP($E18,$D$6:$AN$1148,3,)=0,0,(VLOOKUP($E18,$D$6:$AN$1148,G$2,)/VLOOKUP($E18,$D$6:$AN$1148,3,))*$F18)</f>
        <v>289827323.34175497</v>
      </c>
      <c r="H18" s="75">
        <f t="shared" si="7"/>
        <v>70795598.004044071</v>
      </c>
      <c r="I18" s="75">
        <f t="shared" si="7"/>
        <v>4647245.2315404387</v>
      </c>
      <c r="J18" s="75">
        <f t="shared" si="7"/>
        <v>78773670.55597578</v>
      </c>
      <c r="K18" s="75">
        <f t="shared" si="7"/>
        <v>66061500.624408521</v>
      </c>
      <c r="L18" s="75">
        <f t="shared" si="7"/>
        <v>62543037.024666004</v>
      </c>
      <c r="M18" s="75">
        <f t="shared" si="7"/>
        <v>32615094.245945964</v>
      </c>
      <c r="N18" s="75">
        <f t="shared" si="7"/>
        <v>2095868.7287585055</v>
      </c>
      <c r="O18" s="75">
        <f t="shared" si="7"/>
        <v>4966644.192512325</v>
      </c>
      <c r="P18" s="75">
        <f t="shared" si="7"/>
        <v>172988.31854910968</v>
      </c>
      <c r="Q18" s="75">
        <f t="shared" ref="Q18:Z20" si="8">IF(VLOOKUP($E18,$D$6:$AN$1148,3,)=0,0,(VLOOKUP($E18,$D$6:$AN$1148,Q$2,)/VLOOKUP($E18,$D$6:$AN$1148,3,))*$F18)</f>
        <v>79409.687386719801</v>
      </c>
      <c r="R18" s="75">
        <f t="shared" si="8"/>
        <v>8641.9362754161521</v>
      </c>
      <c r="S18" s="75">
        <f t="shared" si="8"/>
        <v>865.28724610394693</v>
      </c>
      <c r="T18" s="75">
        <f t="shared" si="8"/>
        <v>0</v>
      </c>
      <c r="U18" s="75">
        <f t="shared" si="8"/>
        <v>0</v>
      </c>
      <c r="V18" s="75">
        <f t="shared" si="8"/>
        <v>0</v>
      </c>
      <c r="W18" s="75">
        <f t="shared" si="8"/>
        <v>0</v>
      </c>
      <c r="X18" s="75">
        <f t="shared" si="8"/>
        <v>0</v>
      </c>
      <c r="Y18" s="75">
        <f t="shared" si="8"/>
        <v>0</v>
      </c>
      <c r="Z18" s="75">
        <f t="shared" si="8"/>
        <v>0</v>
      </c>
      <c r="AA18" s="79">
        <f>SUM(G18:Z18)</f>
        <v>612587887.1790638</v>
      </c>
      <c r="AB18" s="92" t="str">
        <f>IF(ABS(F18-AA18)&lt;0.01,"ok","err")</f>
        <v>ok</v>
      </c>
    </row>
    <row r="19" spans="1:28" hidden="1">
      <c r="A19" s="68" t="s">
        <v>1229</v>
      </c>
      <c r="C19" s="60" t="s">
        <v>894</v>
      </c>
      <c r="D19" s="60" t="s">
        <v>349</v>
      </c>
      <c r="E19" s="60" t="s">
        <v>1232</v>
      </c>
      <c r="F19" s="78">
        <f>VLOOKUP(C19,'Functional Assignment'!$C$2:$AP$780,'Functional Assignment'!$O$2,)</f>
        <v>0</v>
      </c>
      <c r="G19" s="78">
        <f t="shared" si="7"/>
        <v>0</v>
      </c>
      <c r="H19" s="78">
        <f t="shared" si="7"/>
        <v>0</v>
      </c>
      <c r="I19" s="78">
        <f t="shared" si="7"/>
        <v>0</v>
      </c>
      <c r="J19" s="78">
        <f t="shared" si="7"/>
        <v>0</v>
      </c>
      <c r="K19" s="78">
        <f t="shared" si="7"/>
        <v>0</v>
      </c>
      <c r="L19" s="78">
        <f t="shared" si="7"/>
        <v>0</v>
      </c>
      <c r="M19" s="78">
        <f t="shared" si="7"/>
        <v>0</v>
      </c>
      <c r="N19" s="78">
        <f t="shared" si="7"/>
        <v>0</v>
      </c>
      <c r="O19" s="78">
        <f t="shared" si="7"/>
        <v>0</v>
      </c>
      <c r="P19" s="78">
        <f t="shared" si="7"/>
        <v>0</v>
      </c>
      <c r="Q19" s="78">
        <f t="shared" si="8"/>
        <v>0</v>
      </c>
      <c r="R19" s="78">
        <f t="shared" si="8"/>
        <v>0</v>
      </c>
      <c r="S19" s="78">
        <f t="shared" si="8"/>
        <v>0</v>
      </c>
      <c r="T19" s="78">
        <f t="shared" si="8"/>
        <v>0</v>
      </c>
      <c r="U19" s="78">
        <f t="shared" si="8"/>
        <v>0</v>
      </c>
      <c r="V19" s="78">
        <f t="shared" si="8"/>
        <v>0</v>
      </c>
      <c r="W19" s="78">
        <f t="shared" si="8"/>
        <v>0</v>
      </c>
      <c r="X19" s="78">
        <f t="shared" si="8"/>
        <v>0</v>
      </c>
      <c r="Y19" s="78">
        <f t="shared" si="8"/>
        <v>0</v>
      </c>
      <c r="Z19" s="78">
        <f t="shared" si="8"/>
        <v>0</v>
      </c>
      <c r="AA19" s="78">
        <f>SUM(G19:Z19)</f>
        <v>0</v>
      </c>
      <c r="AB19" s="92" t="str">
        <f>IF(ABS(F19-AA19)&lt;0.01,"ok","err")</f>
        <v>ok</v>
      </c>
    </row>
    <row r="20" spans="1:28" hidden="1">
      <c r="A20" s="68" t="s">
        <v>1229</v>
      </c>
      <c r="C20" s="60" t="s">
        <v>894</v>
      </c>
      <c r="D20" s="60" t="s">
        <v>350</v>
      </c>
      <c r="E20" s="60" t="s">
        <v>1232</v>
      </c>
      <c r="F20" s="78">
        <f>VLOOKUP(C20,'Functional Assignment'!$C$2:$AP$780,'Functional Assignment'!$P$2,)</f>
        <v>0</v>
      </c>
      <c r="G20" s="78">
        <f t="shared" si="7"/>
        <v>0</v>
      </c>
      <c r="H20" s="78">
        <f t="shared" si="7"/>
        <v>0</v>
      </c>
      <c r="I20" s="78">
        <f t="shared" si="7"/>
        <v>0</v>
      </c>
      <c r="J20" s="78">
        <f t="shared" si="7"/>
        <v>0</v>
      </c>
      <c r="K20" s="78">
        <f t="shared" si="7"/>
        <v>0</v>
      </c>
      <c r="L20" s="78">
        <f t="shared" si="7"/>
        <v>0</v>
      </c>
      <c r="M20" s="78">
        <f t="shared" si="7"/>
        <v>0</v>
      </c>
      <c r="N20" s="78">
        <f t="shared" si="7"/>
        <v>0</v>
      </c>
      <c r="O20" s="78">
        <f t="shared" si="7"/>
        <v>0</v>
      </c>
      <c r="P20" s="78">
        <f t="shared" si="7"/>
        <v>0</v>
      </c>
      <c r="Q20" s="78">
        <f t="shared" si="8"/>
        <v>0</v>
      </c>
      <c r="R20" s="78">
        <f t="shared" si="8"/>
        <v>0</v>
      </c>
      <c r="S20" s="78">
        <f t="shared" si="8"/>
        <v>0</v>
      </c>
      <c r="T20" s="78">
        <f t="shared" si="8"/>
        <v>0</v>
      </c>
      <c r="U20" s="78">
        <f t="shared" si="8"/>
        <v>0</v>
      </c>
      <c r="V20" s="78">
        <f t="shared" si="8"/>
        <v>0</v>
      </c>
      <c r="W20" s="78">
        <f t="shared" si="8"/>
        <v>0</v>
      </c>
      <c r="X20" s="78">
        <f t="shared" si="8"/>
        <v>0</v>
      </c>
      <c r="Y20" s="78">
        <f t="shared" si="8"/>
        <v>0</v>
      </c>
      <c r="Z20" s="78">
        <f t="shared" si="8"/>
        <v>0</v>
      </c>
      <c r="AA20" s="78">
        <f>SUM(G20:Z20)</f>
        <v>0</v>
      </c>
      <c r="AB20" s="92" t="str">
        <f>IF(ABS(F20-AA20)&lt;0.01,"ok","err")</f>
        <v>ok</v>
      </c>
    </row>
    <row r="21" spans="1:28" ht="14.25" hidden="1" customHeight="1">
      <c r="A21" s="60" t="s">
        <v>1059</v>
      </c>
      <c r="C21" s="60" t="s">
        <v>894</v>
      </c>
      <c r="D21" s="60" t="s">
        <v>351</v>
      </c>
      <c r="F21" s="75">
        <f t="shared" ref="F21:Y21" si="9">SUM(F18:F20)</f>
        <v>612587887.1790638</v>
      </c>
      <c r="G21" s="75">
        <f t="shared" si="9"/>
        <v>289827323.34175497</v>
      </c>
      <c r="H21" s="75">
        <f t="shared" si="9"/>
        <v>70795598.004044071</v>
      </c>
      <c r="I21" s="75">
        <f t="shared" si="9"/>
        <v>4647245.2315404387</v>
      </c>
      <c r="J21" s="75">
        <f t="shared" si="9"/>
        <v>78773670.55597578</v>
      </c>
      <c r="K21" s="75">
        <f t="shared" si="9"/>
        <v>66061500.624408521</v>
      </c>
      <c r="L21" s="75">
        <f t="shared" si="9"/>
        <v>62543037.024666004</v>
      </c>
      <c r="M21" s="75">
        <f t="shared" si="9"/>
        <v>32615094.245945964</v>
      </c>
      <c r="N21" s="75">
        <f t="shared" si="9"/>
        <v>2095868.7287585055</v>
      </c>
      <c r="O21" s="75">
        <f>SUM(O18:O20)</f>
        <v>4966644.192512325</v>
      </c>
      <c r="P21" s="75">
        <f t="shared" si="9"/>
        <v>172988.31854910968</v>
      </c>
      <c r="Q21" s="75">
        <f t="shared" si="9"/>
        <v>79409.687386719801</v>
      </c>
      <c r="R21" s="75">
        <f t="shared" si="9"/>
        <v>8641.9362754161521</v>
      </c>
      <c r="S21" s="75">
        <f t="shared" si="9"/>
        <v>865.28724610394693</v>
      </c>
      <c r="T21" s="75">
        <f t="shared" si="9"/>
        <v>0</v>
      </c>
      <c r="U21" s="75">
        <f t="shared" si="9"/>
        <v>0</v>
      </c>
      <c r="V21" s="75">
        <f t="shared" si="9"/>
        <v>0</v>
      </c>
      <c r="W21" s="75">
        <f t="shared" si="9"/>
        <v>0</v>
      </c>
      <c r="X21" s="75">
        <f t="shared" si="9"/>
        <v>0</v>
      </c>
      <c r="Y21" s="75">
        <f t="shared" si="9"/>
        <v>0</v>
      </c>
      <c r="Z21" s="75">
        <f>SUM(Z18:Z20)</f>
        <v>0</v>
      </c>
      <c r="AA21" s="79">
        <f>SUM(G21:Z21)</f>
        <v>612587887.1790638</v>
      </c>
      <c r="AB21" s="92" t="str">
        <f>IF(ABS(F21-AA21)&lt;0.01,"ok","err")</f>
        <v>ok</v>
      </c>
    </row>
    <row r="22" spans="1:28">
      <c r="F22" s="78"/>
      <c r="G22" s="78"/>
    </row>
    <row r="23" spans="1:28" ht="15">
      <c r="A23" s="65" t="s">
        <v>337</v>
      </c>
      <c r="F23" s="78"/>
      <c r="G23" s="78"/>
    </row>
    <row r="24" spans="1:28">
      <c r="A24" s="68" t="s">
        <v>359</v>
      </c>
      <c r="C24" s="60" t="s">
        <v>894</v>
      </c>
      <c r="D24" s="60" t="s">
        <v>362</v>
      </c>
      <c r="E24" s="60" t="s">
        <v>1233</v>
      </c>
      <c r="F24" s="75">
        <f>VLOOKUP(C24,'Functional Assignment'!$C$2:$AP$780,'Functional Assignment'!$Q$2,)</f>
        <v>0</v>
      </c>
      <c r="G24" s="75">
        <f t="shared" ref="G24:Z24" si="10">IF(VLOOKUP($E24,$D$6:$AN$1148,3,)=0,0,(VLOOKUP($E24,$D$6:$AN$1148,G$2,)/VLOOKUP($E24,$D$6:$AN$1148,3,))*$F24)</f>
        <v>0</v>
      </c>
      <c r="H24" s="75">
        <f t="shared" si="10"/>
        <v>0</v>
      </c>
      <c r="I24" s="75">
        <f t="shared" si="10"/>
        <v>0</v>
      </c>
      <c r="J24" s="75">
        <f t="shared" si="10"/>
        <v>0</v>
      </c>
      <c r="K24" s="75">
        <f t="shared" si="10"/>
        <v>0</v>
      </c>
      <c r="L24" s="75">
        <f t="shared" si="10"/>
        <v>0</v>
      </c>
      <c r="M24" s="75">
        <f t="shared" si="10"/>
        <v>0</v>
      </c>
      <c r="N24" s="75">
        <f t="shared" si="10"/>
        <v>0</v>
      </c>
      <c r="O24" s="75">
        <f t="shared" si="10"/>
        <v>0</v>
      </c>
      <c r="P24" s="75">
        <f t="shared" si="10"/>
        <v>0</v>
      </c>
      <c r="Q24" s="75">
        <f t="shared" si="10"/>
        <v>0</v>
      </c>
      <c r="R24" s="75">
        <f t="shared" si="10"/>
        <v>0</v>
      </c>
      <c r="S24" s="75">
        <f t="shared" si="10"/>
        <v>0</v>
      </c>
      <c r="T24" s="75">
        <f t="shared" si="10"/>
        <v>0</v>
      </c>
      <c r="U24" s="75">
        <f t="shared" si="10"/>
        <v>0</v>
      </c>
      <c r="V24" s="75">
        <f t="shared" si="10"/>
        <v>0</v>
      </c>
      <c r="W24" s="75">
        <f t="shared" si="10"/>
        <v>0</v>
      </c>
      <c r="X24" s="75">
        <f t="shared" si="10"/>
        <v>0</v>
      </c>
      <c r="Y24" s="75">
        <f t="shared" si="10"/>
        <v>0</v>
      </c>
      <c r="Z24" s="75">
        <f t="shared" si="10"/>
        <v>0</v>
      </c>
      <c r="AA24" s="79">
        <f>SUM(G24:Z24)</f>
        <v>0</v>
      </c>
      <c r="AB24" s="92" t="str">
        <f>IF(ABS(F24-AA24)&lt;0.01,"ok","err")</f>
        <v>ok</v>
      </c>
    </row>
    <row r="25" spans="1:28">
      <c r="F25" s="78"/>
    </row>
    <row r="26" spans="1:28" ht="15">
      <c r="A26" s="65" t="s">
        <v>338</v>
      </c>
      <c r="F26" s="78"/>
      <c r="G26" s="78"/>
    </row>
    <row r="27" spans="1:28">
      <c r="A27" s="68" t="s">
        <v>361</v>
      </c>
      <c r="C27" s="60" t="s">
        <v>894</v>
      </c>
      <c r="D27" s="60" t="s">
        <v>363</v>
      </c>
      <c r="E27" s="60" t="s">
        <v>1233</v>
      </c>
      <c r="F27" s="75">
        <f>VLOOKUP(C27,'Functional Assignment'!$C$2:$AP$780,'Functional Assignment'!$R$2,)</f>
        <v>234986651.87457144</v>
      </c>
      <c r="G27" s="75">
        <f t="shared" ref="G27:Z27" si="11">IF(VLOOKUP($E27,$D$6:$AN$1148,3,)=0,0,(VLOOKUP($E27,$D$6:$AN$1148,G$2,)/VLOOKUP($E27,$D$6:$AN$1148,3,))*$F27)</f>
        <v>117428874.53291576</v>
      </c>
      <c r="H27" s="75">
        <f t="shared" si="11"/>
        <v>28684139.575400505</v>
      </c>
      <c r="I27" s="75">
        <f t="shared" si="11"/>
        <v>1882916.9414601987</v>
      </c>
      <c r="J27" s="75">
        <f t="shared" si="11"/>
        <v>31916602.511997335</v>
      </c>
      <c r="K27" s="75">
        <f t="shared" si="11"/>
        <v>26766032.887563124</v>
      </c>
      <c r="L27" s="75">
        <f t="shared" si="11"/>
        <v>25340462.600266233</v>
      </c>
      <c r="M27" s="75">
        <f t="shared" si="11"/>
        <v>0</v>
      </c>
      <c r="N27" s="75">
        <f t="shared" si="11"/>
        <v>849179.79143268289</v>
      </c>
      <c r="O27" s="75">
        <f t="shared" si="11"/>
        <v>2012327.3092662892</v>
      </c>
      <c r="P27" s="75">
        <f t="shared" si="11"/>
        <v>70089.401234990073</v>
      </c>
      <c r="Q27" s="75">
        <f t="shared" si="11"/>
        <v>32174.296437321951</v>
      </c>
      <c r="R27" s="75">
        <f t="shared" si="11"/>
        <v>3501.4395430573759</v>
      </c>
      <c r="S27" s="75">
        <f t="shared" si="11"/>
        <v>350.58705399510501</v>
      </c>
      <c r="T27" s="75">
        <f t="shared" si="11"/>
        <v>0</v>
      </c>
      <c r="U27" s="75">
        <f t="shared" si="11"/>
        <v>0</v>
      </c>
      <c r="V27" s="75">
        <f t="shared" si="11"/>
        <v>0</v>
      </c>
      <c r="W27" s="75">
        <f t="shared" si="11"/>
        <v>0</v>
      </c>
      <c r="X27" s="75">
        <f t="shared" si="11"/>
        <v>0</v>
      </c>
      <c r="Y27" s="75">
        <f t="shared" si="11"/>
        <v>0</v>
      </c>
      <c r="Z27" s="75">
        <f t="shared" si="11"/>
        <v>0</v>
      </c>
      <c r="AA27" s="79">
        <f>SUM(G27:Z27)</f>
        <v>234986651.8745715</v>
      </c>
      <c r="AB27" s="92" t="str">
        <f>IF(ABS(F27-AA27)&lt;0.01,"ok","err")</f>
        <v>ok</v>
      </c>
    </row>
    <row r="28" spans="1:28">
      <c r="F28" s="78"/>
    </row>
    <row r="29" spans="1:28" ht="15">
      <c r="A29" s="65" t="s">
        <v>360</v>
      </c>
      <c r="F29" s="78"/>
    </row>
    <row r="30" spans="1:28">
      <c r="A30" s="68" t="s">
        <v>603</v>
      </c>
      <c r="C30" s="60" t="s">
        <v>894</v>
      </c>
      <c r="D30" s="60" t="s">
        <v>366</v>
      </c>
      <c r="E30" s="60" t="s">
        <v>1233</v>
      </c>
      <c r="F30" s="75">
        <f>VLOOKUP(C30,'Functional Assignment'!$C$2:$AP$780,'Functional Assignment'!$S$2,)</f>
        <v>0</v>
      </c>
      <c r="G30" s="75">
        <f t="shared" ref="G30:P34" si="12">IF(VLOOKUP($E30,$D$6:$AN$1148,3,)=0,0,(VLOOKUP($E30,$D$6:$AN$1148,G$2,)/VLOOKUP($E30,$D$6:$AN$1148,3,))*$F30)</f>
        <v>0</v>
      </c>
      <c r="H30" s="75">
        <f t="shared" si="12"/>
        <v>0</v>
      </c>
      <c r="I30" s="75">
        <f t="shared" si="12"/>
        <v>0</v>
      </c>
      <c r="J30" s="75">
        <f t="shared" si="12"/>
        <v>0</v>
      </c>
      <c r="K30" s="75">
        <f t="shared" si="12"/>
        <v>0</v>
      </c>
      <c r="L30" s="75">
        <f t="shared" si="12"/>
        <v>0</v>
      </c>
      <c r="M30" s="75">
        <f t="shared" si="12"/>
        <v>0</v>
      </c>
      <c r="N30" s="75">
        <f t="shared" si="12"/>
        <v>0</v>
      </c>
      <c r="O30" s="75">
        <f t="shared" si="12"/>
        <v>0</v>
      </c>
      <c r="P30" s="75">
        <f t="shared" si="12"/>
        <v>0</v>
      </c>
      <c r="Q30" s="75">
        <f t="shared" ref="Q30:Z34" si="13">IF(VLOOKUP($E30,$D$6:$AN$1148,3,)=0,0,(VLOOKUP($E30,$D$6:$AN$1148,Q$2,)/VLOOKUP($E30,$D$6:$AN$1148,3,))*$F30)</f>
        <v>0</v>
      </c>
      <c r="R30" s="75">
        <f t="shared" si="13"/>
        <v>0</v>
      </c>
      <c r="S30" s="75">
        <f t="shared" si="13"/>
        <v>0</v>
      </c>
      <c r="T30" s="75">
        <f t="shared" si="13"/>
        <v>0</v>
      </c>
      <c r="U30" s="75">
        <f t="shared" si="13"/>
        <v>0</v>
      </c>
      <c r="V30" s="75">
        <f t="shared" si="13"/>
        <v>0</v>
      </c>
      <c r="W30" s="75">
        <f t="shared" si="13"/>
        <v>0</v>
      </c>
      <c r="X30" s="75">
        <f t="shared" si="13"/>
        <v>0</v>
      </c>
      <c r="Y30" s="75">
        <f t="shared" si="13"/>
        <v>0</v>
      </c>
      <c r="Z30" s="75">
        <f t="shared" si="13"/>
        <v>0</v>
      </c>
      <c r="AA30" s="79">
        <f t="shared" ref="AA30:AA35" si="14">SUM(G30:Z30)</f>
        <v>0</v>
      </c>
      <c r="AB30" s="92" t="str">
        <f t="shared" ref="AB30:AB35" si="15">IF(ABS(F30-AA30)&lt;0.01,"ok","err")</f>
        <v>ok</v>
      </c>
    </row>
    <row r="31" spans="1:28">
      <c r="A31" s="68" t="s">
        <v>604</v>
      </c>
      <c r="C31" s="60" t="s">
        <v>894</v>
      </c>
      <c r="D31" s="60" t="s">
        <v>367</v>
      </c>
      <c r="E31" s="60" t="s">
        <v>1233</v>
      </c>
      <c r="F31" s="78">
        <f>VLOOKUP(C31,'Functional Assignment'!$C$2:$AP$780,'Functional Assignment'!$T$2,)</f>
        <v>360746497.80348939</v>
      </c>
      <c r="G31" s="78">
        <f t="shared" si="12"/>
        <v>180274304.47992539</v>
      </c>
      <c r="H31" s="78">
        <f t="shared" si="12"/>
        <v>44035279.50113304</v>
      </c>
      <c r="I31" s="78">
        <f t="shared" si="12"/>
        <v>2890613.9428259525</v>
      </c>
      <c r="J31" s="78">
        <f t="shared" si="12"/>
        <v>48997687.681999914</v>
      </c>
      <c r="K31" s="78">
        <f t="shared" si="12"/>
        <v>41090643.009950005</v>
      </c>
      <c r="L31" s="78">
        <f t="shared" si="12"/>
        <v>38902137.899499863</v>
      </c>
      <c r="M31" s="78">
        <f t="shared" si="12"/>
        <v>0</v>
      </c>
      <c r="N31" s="78">
        <f t="shared" si="12"/>
        <v>1303642.7104308542</v>
      </c>
      <c r="O31" s="78">
        <f t="shared" si="12"/>
        <v>3089281.9803212364</v>
      </c>
      <c r="P31" s="78">
        <f t="shared" si="12"/>
        <v>107599.75439865544</v>
      </c>
      <c r="Q31" s="78">
        <f t="shared" si="13"/>
        <v>49393.293901861754</v>
      </c>
      <c r="R31" s="78">
        <f t="shared" si="13"/>
        <v>5375.3353322503572</v>
      </c>
      <c r="S31" s="78">
        <f t="shared" si="13"/>
        <v>538.21377042081667</v>
      </c>
      <c r="T31" s="78">
        <f t="shared" si="13"/>
        <v>0</v>
      </c>
      <c r="U31" s="78">
        <f t="shared" si="13"/>
        <v>0</v>
      </c>
      <c r="V31" s="78">
        <f t="shared" si="13"/>
        <v>0</v>
      </c>
      <c r="W31" s="78">
        <f t="shared" si="13"/>
        <v>0</v>
      </c>
      <c r="X31" s="78">
        <f t="shared" si="13"/>
        <v>0</v>
      </c>
      <c r="Y31" s="78">
        <f t="shared" si="13"/>
        <v>0</v>
      </c>
      <c r="Z31" s="78">
        <f t="shared" si="13"/>
        <v>0</v>
      </c>
      <c r="AA31" s="78">
        <f t="shared" si="14"/>
        <v>360746497.80348945</v>
      </c>
      <c r="AB31" s="92" t="str">
        <f t="shared" si="15"/>
        <v>ok</v>
      </c>
    </row>
    <row r="32" spans="1:28">
      <c r="A32" s="68" t="s">
        <v>605</v>
      </c>
      <c r="C32" s="60" t="s">
        <v>894</v>
      </c>
      <c r="D32" s="60" t="s">
        <v>368</v>
      </c>
      <c r="E32" s="60" t="s">
        <v>1332</v>
      </c>
      <c r="F32" s="78">
        <f>VLOOKUP(C32,'Functional Assignment'!$C$2:$AP$780,'Functional Assignment'!$U$2,)</f>
        <v>590335969.88389969</v>
      </c>
      <c r="G32" s="78">
        <f t="shared" si="12"/>
        <v>511648809.70533061</v>
      </c>
      <c r="H32" s="78">
        <f t="shared" si="12"/>
        <v>61431952.901315689</v>
      </c>
      <c r="I32" s="78">
        <f t="shared" si="12"/>
        <v>94860.952596225572</v>
      </c>
      <c r="J32" s="78">
        <f t="shared" si="12"/>
        <v>3771400.4439327968</v>
      </c>
      <c r="K32" s="78">
        <f t="shared" si="12"/>
        <v>178880.65346716822</v>
      </c>
      <c r="L32" s="78">
        <f t="shared" si="12"/>
        <v>684354.01515848457</v>
      </c>
      <c r="M32" s="78">
        <f t="shared" si="12"/>
        <v>17617.03405358475</v>
      </c>
      <c r="N32" s="78">
        <f t="shared" si="12"/>
        <v>2710.312931320731</v>
      </c>
      <c r="O32" s="78">
        <f t="shared" si="12"/>
        <v>12333143.478328418</v>
      </c>
      <c r="P32" s="78">
        <f t="shared" si="12"/>
        <v>21818.019097131888</v>
      </c>
      <c r="Q32" s="78">
        <f t="shared" si="13"/>
        <v>135515.64656603654</v>
      </c>
      <c r="R32" s="78">
        <f t="shared" si="13"/>
        <v>1355.1564656603655</v>
      </c>
      <c r="S32" s="78">
        <f t="shared" si="13"/>
        <v>13551.564656603652</v>
      </c>
      <c r="T32" s="78">
        <f t="shared" si="13"/>
        <v>0</v>
      </c>
      <c r="U32" s="78">
        <f t="shared" si="13"/>
        <v>0</v>
      </c>
      <c r="V32" s="78">
        <f t="shared" si="13"/>
        <v>0</v>
      </c>
      <c r="W32" s="78">
        <f t="shared" si="13"/>
        <v>0</v>
      </c>
      <c r="X32" s="78">
        <f t="shared" si="13"/>
        <v>0</v>
      </c>
      <c r="Y32" s="78">
        <f t="shared" si="13"/>
        <v>0</v>
      </c>
      <c r="Z32" s="78">
        <f t="shared" si="13"/>
        <v>0</v>
      </c>
      <c r="AA32" s="78">
        <f t="shared" si="14"/>
        <v>590335969.88389969</v>
      </c>
      <c r="AB32" s="92" t="str">
        <f t="shared" si="15"/>
        <v>ok</v>
      </c>
    </row>
    <row r="33" spans="1:28">
      <c r="A33" s="68" t="s">
        <v>606</v>
      </c>
      <c r="C33" s="60" t="s">
        <v>894</v>
      </c>
      <c r="D33" s="60" t="s">
        <v>369</v>
      </c>
      <c r="E33" s="60" t="s">
        <v>646</v>
      </c>
      <c r="F33" s="78">
        <f>VLOOKUP(C33,'Functional Assignment'!$C$2:$AP$780,'Functional Assignment'!$V$2,)</f>
        <v>100651564.84717923</v>
      </c>
      <c r="G33" s="78">
        <f t="shared" si="12"/>
        <v>76294059.687572509</v>
      </c>
      <c r="H33" s="78">
        <f t="shared" si="12"/>
        <v>12193195.269101903</v>
      </c>
      <c r="I33" s="78">
        <f t="shared" si="12"/>
        <v>0</v>
      </c>
      <c r="J33" s="78">
        <f t="shared" si="12"/>
        <v>11548656.622844076</v>
      </c>
      <c r="K33" s="78">
        <f t="shared" si="12"/>
        <v>0</v>
      </c>
      <c r="L33" s="78">
        <f t="shared" si="12"/>
        <v>0</v>
      </c>
      <c r="M33" s="78">
        <f t="shared" si="12"/>
        <v>0</v>
      </c>
      <c r="N33" s="78">
        <f t="shared" si="12"/>
        <v>0</v>
      </c>
      <c r="O33" s="78">
        <f t="shared" si="12"/>
        <v>584814.34900095512</v>
      </c>
      <c r="P33" s="78">
        <f t="shared" si="12"/>
        <v>20369.095706429827</v>
      </c>
      <c r="Q33" s="78">
        <f t="shared" si="13"/>
        <v>9350.362706361444</v>
      </c>
      <c r="R33" s="78">
        <f t="shared" si="13"/>
        <v>1017.5740683487052</v>
      </c>
      <c r="S33" s="78">
        <f t="shared" si="13"/>
        <v>101.88617865801614</v>
      </c>
      <c r="T33" s="78">
        <f t="shared" si="13"/>
        <v>0</v>
      </c>
      <c r="U33" s="78">
        <f t="shared" si="13"/>
        <v>0</v>
      </c>
      <c r="V33" s="78">
        <f t="shared" si="13"/>
        <v>0</v>
      </c>
      <c r="W33" s="78">
        <f t="shared" si="13"/>
        <v>0</v>
      </c>
      <c r="X33" s="78">
        <f t="shared" si="13"/>
        <v>0</v>
      </c>
      <c r="Y33" s="78">
        <f t="shared" si="13"/>
        <v>0</v>
      </c>
      <c r="Z33" s="78">
        <f t="shared" si="13"/>
        <v>0</v>
      </c>
      <c r="AA33" s="78">
        <f t="shared" si="14"/>
        <v>100651564.84717925</v>
      </c>
      <c r="AB33" s="92" t="str">
        <f t="shared" si="15"/>
        <v>ok</v>
      </c>
    </row>
    <row r="34" spans="1:28">
      <c r="A34" s="68" t="s">
        <v>607</v>
      </c>
      <c r="C34" s="60" t="s">
        <v>894</v>
      </c>
      <c r="D34" s="60" t="s">
        <v>370</v>
      </c>
      <c r="E34" s="60" t="s">
        <v>1331</v>
      </c>
      <c r="F34" s="78">
        <f>VLOOKUP(C34,'Functional Assignment'!$C$2:$AP$780,'Functional Assignment'!$W$2,)</f>
        <v>171988887.71068254</v>
      </c>
      <c r="G34" s="78">
        <f t="shared" si="12"/>
        <v>150203342.16336623</v>
      </c>
      <c r="H34" s="78">
        <f t="shared" si="12"/>
        <v>18034410.451798584</v>
      </c>
      <c r="I34" s="78">
        <f t="shared" si="12"/>
        <v>27848.070493821164</v>
      </c>
      <c r="J34" s="78">
        <f t="shared" si="12"/>
        <v>0</v>
      </c>
      <c r="K34" s="78">
        <f t="shared" si="12"/>
        <v>52513.504359777049</v>
      </c>
      <c r="L34" s="78">
        <f t="shared" si="12"/>
        <v>0</v>
      </c>
      <c r="M34" s="78">
        <f t="shared" si="12"/>
        <v>0</v>
      </c>
      <c r="N34" s="78">
        <f t="shared" si="12"/>
        <v>0</v>
      </c>
      <c r="O34" s="78">
        <f t="shared" si="12"/>
        <v>3620607.2108173859</v>
      </c>
      <c r="P34" s="78">
        <f t="shared" si="12"/>
        <v>6405.0562135788678</v>
      </c>
      <c r="Q34" s="78">
        <f t="shared" si="13"/>
        <v>39782.957848315949</v>
      </c>
      <c r="R34" s="78">
        <f t="shared" si="13"/>
        <v>0</v>
      </c>
      <c r="S34" s="78">
        <f t="shared" si="13"/>
        <v>3978.295784831595</v>
      </c>
      <c r="T34" s="78">
        <f t="shared" si="13"/>
        <v>0</v>
      </c>
      <c r="U34" s="78">
        <f t="shared" si="13"/>
        <v>0</v>
      </c>
      <c r="V34" s="78">
        <f t="shared" si="13"/>
        <v>0</v>
      </c>
      <c r="W34" s="78">
        <f t="shared" si="13"/>
        <v>0</v>
      </c>
      <c r="X34" s="78">
        <f t="shared" si="13"/>
        <v>0</v>
      </c>
      <c r="Y34" s="78">
        <f t="shared" si="13"/>
        <v>0</v>
      </c>
      <c r="Z34" s="78">
        <f t="shared" si="13"/>
        <v>0</v>
      </c>
      <c r="AA34" s="78">
        <f t="shared" si="14"/>
        <v>171988887.71068254</v>
      </c>
      <c r="AB34" s="92" t="str">
        <f t="shared" si="15"/>
        <v>ok</v>
      </c>
    </row>
    <row r="35" spans="1:28">
      <c r="A35" s="60" t="s">
        <v>365</v>
      </c>
      <c r="D35" s="60" t="s">
        <v>371</v>
      </c>
      <c r="F35" s="75">
        <f>SUM(F30:F34)</f>
        <v>1223722920.2452509</v>
      </c>
      <c r="G35" s="75">
        <f t="shared" ref="G35:Z35" si="16">SUM(G30:G34)</f>
        <v>918420516.03619468</v>
      </c>
      <c r="H35" s="75">
        <f t="shared" si="16"/>
        <v>135694838.12334922</v>
      </c>
      <c r="I35" s="75">
        <f t="shared" si="16"/>
        <v>3013322.9659159994</v>
      </c>
      <c r="J35" s="75">
        <f t="shared" si="16"/>
        <v>64317744.748776786</v>
      </c>
      <c r="K35" s="75">
        <f t="shared" si="16"/>
        <v>41322037.16777695</v>
      </c>
      <c r="L35" s="75">
        <f t="shared" si="16"/>
        <v>39586491.914658345</v>
      </c>
      <c r="M35" s="75">
        <f t="shared" si="16"/>
        <v>17617.03405358475</v>
      </c>
      <c r="N35" s="75">
        <f t="shared" si="16"/>
        <v>1306353.0233621749</v>
      </c>
      <c r="O35" s="75">
        <f>SUM(O30:O34)</f>
        <v>19627847.018467996</v>
      </c>
      <c r="P35" s="75">
        <f t="shared" si="16"/>
        <v>156191.92541579602</v>
      </c>
      <c r="Q35" s="75">
        <f t="shared" si="16"/>
        <v>234042.26102257569</v>
      </c>
      <c r="R35" s="75">
        <f t="shared" si="16"/>
        <v>7748.0658662594287</v>
      </c>
      <c r="S35" s="75">
        <f t="shared" si="16"/>
        <v>18169.960390514079</v>
      </c>
      <c r="T35" s="75">
        <f t="shared" si="16"/>
        <v>0</v>
      </c>
      <c r="U35" s="75">
        <f t="shared" si="16"/>
        <v>0</v>
      </c>
      <c r="V35" s="75">
        <f t="shared" si="16"/>
        <v>0</v>
      </c>
      <c r="W35" s="75">
        <f t="shared" si="16"/>
        <v>0</v>
      </c>
      <c r="X35" s="75">
        <f t="shared" si="16"/>
        <v>0</v>
      </c>
      <c r="Y35" s="75">
        <f t="shared" si="16"/>
        <v>0</v>
      </c>
      <c r="Z35" s="75">
        <f t="shared" si="16"/>
        <v>0</v>
      </c>
      <c r="AA35" s="79">
        <f t="shared" si="14"/>
        <v>1223722920.2452507</v>
      </c>
      <c r="AB35" s="92" t="str">
        <f t="shared" si="15"/>
        <v>ok</v>
      </c>
    </row>
    <row r="36" spans="1:28">
      <c r="F36" s="78"/>
    </row>
    <row r="37" spans="1:28" ht="15">
      <c r="A37" s="65" t="s">
        <v>613</v>
      </c>
      <c r="F37" s="78"/>
    </row>
    <row r="38" spans="1:28">
      <c r="A38" s="68" t="s">
        <v>1016</v>
      </c>
      <c r="C38" s="60" t="s">
        <v>894</v>
      </c>
      <c r="D38" s="60" t="s">
        <v>372</v>
      </c>
      <c r="E38" s="60" t="s">
        <v>1209</v>
      </c>
      <c r="F38" s="75">
        <f>VLOOKUP(C38,'Functional Assignment'!$C$2:$AP$780,'Functional Assignment'!$X$2,)</f>
        <v>123303835.88024795</v>
      </c>
      <c r="G38" s="75">
        <f t="shared" ref="G38:P39" si="17">IF(VLOOKUP($E38,$D$6:$AN$1148,3,)=0,0,(VLOOKUP($E38,$D$6:$AN$1148,G$2,)/VLOOKUP($E38,$D$6:$AN$1148,3,))*$F38)</f>
        <v>85300381.461441338</v>
      </c>
      <c r="H38" s="75">
        <f t="shared" si="17"/>
        <v>13632571.289919874</v>
      </c>
      <c r="I38" s="75">
        <f t="shared" si="17"/>
        <v>0</v>
      </c>
      <c r="J38" s="75">
        <f t="shared" si="17"/>
        <v>12911946.47826905</v>
      </c>
      <c r="K38" s="75">
        <f t="shared" si="17"/>
        <v>0</v>
      </c>
      <c r="L38" s="75">
        <f t="shared" si="17"/>
        <v>10770607.063825492</v>
      </c>
      <c r="M38" s="75">
        <f t="shared" si="17"/>
        <v>0</v>
      </c>
      <c r="N38" s="75">
        <f t="shared" si="17"/>
        <v>0</v>
      </c>
      <c r="O38" s="75">
        <f t="shared" si="17"/>
        <v>653850.21138194425</v>
      </c>
      <c r="P38" s="75">
        <f t="shared" si="17"/>
        <v>22773.616201551929</v>
      </c>
      <c r="Q38" s="75">
        <f t="shared" ref="Q38:Z39" si="18">IF(VLOOKUP($E38,$D$6:$AN$1148,3,)=0,0,(VLOOKUP($E38,$D$6:$AN$1148,Q$2,)/VLOOKUP($E38,$D$6:$AN$1148,3,))*$F38)</f>
        <v>10454.149496325534</v>
      </c>
      <c r="R38" s="75">
        <f t="shared" si="18"/>
        <v>1137.6961266822461</v>
      </c>
      <c r="S38" s="75">
        <f t="shared" si="18"/>
        <v>113.91358568107498</v>
      </c>
      <c r="T38" s="75">
        <f t="shared" si="18"/>
        <v>0</v>
      </c>
      <c r="U38" s="75">
        <f t="shared" si="18"/>
        <v>0</v>
      </c>
      <c r="V38" s="75">
        <f t="shared" si="18"/>
        <v>0</v>
      </c>
      <c r="W38" s="75">
        <f t="shared" si="18"/>
        <v>0</v>
      </c>
      <c r="X38" s="75">
        <f t="shared" si="18"/>
        <v>0</v>
      </c>
      <c r="Y38" s="75">
        <f t="shared" si="18"/>
        <v>0</v>
      </c>
      <c r="Z38" s="75">
        <f t="shared" si="18"/>
        <v>0</v>
      </c>
      <c r="AA38" s="79">
        <f>SUM(G38:Z38)</f>
        <v>123303835.88024794</v>
      </c>
      <c r="AB38" s="92" t="str">
        <f>IF(ABS(F38-AA38)&lt;0.01,"ok","err")</f>
        <v>ok</v>
      </c>
    </row>
    <row r="39" spans="1:28">
      <c r="A39" s="68" t="s">
        <v>1019</v>
      </c>
      <c r="C39" s="60" t="s">
        <v>894</v>
      </c>
      <c r="D39" s="60" t="s">
        <v>373</v>
      </c>
      <c r="E39" s="60" t="s">
        <v>1333</v>
      </c>
      <c r="F39" s="78">
        <f>VLOOKUP(C39,'Functional Assignment'!$C$2:$AP$780,'Functional Assignment'!$Y$2,)</f>
        <v>68730532.964510858</v>
      </c>
      <c r="G39" s="78">
        <f t="shared" si="17"/>
        <v>59598979.879610538</v>
      </c>
      <c r="H39" s="78">
        <f t="shared" si="17"/>
        <v>7155849.1986706769</v>
      </c>
      <c r="I39" s="78">
        <f t="shared" si="17"/>
        <v>0</v>
      </c>
      <c r="J39" s="78">
        <f t="shared" si="17"/>
        <v>439308.3984801133</v>
      </c>
      <c r="K39" s="78">
        <f t="shared" si="17"/>
        <v>0</v>
      </c>
      <c r="L39" s="78">
        <f t="shared" si="17"/>
        <v>79716.400011662656</v>
      </c>
      <c r="M39" s="78">
        <f t="shared" si="17"/>
        <v>0</v>
      </c>
      <c r="N39" s="78">
        <f t="shared" si="17"/>
        <v>0</v>
      </c>
      <c r="O39" s="78">
        <f t="shared" si="17"/>
        <v>1436615.8116161202</v>
      </c>
      <c r="P39" s="78">
        <f t="shared" si="17"/>
        <v>2541.4535449262753</v>
      </c>
      <c r="Q39" s="78">
        <f t="shared" si="18"/>
        <v>15785.425744883696</v>
      </c>
      <c r="R39" s="78">
        <f t="shared" si="18"/>
        <v>157.85425744883696</v>
      </c>
      <c r="S39" s="78">
        <f t="shared" si="18"/>
        <v>1578.5425744883696</v>
      </c>
      <c r="T39" s="78">
        <f t="shared" si="18"/>
        <v>0</v>
      </c>
      <c r="U39" s="78">
        <f t="shared" si="18"/>
        <v>0</v>
      </c>
      <c r="V39" s="78">
        <f t="shared" si="18"/>
        <v>0</v>
      </c>
      <c r="W39" s="78">
        <f t="shared" si="18"/>
        <v>0</v>
      </c>
      <c r="X39" s="78">
        <f t="shared" si="18"/>
        <v>0</v>
      </c>
      <c r="Y39" s="78">
        <f t="shared" si="18"/>
        <v>0</v>
      </c>
      <c r="Z39" s="78">
        <f t="shared" si="18"/>
        <v>0</v>
      </c>
      <c r="AA39" s="78">
        <f>SUM(G39:Z39)</f>
        <v>68730532.964510858</v>
      </c>
      <c r="AB39" s="92" t="str">
        <f>IF(ABS(F39-AA39)&lt;0.01,"ok","err")</f>
        <v>ok</v>
      </c>
    </row>
    <row r="40" spans="1:28">
      <c r="A40" s="60" t="s">
        <v>674</v>
      </c>
      <c r="D40" s="60" t="s">
        <v>376</v>
      </c>
      <c r="F40" s="75">
        <f t="shared" ref="F40:Q40" si="19">F38+F39</f>
        <v>192034368.84475881</v>
      </c>
      <c r="G40" s="75">
        <f t="shared" si="19"/>
        <v>144899361.34105188</v>
      </c>
      <c r="H40" s="75">
        <f t="shared" si="19"/>
        <v>20788420.48859055</v>
      </c>
      <c r="I40" s="75">
        <f t="shared" si="19"/>
        <v>0</v>
      </c>
      <c r="J40" s="75">
        <f t="shared" si="19"/>
        <v>13351254.876749163</v>
      </c>
      <c r="K40" s="75">
        <f t="shared" si="19"/>
        <v>0</v>
      </c>
      <c r="L40" s="75">
        <f t="shared" si="19"/>
        <v>10850323.463837154</v>
      </c>
      <c r="M40" s="75">
        <f t="shared" si="19"/>
        <v>0</v>
      </c>
      <c r="N40" s="75">
        <f t="shared" si="19"/>
        <v>0</v>
      </c>
      <c r="O40" s="75">
        <f>O38+O39</f>
        <v>2090466.0229980643</v>
      </c>
      <c r="P40" s="75">
        <f t="shared" si="19"/>
        <v>25315.069746478206</v>
      </c>
      <c r="Q40" s="75">
        <f t="shared" si="19"/>
        <v>26239.57524120923</v>
      </c>
      <c r="R40" s="75">
        <f t="shared" ref="R40:Z40" si="20">R38+R39</f>
        <v>1295.5503841310831</v>
      </c>
      <c r="S40" s="75">
        <f t="shared" si="20"/>
        <v>1692.4561601694445</v>
      </c>
      <c r="T40" s="75">
        <f t="shared" si="20"/>
        <v>0</v>
      </c>
      <c r="U40" s="75">
        <f t="shared" si="20"/>
        <v>0</v>
      </c>
      <c r="V40" s="75">
        <f t="shared" si="20"/>
        <v>0</v>
      </c>
      <c r="W40" s="75">
        <f t="shared" si="20"/>
        <v>0</v>
      </c>
      <c r="X40" s="75">
        <f t="shared" si="20"/>
        <v>0</v>
      </c>
      <c r="Y40" s="75">
        <f t="shared" si="20"/>
        <v>0</v>
      </c>
      <c r="Z40" s="75">
        <f t="shared" si="20"/>
        <v>0</v>
      </c>
      <c r="AA40" s="79">
        <f>SUM(G40:Z40)</f>
        <v>192034368.84475875</v>
      </c>
      <c r="AB40" s="92" t="str">
        <f>IF(ABS(F40-AA40)&lt;0.01,"ok","err")</f>
        <v>ok</v>
      </c>
    </row>
    <row r="41" spans="1:28">
      <c r="F41" s="78"/>
    </row>
    <row r="42" spans="1:28" ht="15">
      <c r="A42" s="65" t="s">
        <v>343</v>
      </c>
      <c r="F42" s="78"/>
    </row>
    <row r="43" spans="1:28">
      <c r="A43" s="68" t="s">
        <v>1019</v>
      </c>
      <c r="C43" s="60" t="s">
        <v>894</v>
      </c>
      <c r="D43" s="60" t="s">
        <v>364</v>
      </c>
      <c r="E43" s="60" t="s">
        <v>1021</v>
      </c>
      <c r="F43" s="75">
        <f>VLOOKUP(C43,'Functional Assignment'!$C$2:$AP$780,'Functional Assignment'!$Z$2,)</f>
        <v>43944307.629729785</v>
      </c>
      <c r="G43" s="75">
        <f t="shared" ref="G43:Z43" si="21">IF(VLOOKUP($E43,$D$6:$AN$1148,3,)=0,0,(VLOOKUP($E43,$D$6:$AN$1148,G$2,)/VLOOKUP($E43,$D$6:$AN$1148,3,))*$F43)</f>
        <v>37850186.609669678</v>
      </c>
      <c r="H43" s="75">
        <f t="shared" si="21"/>
        <v>5390780.1544474876</v>
      </c>
      <c r="I43" s="75">
        <f t="shared" si="21"/>
        <v>0</v>
      </c>
      <c r="J43" s="75">
        <f t="shared" si="21"/>
        <v>554489.38536644506</v>
      </c>
      <c r="K43" s="75">
        <f t="shared" si="21"/>
        <v>0</v>
      </c>
      <c r="L43" s="75">
        <f t="shared" si="21"/>
        <v>148652.19548073233</v>
      </c>
      <c r="M43" s="75">
        <f t="shared" si="21"/>
        <v>0</v>
      </c>
      <c r="N43" s="75">
        <f t="shared" si="21"/>
        <v>0</v>
      </c>
      <c r="O43" s="75">
        <f t="shared" si="21"/>
        <v>0</v>
      </c>
      <c r="P43" s="75">
        <f t="shared" si="21"/>
        <v>0</v>
      </c>
      <c r="Q43" s="75">
        <f t="shared" si="21"/>
        <v>0</v>
      </c>
      <c r="R43" s="75">
        <f t="shared" si="21"/>
        <v>199.28476543707004</v>
      </c>
      <c r="S43" s="75">
        <f t="shared" si="21"/>
        <v>0</v>
      </c>
      <c r="T43" s="75">
        <f t="shared" si="21"/>
        <v>0</v>
      </c>
      <c r="U43" s="75">
        <f t="shared" si="21"/>
        <v>0</v>
      </c>
      <c r="V43" s="75">
        <f t="shared" si="21"/>
        <v>0</v>
      </c>
      <c r="W43" s="75">
        <f t="shared" si="21"/>
        <v>0</v>
      </c>
      <c r="X43" s="75">
        <f t="shared" si="21"/>
        <v>0</v>
      </c>
      <c r="Y43" s="75">
        <f t="shared" si="21"/>
        <v>0</v>
      </c>
      <c r="Z43" s="75">
        <f t="shared" si="21"/>
        <v>0</v>
      </c>
      <c r="AA43" s="79">
        <f>SUM(G43:Z43)</f>
        <v>43944307.629729785</v>
      </c>
      <c r="AB43" s="92" t="str">
        <f>IF(ABS(F43-AA43)&lt;0.01,"ok","err")</f>
        <v>ok</v>
      </c>
    </row>
    <row r="44" spans="1:28">
      <c r="F44" s="78"/>
    </row>
    <row r="45" spans="1:28" ht="15">
      <c r="A45" s="65" t="s">
        <v>342</v>
      </c>
      <c r="F45" s="78"/>
    </row>
    <row r="46" spans="1:28">
      <c r="A46" s="68" t="s">
        <v>1019</v>
      </c>
      <c r="C46" s="60" t="s">
        <v>894</v>
      </c>
      <c r="D46" s="60" t="s">
        <v>375</v>
      </c>
      <c r="E46" s="60" t="s">
        <v>1265</v>
      </c>
      <c r="F46" s="75">
        <f>VLOOKUP(C46,'Functional Assignment'!$C$2:$AP$780,'Functional Assignment'!$AA$2,)</f>
        <v>44815612.309450604</v>
      </c>
      <c r="G46" s="75">
        <f t="shared" ref="G46:Z46" si="22">IF(VLOOKUP($E46,$D$6:$AN$1148,3,)=0,0,(VLOOKUP($E46,$D$6:$AN$1148,G$2,)/VLOOKUP($E46,$D$6:$AN$1148,3,))*$F46)</f>
        <v>30508189.752610154</v>
      </c>
      <c r="H46" s="75">
        <f t="shared" si="22"/>
        <v>9479010.4623191208</v>
      </c>
      <c r="I46" s="75">
        <f t="shared" si="22"/>
        <v>309833.18146081886</v>
      </c>
      <c r="J46" s="75">
        <f t="shared" si="22"/>
        <v>2650781.9904175363</v>
      </c>
      <c r="K46" s="75">
        <f t="shared" si="22"/>
        <v>618859.83527771977</v>
      </c>
      <c r="L46" s="75">
        <f t="shared" si="22"/>
        <v>524043.18550742656</v>
      </c>
      <c r="M46" s="75">
        <f t="shared" si="22"/>
        <v>437344.78288600536</v>
      </c>
      <c r="N46" s="75">
        <f t="shared" si="22"/>
        <v>9405.5562906548857</v>
      </c>
      <c r="O46" s="75">
        <f t="shared" si="22"/>
        <v>0</v>
      </c>
      <c r="P46" s="75">
        <f t="shared" si="22"/>
        <v>13008.035286478089</v>
      </c>
      <c r="Q46" s="75">
        <f t="shared" si="22"/>
        <v>80795.250226571981</v>
      </c>
      <c r="R46" s="75">
        <f t="shared" si="22"/>
        <v>952.69716810910143</v>
      </c>
      <c r="S46" s="75">
        <f t="shared" si="22"/>
        <v>183387.58000000005</v>
      </c>
      <c r="T46" s="75">
        <f t="shared" si="22"/>
        <v>0</v>
      </c>
      <c r="U46" s="75">
        <f t="shared" si="22"/>
        <v>0</v>
      </c>
      <c r="V46" s="75">
        <f t="shared" si="22"/>
        <v>0</v>
      </c>
      <c r="W46" s="75">
        <f t="shared" si="22"/>
        <v>0</v>
      </c>
      <c r="X46" s="75">
        <f t="shared" si="22"/>
        <v>0</v>
      </c>
      <c r="Y46" s="75">
        <f t="shared" si="22"/>
        <v>0</v>
      </c>
      <c r="Z46" s="75">
        <f t="shared" si="22"/>
        <v>0</v>
      </c>
      <c r="AA46" s="79">
        <f>SUM(G46:Z46)</f>
        <v>44815612.309450604</v>
      </c>
      <c r="AB46" s="92" t="str">
        <f>IF(ABS(F46-AA46)&lt;0.01,"ok","err")</f>
        <v>ok</v>
      </c>
    </row>
    <row r="47" spans="1:28">
      <c r="F47" s="78"/>
    </row>
    <row r="48" spans="1:28" ht="15">
      <c r="A48" s="65" t="s">
        <v>358</v>
      </c>
      <c r="F48" s="78"/>
    </row>
    <row r="49" spans="1:28">
      <c r="A49" s="68" t="s">
        <v>1019</v>
      </c>
      <c r="C49" s="60" t="s">
        <v>894</v>
      </c>
      <c r="D49" s="60" t="s">
        <v>377</v>
      </c>
      <c r="E49" s="60" t="s">
        <v>1329</v>
      </c>
      <c r="F49" s="75">
        <f>VLOOKUP(C49,'Functional Assignment'!$C$2:$AP$780,'Functional Assignment'!$AB$2,)</f>
        <v>144886355.04595384</v>
      </c>
      <c r="G49" s="75">
        <f t="shared" ref="G49:Z49" si="23">IF(VLOOKUP($E49,$D$6:$AN$1148,3,)=0,0,(VLOOKUP($E49,$D$6:$AN$1148,G$2,)/VLOOKUP($E49,$D$6:$AN$1148,3,))*$F49)</f>
        <v>0</v>
      </c>
      <c r="H49" s="75">
        <f t="shared" si="23"/>
        <v>0</v>
      </c>
      <c r="I49" s="75">
        <f t="shared" si="23"/>
        <v>0</v>
      </c>
      <c r="J49" s="75">
        <f t="shared" si="23"/>
        <v>0</v>
      </c>
      <c r="K49" s="75">
        <f t="shared" si="23"/>
        <v>0</v>
      </c>
      <c r="L49" s="75">
        <f t="shared" si="23"/>
        <v>0</v>
      </c>
      <c r="M49" s="75">
        <f t="shared" si="23"/>
        <v>0</v>
      </c>
      <c r="N49" s="75">
        <f t="shared" si="23"/>
        <v>0</v>
      </c>
      <c r="O49" s="75">
        <f t="shared" si="23"/>
        <v>144886355.04595384</v>
      </c>
      <c r="P49" s="75">
        <f t="shared" si="23"/>
        <v>0</v>
      </c>
      <c r="Q49" s="75">
        <f t="shared" si="23"/>
        <v>0</v>
      </c>
      <c r="R49" s="75">
        <f t="shared" si="23"/>
        <v>0</v>
      </c>
      <c r="S49" s="75">
        <f t="shared" si="23"/>
        <v>0</v>
      </c>
      <c r="T49" s="75">
        <f t="shared" si="23"/>
        <v>0</v>
      </c>
      <c r="U49" s="75">
        <f t="shared" si="23"/>
        <v>0</v>
      </c>
      <c r="V49" s="75">
        <f t="shared" si="23"/>
        <v>0</v>
      </c>
      <c r="W49" s="75">
        <f t="shared" si="23"/>
        <v>0</v>
      </c>
      <c r="X49" s="75">
        <f t="shared" si="23"/>
        <v>0</v>
      </c>
      <c r="Y49" s="75">
        <f t="shared" si="23"/>
        <v>0</v>
      </c>
      <c r="Z49" s="75">
        <f t="shared" si="23"/>
        <v>0</v>
      </c>
      <c r="AA49" s="79">
        <f>SUM(G49:Z49)</f>
        <v>144886355.04595384</v>
      </c>
      <c r="AB49" s="92" t="str">
        <f>IF(ABS(F49-AA49)&lt;0.01,"ok","err")</f>
        <v>ok</v>
      </c>
    </row>
    <row r="50" spans="1:28">
      <c r="F50" s="78"/>
    </row>
    <row r="51" spans="1:28" ht="15">
      <c r="A51" s="65" t="s">
        <v>951</v>
      </c>
      <c r="F51" s="78"/>
    </row>
    <row r="52" spans="1:28">
      <c r="A52" s="68" t="s">
        <v>1019</v>
      </c>
      <c r="C52" s="60" t="s">
        <v>894</v>
      </c>
      <c r="D52" s="60" t="s">
        <v>378</v>
      </c>
      <c r="E52" s="60" t="s">
        <v>1328</v>
      </c>
      <c r="F52" s="75">
        <f>VLOOKUP(C52,'Functional Assignment'!$C$2:$AP$780,'Functional Assignment'!$AC$2,)</f>
        <v>0</v>
      </c>
      <c r="G52" s="75">
        <f t="shared" ref="G52:Z52" si="24">IF(VLOOKUP($E52,$D$6:$AN$1148,3,)=0,0,(VLOOKUP($E52,$D$6:$AN$1148,G$2,)/VLOOKUP($E52,$D$6:$AN$1148,3,))*$F52)</f>
        <v>0</v>
      </c>
      <c r="H52" s="75">
        <f t="shared" si="24"/>
        <v>0</v>
      </c>
      <c r="I52" s="75">
        <f t="shared" si="24"/>
        <v>0</v>
      </c>
      <c r="J52" s="75">
        <f t="shared" si="24"/>
        <v>0</v>
      </c>
      <c r="K52" s="75">
        <f t="shared" si="24"/>
        <v>0</v>
      </c>
      <c r="L52" s="75">
        <f t="shared" si="24"/>
        <v>0</v>
      </c>
      <c r="M52" s="75">
        <f t="shared" si="24"/>
        <v>0</v>
      </c>
      <c r="N52" s="75">
        <f t="shared" si="24"/>
        <v>0</v>
      </c>
      <c r="O52" s="75">
        <f t="shared" si="24"/>
        <v>0</v>
      </c>
      <c r="P52" s="75">
        <f t="shared" si="24"/>
        <v>0</v>
      </c>
      <c r="Q52" s="75">
        <f t="shared" si="24"/>
        <v>0</v>
      </c>
      <c r="R52" s="75">
        <f t="shared" si="24"/>
        <v>0</v>
      </c>
      <c r="S52" s="75">
        <f t="shared" si="24"/>
        <v>0</v>
      </c>
      <c r="T52" s="75">
        <f t="shared" si="24"/>
        <v>0</v>
      </c>
      <c r="U52" s="75">
        <f t="shared" si="24"/>
        <v>0</v>
      </c>
      <c r="V52" s="75">
        <f t="shared" si="24"/>
        <v>0</v>
      </c>
      <c r="W52" s="75">
        <f t="shared" si="24"/>
        <v>0</v>
      </c>
      <c r="X52" s="75">
        <f t="shared" si="24"/>
        <v>0</v>
      </c>
      <c r="Y52" s="75">
        <f t="shared" si="24"/>
        <v>0</v>
      </c>
      <c r="Z52" s="75">
        <f t="shared" si="24"/>
        <v>0</v>
      </c>
      <c r="AA52" s="79">
        <f>SUM(G52:Z52)</f>
        <v>0</v>
      </c>
      <c r="AB52" s="92" t="str">
        <f>IF(ABS(F52-AA52)&lt;0.01,"ok","err")</f>
        <v>ok</v>
      </c>
    </row>
    <row r="53" spans="1:28">
      <c r="F53" s="78"/>
    </row>
    <row r="54" spans="1:28" ht="15">
      <c r="A54" s="65" t="s">
        <v>340</v>
      </c>
      <c r="F54" s="78"/>
    </row>
    <row r="55" spans="1:28">
      <c r="A55" s="68" t="s">
        <v>1019</v>
      </c>
      <c r="C55" s="60" t="s">
        <v>894</v>
      </c>
      <c r="D55" s="60" t="s">
        <v>379</v>
      </c>
      <c r="E55" s="60" t="s">
        <v>1334</v>
      </c>
      <c r="F55" s="75">
        <f>VLOOKUP(C55,'Functional Assignment'!$C$2:$AP$780,'Functional Assignment'!$AD$2,)</f>
        <v>0</v>
      </c>
      <c r="G55" s="75">
        <f t="shared" ref="G55:Z55" si="25">IF(VLOOKUP($E55,$D$6:$AN$1148,3,)=0,0,(VLOOKUP($E55,$D$6:$AN$1148,G$2,)/VLOOKUP($E55,$D$6:$AN$1148,3,))*$F55)</f>
        <v>0</v>
      </c>
      <c r="H55" s="75">
        <f t="shared" si="25"/>
        <v>0</v>
      </c>
      <c r="I55" s="75">
        <f t="shared" si="25"/>
        <v>0</v>
      </c>
      <c r="J55" s="75">
        <f t="shared" si="25"/>
        <v>0</v>
      </c>
      <c r="K55" s="75">
        <f t="shared" si="25"/>
        <v>0</v>
      </c>
      <c r="L55" s="75">
        <f t="shared" si="25"/>
        <v>0</v>
      </c>
      <c r="M55" s="75">
        <f t="shared" si="25"/>
        <v>0</v>
      </c>
      <c r="N55" s="75">
        <f t="shared" si="25"/>
        <v>0</v>
      </c>
      <c r="O55" s="75">
        <f t="shared" si="25"/>
        <v>0</v>
      </c>
      <c r="P55" s="75">
        <f t="shared" si="25"/>
        <v>0</v>
      </c>
      <c r="Q55" s="75">
        <f t="shared" si="25"/>
        <v>0</v>
      </c>
      <c r="R55" s="75">
        <f t="shared" si="25"/>
        <v>0</v>
      </c>
      <c r="S55" s="75">
        <f t="shared" si="25"/>
        <v>0</v>
      </c>
      <c r="T55" s="75">
        <f t="shared" si="25"/>
        <v>0</v>
      </c>
      <c r="U55" s="75">
        <f t="shared" si="25"/>
        <v>0</v>
      </c>
      <c r="V55" s="75">
        <f t="shared" si="25"/>
        <v>0</v>
      </c>
      <c r="W55" s="75">
        <f t="shared" si="25"/>
        <v>0</v>
      </c>
      <c r="X55" s="75">
        <f t="shared" si="25"/>
        <v>0</v>
      </c>
      <c r="Y55" s="75">
        <f t="shared" si="25"/>
        <v>0</v>
      </c>
      <c r="Z55" s="75">
        <f t="shared" si="25"/>
        <v>0</v>
      </c>
      <c r="AA55" s="79">
        <f>SUM(G55:Z55)</f>
        <v>0</v>
      </c>
      <c r="AB55" s="92" t="str">
        <f>IF(ABS(F55-AA55)&lt;0.01,"ok","err")</f>
        <v>ok</v>
      </c>
    </row>
    <row r="56" spans="1:28">
      <c r="F56" s="78"/>
    </row>
    <row r="57" spans="1:28" ht="15">
      <c r="A57" s="65" t="s">
        <v>339</v>
      </c>
      <c r="F57" s="78"/>
    </row>
    <row r="58" spans="1:28">
      <c r="A58" s="68" t="s">
        <v>1019</v>
      </c>
      <c r="C58" s="60" t="s">
        <v>894</v>
      </c>
      <c r="D58" s="60" t="s">
        <v>380</v>
      </c>
      <c r="E58" s="60" t="s">
        <v>1334</v>
      </c>
      <c r="F58" s="75">
        <f>VLOOKUP(C58,'Functional Assignment'!$C$2:$AP$780,'Functional Assignment'!$AE$2,)</f>
        <v>0</v>
      </c>
      <c r="G58" s="75">
        <f t="shared" ref="G58:Z58" si="26">IF(VLOOKUP($E58,$D$6:$AN$1148,3,)=0,0,(VLOOKUP($E58,$D$6:$AN$1148,G$2,)/VLOOKUP($E58,$D$6:$AN$1148,3,))*$F58)</f>
        <v>0</v>
      </c>
      <c r="H58" s="75">
        <f t="shared" si="26"/>
        <v>0</v>
      </c>
      <c r="I58" s="75">
        <f t="shared" si="26"/>
        <v>0</v>
      </c>
      <c r="J58" s="75">
        <f t="shared" si="26"/>
        <v>0</v>
      </c>
      <c r="K58" s="75">
        <f t="shared" si="26"/>
        <v>0</v>
      </c>
      <c r="L58" s="75">
        <f t="shared" si="26"/>
        <v>0</v>
      </c>
      <c r="M58" s="75">
        <f t="shared" si="26"/>
        <v>0</v>
      </c>
      <c r="N58" s="75">
        <f t="shared" si="26"/>
        <v>0</v>
      </c>
      <c r="O58" s="75">
        <f t="shared" si="26"/>
        <v>0</v>
      </c>
      <c r="P58" s="75">
        <f t="shared" si="26"/>
        <v>0</v>
      </c>
      <c r="Q58" s="75">
        <f t="shared" si="26"/>
        <v>0</v>
      </c>
      <c r="R58" s="75">
        <f t="shared" si="26"/>
        <v>0</v>
      </c>
      <c r="S58" s="75">
        <f t="shared" si="26"/>
        <v>0</v>
      </c>
      <c r="T58" s="75">
        <f t="shared" si="26"/>
        <v>0</v>
      </c>
      <c r="U58" s="75">
        <f t="shared" si="26"/>
        <v>0</v>
      </c>
      <c r="V58" s="75">
        <f t="shared" si="26"/>
        <v>0</v>
      </c>
      <c r="W58" s="75">
        <f t="shared" si="26"/>
        <v>0</v>
      </c>
      <c r="X58" s="75">
        <f t="shared" si="26"/>
        <v>0</v>
      </c>
      <c r="Y58" s="75">
        <f t="shared" si="26"/>
        <v>0</v>
      </c>
      <c r="Z58" s="75">
        <f t="shared" si="26"/>
        <v>0</v>
      </c>
      <c r="AA58" s="79">
        <f>SUM(G58:Z58)</f>
        <v>0</v>
      </c>
      <c r="AB58" s="92" t="str">
        <f>IF(ABS(F58-AA58)&lt;0.01,"ok","err")</f>
        <v>ok</v>
      </c>
    </row>
    <row r="59" spans="1:28">
      <c r="F59" s="78"/>
    </row>
    <row r="60" spans="1:28">
      <c r="A60" s="60" t="s">
        <v>848</v>
      </c>
      <c r="D60" s="60" t="s">
        <v>1026</v>
      </c>
      <c r="F60" s="75">
        <f t="shared" ref="F60:Z60" si="27">F15+F21+F24+F27+F35+F40+F43+F46+F49+F52+F55+F58</f>
        <v>6362551707.5583811</v>
      </c>
      <c r="G60" s="75">
        <f t="shared" si="27"/>
        <v>3148723799.3470821</v>
      </c>
      <c r="H60" s="75">
        <f t="shared" si="27"/>
        <v>734221782.63129592</v>
      </c>
      <c r="I60" s="75">
        <f t="shared" si="27"/>
        <v>43402239.279627502</v>
      </c>
      <c r="J60" s="75">
        <f t="shared" si="27"/>
        <v>731795867.72284818</v>
      </c>
      <c r="K60" s="75">
        <f t="shared" si="27"/>
        <v>641122442.55600011</v>
      </c>
      <c r="L60" s="75">
        <f t="shared" si="27"/>
        <v>557735071.18032348</v>
      </c>
      <c r="M60" s="75">
        <f t="shared" si="27"/>
        <v>292115122.3481977</v>
      </c>
      <c r="N60" s="75">
        <f t="shared" si="27"/>
        <v>18805294.275421023</v>
      </c>
      <c r="O60" s="75">
        <f t="shared" si="27"/>
        <v>189474318.44674826</v>
      </c>
      <c r="P60" s="75">
        <f t="shared" si="27"/>
        <v>991065.41902512102</v>
      </c>
      <c r="Q60" s="75">
        <f t="shared" si="27"/>
        <v>1214870.1947428256</v>
      </c>
      <c r="R60" s="75">
        <f t="shared" si="27"/>
        <v>23079.061737242173</v>
      </c>
      <c r="S60" s="75">
        <f t="shared" si="27"/>
        <v>211040.9853313487</v>
      </c>
      <c r="T60" s="75">
        <f t="shared" si="27"/>
        <v>2630742.58</v>
      </c>
      <c r="U60" s="75">
        <f t="shared" si="27"/>
        <v>84971.530000000013</v>
      </c>
      <c r="V60" s="75">
        <f t="shared" si="27"/>
        <v>0</v>
      </c>
      <c r="W60" s="75">
        <f t="shared" si="27"/>
        <v>0</v>
      </c>
      <c r="X60" s="75">
        <f t="shared" si="27"/>
        <v>0</v>
      </c>
      <c r="Y60" s="75">
        <f t="shared" si="27"/>
        <v>0</v>
      </c>
      <c r="Z60" s="75">
        <f t="shared" si="27"/>
        <v>0</v>
      </c>
      <c r="AA60" s="79">
        <f>SUM(G60:Z60)</f>
        <v>6362551707.5583811</v>
      </c>
      <c r="AB60" s="92" t="str">
        <f>IF(ABS(F60-AA60)&lt;0.01,"ok","err")</f>
        <v>ok</v>
      </c>
    </row>
    <row r="65" spans="1:28" ht="15">
      <c r="A65" s="65" t="s">
        <v>898</v>
      </c>
    </row>
    <row r="67" spans="1:28" ht="15">
      <c r="A67" s="65" t="s">
        <v>352</v>
      </c>
    </row>
    <row r="68" spans="1:28">
      <c r="A68" s="68" t="s">
        <v>1254</v>
      </c>
      <c r="C68" s="60" t="s">
        <v>899</v>
      </c>
      <c r="D68" s="60" t="s">
        <v>1426</v>
      </c>
      <c r="E68" s="60" t="s">
        <v>1409</v>
      </c>
      <c r="F68" s="75">
        <f>VLOOKUP(C68,'Functional Assignment'!$C$2:$AP$780,'Functional Assignment'!$H$2,)</f>
        <v>2495383412.90588</v>
      </c>
      <c r="G68" s="75">
        <f t="shared" ref="G68:P73" si="28">IF(VLOOKUP($E68,$D$6:$AN$1148,3,)=0,0,(VLOOKUP($E68,$D$6:$AN$1148,G$2,)/VLOOKUP($E68,$D$6:$AN$1148,3,))*$F68)</f>
        <v>1038847971.6927704</v>
      </c>
      <c r="H68" s="75">
        <f t="shared" si="28"/>
        <v>299039572.53387284</v>
      </c>
      <c r="I68" s="75">
        <f t="shared" si="28"/>
        <v>21650179.596530091</v>
      </c>
      <c r="J68" s="75">
        <f t="shared" si="28"/>
        <v>348628356.63112533</v>
      </c>
      <c r="K68" s="75">
        <f t="shared" si="28"/>
        <v>326766256.16145313</v>
      </c>
      <c r="L68" s="75">
        <f t="shared" si="28"/>
        <v>270227493.51206499</v>
      </c>
      <c r="M68" s="75">
        <f t="shared" si="28"/>
        <v>167169972.93248922</v>
      </c>
      <c r="N68" s="75">
        <f t="shared" si="28"/>
        <v>9386017.5077806711</v>
      </c>
      <c r="O68" s="75">
        <f t="shared" si="28"/>
        <v>10254757.570135169</v>
      </c>
      <c r="P68" s="75">
        <f t="shared" si="28"/>
        <v>357173.41537387262</v>
      </c>
      <c r="Q68" s="75">
        <f t="shared" ref="Q68:Z73" si="29">IF(VLOOKUP($E68,$D$6:$AN$1148,3,)=0,0,(VLOOKUP($E68,$D$6:$AN$1148,Q$2,)/VLOOKUP($E68,$D$6:$AN$1148,3,))*$F68)</f>
        <v>491877.65096926328</v>
      </c>
      <c r="R68" s="75">
        <f t="shared" si="29"/>
        <v>477.60201872851235</v>
      </c>
      <c r="S68" s="75">
        <f t="shared" si="29"/>
        <v>4243.1292960184455</v>
      </c>
      <c r="T68" s="75">
        <f t="shared" si="29"/>
        <v>2486734.1800000006</v>
      </c>
      <c r="U68" s="75">
        <f t="shared" si="29"/>
        <v>72328.790000000008</v>
      </c>
      <c r="V68" s="75">
        <f t="shared" si="29"/>
        <v>0</v>
      </c>
      <c r="W68" s="75">
        <f t="shared" si="29"/>
        <v>0</v>
      </c>
      <c r="X68" s="75">
        <f t="shared" si="29"/>
        <v>0</v>
      </c>
      <c r="Y68" s="75">
        <f t="shared" si="29"/>
        <v>0</v>
      </c>
      <c r="Z68" s="75">
        <f t="shared" si="29"/>
        <v>0</v>
      </c>
      <c r="AA68" s="79">
        <f t="shared" ref="AA68:AA74" si="30">SUM(G68:Z68)</f>
        <v>2495383412.905879</v>
      </c>
      <c r="AB68" s="92" t="str">
        <f t="shared" ref="AB68:AB74" si="31">IF(ABS(F68-AA68)&lt;0.01,"ok","err")</f>
        <v>ok</v>
      </c>
    </row>
    <row r="69" spans="1:28" hidden="1">
      <c r="A69" s="68" t="s">
        <v>1255</v>
      </c>
      <c r="C69" s="60" t="s">
        <v>899</v>
      </c>
      <c r="D69" s="60" t="s">
        <v>381</v>
      </c>
      <c r="E69" s="60" t="s">
        <v>1409</v>
      </c>
      <c r="F69" s="78">
        <f>VLOOKUP(C69,'Functional Assignment'!$C$2:$AP$780,'Functional Assignment'!$I$2,)</f>
        <v>0</v>
      </c>
      <c r="G69" s="78">
        <f t="shared" si="28"/>
        <v>0</v>
      </c>
      <c r="H69" s="78">
        <f t="shared" si="28"/>
        <v>0</v>
      </c>
      <c r="I69" s="78">
        <f t="shared" si="28"/>
        <v>0</v>
      </c>
      <c r="J69" s="78">
        <f t="shared" si="28"/>
        <v>0</v>
      </c>
      <c r="K69" s="78">
        <f t="shared" si="28"/>
        <v>0</v>
      </c>
      <c r="L69" s="78">
        <f t="shared" si="28"/>
        <v>0</v>
      </c>
      <c r="M69" s="78">
        <f t="shared" si="28"/>
        <v>0</v>
      </c>
      <c r="N69" s="78">
        <f t="shared" si="28"/>
        <v>0</v>
      </c>
      <c r="O69" s="78">
        <f t="shared" si="28"/>
        <v>0</v>
      </c>
      <c r="P69" s="78">
        <f t="shared" si="28"/>
        <v>0</v>
      </c>
      <c r="Q69" s="78">
        <f t="shared" si="29"/>
        <v>0</v>
      </c>
      <c r="R69" s="78">
        <f t="shared" si="29"/>
        <v>0</v>
      </c>
      <c r="S69" s="78">
        <f t="shared" si="29"/>
        <v>0</v>
      </c>
      <c r="T69" s="78">
        <f t="shared" si="29"/>
        <v>0</v>
      </c>
      <c r="U69" s="78">
        <f t="shared" si="29"/>
        <v>0</v>
      </c>
      <c r="V69" s="78">
        <f t="shared" si="29"/>
        <v>0</v>
      </c>
      <c r="W69" s="78">
        <f t="shared" si="29"/>
        <v>0</v>
      </c>
      <c r="X69" s="78">
        <f t="shared" si="29"/>
        <v>0</v>
      </c>
      <c r="Y69" s="78">
        <f t="shared" si="29"/>
        <v>0</v>
      </c>
      <c r="Z69" s="78">
        <f t="shared" si="29"/>
        <v>0</v>
      </c>
      <c r="AA69" s="78">
        <f t="shared" si="30"/>
        <v>0</v>
      </c>
      <c r="AB69" s="92" t="str">
        <f t="shared" si="31"/>
        <v>ok</v>
      </c>
    </row>
    <row r="70" spans="1:28" hidden="1">
      <c r="A70" s="68" t="s">
        <v>1255</v>
      </c>
      <c r="C70" s="60" t="s">
        <v>899</v>
      </c>
      <c r="D70" s="60" t="s">
        <v>382</v>
      </c>
      <c r="E70" s="60" t="s">
        <v>1409</v>
      </c>
      <c r="F70" s="78">
        <f>VLOOKUP(C70,'Functional Assignment'!$C$2:$AP$780,'Functional Assignment'!$J$2,)</f>
        <v>0</v>
      </c>
      <c r="G70" s="78">
        <f t="shared" si="28"/>
        <v>0</v>
      </c>
      <c r="H70" s="78">
        <f t="shared" si="28"/>
        <v>0</v>
      </c>
      <c r="I70" s="78">
        <f t="shared" si="28"/>
        <v>0</v>
      </c>
      <c r="J70" s="78">
        <f t="shared" si="28"/>
        <v>0</v>
      </c>
      <c r="K70" s="78">
        <f t="shared" si="28"/>
        <v>0</v>
      </c>
      <c r="L70" s="78">
        <f t="shared" si="28"/>
        <v>0</v>
      </c>
      <c r="M70" s="78">
        <f t="shared" si="28"/>
        <v>0</v>
      </c>
      <c r="N70" s="78">
        <f t="shared" si="28"/>
        <v>0</v>
      </c>
      <c r="O70" s="78">
        <f t="shared" si="28"/>
        <v>0</v>
      </c>
      <c r="P70" s="78">
        <f t="shared" si="28"/>
        <v>0</v>
      </c>
      <c r="Q70" s="78">
        <f t="shared" si="29"/>
        <v>0</v>
      </c>
      <c r="R70" s="78">
        <f t="shared" si="29"/>
        <v>0</v>
      </c>
      <c r="S70" s="78">
        <f t="shared" si="29"/>
        <v>0</v>
      </c>
      <c r="T70" s="78">
        <f t="shared" si="29"/>
        <v>0</v>
      </c>
      <c r="U70" s="78">
        <f t="shared" si="29"/>
        <v>0</v>
      </c>
      <c r="V70" s="78">
        <f t="shared" si="29"/>
        <v>0</v>
      </c>
      <c r="W70" s="78">
        <f t="shared" si="29"/>
        <v>0</v>
      </c>
      <c r="X70" s="78">
        <f t="shared" si="29"/>
        <v>0</v>
      </c>
      <c r="Y70" s="78">
        <f t="shared" si="29"/>
        <v>0</v>
      </c>
      <c r="Z70" s="78">
        <f t="shared" si="29"/>
        <v>0</v>
      </c>
      <c r="AA70" s="78">
        <f t="shared" si="30"/>
        <v>0</v>
      </c>
      <c r="AB70" s="92" t="str">
        <f t="shared" si="31"/>
        <v>ok</v>
      </c>
    </row>
    <row r="71" spans="1:28">
      <c r="A71" s="68" t="s">
        <v>1162</v>
      </c>
      <c r="C71" s="60" t="s">
        <v>899</v>
      </c>
      <c r="D71" s="60" t="s">
        <v>383</v>
      </c>
      <c r="E71" s="60" t="s">
        <v>1017</v>
      </c>
      <c r="F71" s="78">
        <f>VLOOKUP(C71,'Functional Assignment'!$C$2:$AP$780,'Functional Assignment'!$K$2,)</f>
        <v>0</v>
      </c>
      <c r="G71" s="78">
        <f t="shared" si="28"/>
        <v>0</v>
      </c>
      <c r="H71" s="78">
        <f t="shared" si="28"/>
        <v>0</v>
      </c>
      <c r="I71" s="78">
        <f t="shared" si="28"/>
        <v>0</v>
      </c>
      <c r="J71" s="78">
        <f t="shared" si="28"/>
        <v>0</v>
      </c>
      <c r="K71" s="78">
        <f t="shared" si="28"/>
        <v>0</v>
      </c>
      <c r="L71" s="78">
        <f t="shared" si="28"/>
        <v>0</v>
      </c>
      <c r="M71" s="78">
        <f t="shared" si="28"/>
        <v>0</v>
      </c>
      <c r="N71" s="78">
        <f t="shared" si="28"/>
        <v>0</v>
      </c>
      <c r="O71" s="78">
        <f t="shared" si="28"/>
        <v>0</v>
      </c>
      <c r="P71" s="78">
        <f t="shared" si="28"/>
        <v>0</v>
      </c>
      <c r="Q71" s="78">
        <f t="shared" si="29"/>
        <v>0</v>
      </c>
      <c r="R71" s="78">
        <f t="shared" si="29"/>
        <v>0</v>
      </c>
      <c r="S71" s="78">
        <f t="shared" si="29"/>
        <v>0</v>
      </c>
      <c r="T71" s="78">
        <f t="shared" si="29"/>
        <v>0</v>
      </c>
      <c r="U71" s="78">
        <f t="shared" si="29"/>
        <v>0</v>
      </c>
      <c r="V71" s="78">
        <f t="shared" si="29"/>
        <v>0</v>
      </c>
      <c r="W71" s="78">
        <f t="shared" si="29"/>
        <v>0</v>
      </c>
      <c r="X71" s="78">
        <f t="shared" si="29"/>
        <v>0</v>
      </c>
      <c r="Y71" s="78">
        <f t="shared" si="29"/>
        <v>0</v>
      </c>
      <c r="Z71" s="78">
        <f t="shared" si="29"/>
        <v>0</v>
      </c>
      <c r="AA71" s="78">
        <f t="shared" si="30"/>
        <v>0</v>
      </c>
      <c r="AB71" s="92" t="str">
        <f t="shared" si="31"/>
        <v>ok</v>
      </c>
    </row>
    <row r="72" spans="1:28" hidden="1">
      <c r="A72" s="68" t="s">
        <v>1163</v>
      </c>
      <c r="C72" s="60" t="s">
        <v>899</v>
      </c>
      <c r="D72" s="60" t="s">
        <v>384</v>
      </c>
      <c r="E72" s="60" t="s">
        <v>1017</v>
      </c>
      <c r="F72" s="78">
        <f>VLOOKUP(C72,'Functional Assignment'!$C$2:$AP$780,'Functional Assignment'!$L$2,)</f>
        <v>0</v>
      </c>
      <c r="G72" s="78">
        <f t="shared" si="28"/>
        <v>0</v>
      </c>
      <c r="H72" s="78">
        <f t="shared" si="28"/>
        <v>0</v>
      </c>
      <c r="I72" s="78">
        <f t="shared" si="28"/>
        <v>0</v>
      </c>
      <c r="J72" s="78">
        <f t="shared" si="28"/>
        <v>0</v>
      </c>
      <c r="K72" s="78">
        <f t="shared" si="28"/>
        <v>0</v>
      </c>
      <c r="L72" s="78">
        <f t="shared" si="28"/>
        <v>0</v>
      </c>
      <c r="M72" s="78">
        <f t="shared" si="28"/>
        <v>0</v>
      </c>
      <c r="N72" s="78">
        <f t="shared" si="28"/>
        <v>0</v>
      </c>
      <c r="O72" s="78">
        <f t="shared" si="28"/>
        <v>0</v>
      </c>
      <c r="P72" s="78">
        <f t="shared" si="28"/>
        <v>0</v>
      </c>
      <c r="Q72" s="78">
        <f t="shared" si="29"/>
        <v>0</v>
      </c>
      <c r="R72" s="78">
        <f t="shared" si="29"/>
        <v>0</v>
      </c>
      <c r="S72" s="78">
        <f t="shared" si="29"/>
        <v>0</v>
      </c>
      <c r="T72" s="78">
        <f t="shared" si="29"/>
        <v>0</v>
      </c>
      <c r="U72" s="78">
        <f t="shared" si="29"/>
        <v>0</v>
      </c>
      <c r="V72" s="78">
        <f t="shared" si="29"/>
        <v>0</v>
      </c>
      <c r="W72" s="78">
        <f t="shared" si="29"/>
        <v>0</v>
      </c>
      <c r="X72" s="78">
        <f t="shared" si="29"/>
        <v>0</v>
      </c>
      <c r="Y72" s="78">
        <f t="shared" si="29"/>
        <v>0</v>
      </c>
      <c r="Z72" s="78">
        <f t="shared" si="29"/>
        <v>0</v>
      </c>
      <c r="AA72" s="78">
        <f t="shared" si="30"/>
        <v>0</v>
      </c>
      <c r="AB72" s="92" t="str">
        <f t="shared" si="31"/>
        <v>ok</v>
      </c>
    </row>
    <row r="73" spans="1:28" hidden="1">
      <c r="A73" s="68" t="s">
        <v>1163</v>
      </c>
      <c r="C73" s="60" t="s">
        <v>899</v>
      </c>
      <c r="D73" s="60" t="s">
        <v>385</v>
      </c>
      <c r="E73" s="60" t="s">
        <v>1017</v>
      </c>
      <c r="F73" s="78">
        <f>VLOOKUP(C73,'Functional Assignment'!$C$2:$AP$780,'Functional Assignment'!$M$2,)</f>
        <v>0</v>
      </c>
      <c r="G73" s="78">
        <f t="shared" si="28"/>
        <v>0</v>
      </c>
      <c r="H73" s="78">
        <f t="shared" si="28"/>
        <v>0</v>
      </c>
      <c r="I73" s="78">
        <f t="shared" si="28"/>
        <v>0</v>
      </c>
      <c r="J73" s="78">
        <f t="shared" si="28"/>
        <v>0</v>
      </c>
      <c r="K73" s="78">
        <f t="shared" si="28"/>
        <v>0</v>
      </c>
      <c r="L73" s="78">
        <f t="shared" si="28"/>
        <v>0</v>
      </c>
      <c r="M73" s="78">
        <f t="shared" si="28"/>
        <v>0</v>
      </c>
      <c r="N73" s="78">
        <f t="shared" si="28"/>
        <v>0</v>
      </c>
      <c r="O73" s="78">
        <f t="shared" si="28"/>
        <v>0</v>
      </c>
      <c r="P73" s="78">
        <f t="shared" si="28"/>
        <v>0</v>
      </c>
      <c r="Q73" s="78">
        <f t="shared" si="29"/>
        <v>0</v>
      </c>
      <c r="R73" s="78">
        <f t="shared" si="29"/>
        <v>0</v>
      </c>
      <c r="S73" s="78">
        <f t="shared" si="29"/>
        <v>0</v>
      </c>
      <c r="T73" s="78">
        <f t="shared" si="29"/>
        <v>0</v>
      </c>
      <c r="U73" s="78">
        <f t="shared" si="29"/>
        <v>0</v>
      </c>
      <c r="V73" s="78">
        <f t="shared" si="29"/>
        <v>0</v>
      </c>
      <c r="W73" s="78">
        <f t="shared" si="29"/>
        <v>0</v>
      </c>
      <c r="X73" s="78">
        <f t="shared" si="29"/>
        <v>0</v>
      </c>
      <c r="Y73" s="78">
        <f t="shared" si="29"/>
        <v>0</v>
      </c>
      <c r="Z73" s="78">
        <f t="shared" si="29"/>
        <v>0</v>
      </c>
      <c r="AA73" s="78">
        <f t="shared" si="30"/>
        <v>0</v>
      </c>
      <c r="AB73" s="92" t="str">
        <f t="shared" si="31"/>
        <v>ok</v>
      </c>
    </row>
    <row r="74" spans="1:28">
      <c r="A74" s="60" t="s">
        <v>374</v>
      </c>
      <c r="D74" s="60" t="s">
        <v>386</v>
      </c>
      <c r="F74" s="75">
        <f>SUM(F68:F73)</f>
        <v>2495383412.90588</v>
      </c>
      <c r="G74" s="75">
        <f t="shared" ref="G74:P74" si="32">SUM(G68:G73)</f>
        <v>1038847971.6927704</v>
      </c>
      <c r="H74" s="75">
        <f t="shared" si="32"/>
        <v>299039572.53387284</v>
      </c>
      <c r="I74" s="75">
        <f t="shared" si="32"/>
        <v>21650179.596530091</v>
      </c>
      <c r="J74" s="75">
        <f t="shared" si="32"/>
        <v>348628356.63112533</v>
      </c>
      <c r="K74" s="75">
        <f t="shared" si="32"/>
        <v>326766256.16145313</v>
      </c>
      <c r="L74" s="75">
        <f t="shared" si="32"/>
        <v>270227493.51206499</v>
      </c>
      <c r="M74" s="75">
        <f t="shared" si="32"/>
        <v>167169972.93248922</v>
      </c>
      <c r="N74" s="75">
        <f t="shared" si="32"/>
        <v>9386017.5077806711</v>
      </c>
      <c r="O74" s="75">
        <f>SUM(O68:O73)</f>
        <v>10254757.570135169</v>
      </c>
      <c r="P74" s="75">
        <f t="shared" si="32"/>
        <v>357173.41537387262</v>
      </c>
      <c r="Q74" s="75">
        <f t="shared" ref="Q74:W74" si="33">SUM(Q68:Q73)</f>
        <v>491877.65096926328</v>
      </c>
      <c r="R74" s="75">
        <f t="shared" si="33"/>
        <v>477.60201872851235</v>
      </c>
      <c r="S74" s="75">
        <f t="shared" si="33"/>
        <v>4243.1292960184455</v>
      </c>
      <c r="T74" s="75">
        <f t="shared" si="33"/>
        <v>2486734.1800000006</v>
      </c>
      <c r="U74" s="75">
        <f t="shared" si="33"/>
        <v>72328.790000000008</v>
      </c>
      <c r="V74" s="75">
        <f t="shared" si="33"/>
        <v>0</v>
      </c>
      <c r="W74" s="75">
        <f t="shared" si="33"/>
        <v>0</v>
      </c>
      <c r="X74" s="75">
        <f>SUM(X68:X73)</f>
        <v>0</v>
      </c>
      <c r="Y74" s="75">
        <f>SUM(Y68:Y73)</f>
        <v>0</v>
      </c>
      <c r="Z74" s="75">
        <f>SUM(Z68:Z73)</f>
        <v>0</v>
      </c>
      <c r="AA74" s="79">
        <f t="shared" si="30"/>
        <v>2495383412.905879</v>
      </c>
      <c r="AB74" s="92" t="str">
        <f t="shared" si="31"/>
        <v>ok</v>
      </c>
    </row>
    <row r="75" spans="1:28">
      <c r="F75" s="78"/>
      <c r="G75" s="78"/>
    </row>
    <row r="76" spans="1:28" ht="15">
      <c r="A76" s="65" t="s">
        <v>1057</v>
      </c>
      <c r="F76" s="78"/>
      <c r="G76" s="78"/>
    </row>
    <row r="77" spans="1:28">
      <c r="A77" s="68" t="s">
        <v>1228</v>
      </c>
      <c r="C77" s="60" t="s">
        <v>899</v>
      </c>
      <c r="D77" s="60" t="s">
        <v>387</v>
      </c>
      <c r="E77" s="60" t="s">
        <v>1232</v>
      </c>
      <c r="F77" s="75">
        <f>VLOOKUP(C77,'Functional Assignment'!$C$2:$AP$780,'Functional Assignment'!$N$2,)</f>
        <v>422249551.01956153</v>
      </c>
      <c r="G77" s="75">
        <f t="shared" ref="G77:P79" si="34">IF(VLOOKUP($E77,$D$6:$AN$1148,3,)=0,0,(VLOOKUP($E77,$D$6:$AN$1148,G$2,)/VLOOKUP($E77,$D$6:$AN$1148,3,))*$F77)</f>
        <v>199774529.8520487</v>
      </c>
      <c r="H77" s="75">
        <f t="shared" si="34"/>
        <v>48798564.413388275</v>
      </c>
      <c r="I77" s="75">
        <f t="shared" si="34"/>
        <v>3203290.9131325269</v>
      </c>
      <c r="J77" s="75">
        <f t="shared" si="34"/>
        <v>54297755.016988873</v>
      </c>
      <c r="K77" s="75">
        <f t="shared" si="34"/>
        <v>45535407.346670628</v>
      </c>
      <c r="L77" s="75">
        <f t="shared" si="34"/>
        <v>43110172.198598444</v>
      </c>
      <c r="M77" s="75">
        <f t="shared" si="34"/>
        <v>22481196.886261318</v>
      </c>
      <c r="N77" s="75">
        <f t="shared" si="34"/>
        <v>1444657.4087344503</v>
      </c>
      <c r="O77" s="75">
        <f t="shared" si="34"/>
        <v>3423448.8213920989</v>
      </c>
      <c r="P77" s="75">
        <f t="shared" si="34"/>
        <v>119238.79229045071</v>
      </c>
      <c r="Q77" s="75">
        <f t="shared" ref="Q77:Z79" si="35">IF(VLOOKUP($E77,$D$6:$AN$1148,3,)=0,0,(VLOOKUP($E77,$D$6:$AN$1148,Q$2,)/VLOOKUP($E77,$D$6:$AN$1148,3,))*$F77)</f>
        <v>54736.153860392791</v>
      </c>
      <c r="R77" s="75">
        <f t="shared" si="35"/>
        <v>5956.7839792553514</v>
      </c>
      <c r="S77" s="75">
        <f t="shared" si="35"/>
        <v>596.43221620466852</v>
      </c>
      <c r="T77" s="75">
        <f t="shared" si="35"/>
        <v>0</v>
      </c>
      <c r="U77" s="75">
        <f t="shared" si="35"/>
        <v>0</v>
      </c>
      <c r="V77" s="75">
        <f t="shared" si="35"/>
        <v>0</v>
      </c>
      <c r="W77" s="75">
        <f t="shared" si="35"/>
        <v>0</v>
      </c>
      <c r="X77" s="75">
        <f t="shared" si="35"/>
        <v>0</v>
      </c>
      <c r="Y77" s="75">
        <f t="shared" si="35"/>
        <v>0</v>
      </c>
      <c r="Z77" s="75">
        <f t="shared" si="35"/>
        <v>0</v>
      </c>
      <c r="AA77" s="79">
        <f>SUM(G77:Z77)</f>
        <v>422249551.01956165</v>
      </c>
      <c r="AB77" s="92" t="str">
        <f>IF(ABS(F77-AA77)&lt;0.01,"ok","err")</f>
        <v>ok</v>
      </c>
    </row>
    <row r="78" spans="1:28" hidden="1">
      <c r="A78" s="68" t="s">
        <v>1229</v>
      </c>
      <c r="C78" s="60" t="s">
        <v>899</v>
      </c>
      <c r="D78" s="60" t="s">
        <v>388</v>
      </c>
      <c r="E78" s="60" t="s">
        <v>1232</v>
      </c>
      <c r="F78" s="78">
        <f>VLOOKUP(C78,'Functional Assignment'!$C$2:$AP$780,'Functional Assignment'!$O$2,)</f>
        <v>0</v>
      </c>
      <c r="G78" s="78">
        <f t="shared" si="34"/>
        <v>0</v>
      </c>
      <c r="H78" s="78">
        <f t="shared" si="34"/>
        <v>0</v>
      </c>
      <c r="I78" s="78">
        <f t="shared" si="34"/>
        <v>0</v>
      </c>
      <c r="J78" s="78">
        <f t="shared" si="34"/>
        <v>0</v>
      </c>
      <c r="K78" s="78">
        <f t="shared" si="34"/>
        <v>0</v>
      </c>
      <c r="L78" s="78">
        <f t="shared" si="34"/>
        <v>0</v>
      </c>
      <c r="M78" s="78">
        <f t="shared" si="34"/>
        <v>0</v>
      </c>
      <c r="N78" s="78">
        <f t="shared" si="34"/>
        <v>0</v>
      </c>
      <c r="O78" s="78">
        <f t="shared" si="34"/>
        <v>0</v>
      </c>
      <c r="P78" s="78">
        <f t="shared" si="34"/>
        <v>0</v>
      </c>
      <c r="Q78" s="78">
        <f t="shared" si="35"/>
        <v>0</v>
      </c>
      <c r="R78" s="78">
        <f t="shared" si="35"/>
        <v>0</v>
      </c>
      <c r="S78" s="78">
        <f t="shared" si="35"/>
        <v>0</v>
      </c>
      <c r="T78" s="78">
        <f t="shared" si="35"/>
        <v>0</v>
      </c>
      <c r="U78" s="78">
        <f t="shared" si="35"/>
        <v>0</v>
      </c>
      <c r="V78" s="78">
        <f t="shared" si="35"/>
        <v>0</v>
      </c>
      <c r="W78" s="78">
        <f t="shared" si="35"/>
        <v>0</v>
      </c>
      <c r="X78" s="78">
        <f t="shared" si="35"/>
        <v>0</v>
      </c>
      <c r="Y78" s="78">
        <f t="shared" si="35"/>
        <v>0</v>
      </c>
      <c r="Z78" s="78">
        <f t="shared" si="35"/>
        <v>0</v>
      </c>
      <c r="AA78" s="78">
        <f>SUM(G78:Z78)</f>
        <v>0</v>
      </c>
      <c r="AB78" s="92" t="str">
        <f>IF(ABS(F78-AA78)&lt;0.01,"ok","err")</f>
        <v>ok</v>
      </c>
    </row>
    <row r="79" spans="1:28" hidden="1">
      <c r="A79" s="68" t="s">
        <v>1229</v>
      </c>
      <c r="C79" s="60" t="s">
        <v>899</v>
      </c>
      <c r="D79" s="60" t="s">
        <v>389</v>
      </c>
      <c r="E79" s="60" t="s">
        <v>1232</v>
      </c>
      <c r="F79" s="78">
        <f>VLOOKUP(C79,'Functional Assignment'!$C$2:$AP$780,'Functional Assignment'!$P$2,)</f>
        <v>0</v>
      </c>
      <c r="G79" s="78">
        <f t="shared" si="34"/>
        <v>0</v>
      </c>
      <c r="H79" s="78">
        <f t="shared" si="34"/>
        <v>0</v>
      </c>
      <c r="I79" s="78">
        <f t="shared" si="34"/>
        <v>0</v>
      </c>
      <c r="J79" s="78">
        <f t="shared" si="34"/>
        <v>0</v>
      </c>
      <c r="K79" s="78">
        <f t="shared" si="34"/>
        <v>0</v>
      </c>
      <c r="L79" s="78">
        <f t="shared" si="34"/>
        <v>0</v>
      </c>
      <c r="M79" s="78">
        <f t="shared" si="34"/>
        <v>0</v>
      </c>
      <c r="N79" s="78">
        <f t="shared" si="34"/>
        <v>0</v>
      </c>
      <c r="O79" s="78">
        <f t="shared" si="34"/>
        <v>0</v>
      </c>
      <c r="P79" s="78">
        <f t="shared" si="34"/>
        <v>0</v>
      </c>
      <c r="Q79" s="78">
        <f t="shared" si="35"/>
        <v>0</v>
      </c>
      <c r="R79" s="78">
        <f t="shared" si="35"/>
        <v>0</v>
      </c>
      <c r="S79" s="78">
        <f t="shared" si="35"/>
        <v>0</v>
      </c>
      <c r="T79" s="78">
        <f t="shared" si="35"/>
        <v>0</v>
      </c>
      <c r="U79" s="78">
        <f t="shared" si="35"/>
        <v>0</v>
      </c>
      <c r="V79" s="78">
        <f t="shared" si="35"/>
        <v>0</v>
      </c>
      <c r="W79" s="78">
        <f t="shared" si="35"/>
        <v>0</v>
      </c>
      <c r="X79" s="78">
        <f t="shared" si="35"/>
        <v>0</v>
      </c>
      <c r="Y79" s="78">
        <f t="shared" si="35"/>
        <v>0</v>
      </c>
      <c r="Z79" s="78">
        <f t="shared" si="35"/>
        <v>0</v>
      </c>
      <c r="AA79" s="78">
        <f>SUM(G79:Z79)</f>
        <v>0</v>
      </c>
      <c r="AB79" s="92" t="str">
        <f>IF(ABS(F79-AA79)&lt;0.01,"ok","err")</f>
        <v>ok</v>
      </c>
    </row>
    <row r="80" spans="1:28" hidden="1">
      <c r="A80" s="60" t="s">
        <v>1059</v>
      </c>
      <c r="D80" s="60" t="s">
        <v>390</v>
      </c>
      <c r="F80" s="75">
        <f>SUM(F77:F79)</f>
        <v>422249551.01956153</v>
      </c>
      <c r="G80" s="75">
        <f t="shared" ref="G80:W80" si="36">SUM(G77:G79)</f>
        <v>199774529.8520487</v>
      </c>
      <c r="H80" s="75">
        <f t="shared" si="36"/>
        <v>48798564.413388275</v>
      </c>
      <c r="I80" s="75">
        <f t="shared" si="36"/>
        <v>3203290.9131325269</v>
      </c>
      <c r="J80" s="75">
        <f t="shared" si="36"/>
        <v>54297755.016988873</v>
      </c>
      <c r="K80" s="75">
        <f t="shared" si="36"/>
        <v>45535407.346670628</v>
      </c>
      <c r="L80" s="75">
        <f t="shared" si="36"/>
        <v>43110172.198598444</v>
      </c>
      <c r="M80" s="75">
        <f t="shared" si="36"/>
        <v>22481196.886261318</v>
      </c>
      <c r="N80" s="75">
        <f t="shared" si="36"/>
        <v>1444657.4087344503</v>
      </c>
      <c r="O80" s="75">
        <f>SUM(O77:O79)</f>
        <v>3423448.8213920989</v>
      </c>
      <c r="P80" s="75">
        <f t="shared" si="36"/>
        <v>119238.79229045071</v>
      </c>
      <c r="Q80" s="75">
        <f t="shared" si="36"/>
        <v>54736.153860392791</v>
      </c>
      <c r="R80" s="75">
        <f t="shared" si="36"/>
        <v>5956.7839792553514</v>
      </c>
      <c r="S80" s="75">
        <f t="shared" si="36"/>
        <v>596.43221620466852</v>
      </c>
      <c r="T80" s="75">
        <f t="shared" si="36"/>
        <v>0</v>
      </c>
      <c r="U80" s="75">
        <f t="shared" si="36"/>
        <v>0</v>
      </c>
      <c r="V80" s="75">
        <f t="shared" si="36"/>
        <v>0</v>
      </c>
      <c r="W80" s="75">
        <f t="shared" si="36"/>
        <v>0</v>
      </c>
      <c r="X80" s="75">
        <f>SUM(X77:X79)</f>
        <v>0</v>
      </c>
      <c r="Y80" s="75">
        <f>SUM(Y77:Y79)</f>
        <v>0</v>
      </c>
      <c r="Z80" s="75">
        <f>SUM(Z77:Z79)</f>
        <v>0</v>
      </c>
      <c r="AA80" s="79">
        <f>SUM(G80:Z80)</f>
        <v>422249551.01956165</v>
      </c>
      <c r="AB80" s="92" t="str">
        <f>IF(ABS(F80-AA80)&lt;0.01,"ok","err")</f>
        <v>ok</v>
      </c>
    </row>
    <row r="81" spans="1:28">
      <c r="F81" s="78"/>
      <c r="G81" s="78"/>
    </row>
    <row r="82" spans="1:28" ht="15">
      <c r="A82" s="65" t="s">
        <v>337</v>
      </c>
      <c r="F82" s="78"/>
      <c r="G82" s="78"/>
    </row>
    <row r="83" spans="1:28">
      <c r="A83" s="68" t="s">
        <v>359</v>
      </c>
      <c r="C83" s="60" t="s">
        <v>899</v>
      </c>
      <c r="D83" s="60" t="s">
        <v>391</v>
      </c>
      <c r="E83" s="60" t="s">
        <v>1233</v>
      </c>
      <c r="F83" s="75">
        <f>VLOOKUP(C83,'Functional Assignment'!$C$2:$AP$780,'Functional Assignment'!$Q$2,)</f>
        <v>0</v>
      </c>
      <c r="G83" s="75">
        <f t="shared" ref="G83:Z83" si="37">IF(VLOOKUP($E83,$D$6:$AN$1148,3,)=0,0,(VLOOKUP($E83,$D$6:$AN$1148,G$2,)/VLOOKUP($E83,$D$6:$AN$1148,3,))*$F83)</f>
        <v>0</v>
      </c>
      <c r="H83" s="75">
        <f t="shared" si="37"/>
        <v>0</v>
      </c>
      <c r="I83" s="75">
        <f t="shared" si="37"/>
        <v>0</v>
      </c>
      <c r="J83" s="75">
        <f t="shared" si="37"/>
        <v>0</v>
      </c>
      <c r="K83" s="75">
        <f t="shared" si="37"/>
        <v>0</v>
      </c>
      <c r="L83" s="75">
        <f t="shared" si="37"/>
        <v>0</v>
      </c>
      <c r="M83" s="75">
        <f t="shared" si="37"/>
        <v>0</v>
      </c>
      <c r="N83" s="75">
        <f t="shared" si="37"/>
        <v>0</v>
      </c>
      <c r="O83" s="75">
        <f t="shared" si="37"/>
        <v>0</v>
      </c>
      <c r="P83" s="75">
        <f t="shared" si="37"/>
        <v>0</v>
      </c>
      <c r="Q83" s="75">
        <f t="shared" si="37"/>
        <v>0</v>
      </c>
      <c r="R83" s="75">
        <f t="shared" si="37"/>
        <v>0</v>
      </c>
      <c r="S83" s="75">
        <f t="shared" si="37"/>
        <v>0</v>
      </c>
      <c r="T83" s="75">
        <f t="shared" si="37"/>
        <v>0</v>
      </c>
      <c r="U83" s="75">
        <f t="shared" si="37"/>
        <v>0</v>
      </c>
      <c r="V83" s="75">
        <f t="shared" si="37"/>
        <v>0</v>
      </c>
      <c r="W83" s="75">
        <f t="shared" si="37"/>
        <v>0</v>
      </c>
      <c r="X83" s="75">
        <f t="shared" si="37"/>
        <v>0</v>
      </c>
      <c r="Y83" s="75">
        <f t="shared" si="37"/>
        <v>0</v>
      </c>
      <c r="Z83" s="75">
        <f t="shared" si="37"/>
        <v>0</v>
      </c>
      <c r="AA83" s="79">
        <f>SUM(G83:Z83)</f>
        <v>0</v>
      </c>
      <c r="AB83" s="92" t="str">
        <f>IF(ABS(F83-AA83)&lt;0.01,"ok","err")</f>
        <v>ok</v>
      </c>
    </row>
    <row r="84" spans="1:28">
      <c r="F84" s="78"/>
    </row>
    <row r="85" spans="1:28" ht="15">
      <c r="A85" s="65" t="s">
        <v>338</v>
      </c>
      <c r="F85" s="78"/>
      <c r="G85" s="78"/>
    </row>
    <row r="86" spans="1:28">
      <c r="A86" s="68" t="s">
        <v>361</v>
      </c>
      <c r="C86" s="60" t="s">
        <v>899</v>
      </c>
      <c r="D86" s="60" t="s">
        <v>392</v>
      </c>
      <c r="E86" s="60" t="s">
        <v>1233</v>
      </c>
      <c r="F86" s="75">
        <f>VLOOKUP(C86,'Functional Assignment'!$C$2:$AP$780,'Functional Assignment'!$R$2,)</f>
        <v>158088627.06224024</v>
      </c>
      <c r="G86" s="75">
        <f t="shared" ref="G86:Z86" si="38">IF(VLOOKUP($E86,$D$6:$AN$1148,3,)=0,0,(VLOOKUP($E86,$D$6:$AN$1148,G$2,)/VLOOKUP($E86,$D$6:$AN$1148,3,))*$F86)</f>
        <v>79000953.476632774</v>
      </c>
      <c r="H86" s="75">
        <f t="shared" si="38"/>
        <v>19297420.546070781</v>
      </c>
      <c r="I86" s="75">
        <f t="shared" si="38"/>
        <v>1266743.2459379062</v>
      </c>
      <c r="J86" s="75">
        <f t="shared" si="38"/>
        <v>21472078.653668035</v>
      </c>
      <c r="K86" s="75">
        <f t="shared" si="38"/>
        <v>18007003.195041973</v>
      </c>
      <c r="L86" s="75">
        <f t="shared" si="38"/>
        <v>17047942.551802617</v>
      </c>
      <c r="M86" s="75">
        <f t="shared" si="38"/>
        <v>0</v>
      </c>
      <c r="N86" s="75">
        <f t="shared" si="38"/>
        <v>571290.60857570975</v>
      </c>
      <c r="O86" s="75">
        <f t="shared" si="38"/>
        <v>1353804.8182054425</v>
      </c>
      <c r="P86" s="75">
        <f t="shared" si="38"/>
        <v>47153.049436903355</v>
      </c>
      <c r="Q86" s="75">
        <f t="shared" si="38"/>
        <v>21645.443730074981</v>
      </c>
      <c r="R86" s="75">
        <f t="shared" si="38"/>
        <v>2355.6136728942356</v>
      </c>
      <c r="S86" s="75">
        <f t="shared" si="38"/>
        <v>235.85946516428154</v>
      </c>
      <c r="T86" s="75">
        <f t="shared" si="38"/>
        <v>0</v>
      </c>
      <c r="U86" s="75">
        <f t="shared" si="38"/>
        <v>0</v>
      </c>
      <c r="V86" s="75">
        <f t="shared" si="38"/>
        <v>0</v>
      </c>
      <c r="W86" s="75">
        <f t="shared" si="38"/>
        <v>0</v>
      </c>
      <c r="X86" s="75">
        <f t="shared" si="38"/>
        <v>0</v>
      </c>
      <c r="Y86" s="75">
        <f t="shared" si="38"/>
        <v>0</v>
      </c>
      <c r="Z86" s="75">
        <f t="shared" si="38"/>
        <v>0</v>
      </c>
      <c r="AA86" s="79">
        <f>SUM(G86:Z86)</f>
        <v>158088627.06224024</v>
      </c>
      <c r="AB86" s="92" t="str">
        <f>IF(ABS(F86-AA86)&lt;0.01,"ok","err")</f>
        <v>ok</v>
      </c>
    </row>
    <row r="87" spans="1:28">
      <c r="F87" s="78"/>
    </row>
    <row r="88" spans="1:28" ht="15">
      <c r="A88" s="65" t="s">
        <v>360</v>
      </c>
      <c r="F88" s="78"/>
    </row>
    <row r="89" spans="1:28">
      <c r="A89" s="68" t="s">
        <v>603</v>
      </c>
      <c r="C89" s="60" t="s">
        <v>899</v>
      </c>
      <c r="D89" s="60" t="s">
        <v>393</v>
      </c>
      <c r="E89" s="60" t="s">
        <v>1233</v>
      </c>
      <c r="F89" s="75">
        <f>VLOOKUP(C89,'Functional Assignment'!$C$2:$AP$780,'Functional Assignment'!$S$2,)</f>
        <v>0</v>
      </c>
      <c r="G89" s="75">
        <f t="shared" ref="G89:P93" si="39">IF(VLOOKUP($E89,$D$6:$AN$1148,3,)=0,0,(VLOOKUP($E89,$D$6:$AN$1148,G$2,)/VLOOKUP($E89,$D$6:$AN$1148,3,))*$F89)</f>
        <v>0</v>
      </c>
      <c r="H89" s="75">
        <f t="shared" si="39"/>
        <v>0</v>
      </c>
      <c r="I89" s="75">
        <f t="shared" si="39"/>
        <v>0</v>
      </c>
      <c r="J89" s="75">
        <f t="shared" si="39"/>
        <v>0</v>
      </c>
      <c r="K89" s="75">
        <f t="shared" si="39"/>
        <v>0</v>
      </c>
      <c r="L89" s="75">
        <f t="shared" si="39"/>
        <v>0</v>
      </c>
      <c r="M89" s="75">
        <f t="shared" si="39"/>
        <v>0</v>
      </c>
      <c r="N89" s="75">
        <f t="shared" si="39"/>
        <v>0</v>
      </c>
      <c r="O89" s="75">
        <f t="shared" si="39"/>
        <v>0</v>
      </c>
      <c r="P89" s="75">
        <f t="shared" si="39"/>
        <v>0</v>
      </c>
      <c r="Q89" s="75">
        <f t="shared" ref="Q89:Z93" si="40">IF(VLOOKUP($E89,$D$6:$AN$1148,3,)=0,0,(VLOOKUP($E89,$D$6:$AN$1148,Q$2,)/VLOOKUP($E89,$D$6:$AN$1148,3,))*$F89)</f>
        <v>0</v>
      </c>
      <c r="R89" s="75">
        <f t="shared" si="40"/>
        <v>0</v>
      </c>
      <c r="S89" s="75">
        <f t="shared" si="40"/>
        <v>0</v>
      </c>
      <c r="T89" s="75">
        <f t="shared" si="40"/>
        <v>0</v>
      </c>
      <c r="U89" s="75">
        <f t="shared" si="40"/>
        <v>0</v>
      </c>
      <c r="V89" s="75">
        <f t="shared" si="40"/>
        <v>0</v>
      </c>
      <c r="W89" s="75">
        <f t="shared" si="40"/>
        <v>0</v>
      </c>
      <c r="X89" s="75">
        <f t="shared" si="40"/>
        <v>0</v>
      </c>
      <c r="Y89" s="75">
        <f t="shared" si="40"/>
        <v>0</v>
      </c>
      <c r="Z89" s="75">
        <f t="shared" si="40"/>
        <v>0</v>
      </c>
      <c r="AA89" s="79">
        <f t="shared" ref="AA89:AA94" si="41">SUM(G89:Z89)</f>
        <v>0</v>
      </c>
      <c r="AB89" s="92" t="str">
        <f t="shared" ref="AB89:AB94" si="42">IF(ABS(F89-AA89)&lt;0.01,"ok","err")</f>
        <v>ok</v>
      </c>
    </row>
    <row r="90" spans="1:28">
      <c r="A90" s="68" t="s">
        <v>604</v>
      </c>
      <c r="C90" s="60" t="s">
        <v>899</v>
      </c>
      <c r="D90" s="60" t="s">
        <v>394</v>
      </c>
      <c r="E90" s="60" t="s">
        <v>1233</v>
      </c>
      <c r="F90" s="78">
        <f>VLOOKUP(C90,'Functional Assignment'!$C$2:$AP$780,'Functional Assignment'!$T$2,)</f>
        <v>242694289.6556775</v>
      </c>
      <c r="G90" s="78">
        <f t="shared" si="39"/>
        <v>121280579.39667022</v>
      </c>
      <c r="H90" s="78">
        <f t="shared" si="39"/>
        <v>29624988.581700172</v>
      </c>
      <c r="I90" s="78">
        <f t="shared" si="39"/>
        <v>1944677.2229098438</v>
      </c>
      <c r="J90" s="78">
        <f t="shared" si="39"/>
        <v>32963477.342561428</v>
      </c>
      <c r="K90" s="78">
        <f t="shared" si="39"/>
        <v>27643967.377410769</v>
      </c>
      <c r="L90" s="78">
        <f t="shared" si="39"/>
        <v>26171637.926057801</v>
      </c>
      <c r="M90" s="78">
        <f t="shared" si="39"/>
        <v>0</v>
      </c>
      <c r="N90" s="78">
        <f t="shared" si="39"/>
        <v>877033.16178876557</v>
      </c>
      <c r="O90" s="78">
        <f t="shared" si="39"/>
        <v>2078332.2924137202</v>
      </c>
      <c r="P90" s="78">
        <f t="shared" si="39"/>
        <v>72388.356144574747</v>
      </c>
      <c r="Q90" s="78">
        <f t="shared" si="40"/>
        <v>33229.623711541666</v>
      </c>
      <c r="R90" s="78">
        <f t="shared" si="40"/>
        <v>3616.2878865485332</v>
      </c>
      <c r="S90" s="78">
        <f t="shared" si="40"/>
        <v>362.08642215658546</v>
      </c>
      <c r="T90" s="78">
        <f t="shared" si="40"/>
        <v>0</v>
      </c>
      <c r="U90" s="78">
        <f t="shared" si="40"/>
        <v>0</v>
      </c>
      <c r="V90" s="78">
        <f t="shared" si="40"/>
        <v>0</v>
      </c>
      <c r="W90" s="78">
        <f t="shared" si="40"/>
        <v>0</v>
      </c>
      <c r="X90" s="78">
        <f t="shared" si="40"/>
        <v>0</v>
      </c>
      <c r="Y90" s="78">
        <f t="shared" si="40"/>
        <v>0</v>
      </c>
      <c r="Z90" s="78">
        <f t="shared" si="40"/>
        <v>0</v>
      </c>
      <c r="AA90" s="78">
        <f t="shared" si="41"/>
        <v>242694289.65567756</v>
      </c>
      <c r="AB90" s="92" t="str">
        <f t="shared" si="42"/>
        <v>ok</v>
      </c>
    </row>
    <row r="91" spans="1:28">
      <c r="A91" s="68" t="s">
        <v>605</v>
      </c>
      <c r="C91" s="60" t="s">
        <v>899</v>
      </c>
      <c r="D91" s="60" t="s">
        <v>395</v>
      </c>
      <c r="E91" s="60" t="s">
        <v>1332</v>
      </c>
      <c r="F91" s="78">
        <f>VLOOKUP(C91,'Functional Assignment'!$C$2:$AP$780,'Functional Assignment'!$U$2,)</f>
        <v>397151932.8434701</v>
      </c>
      <c r="G91" s="78">
        <f t="shared" si="39"/>
        <v>344214691.42647076</v>
      </c>
      <c r="H91" s="78">
        <f t="shared" si="39"/>
        <v>41328701.07492318</v>
      </c>
      <c r="I91" s="78">
        <f t="shared" si="39"/>
        <v>63818.253667268655</v>
      </c>
      <c r="J91" s="78">
        <f t="shared" si="39"/>
        <v>2537231.427942981</v>
      </c>
      <c r="K91" s="78">
        <f t="shared" si="39"/>
        <v>120342.9926297066</v>
      </c>
      <c r="L91" s="78">
        <f t="shared" si="39"/>
        <v>460403.11574243818</v>
      </c>
      <c r="M91" s="78">
        <f t="shared" si="39"/>
        <v>11851.961395349894</v>
      </c>
      <c r="N91" s="78">
        <f t="shared" si="39"/>
        <v>1823.3786762076759</v>
      </c>
      <c r="O91" s="78">
        <f t="shared" si="39"/>
        <v>8297193.4971492179</v>
      </c>
      <c r="P91" s="78">
        <f t="shared" si="39"/>
        <v>14678.198343471793</v>
      </c>
      <c r="Q91" s="78">
        <f t="shared" si="40"/>
        <v>91168.933810383794</v>
      </c>
      <c r="R91" s="78">
        <f t="shared" si="40"/>
        <v>911.68933810383794</v>
      </c>
      <c r="S91" s="78">
        <f t="shared" si="40"/>
        <v>9116.8933810383787</v>
      </c>
      <c r="T91" s="78">
        <f t="shared" si="40"/>
        <v>0</v>
      </c>
      <c r="U91" s="78">
        <f t="shared" si="40"/>
        <v>0</v>
      </c>
      <c r="V91" s="78">
        <f t="shared" si="40"/>
        <v>0</v>
      </c>
      <c r="W91" s="78">
        <f t="shared" si="40"/>
        <v>0</v>
      </c>
      <c r="X91" s="78">
        <f t="shared" si="40"/>
        <v>0</v>
      </c>
      <c r="Y91" s="78">
        <f t="shared" si="40"/>
        <v>0</v>
      </c>
      <c r="Z91" s="78">
        <f t="shared" si="40"/>
        <v>0</v>
      </c>
      <c r="AA91" s="78">
        <f t="shared" si="41"/>
        <v>397151932.84347016</v>
      </c>
      <c r="AB91" s="92" t="str">
        <f t="shared" si="42"/>
        <v>ok</v>
      </c>
    </row>
    <row r="92" spans="1:28">
      <c r="A92" s="68" t="s">
        <v>606</v>
      </c>
      <c r="C92" s="60" t="s">
        <v>899</v>
      </c>
      <c r="D92" s="60" t="s">
        <v>396</v>
      </c>
      <c r="E92" s="60" t="s">
        <v>646</v>
      </c>
      <c r="F92" s="78">
        <f>VLOOKUP(C92,'Functional Assignment'!$C$2:$AP$780,'Functional Assignment'!$V$2,)</f>
        <v>67713921.499038443</v>
      </c>
      <c r="G92" s="78">
        <f t="shared" si="39"/>
        <v>51327269.241875283</v>
      </c>
      <c r="H92" s="78">
        <f t="shared" si="39"/>
        <v>8203042.5312115951</v>
      </c>
      <c r="I92" s="78">
        <f t="shared" si="39"/>
        <v>0</v>
      </c>
      <c r="J92" s="78">
        <f t="shared" si="39"/>
        <v>7769425.4348250199</v>
      </c>
      <c r="K92" s="78">
        <f t="shared" si="39"/>
        <v>0</v>
      </c>
      <c r="L92" s="78">
        <f t="shared" si="39"/>
        <v>0</v>
      </c>
      <c r="M92" s="78">
        <f t="shared" si="39"/>
        <v>0</v>
      </c>
      <c r="N92" s="78">
        <f t="shared" si="39"/>
        <v>0</v>
      </c>
      <c r="O92" s="78">
        <f t="shared" si="39"/>
        <v>393437.23050791438</v>
      </c>
      <c r="P92" s="78">
        <f t="shared" si="39"/>
        <v>13703.426765055849</v>
      </c>
      <c r="Q92" s="78">
        <f t="shared" si="40"/>
        <v>6290.5105076847649</v>
      </c>
      <c r="R92" s="78">
        <f t="shared" si="40"/>
        <v>684.57883082333854</v>
      </c>
      <c r="S92" s="78">
        <f t="shared" si="40"/>
        <v>68.544515069993551</v>
      </c>
      <c r="T92" s="78">
        <f t="shared" si="40"/>
        <v>0</v>
      </c>
      <c r="U92" s="78">
        <f t="shared" si="40"/>
        <v>0</v>
      </c>
      <c r="V92" s="78">
        <f t="shared" si="40"/>
        <v>0</v>
      </c>
      <c r="W92" s="78">
        <f t="shared" si="40"/>
        <v>0</v>
      </c>
      <c r="X92" s="78">
        <f t="shared" si="40"/>
        <v>0</v>
      </c>
      <c r="Y92" s="78">
        <f t="shared" si="40"/>
        <v>0</v>
      </c>
      <c r="Z92" s="78">
        <f t="shared" si="40"/>
        <v>0</v>
      </c>
      <c r="AA92" s="78">
        <f t="shared" si="41"/>
        <v>67713921.499038443</v>
      </c>
      <c r="AB92" s="92" t="str">
        <f t="shared" si="42"/>
        <v>ok</v>
      </c>
    </row>
    <row r="93" spans="1:28">
      <c r="A93" s="68" t="s">
        <v>607</v>
      </c>
      <c r="C93" s="60" t="s">
        <v>899</v>
      </c>
      <c r="D93" s="60" t="s">
        <v>397</v>
      </c>
      <c r="E93" s="60" t="s">
        <v>1331</v>
      </c>
      <c r="F93" s="78">
        <f>VLOOKUP(C93,'Functional Assignment'!$C$2:$AP$780,'Functional Assignment'!$W$2,)</f>
        <v>115706517.41808937</v>
      </c>
      <c r="G93" s="78">
        <f t="shared" si="39"/>
        <v>101050165.84278603</v>
      </c>
      <c r="H93" s="78">
        <f t="shared" si="39"/>
        <v>12132753.777536044</v>
      </c>
      <c r="I93" s="78">
        <f t="shared" si="39"/>
        <v>18734.950243261341</v>
      </c>
      <c r="J93" s="78">
        <f t="shared" si="39"/>
        <v>0</v>
      </c>
      <c r="K93" s="78">
        <f t="shared" si="39"/>
        <v>35328.763315864242</v>
      </c>
      <c r="L93" s="78">
        <f t="shared" si="39"/>
        <v>0</v>
      </c>
      <c r="M93" s="78">
        <f t="shared" si="39"/>
        <v>0</v>
      </c>
      <c r="N93" s="78">
        <f t="shared" si="39"/>
        <v>0</v>
      </c>
      <c r="O93" s="78">
        <f t="shared" si="39"/>
        <v>2435784.4095556731</v>
      </c>
      <c r="P93" s="78">
        <f t="shared" si="39"/>
        <v>4309.0385559501083</v>
      </c>
      <c r="Q93" s="78">
        <f t="shared" si="40"/>
        <v>26764.214633230487</v>
      </c>
      <c r="R93" s="78">
        <f t="shared" si="40"/>
        <v>0</v>
      </c>
      <c r="S93" s="78">
        <f t="shared" si="40"/>
        <v>2676.421463323049</v>
      </c>
      <c r="T93" s="78">
        <f t="shared" si="40"/>
        <v>0</v>
      </c>
      <c r="U93" s="78">
        <f t="shared" si="40"/>
        <v>0</v>
      </c>
      <c r="V93" s="78">
        <f t="shared" si="40"/>
        <v>0</v>
      </c>
      <c r="W93" s="78">
        <f t="shared" si="40"/>
        <v>0</v>
      </c>
      <c r="X93" s="78">
        <f t="shared" si="40"/>
        <v>0</v>
      </c>
      <c r="Y93" s="78">
        <f t="shared" si="40"/>
        <v>0</v>
      </c>
      <c r="Z93" s="78">
        <f t="shared" si="40"/>
        <v>0</v>
      </c>
      <c r="AA93" s="78">
        <f t="shared" si="41"/>
        <v>115706517.41808939</v>
      </c>
      <c r="AB93" s="92" t="str">
        <f t="shared" si="42"/>
        <v>ok</v>
      </c>
    </row>
    <row r="94" spans="1:28">
      <c r="A94" s="60" t="s">
        <v>365</v>
      </c>
      <c r="D94" s="60" t="s">
        <v>398</v>
      </c>
      <c r="F94" s="75">
        <f>SUM(F89:F93)</f>
        <v>823266661.4162755</v>
      </c>
      <c r="G94" s="75">
        <f t="shared" ref="G94:W94" si="43">SUM(G89:G93)</f>
        <v>617872705.90780234</v>
      </c>
      <c r="H94" s="75">
        <f t="shared" si="43"/>
        <v>91289485.965370998</v>
      </c>
      <c r="I94" s="75">
        <f t="shared" si="43"/>
        <v>2027230.4268203739</v>
      </c>
      <c r="J94" s="75">
        <f t="shared" si="43"/>
        <v>43270134.205329426</v>
      </c>
      <c r="K94" s="75">
        <f t="shared" si="43"/>
        <v>27799639.13335634</v>
      </c>
      <c r="L94" s="75">
        <f t="shared" si="43"/>
        <v>26632041.041800238</v>
      </c>
      <c r="M94" s="75">
        <f t="shared" si="43"/>
        <v>11851.961395349894</v>
      </c>
      <c r="N94" s="75">
        <f t="shared" si="43"/>
        <v>878856.54046497319</v>
      </c>
      <c r="O94" s="75">
        <f>SUM(O89:O93)</f>
        <v>13204747.429626526</v>
      </c>
      <c r="P94" s="75">
        <f t="shared" si="43"/>
        <v>105079.01980905249</v>
      </c>
      <c r="Q94" s="75">
        <f t="shared" si="43"/>
        <v>157453.28266284071</v>
      </c>
      <c r="R94" s="75">
        <f t="shared" si="43"/>
        <v>5212.5560554757094</v>
      </c>
      <c r="S94" s="75">
        <f t="shared" si="43"/>
        <v>12223.945781588009</v>
      </c>
      <c r="T94" s="75">
        <f t="shared" si="43"/>
        <v>0</v>
      </c>
      <c r="U94" s="75">
        <f t="shared" si="43"/>
        <v>0</v>
      </c>
      <c r="V94" s="75">
        <f t="shared" si="43"/>
        <v>0</v>
      </c>
      <c r="W94" s="75">
        <f t="shared" si="43"/>
        <v>0</v>
      </c>
      <c r="X94" s="75">
        <f>SUM(X89:X93)</f>
        <v>0</v>
      </c>
      <c r="Y94" s="75">
        <f>SUM(Y89:Y93)</f>
        <v>0</v>
      </c>
      <c r="Z94" s="75">
        <f>SUM(Z89:Z93)</f>
        <v>0</v>
      </c>
      <c r="AA94" s="79">
        <f t="shared" si="41"/>
        <v>823266661.41627562</v>
      </c>
      <c r="AB94" s="92" t="str">
        <f t="shared" si="42"/>
        <v>ok</v>
      </c>
    </row>
    <row r="95" spans="1:28">
      <c r="F95" s="78"/>
    </row>
    <row r="96" spans="1:28" ht="15">
      <c r="A96" s="65" t="s">
        <v>613</v>
      </c>
      <c r="F96" s="78"/>
    </row>
    <row r="97" spans="1:28">
      <c r="A97" s="68" t="s">
        <v>1016</v>
      </c>
      <c r="C97" s="60" t="s">
        <v>899</v>
      </c>
      <c r="D97" s="60" t="s">
        <v>399</v>
      </c>
      <c r="E97" s="60" t="s">
        <v>1209</v>
      </c>
      <c r="F97" s="75">
        <f>VLOOKUP(C97,'Functional Assignment'!$C$2:$AP$780,'Functional Assignment'!$X$2,)</f>
        <v>82953367.650094926</v>
      </c>
      <c r="G97" s="75">
        <f t="shared" ref="G97:P98" si="44">IF(VLOOKUP($E97,$D$6:$AN$1148,3,)=0,0,(VLOOKUP($E97,$D$6:$AN$1148,G$2,)/VLOOKUP($E97,$D$6:$AN$1148,3,))*$F97)</f>
        <v>57386324.225439467</v>
      </c>
      <c r="H97" s="75">
        <f t="shared" si="44"/>
        <v>9171391.0614033528</v>
      </c>
      <c r="I97" s="75">
        <f t="shared" si="44"/>
        <v>0</v>
      </c>
      <c r="J97" s="75">
        <f t="shared" si="44"/>
        <v>8686586.5578621384</v>
      </c>
      <c r="K97" s="75">
        <f t="shared" si="44"/>
        <v>0</v>
      </c>
      <c r="L97" s="75">
        <f t="shared" si="44"/>
        <v>7245988.100872607</v>
      </c>
      <c r="M97" s="75">
        <f t="shared" si="44"/>
        <v>0</v>
      </c>
      <c r="N97" s="75">
        <f t="shared" si="44"/>
        <v>0</v>
      </c>
      <c r="O97" s="75">
        <f t="shared" si="44"/>
        <v>439881.50559675548</v>
      </c>
      <c r="P97" s="75">
        <f t="shared" si="44"/>
        <v>15321.081813904204</v>
      </c>
      <c r="Q97" s="75">
        <f t="shared" ref="Q97:Z98" si="45">IF(VLOOKUP($E97,$D$6:$AN$1148,3,)=0,0,(VLOOKUP($E97,$D$6:$AN$1148,Q$2,)/VLOOKUP($E97,$D$6:$AN$1148,3,))*$F97)</f>
        <v>7033.0894448407389</v>
      </c>
      <c r="R97" s="75">
        <f t="shared" si="45"/>
        <v>765.39163925458536</v>
      </c>
      <c r="S97" s="75">
        <f t="shared" si="45"/>
        <v>76.636022601276764</v>
      </c>
      <c r="T97" s="75">
        <f t="shared" si="45"/>
        <v>0</v>
      </c>
      <c r="U97" s="75">
        <f t="shared" si="45"/>
        <v>0</v>
      </c>
      <c r="V97" s="75">
        <f t="shared" si="45"/>
        <v>0</v>
      </c>
      <c r="W97" s="75">
        <f t="shared" si="45"/>
        <v>0</v>
      </c>
      <c r="X97" s="75">
        <f t="shared" si="45"/>
        <v>0</v>
      </c>
      <c r="Y97" s="75">
        <f t="shared" si="45"/>
        <v>0</v>
      </c>
      <c r="Z97" s="75">
        <f t="shared" si="45"/>
        <v>0</v>
      </c>
      <c r="AA97" s="79">
        <f>SUM(G97:Z97)</f>
        <v>82953367.650094911</v>
      </c>
      <c r="AB97" s="92" t="str">
        <f>IF(ABS(F97-AA97)&lt;0.01,"ok","err")</f>
        <v>ok</v>
      </c>
    </row>
    <row r="98" spans="1:28">
      <c r="A98" s="68" t="s">
        <v>1019</v>
      </c>
      <c r="C98" s="60" t="s">
        <v>899</v>
      </c>
      <c r="D98" s="60" t="s">
        <v>400</v>
      </c>
      <c r="E98" s="60" t="s">
        <v>1333</v>
      </c>
      <c r="F98" s="78">
        <f>VLOOKUP(C98,'Functional Assignment'!$C$2:$AP$780,'Functional Assignment'!$Y$2,)</f>
        <v>46238862.960672498</v>
      </c>
      <c r="G98" s="78">
        <f t="shared" si="44"/>
        <v>40095557.889419332</v>
      </c>
      <c r="H98" s="78">
        <f t="shared" si="44"/>
        <v>4814138.8723905459</v>
      </c>
      <c r="I98" s="78">
        <f t="shared" si="44"/>
        <v>0</v>
      </c>
      <c r="J98" s="78">
        <f t="shared" si="44"/>
        <v>295547.26201938785</v>
      </c>
      <c r="K98" s="78">
        <f t="shared" si="44"/>
        <v>0</v>
      </c>
      <c r="L98" s="78">
        <f t="shared" si="44"/>
        <v>53629.668458422871</v>
      </c>
      <c r="M98" s="78">
        <f t="shared" si="44"/>
        <v>0</v>
      </c>
      <c r="N98" s="78">
        <f t="shared" si="44"/>
        <v>0</v>
      </c>
      <c r="O98" s="78">
        <f t="shared" si="44"/>
        <v>966491.58351140725</v>
      </c>
      <c r="P98" s="78">
        <f t="shared" si="44"/>
        <v>1709.7775488724917</v>
      </c>
      <c r="Q98" s="78">
        <f t="shared" si="45"/>
        <v>10619.73632840057</v>
      </c>
      <c r="R98" s="78">
        <f t="shared" si="45"/>
        <v>106.19736328400569</v>
      </c>
      <c r="S98" s="78">
        <f t="shared" si="45"/>
        <v>1061.9736328400568</v>
      </c>
      <c r="T98" s="78">
        <f t="shared" si="45"/>
        <v>0</v>
      </c>
      <c r="U98" s="78">
        <f t="shared" si="45"/>
        <v>0</v>
      </c>
      <c r="V98" s="78">
        <f t="shared" si="45"/>
        <v>0</v>
      </c>
      <c r="W98" s="78">
        <f t="shared" si="45"/>
        <v>0</v>
      </c>
      <c r="X98" s="78">
        <f t="shared" si="45"/>
        <v>0</v>
      </c>
      <c r="Y98" s="78">
        <f t="shared" si="45"/>
        <v>0</v>
      </c>
      <c r="Z98" s="78">
        <f t="shared" si="45"/>
        <v>0</v>
      </c>
      <c r="AA98" s="78">
        <f>SUM(G98:Z98)</f>
        <v>46238862.960672498</v>
      </c>
      <c r="AB98" s="92" t="str">
        <f>IF(ABS(F98-AA98)&lt;0.01,"ok","err")</f>
        <v>ok</v>
      </c>
    </row>
    <row r="99" spans="1:28">
      <c r="A99" s="60" t="s">
        <v>674</v>
      </c>
      <c r="D99" s="60" t="s">
        <v>401</v>
      </c>
      <c r="F99" s="75">
        <f>F97+F98</f>
        <v>129192230.61076742</v>
      </c>
      <c r="G99" s="75">
        <f t="shared" ref="G99:W99" si="46">G97+G98</f>
        <v>97481882.114858806</v>
      </c>
      <c r="H99" s="75">
        <f t="shared" si="46"/>
        <v>13985529.933793899</v>
      </c>
      <c r="I99" s="75">
        <f t="shared" si="46"/>
        <v>0</v>
      </c>
      <c r="J99" s="75">
        <f t="shared" si="46"/>
        <v>8982133.8198815268</v>
      </c>
      <c r="K99" s="75">
        <f t="shared" si="46"/>
        <v>0</v>
      </c>
      <c r="L99" s="75">
        <f t="shared" si="46"/>
        <v>7299617.7693310296</v>
      </c>
      <c r="M99" s="75">
        <f t="shared" si="46"/>
        <v>0</v>
      </c>
      <c r="N99" s="75">
        <f t="shared" si="46"/>
        <v>0</v>
      </c>
      <c r="O99" s="75">
        <f>O97+O98</f>
        <v>1406373.0891081628</v>
      </c>
      <c r="P99" s="75">
        <f t="shared" si="46"/>
        <v>17030.859362776697</v>
      </c>
      <c r="Q99" s="75">
        <f t="shared" si="46"/>
        <v>17652.825773241308</v>
      </c>
      <c r="R99" s="75">
        <f t="shared" si="46"/>
        <v>871.5890025385911</v>
      </c>
      <c r="S99" s="75">
        <f t="shared" si="46"/>
        <v>1138.6096554413336</v>
      </c>
      <c r="T99" s="75">
        <f t="shared" si="46"/>
        <v>0</v>
      </c>
      <c r="U99" s="75">
        <f t="shared" si="46"/>
        <v>0</v>
      </c>
      <c r="V99" s="75">
        <f t="shared" si="46"/>
        <v>0</v>
      </c>
      <c r="W99" s="75">
        <f t="shared" si="46"/>
        <v>0</v>
      </c>
      <c r="X99" s="75">
        <f>X97+X98</f>
        <v>0</v>
      </c>
      <c r="Y99" s="75">
        <f>Y97+Y98</f>
        <v>0</v>
      </c>
      <c r="Z99" s="75">
        <f>Z97+Z98</f>
        <v>0</v>
      </c>
      <c r="AA99" s="79">
        <f>SUM(G99:Z99)</f>
        <v>129192230.61076742</v>
      </c>
      <c r="AB99" s="92" t="str">
        <f>IF(ABS(F99-AA99)&lt;0.01,"ok","err")</f>
        <v>ok</v>
      </c>
    </row>
    <row r="100" spans="1:28">
      <c r="F100" s="78"/>
    </row>
    <row r="101" spans="1:28" ht="15">
      <c r="A101" s="65" t="s">
        <v>343</v>
      </c>
      <c r="F101" s="78"/>
    </row>
    <row r="102" spans="1:28">
      <c r="A102" s="68" t="s">
        <v>1019</v>
      </c>
      <c r="C102" s="60" t="s">
        <v>899</v>
      </c>
      <c r="D102" s="60" t="s">
        <v>402</v>
      </c>
      <c r="E102" s="60" t="s">
        <v>1021</v>
      </c>
      <c r="F102" s="75">
        <f>VLOOKUP(C102,'Functional Assignment'!$C$2:$AP$780,'Functional Assignment'!$Z$2,)</f>
        <v>29563786.729864359</v>
      </c>
      <c r="G102" s="75">
        <f t="shared" ref="G102:Z102" si="47">IF(VLOOKUP($E102,$D$6:$AN$1148,3,)=0,0,(VLOOKUP($E102,$D$6:$AN$1148,G$2,)/VLOOKUP($E102,$D$6:$AN$1148,3,))*$F102)</f>
        <v>25463931.620959364</v>
      </c>
      <c r="H102" s="75">
        <f t="shared" si="47"/>
        <v>3626678.4798732479</v>
      </c>
      <c r="I102" s="75">
        <f t="shared" si="47"/>
        <v>0</v>
      </c>
      <c r="J102" s="75">
        <f t="shared" si="47"/>
        <v>373035.9361005582</v>
      </c>
      <c r="K102" s="75">
        <f t="shared" si="47"/>
        <v>0</v>
      </c>
      <c r="L102" s="75">
        <f t="shared" si="47"/>
        <v>100006.62295439835</v>
      </c>
      <c r="M102" s="75">
        <f t="shared" si="47"/>
        <v>0</v>
      </c>
      <c r="N102" s="75">
        <f t="shared" si="47"/>
        <v>0</v>
      </c>
      <c r="O102" s="75">
        <f t="shared" si="47"/>
        <v>0</v>
      </c>
      <c r="P102" s="75">
        <f t="shared" si="47"/>
        <v>0</v>
      </c>
      <c r="Q102" s="75">
        <f t="shared" si="47"/>
        <v>0</v>
      </c>
      <c r="R102" s="75">
        <f t="shared" si="47"/>
        <v>134.06997678822708</v>
      </c>
      <c r="S102" s="75">
        <f t="shared" si="47"/>
        <v>0</v>
      </c>
      <c r="T102" s="75">
        <f t="shared" si="47"/>
        <v>0</v>
      </c>
      <c r="U102" s="75">
        <f t="shared" si="47"/>
        <v>0</v>
      </c>
      <c r="V102" s="75">
        <f t="shared" si="47"/>
        <v>0</v>
      </c>
      <c r="W102" s="75">
        <f t="shared" si="47"/>
        <v>0</v>
      </c>
      <c r="X102" s="75">
        <f t="shared" si="47"/>
        <v>0</v>
      </c>
      <c r="Y102" s="75">
        <f t="shared" si="47"/>
        <v>0</v>
      </c>
      <c r="Z102" s="75">
        <f t="shared" si="47"/>
        <v>0</v>
      </c>
      <c r="AA102" s="79">
        <f>SUM(G102:Z102)</f>
        <v>29563786.729864355</v>
      </c>
      <c r="AB102" s="92" t="str">
        <f>IF(ABS(F102-AA102)&lt;0.01,"ok","err")</f>
        <v>ok</v>
      </c>
    </row>
    <row r="103" spans="1:28">
      <c r="F103" s="78"/>
    </row>
    <row r="104" spans="1:28" ht="15">
      <c r="A104" s="65" t="s">
        <v>342</v>
      </c>
      <c r="F104" s="78"/>
    </row>
    <row r="105" spans="1:28">
      <c r="A105" s="68" t="s">
        <v>1019</v>
      </c>
      <c r="C105" s="60" t="s">
        <v>899</v>
      </c>
      <c r="D105" s="60" t="s">
        <v>403</v>
      </c>
      <c r="E105" s="60" t="s">
        <v>1273</v>
      </c>
      <c r="F105" s="75">
        <f>VLOOKUP(C105,'Functional Assignment'!$C$2:$AP$780,'Functional Assignment'!$AA$2,)</f>
        <v>30149961.984803911</v>
      </c>
      <c r="G105" s="75">
        <f t="shared" ref="G105:Z105" si="48">IF(VLOOKUP($E105,$D$6:$AN$1148,3,)=0,0,(VLOOKUP($E105,$D$6:$AN$1148,G$2,)/VLOOKUP($E105,$D$6:$AN$1148,3,))*$F105)</f>
        <v>20513748.073607322</v>
      </c>
      <c r="H105" s="75">
        <f t="shared" si="48"/>
        <v>6373699.4619441861</v>
      </c>
      <c r="I105" s="75">
        <f t="shared" si="48"/>
        <v>208332.25048325656</v>
      </c>
      <c r="J105" s="75">
        <f t="shared" si="48"/>
        <v>1782389.3974183898</v>
      </c>
      <c r="K105" s="75">
        <f t="shared" si="48"/>
        <v>416122.19068734231</v>
      </c>
      <c r="L105" s="75">
        <f t="shared" si="48"/>
        <v>352367.34707506798</v>
      </c>
      <c r="M105" s="75">
        <f t="shared" si="48"/>
        <v>294071.22383137897</v>
      </c>
      <c r="N105" s="75">
        <f t="shared" si="48"/>
        <v>6324.3087775183194</v>
      </c>
      <c r="O105" s="75">
        <f t="shared" si="48"/>
        <v>0</v>
      </c>
      <c r="P105" s="75">
        <f t="shared" si="48"/>
        <v>8746.6205292162867</v>
      </c>
      <c r="Q105" s="75">
        <f t="shared" si="48"/>
        <v>54326.835585194334</v>
      </c>
      <c r="R105" s="75">
        <f t="shared" si="48"/>
        <v>640.59486503479536</v>
      </c>
      <c r="S105" s="75">
        <f t="shared" si="48"/>
        <v>139193.68000000005</v>
      </c>
      <c r="T105" s="75">
        <f t="shared" si="48"/>
        <v>0</v>
      </c>
      <c r="U105" s="75">
        <f t="shared" si="48"/>
        <v>0</v>
      </c>
      <c r="V105" s="75">
        <f t="shared" si="48"/>
        <v>0</v>
      </c>
      <c r="W105" s="75">
        <f t="shared" si="48"/>
        <v>0</v>
      </c>
      <c r="X105" s="75">
        <f t="shared" si="48"/>
        <v>0</v>
      </c>
      <c r="Y105" s="75">
        <f t="shared" si="48"/>
        <v>0</v>
      </c>
      <c r="Z105" s="75">
        <f t="shared" si="48"/>
        <v>0</v>
      </c>
      <c r="AA105" s="79">
        <f>SUM(G105:Z105)</f>
        <v>30149961.984803908</v>
      </c>
      <c r="AB105" s="92" t="str">
        <f>IF(ABS(F105-AA105)&lt;0.01,"ok","err")</f>
        <v>ok</v>
      </c>
    </row>
    <row r="106" spans="1:28">
      <c r="F106" s="78"/>
    </row>
    <row r="107" spans="1:28" ht="15">
      <c r="A107" s="65" t="s">
        <v>358</v>
      </c>
      <c r="F107" s="78"/>
    </row>
    <row r="108" spans="1:28">
      <c r="A108" s="68" t="s">
        <v>1019</v>
      </c>
      <c r="C108" s="60" t="s">
        <v>899</v>
      </c>
      <c r="D108" s="60" t="s">
        <v>404</v>
      </c>
      <c r="E108" s="60" t="s">
        <v>1329</v>
      </c>
      <c r="F108" s="75">
        <f>VLOOKUP(C108,'Functional Assignment'!$C$2:$AP$780,'Functional Assignment'!$AB$2,)</f>
        <v>97473132.05472216</v>
      </c>
      <c r="G108" s="75">
        <f t="shared" ref="G108:Z108" si="49">IF(VLOOKUP($E108,$D$6:$AN$1148,3,)=0,0,(VLOOKUP($E108,$D$6:$AN$1148,G$2,)/VLOOKUP($E108,$D$6:$AN$1148,3,))*$F108)</f>
        <v>0</v>
      </c>
      <c r="H108" s="75">
        <f t="shared" si="49"/>
        <v>0</v>
      </c>
      <c r="I108" s="75">
        <f t="shared" si="49"/>
        <v>0</v>
      </c>
      <c r="J108" s="75">
        <f t="shared" si="49"/>
        <v>0</v>
      </c>
      <c r="K108" s="75">
        <f t="shared" si="49"/>
        <v>0</v>
      </c>
      <c r="L108" s="75">
        <f t="shared" si="49"/>
        <v>0</v>
      </c>
      <c r="M108" s="75">
        <f t="shared" si="49"/>
        <v>0</v>
      </c>
      <c r="N108" s="75">
        <f t="shared" si="49"/>
        <v>0</v>
      </c>
      <c r="O108" s="75">
        <f t="shared" si="49"/>
        <v>97473132.05472216</v>
      </c>
      <c r="P108" s="75">
        <f t="shared" si="49"/>
        <v>0</v>
      </c>
      <c r="Q108" s="75">
        <f t="shared" si="49"/>
        <v>0</v>
      </c>
      <c r="R108" s="75">
        <f t="shared" si="49"/>
        <v>0</v>
      </c>
      <c r="S108" s="75">
        <f t="shared" si="49"/>
        <v>0</v>
      </c>
      <c r="T108" s="75">
        <f t="shared" si="49"/>
        <v>0</v>
      </c>
      <c r="U108" s="75">
        <f t="shared" si="49"/>
        <v>0</v>
      </c>
      <c r="V108" s="75">
        <f t="shared" si="49"/>
        <v>0</v>
      </c>
      <c r="W108" s="75">
        <f t="shared" si="49"/>
        <v>0</v>
      </c>
      <c r="X108" s="75">
        <f t="shared" si="49"/>
        <v>0</v>
      </c>
      <c r="Y108" s="75">
        <f t="shared" si="49"/>
        <v>0</v>
      </c>
      <c r="Z108" s="75">
        <f t="shared" si="49"/>
        <v>0</v>
      </c>
      <c r="AA108" s="79">
        <f>SUM(G108:Z108)</f>
        <v>97473132.05472216</v>
      </c>
      <c r="AB108" s="92" t="str">
        <f>IF(ABS(F108-AA108)&lt;0.01,"ok","err")</f>
        <v>ok</v>
      </c>
    </row>
    <row r="109" spans="1:28">
      <c r="F109" s="78"/>
    </row>
    <row r="110" spans="1:28" ht="15">
      <c r="A110" s="65" t="s">
        <v>951</v>
      </c>
      <c r="F110" s="78"/>
    </row>
    <row r="111" spans="1:28">
      <c r="A111" s="68" t="s">
        <v>1019</v>
      </c>
      <c r="C111" s="60" t="s">
        <v>899</v>
      </c>
      <c r="D111" s="60" t="s">
        <v>405</v>
      </c>
      <c r="E111" s="60" t="s">
        <v>1328</v>
      </c>
      <c r="F111" s="75">
        <f>VLOOKUP(C111,'Functional Assignment'!$C$2:$AP$780,'Functional Assignment'!$AC$2,)</f>
        <v>0</v>
      </c>
      <c r="G111" s="75">
        <f t="shared" ref="G111:Z111" si="50">IF(VLOOKUP($E111,$D$6:$AN$1148,3,)=0,0,(VLOOKUP($E111,$D$6:$AN$1148,G$2,)/VLOOKUP($E111,$D$6:$AN$1148,3,))*$F111)</f>
        <v>0</v>
      </c>
      <c r="H111" s="75">
        <f t="shared" si="50"/>
        <v>0</v>
      </c>
      <c r="I111" s="75">
        <f t="shared" si="50"/>
        <v>0</v>
      </c>
      <c r="J111" s="75">
        <f t="shared" si="50"/>
        <v>0</v>
      </c>
      <c r="K111" s="75">
        <f t="shared" si="50"/>
        <v>0</v>
      </c>
      <c r="L111" s="75">
        <f t="shared" si="50"/>
        <v>0</v>
      </c>
      <c r="M111" s="75">
        <f t="shared" si="50"/>
        <v>0</v>
      </c>
      <c r="N111" s="75">
        <f t="shared" si="50"/>
        <v>0</v>
      </c>
      <c r="O111" s="75">
        <f t="shared" si="50"/>
        <v>0</v>
      </c>
      <c r="P111" s="75">
        <f t="shared" si="50"/>
        <v>0</v>
      </c>
      <c r="Q111" s="75">
        <f t="shared" si="50"/>
        <v>0</v>
      </c>
      <c r="R111" s="75">
        <f t="shared" si="50"/>
        <v>0</v>
      </c>
      <c r="S111" s="75">
        <f t="shared" si="50"/>
        <v>0</v>
      </c>
      <c r="T111" s="75">
        <f t="shared" si="50"/>
        <v>0</v>
      </c>
      <c r="U111" s="75">
        <f t="shared" si="50"/>
        <v>0</v>
      </c>
      <c r="V111" s="75">
        <f t="shared" si="50"/>
        <v>0</v>
      </c>
      <c r="W111" s="75">
        <f t="shared" si="50"/>
        <v>0</v>
      </c>
      <c r="X111" s="75">
        <f t="shared" si="50"/>
        <v>0</v>
      </c>
      <c r="Y111" s="75">
        <f t="shared" si="50"/>
        <v>0</v>
      </c>
      <c r="Z111" s="75">
        <f t="shared" si="50"/>
        <v>0</v>
      </c>
      <c r="AA111" s="79">
        <f>SUM(G111:Z111)</f>
        <v>0</v>
      </c>
      <c r="AB111" s="92" t="str">
        <f>IF(ABS(F111-AA111)&lt;0.01,"ok","err")</f>
        <v>ok</v>
      </c>
    </row>
    <row r="112" spans="1:28">
      <c r="F112" s="78"/>
    </row>
    <row r="113" spans="1:28" ht="15">
      <c r="A113" s="65" t="s">
        <v>340</v>
      </c>
      <c r="F113" s="78"/>
    </row>
    <row r="114" spans="1:28">
      <c r="A114" s="68" t="s">
        <v>1019</v>
      </c>
      <c r="C114" s="60" t="s">
        <v>899</v>
      </c>
      <c r="D114" s="60" t="s">
        <v>406</v>
      </c>
      <c r="E114" s="60" t="s">
        <v>1334</v>
      </c>
      <c r="F114" s="75">
        <f>VLOOKUP(C114,'Functional Assignment'!$C$2:$AP$780,'Functional Assignment'!$AD$2,)</f>
        <v>0</v>
      </c>
      <c r="G114" s="75">
        <f t="shared" ref="G114:Z114" si="51">IF(VLOOKUP($E114,$D$6:$AN$1148,3,)=0,0,(VLOOKUP($E114,$D$6:$AN$1148,G$2,)/VLOOKUP($E114,$D$6:$AN$1148,3,))*$F114)</f>
        <v>0</v>
      </c>
      <c r="H114" s="75">
        <f t="shared" si="51"/>
        <v>0</v>
      </c>
      <c r="I114" s="75">
        <f t="shared" si="51"/>
        <v>0</v>
      </c>
      <c r="J114" s="75">
        <f t="shared" si="51"/>
        <v>0</v>
      </c>
      <c r="K114" s="75">
        <f t="shared" si="51"/>
        <v>0</v>
      </c>
      <c r="L114" s="75">
        <f t="shared" si="51"/>
        <v>0</v>
      </c>
      <c r="M114" s="75">
        <f t="shared" si="51"/>
        <v>0</v>
      </c>
      <c r="N114" s="75">
        <f t="shared" si="51"/>
        <v>0</v>
      </c>
      <c r="O114" s="75">
        <f t="shared" si="51"/>
        <v>0</v>
      </c>
      <c r="P114" s="75">
        <f t="shared" si="51"/>
        <v>0</v>
      </c>
      <c r="Q114" s="75">
        <f t="shared" si="51"/>
        <v>0</v>
      </c>
      <c r="R114" s="75">
        <f t="shared" si="51"/>
        <v>0</v>
      </c>
      <c r="S114" s="75">
        <f t="shared" si="51"/>
        <v>0</v>
      </c>
      <c r="T114" s="75">
        <f t="shared" si="51"/>
        <v>0</v>
      </c>
      <c r="U114" s="75">
        <f t="shared" si="51"/>
        <v>0</v>
      </c>
      <c r="V114" s="75">
        <f t="shared" si="51"/>
        <v>0</v>
      </c>
      <c r="W114" s="75">
        <f t="shared" si="51"/>
        <v>0</v>
      </c>
      <c r="X114" s="75">
        <f t="shared" si="51"/>
        <v>0</v>
      </c>
      <c r="Y114" s="75">
        <f t="shared" si="51"/>
        <v>0</v>
      </c>
      <c r="Z114" s="75">
        <f t="shared" si="51"/>
        <v>0</v>
      </c>
      <c r="AA114" s="79">
        <f>SUM(G114:Z114)</f>
        <v>0</v>
      </c>
      <c r="AB114" s="92" t="str">
        <f>IF(ABS(F114-AA114)&lt;0.01,"ok","err")</f>
        <v>ok</v>
      </c>
    </row>
    <row r="115" spans="1:28">
      <c r="F115" s="78"/>
    </row>
    <row r="116" spans="1:28" ht="15">
      <c r="A116" s="65" t="s">
        <v>339</v>
      </c>
      <c r="F116" s="78"/>
    </row>
    <row r="117" spans="1:28">
      <c r="A117" s="68" t="s">
        <v>1019</v>
      </c>
      <c r="C117" s="60" t="s">
        <v>899</v>
      </c>
      <c r="D117" s="60" t="s">
        <v>407</v>
      </c>
      <c r="E117" s="60" t="s">
        <v>1334</v>
      </c>
      <c r="F117" s="75">
        <f>VLOOKUP(C117,'Functional Assignment'!$C$2:$AP$780,'Functional Assignment'!$AE$2,)</f>
        <v>0</v>
      </c>
      <c r="G117" s="75">
        <f t="shared" ref="G117:Z117" si="52">IF(VLOOKUP($E117,$D$6:$AN$1148,3,)=0,0,(VLOOKUP($E117,$D$6:$AN$1148,G$2,)/VLOOKUP($E117,$D$6:$AN$1148,3,))*$F117)</f>
        <v>0</v>
      </c>
      <c r="H117" s="75">
        <f t="shared" si="52"/>
        <v>0</v>
      </c>
      <c r="I117" s="75">
        <f t="shared" si="52"/>
        <v>0</v>
      </c>
      <c r="J117" s="75">
        <f t="shared" si="52"/>
        <v>0</v>
      </c>
      <c r="K117" s="75">
        <f t="shared" si="52"/>
        <v>0</v>
      </c>
      <c r="L117" s="75">
        <f t="shared" si="52"/>
        <v>0</v>
      </c>
      <c r="M117" s="75">
        <f t="shared" si="52"/>
        <v>0</v>
      </c>
      <c r="N117" s="75">
        <f t="shared" si="52"/>
        <v>0</v>
      </c>
      <c r="O117" s="75">
        <f t="shared" si="52"/>
        <v>0</v>
      </c>
      <c r="P117" s="75">
        <f t="shared" si="52"/>
        <v>0</v>
      </c>
      <c r="Q117" s="75">
        <f t="shared" si="52"/>
        <v>0</v>
      </c>
      <c r="R117" s="75">
        <f t="shared" si="52"/>
        <v>0</v>
      </c>
      <c r="S117" s="75">
        <f t="shared" si="52"/>
        <v>0</v>
      </c>
      <c r="T117" s="75">
        <f t="shared" si="52"/>
        <v>0</v>
      </c>
      <c r="U117" s="75">
        <f t="shared" si="52"/>
        <v>0</v>
      </c>
      <c r="V117" s="75">
        <f t="shared" si="52"/>
        <v>0</v>
      </c>
      <c r="W117" s="75">
        <f t="shared" si="52"/>
        <v>0</v>
      </c>
      <c r="X117" s="75">
        <f t="shared" si="52"/>
        <v>0</v>
      </c>
      <c r="Y117" s="75">
        <f t="shared" si="52"/>
        <v>0</v>
      </c>
      <c r="Z117" s="75">
        <f t="shared" si="52"/>
        <v>0</v>
      </c>
      <c r="AA117" s="79">
        <f>SUM(G117:Z117)</f>
        <v>0</v>
      </c>
      <c r="AB117" s="92" t="str">
        <f>IF(ABS(F117-AA117)&lt;0.01,"ok","err")</f>
        <v>ok</v>
      </c>
    </row>
    <row r="118" spans="1:28">
      <c r="F118" s="78"/>
    </row>
    <row r="119" spans="1:28">
      <c r="A119" s="60" t="s">
        <v>848</v>
      </c>
      <c r="D119" s="60" t="s">
        <v>408</v>
      </c>
      <c r="F119" s="75">
        <f>F74+F80+F83+F86+F94+F99+F102+F105+F108+F111+F114+F117</f>
        <v>4185367363.7841148</v>
      </c>
      <c r="G119" s="75">
        <f t="shared" ref="G119:Y119" si="53">G74+G80+G83+G86+G94+G99+G102+G105+G108+G111+G114+G117</f>
        <v>2078955722.7386796</v>
      </c>
      <c r="H119" s="75">
        <f t="shared" si="53"/>
        <v>482410951.33431417</v>
      </c>
      <c r="I119" s="75">
        <f t="shared" si="53"/>
        <v>28355776.432904154</v>
      </c>
      <c r="J119" s="75">
        <f t="shared" si="53"/>
        <v>478805883.66051209</v>
      </c>
      <c r="K119" s="75">
        <f t="shared" si="53"/>
        <v>418524428.0272094</v>
      </c>
      <c r="L119" s="75">
        <f t="shared" si="53"/>
        <v>364769641.04362679</v>
      </c>
      <c r="M119" s="75">
        <f t="shared" si="53"/>
        <v>189957093.00397727</v>
      </c>
      <c r="N119" s="75">
        <f t="shared" si="53"/>
        <v>12287146.374333322</v>
      </c>
      <c r="O119" s="75">
        <f>O74+O80+O83+O86+O94+O99+O102+O105+O108+O111+O114+O117</f>
        <v>127116263.78318956</v>
      </c>
      <c r="P119" s="75">
        <f t="shared" si="53"/>
        <v>654421.75680227217</v>
      </c>
      <c r="Q119" s="75">
        <f t="shared" si="53"/>
        <v>797692.19258100737</v>
      </c>
      <c r="R119" s="75">
        <f t="shared" si="53"/>
        <v>15648.809570715423</v>
      </c>
      <c r="S119" s="75">
        <f t="shared" si="53"/>
        <v>157631.65641441679</v>
      </c>
      <c r="T119" s="75">
        <f t="shared" si="53"/>
        <v>2486734.1800000006</v>
      </c>
      <c r="U119" s="75">
        <f t="shared" si="53"/>
        <v>72328.790000000008</v>
      </c>
      <c r="V119" s="75">
        <f t="shared" si="53"/>
        <v>0</v>
      </c>
      <c r="W119" s="75">
        <f t="shared" si="53"/>
        <v>0</v>
      </c>
      <c r="X119" s="75">
        <f t="shared" si="53"/>
        <v>0</v>
      </c>
      <c r="Y119" s="75">
        <f t="shared" si="53"/>
        <v>0</v>
      </c>
      <c r="Z119" s="75">
        <f>Z74+Z80+Z83+Z86+Z94+Z99+Z102+Z105+Z108+Z111+Z114+Z117</f>
        <v>0</v>
      </c>
      <c r="AA119" s="79">
        <f>SUM(G119:Z119)</f>
        <v>4185367363.7841148</v>
      </c>
      <c r="AB119" s="92" t="str">
        <f>IF(ABS(F119-AA119)&lt;0.01,"ok","err")</f>
        <v>ok</v>
      </c>
    </row>
    <row r="122" spans="1:28" ht="15">
      <c r="A122" s="65" t="s">
        <v>1028</v>
      </c>
    </row>
    <row r="124" spans="1:28" ht="15">
      <c r="A124" s="65" t="s">
        <v>352</v>
      </c>
    </row>
    <row r="125" spans="1:28">
      <c r="A125" s="68" t="s">
        <v>1254</v>
      </c>
      <c r="C125" s="60" t="s">
        <v>910</v>
      </c>
      <c r="D125" s="60" t="s">
        <v>1427</v>
      </c>
      <c r="E125" s="60" t="s">
        <v>1412</v>
      </c>
      <c r="F125" s="75">
        <f>VLOOKUP(C125,'Functional Assignment'!$C$2:$AP$780,'Functional Assignment'!$H$2,)</f>
        <v>2009588145.2784369</v>
      </c>
      <c r="G125" s="75">
        <f t="shared" ref="G125:P130" si="54">IF(VLOOKUP($E125,$D$6:$AN$1148,3,)=0,0,(VLOOKUP($E125,$D$6:$AN$1148,G$2,)/VLOOKUP($E125,$D$6:$AN$1148,3,))*$F125)</f>
        <v>836476502.8671335</v>
      </c>
      <c r="H125" s="75">
        <f t="shared" si="54"/>
        <v>240785545.78532007</v>
      </c>
      <c r="I125" s="75">
        <f t="shared" si="54"/>
        <v>17432643.667620964</v>
      </c>
      <c r="J125" s="75">
        <f t="shared" si="54"/>
        <v>280714249.34288967</v>
      </c>
      <c r="K125" s="75">
        <f t="shared" si="54"/>
        <v>263110967.78052303</v>
      </c>
      <c r="L125" s="75">
        <f t="shared" si="54"/>
        <v>217586167.47665173</v>
      </c>
      <c r="M125" s="75">
        <f t="shared" si="54"/>
        <v>134604637.2070277</v>
      </c>
      <c r="N125" s="75">
        <f t="shared" si="54"/>
        <v>7557586.2057706146</v>
      </c>
      <c r="O125" s="75">
        <f t="shared" si="54"/>
        <v>8257092.4560208432</v>
      </c>
      <c r="P125" s="75">
        <f t="shared" si="54"/>
        <v>287594.69869514706</v>
      </c>
      <c r="Q125" s="75">
        <f t="shared" ref="Q125:Z130" si="55">IF(VLOOKUP($E125,$D$6:$AN$1148,3,)=0,0,(VLOOKUP($E125,$D$6:$AN$1148,Q$2,)/VLOOKUP($E125,$D$6:$AN$1148,3,))*$F125)</f>
        <v>396058.04557796317</v>
      </c>
      <c r="R125" s="75">
        <f t="shared" si="55"/>
        <v>384.56335987000261</v>
      </c>
      <c r="S125" s="75">
        <f t="shared" si="55"/>
        <v>3416.5518453707464</v>
      </c>
      <c r="T125" s="75">
        <f t="shared" si="55"/>
        <v>2314621.8400000003</v>
      </c>
      <c r="U125" s="75">
        <f t="shared" si="55"/>
        <v>60676.790000000008</v>
      </c>
      <c r="V125" s="75">
        <f t="shared" si="55"/>
        <v>0</v>
      </c>
      <c r="W125" s="75">
        <f t="shared" si="55"/>
        <v>0</v>
      </c>
      <c r="X125" s="75">
        <f t="shared" si="55"/>
        <v>0</v>
      </c>
      <c r="Y125" s="75">
        <f t="shared" si="55"/>
        <v>0</v>
      </c>
      <c r="Z125" s="75">
        <f t="shared" si="55"/>
        <v>0</v>
      </c>
      <c r="AA125" s="79">
        <f t="shared" ref="AA125:AA131" si="56">SUM(G125:Z125)</f>
        <v>2009588145.2784367</v>
      </c>
      <c r="AB125" s="92" t="str">
        <f t="shared" ref="AB125:AB131" si="57">IF(ABS(F125-AA125)&lt;0.01,"ok","err")</f>
        <v>ok</v>
      </c>
    </row>
    <row r="126" spans="1:28" hidden="1">
      <c r="A126" s="68" t="s">
        <v>1255</v>
      </c>
      <c r="C126" s="60" t="s">
        <v>910</v>
      </c>
      <c r="D126" s="60" t="s">
        <v>409</v>
      </c>
      <c r="E126" s="60" t="s">
        <v>1409</v>
      </c>
      <c r="F126" s="78">
        <f>VLOOKUP(C126,'Functional Assignment'!$C$2:$AP$780,'Functional Assignment'!$I$2,)</f>
        <v>0</v>
      </c>
      <c r="G126" s="78">
        <f t="shared" si="54"/>
        <v>0</v>
      </c>
      <c r="H126" s="78">
        <f t="shared" si="54"/>
        <v>0</v>
      </c>
      <c r="I126" s="78">
        <f t="shared" si="54"/>
        <v>0</v>
      </c>
      <c r="J126" s="78">
        <f t="shared" si="54"/>
        <v>0</v>
      </c>
      <c r="K126" s="78">
        <f t="shared" si="54"/>
        <v>0</v>
      </c>
      <c r="L126" s="78">
        <f t="shared" si="54"/>
        <v>0</v>
      </c>
      <c r="M126" s="78">
        <f t="shared" si="54"/>
        <v>0</v>
      </c>
      <c r="N126" s="78">
        <f t="shared" si="54"/>
        <v>0</v>
      </c>
      <c r="O126" s="78">
        <f t="shared" si="54"/>
        <v>0</v>
      </c>
      <c r="P126" s="78">
        <f t="shared" si="54"/>
        <v>0</v>
      </c>
      <c r="Q126" s="78">
        <f t="shared" si="55"/>
        <v>0</v>
      </c>
      <c r="R126" s="78">
        <f t="shared" si="55"/>
        <v>0</v>
      </c>
      <c r="S126" s="78">
        <f t="shared" si="55"/>
        <v>0</v>
      </c>
      <c r="T126" s="78">
        <f t="shared" si="55"/>
        <v>0</v>
      </c>
      <c r="U126" s="78">
        <f t="shared" si="55"/>
        <v>0</v>
      </c>
      <c r="V126" s="78">
        <f t="shared" si="55"/>
        <v>0</v>
      </c>
      <c r="W126" s="78">
        <f t="shared" si="55"/>
        <v>0</v>
      </c>
      <c r="X126" s="78">
        <f t="shared" si="55"/>
        <v>0</v>
      </c>
      <c r="Y126" s="78">
        <f t="shared" si="55"/>
        <v>0</v>
      </c>
      <c r="Z126" s="78">
        <f t="shared" si="55"/>
        <v>0</v>
      </c>
      <c r="AA126" s="78">
        <f t="shared" si="56"/>
        <v>0</v>
      </c>
      <c r="AB126" s="92" t="str">
        <f t="shared" si="57"/>
        <v>ok</v>
      </c>
    </row>
    <row r="127" spans="1:28" hidden="1">
      <c r="A127" s="68" t="s">
        <v>1255</v>
      </c>
      <c r="C127" s="60" t="s">
        <v>910</v>
      </c>
      <c r="D127" s="60" t="s">
        <v>410</v>
      </c>
      <c r="E127" s="60" t="s">
        <v>1409</v>
      </c>
      <c r="F127" s="78">
        <f>VLOOKUP(C127,'Functional Assignment'!$C$2:$AP$780,'Functional Assignment'!$J$2,)</f>
        <v>0</v>
      </c>
      <c r="G127" s="78">
        <f t="shared" si="54"/>
        <v>0</v>
      </c>
      <c r="H127" s="78">
        <f t="shared" si="54"/>
        <v>0</v>
      </c>
      <c r="I127" s="78">
        <f t="shared" si="54"/>
        <v>0</v>
      </c>
      <c r="J127" s="78">
        <f t="shared" si="54"/>
        <v>0</v>
      </c>
      <c r="K127" s="78">
        <f t="shared" si="54"/>
        <v>0</v>
      </c>
      <c r="L127" s="78">
        <f t="shared" si="54"/>
        <v>0</v>
      </c>
      <c r="M127" s="78">
        <f t="shared" si="54"/>
        <v>0</v>
      </c>
      <c r="N127" s="78">
        <f t="shared" si="54"/>
        <v>0</v>
      </c>
      <c r="O127" s="78">
        <f t="shared" si="54"/>
        <v>0</v>
      </c>
      <c r="P127" s="78">
        <f t="shared" si="54"/>
        <v>0</v>
      </c>
      <c r="Q127" s="78">
        <f t="shared" si="55"/>
        <v>0</v>
      </c>
      <c r="R127" s="78">
        <f t="shared" si="55"/>
        <v>0</v>
      </c>
      <c r="S127" s="78">
        <f t="shared" si="55"/>
        <v>0</v>
      </c>
      <c r="T127" s="78">
        <f t="shared" si="55"/>
        <v>0</v>
      </c>
      <c r="U127" s="78">
        <f t="shared" si="55"/>
        <v>0</v>
      </c>
      <c r="V127" s="78">
        <f t="shared" si="55"/>
        <v>0</v>
      </c>
      <c r="W127" s="78">
        <f t="shared" si="55"/>
        <v>0</v>
      </c>
      <c r="X127" s="78">
        <f t="shared" si="55"/>
        <v>0</v>
      </c>
      <c r="Y127" s="78">
        <f t="shared" si="55"/>
        <v>0</v>
      </c>
      <c r="Z127" s="78">
        <f t="shared" si="55"/>
        <v>0</v>
      </c>
      <c r="AA127" s="78">
        <f t="shared" si="56"/>
        <v>0</v>
      </c>
      <c r="AB127" s="92" t="str">
        <f t="shared" si="57"/>
        <v>ok</v>
      </c>
    </row>
    <row r="128" spans="1:28">
      <c r="A128" s="68" t="s">
        <v>1162</v>
      </c>
      <c r="C128" s="60" t="s">
        <v>910</v>
      </c>
      <c r="D128" s="60" t="s">
        <v>411</v>
      </c>
      <c r="E128" s="60" t="s">
        <v>1017</v>
      </c>
      <c r="F128" s="78">
        <f>VLOOKUP(C128,'Functional Assignment'!$C$2:$AP$780,'Functional Assignment'!$K$2,)</f>
        <v>78365698.835726827</v>
      </c>
      <c r="G128" s="78">
        <f t="shared" si="54"/>
        <v>28168165.373626631</v>
      </c>
      <c r="H128" s="78">
        <f t="shared" si="54"/>
        <v>8327707.1263278788</v>
      </c>
      <c r="I128" s="78">
        <f t="shared" si="54"/>
        <v>705536.78388060012</v>
      </c>
      <c r="J128" s="78">
        <f t="shared" si="54"/>
        <v>10496680.563933097</v>
      </c>
      <c r="K128" s="78">
        <f t="shared" si="54"/>
        <v>13568786.402307633</v>
      </c>
      <c r="L128" s="78">
        <f t="shared" si="54"/>
        <v>8961060.6950090025</v>
      </c>
      <c r="M128" s="78">
        <f t="shared" si="54"/>
        <v>7018768.0220372546</v>
      </c>
      <c r="N128" s="78">
        <f t="shared" si="54"/>
        <v>383711.43889834936</v>
      </c>
      <c r="O128" s="78">
        <f t="shared" si="54"/>
        <v>688716.57683398772</v>
      </c>
      <c r="P128" s="78">
        <f t="shared" si="54"/>
        <v>23988.012421066487</v>
      </c>
      <c r="Q128" s="78">
        <f t="shared" si="55"/>
        <v>22370.532809832133</v>
      </c>
      <c r="R128" s="78">
        <f t="shared" si="55"/>
        <v>80.349102657345725</v>
      </c>
      <c r="S128" s="78">
        <f t="shared" si="55"/>
        <v>126.95853883087094</v>
      </c>
      <c r="T128" s="78">
        <f t="shared" si="55"/>
        <v>0</v>
      </c>
      <c r="U128" s="78">
        <f t="shared" si="55"/>
        <v>0</v>
      </c>
      <c r="V128" s="78">
        <f t="shared" si="55"/>
        <v>0</v>
      </c>
      <c r="W128" s="78">
        <f t="shared" si="55"/>
        <v>0</v>
      </c>
      <c r="X128" s="78">
        <f t="shared" si="55"/>
        <v>0</v>
      </c>
      <c r="Y128" s="78">
        <f t="shared" si="55"/>
        <v>0</v>
      </c>
      <c r="Z128" s="78">
        <f t="shared" si="55"/>
        <v>0</v>
      </c>
      <c r="AA128" s="78">
        <f t="shared" si="56"/>
        <v>78365698.835726842</v>
      </c>
      <c r="AB128" s="92" t="str">
        <f t="shared" si="57"/>
        <v>ok</v>
      </c>
    </row>
    <row r="129" spans="1:28" hidden="1">
      <c r="A129" s="68" t="s">
        <v>1163</v>
      </c>
      <c r="C129" s="60" t="s">
        <v>910</v>
      </c>
      <c r="D129" s="60" t="s">
        <v>412</v>
      </c>
      <c r="E129" s="60" t="s">
        <v>1017</v>
      </c>
      <c r="F129" s="78">
        <f>VLOOKUP(C129,'Functional Assignment'!$C$2:$AP$780,'Functional Assignment'!$L$2,)</f>
        <v>0</v>
      </c>
      <c r="G129" s="78">
        <f t="shared" si="54"/>
        <v>0</v>
      </c>
      <c r="H129" s="78">
        <f t="shared" si="54"/>
        <v>0</v>
      </c>
      <c r="I129" s="78">
        <f t="shared" si="54"/>
        <v>0</v>
      </c>
      <c r="J129" s="78">
        <f t="shared" si="54"/>
        <v>0</v>
      </c>
      <c r="K129" s="78">
        <f t="shared" si="54"/>
        <v>0</v>
      </c>
      <c r="L129" s="78">
        <f t="shared" si="54"/>
        <v>0</v>
      </c>
      <c r="M129" s="78">
        <f t="shared" si="54"/>
        <v>0</v>
      </c>
      <c r="N129" s="78">
        <f t="shared" si="54"/>
        <v>0</v>
      </c>
      <c r="O129" s="78">
        <f t="shared" si="54"/>
        <v>0</v>
      </c>
      <c r="P129" s="78">
        <f t="shared" si="54"/>
        <v>0</v>
      </c>
      <c r="Q129" s="78">
        <f t="shared" si="55"/>
        <v>0</v>
      </c>
      <c r="R129" s="78">
        <f t="shared" si="55"/>
        <v>0</v>
      </c>
      <c r="S129" s="78">
        <f t="shared" si="55"/>
        <v>0</v>
      </c>
      <c r="T129" s="78">
        <f t="shared" si="55"/>
        <v>0</v>
      </c>
      <c r="U129" s="78">
        <f t="shared" si="55"/>
        <v>0</v>
      </c>
      <c r="V129" s="78">
        <f t="shared" si="55"/>
        <v>0</v>
      </c>
      <c r="W129" s="78">
        <f t="shared" si="55"/>
        <v>0</v>
      </c>
      <c r="X129" s="78">
        <f t="shared" si="55"/>
        <v>0</v>
      </c>
      <c r="Y129" s="78">
        <f t="shared" si="55"/>
        <v>0</v>
      </c>
      <c r="Z129" s="78">
        <f t="shared" si="55"/>
        <v>0</v>
      </c>
      <c r="AA129" s="78">
        <f t="shared" si="56"/>
        <v>0</v>
      </c>
      <c r="AB129" s="92" t="str">
        <f t="shared" si="57"/>
        <v>ok</v>
      </c>
    </row>
    <row r="130" spans="1:28" hidden="1">
      <c r="A130" s="68" t="s">
        <v>1163</v>
      </c>
      <c r="C130" s="60" t="s">
        <v>910</v>
      </c>
      <c r="D130" s="60" t="s">
        <v>413</v>
      </c>
      <c r="E130" s="60" t="s">
        <v>1017</v>
      </c>
      <c r="F130" s="78">
        <f>VLOOKUP(C130,'Functional Assignment'!$C$2:$AP$780,'Functional Assignment'!$M$2,)</f>
        <v>0</v>
      </c>
      <c r="G130" s="78">
        <f t="shared" si="54"/>
        <v>0</v>
      </c>
      <c r="H130" s="78">
        <f t="shared" si="54"/>
        <v>0</v>
      </c>
      <c r="I130" s="78">
        <f t="shared" si="54"/>
        <v>0</v>
      </c>
      <c r="J130" s="78">
        <f t="shared" si="54"/>
        <v>0</v>
      </c>
      <c r="K130" s="78">
        <f t="shared" si="54"/>
        <v>0</v>
      </c>
      <c r="L130" s="78">
        <f t="shared" si="54"/>
        <v>0</v>
      </c>
      <c r="M130" s="78">
        <f t="shared" si="54"/>
        <v>0</v>
      </c>
      <c r="N130" s="78">
        <f t="shared" si="54"/>
        <v>0</v>
      </c>
      <c r="O130" s="78">
        <f t="shared" si="54"/>
        <v>0</v>
      </c>
      <c r="P130" s="78">
        <f t="shared" si="54"/>
        <v>0</v>
      </c>
      <c r="Q130" s="78">
        <f t="shared" si="55"/>
        <v>0</v>
      </c>
      <c r="R130" s="78">
        <f t="shared" si="55"/>
        <v>0</v>
      </c>
      <c r="S130" s="78">
        <f t="shared" si="55"/>
        <v>0</v>
      </c>
      <c r="T130" s="78">
        <f t="shared" si="55"/>
        <v>0</v>
      </c>
      <c r="U130" s="78">
        <f t="shared" si="55"/>
        <v>0</v>
      </c>
      <c r="V130" s="78">
        <f t="shared" si="55"/>
        <v>0</v>
      </c>
      <c r="W130" s="78">
        <f t="shared" si="55"/>
        <v>0</v>
      </c>
      <c r="X130" s="78">
        <f t="shared" si="55"/>
        <v>0</v>
      </c>
      <c r="Y130" s="78">
        <f t="shared" si="55"/>
        <v>0</v>
      </c>
      <c r="Z130" s="78">
        <f t="shared" si="55"/>
        <v>0</v>
      </c>
      <c r="AA130" s="78">
        <f t="shared" si="56"/>
        <v>0</v>
      </c>
      <c r="AB130" s="92" t="str">
        <f t="shared" si="57"/>
        <v>ok</v>
      </c>
    </row>
    <row r="131" spans="1:28">
      <c r="A131" s="60" t="s">
        <v>374</v>
      </c>
      <c r="D131" s="60" t="s">
        <v>1029</v>
      </c>
      <c r="F131" s="75">
        <f>SUM(F125:F130)</f>
        <v>2087953844.1141636</v>
      </c>
      <c r="G131" s="75">
        <f t="shared" ref="G131:P131" si="58">SUM(G125:G130)</f>
        <v>864644668.24076009</v>
      </c>
      <c r="H131" s="75">
        <f t="shared" si="58"/>
        <v>249113252.91164795</v>
      </c>
      <c r="I131" s="75">
        <f t="shared" si="58"/>
        <v>18138180.451501563</v>
      </c>
      <c r="J131" s="75">
        <f t="shared" si="58"/>
        <v>291210929.90682274</v>
      </c>
      <c r="K131" s="75">
        <f t="shared" si="58"/>
        <v>276679754.18283069</v>
      </c>
      <c r="L131" s="75">
        <f t="shared" si="58"/>
        <v>226547228.17166072</v>
      </c>
      <c r="M131" s="75">
        <f t="shared" si="58"/>
        <v>141623405.22906497</v>
      </c>
      <c r="N131" s="75">
        <f t="shared" si="58"/>
        <v>7941297.6446689637</v>
      </c>
      <c r="O131" s="75">
        <f>SUM(O125:O130)</f>
        <v>8945809.0328548308</v>
      </c>
      <c r="P131" s="75">
        <f t="shared" si="58"/>
        <v>311582.71111621353</v>
      </c>
      <c r="Q131" s="75">
        <f t="shared" ref="Q131:W131" si="59">SUM(Q125:Q130)</f>
        <v>418428.57838779531</v>
      </c>
      <c r="R131" s="75">
        <f t="shared" si="59"/>
        <v>464.91246252734834</v>
      </c>
      <c r="S131" s="75">
        <f t="shared" si="59"/>
        <v>3543.5103842016174</v>
      </c>
      <c r="T131" s="75">
        <f t="shared" si="59"/>
        <v>2314621.8400000003</v>
      </c>
      <c r="U131" s="75">
        <f t="shared" si="59"/>
        <v>60676.790000000008</v>
      </c>
      <c r="V131" s="75">
        <f t="shared" si="59"/>
        <v>0</v>
      </c>
      <c r="W131" s="75">
        <f t="shared" si="59"/>
        <v>0</v>
      </c>
      <c r="X131" s="75">
        <f>SUM(X125:X130)</f>
        <v>0</v>
      </c>
      <c r="Y131" s="75">
        <f>SUM(Y125:Y130)</f>
        <v>0</v>
      </c>
      <c r="Z131" s="75">
        <f>SUM(Z125:Z130)</f>
        <v>0</v>
      </c>
      <c r="AA131" s="79">
        <f t="shared" si="56"/>
        <v>2087953844.1141629</v>
      </c>
      <c r="AB131" s="92" t="str">
        <f t="shared" si="57"/>
        <v>ok</v>
      </c>
    </row>
    <row r="132" spans="1:28">
      <c r="F132" s="78"/>
      <c r="G132" s="78"/>
    </row>
    <row r="133" spans="1:28" ht="15">
      <c r="A133" s="65" t="s">
        <v>1057</v>
      </c>
      <c r="F133" s="78"/>
      <c r="G133" s="78"/>
    </row>
    <row r="134" spans="1:28">
      <c r="A134" s="68" t="s">
        <v>1228</v>
      </c>
      <c r="C134" s="60" t="s">
        <v>910</v>
      </c>
      <c r="D134" s="60" t="s">
        <v>414</v>
      </c>
      <c r="E134" s="60" t="s">
        <v>1232</v>
      </c>
      <c r="F134" s="75">
        <f>VLOOKUP(C134,'Functional Assignment'!$C$2:$AP$780,'Functional Assignment'!$N$2,)</f>
        <v>346878037.48055124</v>
      </c>
      <c r="G134" s="75">
        <f t="shared" ref="G134:P136" si="60">IF(VLOOKUP($E134,$D$6:$AN$1148,3,)=0,0,(VLOOKUP($E134,$D$6:$AN$1148,G$2,)/VLOOKUP($E134,$D$6:$AN$1148,3,))*$F134)</f>
        <v>164114791.09060821</v>
      </c>
      <c r="H134" s="75">
        <f t="shared" si="60"/>
        <v>40088024.284957044</v>
      </c>
      <c r="I134" s="75">
        <f t="shared" si="60"/>
        <v>2631503.7227244265</v>
      </c>
      <c r="J134" s="75">
        <f t="shared" si="60"/>
        <v>44605609.773686416</v>
      </c>
      <c r="K134" s="75">
        <f t="shared" si="60"/>
        <v>37407340.512622215</v>
      </c>
      <c r="L134" s="75">
        <f t="shared" si="60"/>
        <v>35415009.658602752</v>
      </c>
      <c r="M134" s="75">
        <f t="shared" si="60"/>
        <v>18468304.909479789</v>
      </c>
      <c r="N134" s="75">
        <f t="shared" si="60"/>
        <v>1186786.1684246748</v>
      </c>
      <c r="O134" s="75">
        <f t="shared" si="60"/>
        <v>2812363.4606886371</v>
      </c>
      <c r="P134" s="75">
        <f t="shared" si="60"/>
        <v>97954.676710470885</v>
      </c>
      <c r="Q134" s="75">
        <f t="shared" ref="Q134:Z136" si="61">IF(VLOOKUP($E134,$D$6:$AN$1148,3,)=0,0,(VLOOKUP($E134,$D$6:$AN$1148,Q$2,)/VLOOKUP($E134,$D$6:$AN$1148,3,))*$F134)</f>
        <v>44965.754456058501</v>
      </c>
      <c r="R134" s="75">
        <f t="shared" si="61"/>
        <v>4893.4984807691617</v>
      </c>
      <c r="S134" s="75">
        <f t="shared" si="61"/>
        <v>489.96910984913444</v>
      </c>
      <c r="T134" s="75">
        <f t="shared" si="61"/>
        <v>0</v>
      </c>
      <c r="U134" s="75">
        <f t="shared" si="61"/>
        <v>0</v>
      </c>
      <c r="V134" s="75">
        <f t="shared" si="61"/>
        <v>0</v>
      </c>
      <c r="W134" s="75">
        <f t="shared" si="61"/>
        <v>0</v>
      </c>
      <c r="X134" s="75">
        <f t="shared" si="61"/>
        <v>0</v>
      </c>
      <c r="Y134" s="75">
        <f t="shared" si="61"/>
        <v>0</v>
      </c>
      <c r="Z134" s="75">
        <f t="shared" si="61"/>
        <v>0</v>
      </c>
      <c r="AA134" s="79">
        <f>SUM(G134:Z134)</f>
        <v>346878037.48055136</v>
      </c>
      <c r="AB134" s="92" t="str">
        <f>IF(ABS(F134-AA134)&lt;0.01,"ok","err")</f>
        <v>ok</v>
      </c>
    </row>
    <row r="135" spans="1:28" hidden="1">
      <c r="A135" s="68" t="s">
        <v>1229</v>
      </c>
      <c r="C135" s="60" t="s">
        <v>910</v>
      </c>
      <c r="D135" s="60" t="s">
        <v>415</v>
      </c>
      <c r="E135" s="60" t="s">
        <v>1232</v>
      </c>
      <c r="F135" s="78">
        <f>VLOOKUP(C135,'Functional Assignment'!$C$2:$AP$780,'Functional Assignment'!$O$2,)</f>
        <v>0</v>
      </c>
      <c r="G135" s="78">
        <f t="shared" si="60"/>
        <v>0</v>
      </c>
      <c r="H135" s="78">
        <f t="shared" si="60"/>
        <v>0</v>
      </c>
      <c r="I135" s="78">
        <f t="shared" si="60"/>
        <v>0</v>
      </c>
      <c r="J135" s="78">
        <f t="shared" si="60"/>
        <v>0</v>
      </c>
      <c r="K135" s="78">
        <f t="shared" si="60"/>
        <v>0</v>
      </c>
      <c r="L135" s="78">
        <f t="shared" si="60"/>
        <v>0</v>
      </c>
      <c r="M135" s="78">
        <f t="shared" si="60"/>
        <v>0</v>
      </c>
      <c r="N135" s="78">
        <f t="shared" si="60"/>
        <v>0</v>
      </c>
      <c r="O135" s="78">
        <f t="shared" si="60"/>
        <v>0</v>
      </c>
      <c r="P135" s="78">
        <f t="shared" si="60"/>
        <v>0</v>
      </c>
      <c r="Q135" s="78">
        <f t="shared" si="61"/>
        <v>0</v>
      </c>
      <c r="R135" s="78">
        <f t="shared" si="61"/>
        <v>0</v>
      </c>
      <c r="S135" s="78">
        <f t="shared" si="61"/>
        <v>0</v>
      </c>
      <c r="T135" s="78">
        <f t="shared" si="61"/>
        <v>0</v>
      </c>
      <c r="U135" s="78">
        <f t="shared" si="61"/>
        <v>0</v>
      </c>
      <c r="V135" s="78">
        <f t="shared" si="61"/>
        <v>0</v>
      </c>
      <c r="W135" s="78">
        <f t="shared" si="61"/>
        <v>0</v>
      </c>
      <c r="X135" s="78">
        <f t="shared" si="61"/>
        <v>0</v>
      </c>
      <c r="Y135" s="78">
        <f t="shared" si="61"/>
        <v>0</v>
      </c>
      <c r="Z135" s="78">
        <f t="shared" si="61"/>
        <v>0</v>
      </c>
      <c r="AA135" s="78">
        <f>SUM(G135:Z135)</f>
        <v>0</v>
      </c>
      <c r="AB135" s="92" t="str">
        <f>IF(ABS(F135-AA135)&lt;0.01,"ok","err")</f>
        <v>ok</v>
      </c>
    </row>
    <row r="136" spans="1:28" hidden="1">
      <c r="A136" s="68" t="s">
        <v>1229</v>
      </c>
      <c r="C136" s="60" t="s">
        <v>910</v>
      </c>
      <c r="D136" s="60" t="s">
        <v>416</v>
      </c>
      <c r="E136" s="60" t="s">
        <v>1232</v>
      </c>
      <c r="F136" s="78">
        <f>VLOOKUP(C136,'Functional Assignment'!$C$2:$AP$780,'Functional Assignment'!$P$2,)</f>
        <v>0</v>
      </c>
      <c r="G136" s="78">
        <f t="shared" si="60"/>
        <v>0</v>
      </c>
      <c r="H136" s="78">
        <f t="shared" si="60"/>
        <v>0</v>
      </c>
      <c r="I136" s="78">
        <f t="shared" si="60"/>
        <v>0</v>
      </c>
      <c r="J136" s="78">
        <f t="shared" si="60"/>
        <v>0</v>
      </c>
      <c r="K136" s="78">
        <f t="shared" si="60"/>
        <v>0</v>
      </c>
      <c r="L136" s="78">
        <f t="shared" si="60"/>
        <v>0</v>
      </c>
      <c r="M136" s="78">
        <f t="shared" si="60"/>
        <v>0</v>
      </c>
      <c r="N136" s="78">
        <f t="shared" si="60"/>
        <v>0</v>
      </c>
      <c r="O136" s="78">
        <f t="shared" si="60"/>
        <v>0</v>
      </c>
      <c r="P136" s="78">
        <f t="shared" si="60"/>
        <v>0</v>
      </c>
      <c r="Q136" s="78">
        <f t="shared" si="61"/>
        <v>0</v>
      </c>
      <c r="R136" s="78">
        <f t="shared" si="61"/>
        <v>0</v>
      </c>
      <c r="S136" s="78">
        <f t="shared" si="61"/>
        <v>0</v>
      </c>
      <c r="T136" s="78">
        <f t="shared" si="61"/>
        <v>0</v>
      </c>
      <c r="U136" s="78">
        <f t="shared" si="61"/>
        <v>0</v>
      </c>
      <c r="V136" s="78">
        <f t="shared" si="61"/>
        <v>0</v>
      </c>
      <c r="W136" s="78">
        <f t="shared" si="61"/>
        <v>0</v>
      </c>
      <c r="X136" s="78">
        <f t="shared" si="61"/>
        <v>0</v>
      </c>
      <c r="Y136" s="78">
        <f t="shared" si="61"/>
        <v>0</v>
      </c>
      <c r="Z136" s="78">
        <f t="shared" si="61"/>
        <v>0</v>
      </c>
      <c r="AA136" s="78">
        <f>SUM(G136:Z136)</f>
        <v>0</v>
      </c>
      <c r="AB136" s="92" t="str">
        <f>IF(ABS(F136-AA136)&lt;0.01,"ok","err")</f>
        <v>ok</v>
      </c>
    </row>
    <row r="137" spans="1:28" hidden="1">
      <c r="A137" s="60" t="s">
        <v>1059</v>
      </c>
      <c r="D137" s="60" t="s">
        <v>417</v>
      </c>
      <c r="F137" s="75">
        <f>SUM(F134:F136)</f>
        <v>346878037.48055124</v>
      </c>
      <c r="G137" s="75">
        <f t="shared" ref="G137:W137" si="62">SUM(G134:G136)</f>
        <v>164114791.09060821</v>
      </c>
      <c r="H137" s="75">
        <f t="shared" si="62"/>
        <v>40088024.284957044</v>
      </c>
      <c r="I137" s="75">
        <f t="shared" si="62"/>
        <v>2631503.7227244265</v>
      </c>
      <c r="J137" s="75">
        <f t="shared" si="62"/>
        <v>44605609.773686416</v>
      </c>
      <c r="K137" s="75">
        <f t="shared" si="62"/>
        <v>37407340.512622215</v>
      </c>
      <c r="L137" s="75">
        <f t="shared" si="62"/>
        <v>35415009.658602752</v>
      </c>
      <c r="M137" s="75">
        <f t="shared" si="62"/>
        <v>18468304.909479789</v>
      </c>
      <c r="N137" s="75">
        <f t="shared" si="62"/>
        <v>1186786.1684246748</v>
      </c>
      <c r="O137" s="75">
        <f>SUM(O134:O136)</f>
        <v>2812363.4606886371</v>
      </c>
      <c r="P137" s="75">
        <f t="shared" si="62"/>
        <v>97954.676710470885</v>
      </c>
      <c r="Q137" s="75">
        <f t="shared" si="62"/>
        <v>44965.754456058501</v>
      </c>
      <c r="R137" s="75">
        <f t="shared" si="62"/>
        <v>4893.4984807691617</v>
      </c>
      <c r="S137" s="75">
        <f t="shared" si="62"/>
        <v>489.96910984913444</v>
      </c>
      <c r="T137" s="75">
        <f t="shared" si="62"/>
        <v>0</v>
      </c>
      <c r="U137" s="75">
        <f t="shared" si="62"/>
        <v>0</v>
      </c>
      <c r="V137" s="75">
        <f t="shared" si="62"/>
        <v>0</v>
      </c>
      <c r="W137" s="75">
        <f t="shared" si="62"/>
        <v>0</v>
      </c>
      <c r="X137" s="75">
        <f>SUM(X134:X136)</f>
        <v>0</v>
      </c>
      <c r="Y137" s="75">
        <f>SUM(Y134:Y136)</f>
        <v>0</v>
      </c>
      <c r="Z137" s="75">
        <f>SUM(Z134:Z136)</f>
        <v>0</v>
      </c>
      <c r="AA137" s="79">
        <f>SUM(G137:Z137)</f>
        <v>346878037.48055136</v>
      </c>
      <c r="AB137" s="92" t="str">
        <f>IF(ABS(F137-AA137)&lt;0.01,"ok","err")</f>
        <v>ok</v>
      </c>
    </row>
    <row r="138" spans="1:28">
      <c r="F138" s="78"/>
      <c r="G138" s="78"/>
    </row>
    <row r="139" spans="1:28" ht="15">
      <c r="A139" s="65" t="s">
        <v>337</v>
      </c>
      <c r="F139" s="78"/>
      <c r="G139" s="78"/>
    </row>
    <row r="140" spans="1:28">
      <c r="A140" s="68" t="s">
        <v>359</v>
      </c>
      <c r="C140" s="60" t="s">
        <v>910</v>
      </c>
      <c r="D140" s="60" t="s">
        <v>418</v>
      </c>
      <c r="E140" s="60" t="s">
        <v>1233</v>
      </c>
      <c r="F140" s="75">
        <f>VLOOKUP(C140,'Functional Assignment'!$C$2:$AP$780,'Functional Assignment'!$Q$2,)</f>
        <v>0</v>
      </c>
      <c r="G140" s="75">
        <f t="shared" ref="G140:Z140" si="63">IF(VLOOKUP($E140,$D$6:$AN$1148,3,)=0,0,(VLOOKUP($E140,$D$6:$AN$1148,G$2,)/VLOOKUP($E140,$D$6:$AN$1148,3,))*$F140)</f>
        <v>0</v>
      </c>
      <c r="H140" s="75">
        <f t="shared" si="63"/>
        <v>0</v>
      </c>
      <c r="I140" s="75">
        <f t="shared" si="63"/>
        <v>0</v>
      </c>
      <c r="J140" s="75">
        <f t="shared" si="63"/>
        <v>0</v>
      </c>
      <c r="K140" s="75">
        <f t="shared" si="63"/>
        <v>0</v>
      </c>
      <c r="L140" s="75">
        <f t="shared" si="63"/>
        <v>0</v>
      </c>
      <c r="M140" s="75">
        <f t="shared" si="63"/>
        <v>0</v>
      </c>
      <c r="N140" s="75">
        <f t="shared" si="63"/>
        <v>0</v>
      </c>
      <c r="O140" s="75">
        <f t="shared" si="63"/>
        <v>0</v>
      </c>
      <c r="P140" s="75">
        <f t="shared" si="63"/>
        <v>0</v>
      </c>
      <c r="Q140" s="75">
        <f t="shared" si="63"/>
        <v>0</v>
      </c>
      <c r="R140" s="75">
        <f t="shared" si="63"/>
        <v>0</v>
      </c>
      <c r="S140" s="75">
        <f t="shared" si="63"/>
        <v>0</v>
      </c>
      <c r="T140" s="75">
        <f t="shared" si="63"/>
        <v>0</v>
      </c>
      <c r="U140" s="75">
        <f t="shared" si="63"/>
        <v>0</v>
      </c>
      <c r="V140" s="75">
        <f t="shared" si="63"/>
        <v>0</v>
      </c>
      <c r="W140" s="75">
        <f t="shared" si="63"/>
        <v>0</v>
      </c>
      <c r="X140" s="75">
        <f t="shared" si="63"/>
        <v>0</v>
      </c>
      <c r="Y140" s="75">
        <f t="shared" si="63"/>
        <v>0</v>
      </c>
      <c r="Z140" s="75">
        <f t="shared" si="63"/>
        <v>0</v>
      </c>
      <c r="AA140" s="79">
        <f>SUM(G140:Z140)</f>
        <v>0</v>
      </c>
      <c r="AB140" s="92" t="str">
        <f>IF(ABS(F140-AA140)&lt;0.01,"ok","err")</f>
        <v>ok</v>
      </c>
    </row>
    <row r="141" spans="1:28">
      <c r="F141" s="78"/>
    </row>
    <row r="142" spans="1:28" ht="15">
      <c r="A142" s="65" t="s">
        <v>338</v>
      </c>
      <c r="F142" s="78"/>
      <c r="G142" s="78"/>
    </row>
    <row r="143" spans="1:28">
      <c r="A143" s="68" t="s">
        <v>361</v>
      </c>
      <c r="C143" s="60" t="s">
        <v>910</v>
      </c>
      <c r="D143" s="60" t="s">
        <v>419</v>
      </c>
      <c r="E143" s="60" t="s">
        <v>1233</v>
      </c>
      <c r="F143" s="75">
        <f>VLOOKUP(C143,'Functional Assignment'!$C$2:$AP$780,'Functional Assignment'!$R$2,)</f>
        <v>127246319.14306201</v>
      </c>
      <c r="G143" s="75">
        <f t="shared" ref="G143:Z143" si="64">IF(VLOOKUP($E143,$D$6:$AN$1148,3,)=0,0,(VLOOKUP($E143,$D$6:$AN$1148,G$2,)/VLOOKUP($E143,$D$6:$AN$1148,3,))*$F143)</f>
        <v>63588258.848854825</v>
      </c>
      <c r="H143" s="75">
        <f t="shared" si="64"/>
        <v>15532589.403009063</v>
      </c>
      <c r="I143" s="75">
        <f t="shared" si="64"/>
        <v>1019607.9144989504</v>
      </c>
      <c r="J143" s="75">
        <f t="shared" si="64"/>
        <v>17282982.487752739</v>
      </c>
      <c r="K143" s="75">
        <f t="shared" si="64"/>
        <v>14493926.0840335</v>
      </c>
      <c r="L143" s="75">
        <f t="shared" si="64"/>
        <v>13721973.420802776</v>
      </c>
      <c r="M143" s="75">
        <f t="shared" si="64"/>
        <v>0</v>
      </c>
      <c r="N143" s="75">
        <f t="shared" si="64"/>
        <v>459834.64119552798</v>
      </c>
      <c r="O143" s="75">
        <f t="shared" si="64"/>
        <v>1089684.2053474381</v>
      </c>
      <c r="P143" s="75">
        <f t="shared" si="64"/>
        <v>37953.723102766497</v>
      </c>
      <c r="Q143" s="75">
        <f t="shared" si="64"/>
        <v>17422.52489665768</v>
      </c>
      <c r="R143" s="75">
        <f t="shared" si="64"/>
        <v>1896.04511576187</v>
      </c>
      <c r="S143" s="75">
        <f t="shared" si="64"/>
        <v>189.8444520325306</v>
      </c>
      <c r="T143" s="75">
        <f t="shared" si="64"/>
        <v>0</v>
      </c>
      <c r="U143" s="75">
        <f t="shared" si="64"/>
        <v>0</v>
      </c>
      <c r="V143" s="75">
        <f t="shared" si="64"/>
        <v>0</v>
      </c>
      <c r="W143" s="75">
        <f t="shared" si="64"/>
        <v>0</v>
      </c>
      <c r="X143" s="75">
        <f t="shared" si="64"/>
        <v>0</v>
      </c>
      <c r="Y143" s="75">
        <f t="shared" si="64"/>
        <v>0</v>
      </c>
      <c r="Z143" s="75">
        <f t="shared" si="64"/>
        <v>0</v>
      </c>
      <c r="AA143" s="79">
        <f>SUM(G143:Z143)</f>
        <v>127246319.14306203</v>
      </c>
      <c r="AB143" s="92" t="str">
        <f>IF(ABS(F143-AA143)&lt;0.01,"ok","err")</f>
        <v>ok</v>
      </c>
    </row>
    <row r="144" spans="1:28">
      <c r="F144" s="78"/>
    </row>
    <row r="145" spans="1:28" ht="15">
      <c r="A145" s="65" t="s">
        <v>360</v>
      </c>
      <c r="F145" s="78"/>
    </row>
    <row r="146" spans="1:28">
      <c r="A146" s="68" t="s">
        <v>603</v>
      </c>
      <c r="C146" s="60" t="s">
        <v>910</v>
      </c>
      <c r="D146" s="60" t="s">
        <v>420</v>
      </c>
      <c r="E146" s="60" t="s">
        <v>1233</v>
      </c>
      <c r="F146" s="75">
        <f>VLOOKUP(C146,'Functional Assignment'!$C$2:$AP$780,'Functional Assignment'!$S$2,)</f>
        <v>0</v>
      </c>
      <c r="G146" s="75">
        <f t="shared" ref="G146:P150" si="65">IF(VLOOKUP($E146,$D$6:$AN$1148,3,)=0,0,(VLOOKUP($E146,$D$6:$AN$1148,G$2,)/VLOOKUP($E146,$D$6:$AN$1148,3,))*$F146)</f>
        <v>0</v>
      </c>
      <c r="H146" s="75">
        <f t="shared" si="65"/>
        <v>0</v>
      </c>
      <c r="I146" s="75">
        <f t="shared" si="65"/>
        <v>0</v>
      </c>
      <c r="J146" s="75">
        <f t="shared" si="65"/>
        <v>0</v>
      </c>
      <c r="K146" s="75">
        <f t="shared" si="65"/>
        <v>0</v>
      </c>
      <c r="L146" s="75">
        <f t="shared" si="65"/>
        <v>0</v>
      </c>
      <c r="M146" s="75">
        <f t="shared" si="65"/>
        <v>0</v>
      </c>
      <c r="N146" s="75">
        <f t="shared" si="65"/>
        <v>0</v>
      </c>
      <c r="O146" s="75">
        <f t="shared" si="65"/>
        <v>0</v>
      </c>
      <c r="P146" s="75">
        <f t="shared" si="65"/>
        <v>0</v>
      </c>
      <c r="Q146" s="75">
        <f t="shared" ref="Q146:Z150" si="66">IF(VLOOKUP($E146,$D$6:$AN$1148,3,)=0,0,(VLOOKUP($E146,$D$6:$AN$1148,Q$2,)/VLOOKUP($E146,$D$6:$AN$1148,3,))*$F146)</f>
        <v>0</v>
      </c>
      <c r="R146" s="75">
        <f t="shared" si="66"/>
        <v>0</v>
      </c>
      <c r="S146" s="75">
        <f t="shared" si="66"/>
        <v>0</v>
      </c>
      <c r="T146" s="75">
        <f t="shared" si="66"/>
        <v>0</v>
      </c>
      <c r="U146" s="75">
        <f t="shared" si="66"/>
        <v>0</v>
      </c>
      <c r="V146" s="75">
        <f t="shared" si="66"/>
        <v>0</v>
      </c>
      <c r="W146" s="75">
        <f t="shared" si="66"/>
        <v>0</v>
      </c>
      <c r="X146" s="75">
        <f t="shared" si="66"/>
        <v>0</v>
      </c>
      <c r="Y146" s="75">
        <f t="shared" si="66"/>
        <v>0</v>
      </c>
      <c r="Z146" s="75">
        <f t="shared" si="66"/>
        <v>0</v>
      </c>
      <c r="AA146" s="79">
        <f t="shared" ref="AA146:AA151" si="67">SUM(G146:Z146)</f>
        <v>0</v>
      </c>
      <c r="AB146" s="92" t="str">
        <f t="shared" ref="AB146:AB151" si="68">IF(ABS(F146-AA146)&lt;0.01,"ok","err")</f>
        <v>ok</v>
      </c>
    </row>
    <row r="147" spans="1:28">
      <c r="A147" s="68" t="s">
        <v>604</v>
      </c>
      <c r="C147" s="60" t="s">
        <v>910</v>
      </c>
      <c r="D147" s="60" t="s">
        <v>421</v>
      </c>
      <c r="E147" s="60" t="s">
        <v>1233</v>
      </c>
      <c r="F147" s="78">
        <f>VLOOKUP(C147,'Functional Assignment'!$C$2:$AP$780,'Functional Assignment'!$T$2,)</f>
        <v>194814176.9478766</v>
      </c>
      <c r="G147" s="78">
        <f t="shared" si="65"/>
        <v>97353655.450422689</v>
      </c>
      <c r="H147" s="78">
        <f t="shared" si="65"/>
        <v>23780401.985651534</v>
      </c>
      <c r="I147" s="78">
        <f t="shared" si="65"/>
        <v>1561020.2166188499</v>
      </c>
      <c r="J147" s="78">
        <f t="shared" si="65"/>
        <v>26460254.655937493</v>
      </c>
      <c r="K147" s="78">
        <f t="shared" si="65"/>
        <v>22190207.935443468</v>
      </c>
      <c r="L147" s="78">
        <f t="shared" si="65"/>
        <v>21008348.029846229</v>
      </c>
      <c r="M147" s="78">
        <f t="shared" si="65"/>
        <v>0</v>
      </c>
      <c r="N147" s="78">
        <f t="shared" si="65"/>
        <v>704007.06095012673</v>
      </c>
      <c r="O147" s="78">
        <f t="shared" si="65"/>
        <v>1668307.0522392932</v>
      </c>
      <c r="P147" s="78">
        <f t="shared" si="65"/>
        <v>58107.168664424287</v>
      </c>
      <c r="Q147" s="78">
        <f t="shared" si="66"/>
        <v>26673.89415233484</v>
      </c>
      <c r="R147" s="78">
        <f t="shared" si="66"/>
        <v>2902.8460011318925</v>
      </c>
      <c r="S147" s="78">
        <f t="shared" si="66"/>
        <v>290.65194906940167</v>
      </c>
      <c r="T147" s="78">
        <f t="shared" si="66"/>
        <v>0</v>
      </c>
      <c r="U147" s="78">
        <f t="shared" si="66"/>
        <v>0</v>
      </c>
      <c r="V147" s="78">
        <f t="shared" si="66"/>
        <v>0</v>
      </c>
      <c r="W147" s="78">
        <f t="shared" si="66"/>
        <v>0</v>
      </c>
      <c r="X147" s="78">
        <f t="shared" si="66"/>
        <v>0</v>
      </c>
      <c r="Y147" s="78">
        <f t="shared" si="66"/>
        <v>0</v>
      </c>
      <c r="Z147" s="78">
        <f t="shared" si="66"/>
        <v>0</v>
      </c>
      <c r="AA147" s="78">
        <f t="shared" si="67"/>
        <v>194814176.94787666</v>
      </c>
      <c r="AB147" s="92" t="str">
        <f t="shared" si="68"/>
        <v>ok</v>
      </c>
    </row>
    <row r="148" spans="1:28">
      <c r="A148" s="68" t="s">
        <v>605</v>
      </c>
      <c r="C148" s="60" t="s">
        <v>910</v>
      </c>
      <c r="D148" s="60" t="s">
        <v>422</v>
      </c>
      <c r="E148" s="60" t="s">
        <v>1332</v>
      </c>
      <c r="F148" s="78">
        <f>VLOOKUP(C148,'Functional Assignment'!$C$2:$AP$780,'Functional Assignment'!$U$2,)</f>
        <v>318901473.53138095</v>
      </c>
      <c r="G148" s="78">
        <f t="shared" si="65"/>
        <v>276394405.33785623</v>
      </c>
      <c r="H148" s="78">
        <f t="shared" si="65"/>
        <v>33185747.272003163</v>
      </c>
      <c r="I148" s="78">
        <f t="shared" si="65"/>
        <v>51244.205176039468</v>
      </c>
      <c r="J148" s="78">
        <f t="shared" si="65"/>
        <v>2037323.1857845408</v>
      </c>
      <c r="K148" s="78">
        <f t="shared" si="65"/>
        <v>96631.929760531566</v>
      </c>
      <c r="L148" s="78">
        <f t="shared" si="65"/>
        <v>369690.33734142763</v>
      </c>
      <c r="M148" s="78">
        <f t="shared" si="65"/>
        <v>9516.7809612644742</v>
      </c>
      <c r="N148" s="78">
        <f t="shared" si="65"/>
        <v>1464.120147886842</v>
      </c>
      <c r="O148" s="78">
        <f t="shared" si="65"/>
        <v>6662405.52695168</v>
      </c>
      <c r="P148" s="78">
        <f t="shared" si="65"/>
        <v>11786.167190489081</v>
      </c>
      <c r="Q148" s="78">
        <f t="shared" si="66"/>
        <v>73206.007394342101</v>
      </c>
      <c r="R148" s="78">
        <f t="shared" si="66"/>
        <v>732.060073943421</v>
      </c>
      <c r="S148" s="78">
        <f t="shared" si="66"/>
        <v>7320.6007394342096</v>
      </c>
      <c r="T148" s="78">
        <f t="shared" si="66"/>
        <v>0</v>
      </c>
      <c r="U148" s="78">
        <f t="shared" si="66"/>
        <v>0</v>
      </c>
      <c r="V148" s="78">
        <f t="shared" si="66"/>
        <v>0</v>
      </c>
      <c r="W148" s="78">
        <f t="shared" si="66"/>
        <v>0</v>
      </c>
      <c r="X148" s="78">
        <f t="shared" si="66"/>
        <v>0</v>
      </c>
      <c r="Y148" s="78">
        <f t="shared" si="66"/>
        <v>0</v>
      </c>
      <c r="Z148" s="78">
        <f t="shared" si="66"/>
        <v>0</v>
      </c>
      <c r="AA148" s="78">
        <f t="shared" si="67"/>
        <v>318901473.53138095</v>
      </c>
      <c r="AB148" s="92" t="str">
        <f t="shared" si="68"/>
        <v>ok</v>
      </c>
    </row>
    <row r="149" spans="1:28">
      <c r="A149" s="68" t="s">
        <v>606</v>
      </c>
      <c r="C149" s="60" t="s">
        <v>910</v>
      </c>
      <c r="D149" s="60" t="s">
        <v>423</v>
      </c>
      <c r="E149" s="60" t="s">
        <v>646</v>
      </c>
      <c r="F149" s="78">
        <f>VLOOKUP(C149,'Functional Assignment'!$C$2:$AP$780,'Functional Assignment'!$V$2,)</f>
        <v>54455747.298117355</v>
      </c>
      <c r="G149" s="78">
        <f t="shared" si="65"/>
        <v>41277550.339152671</v>
      </c>
      <c r="H149" s="78">
        <f t="shared" si="65"/>
        <v>6596912.4408443971</v>
      </c>
      <c r="I149" s="78">
        <f t="shared" si="65"/>
        <v>0</v>
      </c>
      <c r="J149" s="78">
        <f t="shared" si="65"/>
        <v>6248196.2167322543</v>
      </c>
      <c r="K149" s="78">
        <f t="shared" si="65"/>
        <v>0</v>
      </c>
      <c r="L149" s="78">
        <f t="shared" si="65"/>
        <v>0</v>
      </c>
      <c r="M149" s="78">
        <f t="shared" si="65"/>
        <v>0</v>
      </c>
      <c r="N149" s="78">
        <f t="shared" si="65"/>
        <v>0</v>
      </c>
      <c r="O149" s="78">
        <f t="shared" si="65"/>
        <v>316403.45039704093</v>
      </c>
      <c r="P149" s="78">
        <f t="shared" si="65"/>
        <v>11020.338632237328</v>
      </c>
      <c r="Q149" s="78">
        <f t="shared" si="66"/>
        <v>5058.8482102236221</v>
      </c>
      <c r="R149" s="78">
        <f t="shared" si="66"/>
        <v>550.54043528531622</v>
      </c>
      <c r="S149" s="78">
        <f t="shared" si="66"/>
        <v>55.123713243761408</v>
      </c>
      <c r="T149" s="78">
        <f t="shared" si="66"/>
        <v>0</v>
      </c>
      <c r="U149" s="78">
        <f t="shared" si="66"/>
        <v>0</v>
      </c>
      <c r="V149" s="78">
        <f t="shared" si="66"/>
        <v>0</v>
      </c>
      <c r="W149" s="78">
        <f t="shared" si="66"/>
        <v>0</v>
      </c>
      <c r="X149" s="78">
        <f t="shared" si="66"/>
        <v>0</v>
      </c>
      <c r="Y149" s="78">
        <f t="shared" si="66"/>
        <v>0</v>
      </c>
      <c r="Z149" s="78">
        <f t="shared" si="66"/>
        <v>0</v>
      </c>
      <c r="AA149" s="78">
        <f t="shared" si="67"/>
        <v>54455747.298117362</v>
      </c>
      <c r="AB149" s="92" t="str">
        <f t="shared" si="68"/>
        <v>ok</v>
      </c>
    </row>
    <row r="150" spans="1:28">
      <c r="A150" s="68" t="s">
        <v>607</v>
      </c>
      <c r="C150" s="60" t="s">
        <v>910</v>
      </c>
      <c r="D150" s="60" t="s">
        <v>424</v>
      </c>
      <c r="E150" s="60" t="s">
        <v>1331</v>
      </c>
      <c r="F150" s="78">
        <f>VLOOKUP(C150,'Functional Assignment'!$C$2:$AP$780,'Functional Assignment'!$W$2,)</f>
        <v>93072232.121397987</v>
      </c>
      <c r="G150" s="78">
        <f t="shared" si="65"/>
        <v>81282927.713069215</v>
      </c>
      <c r="H150" s="78">
        <f t="shared" si="65"/>
        <v>9759367.9340837374</v>
      </c>
      <c r="I150" s="78">
        <f t="shared" si="65"/>
        <v>15070.055488084834</v>
      </c>
      <c r="J150" s="78">
        <f t="shared" si="65"/>
        <v>0</v>
      </c>
      <c r="K150" s="78">
        <f t="shared" si="65"/>
        <v>28417.818920388541</v>
      </c>
      <c r="L150" s="78">
        <f t="shared" si="65"/>
        <v>0</v>
      </c>
      <c r="M150" s="78">
        <f t="shared" si="65"/>
        <v>0</v>
      </c>
      <c r="N150" s="78">
        <f t="shared" si="65"/>
        <v>0</v>
      </c>
      <c r="O150" s="78">
        <f t="shared" si="65"/>
        <v>1959300.9713073035</v>
      </c>
      <c r="P150" s="78">
        <f t="shared" si="65"/>
        <v>3466.1127622595118</v>
      </c>
      <c r="Q150" s="78">
        <f t="shared" si="66"/>
        <v>21528.650697264049</v>
      </c>
      <c r="R150" s="78">
        <f t="shared" si="66"/>
        <v>0</v>
      </c>
      <c r="S150" s="78">
        <f t="shared" si="66"/>
        <v>2152.8650697264047</v>
      </c>
      <c r="T150" s="78">
        <f t="shared" si="66"/>
        <v>0</v>
      </c>
      <c r="U150" s="78">
        <f t="shared" si="66"/>
        <v>0</v>
      </c>
      <c r="V150" s="78">
        <f t="shared" si="66"/>
        <v>0</v>
      </c>
      <c r="W150" s="78">
        <f t="shared" si="66"/>
        <v>0</v>
      </c>
      <c r="X150" s="78">
        <f t="shared" si="66"/>
        <v>0</v>
      </c>
      <c r="Y150" s="78">
        <f t="shared" si="66"/>
        <v>0</v>
      </c>
      <c r="Z150" s="78">
        <f t="shared" si="66"/>
        <v>0</v>
      </c>
      <c r="AA150" s="78">
        <f t="shared" si="67"/>
        <v>93072232.121397987</v>
      </c>
      <c r="AB150" s="92" t="str">
        <f t="shared" si="68"/>
        <v>ok</v>
      </c>
    </row>
    <row r="151" spans="1:28">
      <c r="A151" s="60" t="s">
        <v>365</v>
      </c>
      <c r="D151" s="60" t="s">
        <v>425</v>
      </c>
      <c r="F151" s="75">
        <f>SUM(F146:F150)</f>
        <v>661243629.89877295</v>
      </c>
      <c r="G151" s="75">
        <f t="shared" ref="G151:W151" si="69">SUM(G146:G150)</f>
        <v>496308538.84050083</v>
      </c>
      <c r="H151" s="75">
        <f t="shared" si="69"/>
        <v>73322429.632582828</v>
      </c>
      <c r="I151" s="75">
        <f t="shared" si="69"/>
        <v>1627334.4772829742</v>
      </c>
      <c r="J151" s="75">
        <f t="shared" si="69"/>
        <v>34745774.05845429</v>
      </c>
      <c r="K151" s="75">
        <f t="shared" si="69"/>
        <v>22315257.684124388</v>
      </c>
      <c r="L151" s="75">
        <f t="shared" si="69"/>
        <v>21378038.367187656</v>
      </c>
      <c r="M151" s="75">
        <f t="shared" si="69"/>
        <v>9516.7809612644742</v>
      </c>
      <c r="N151" s="75">
        <f t="shared" si="69"/>
        <v>705471.18109801353</v>
      </c>
      <c r="O151" s="75">
        <f>SUM(O146:O150)</f>
        <v>10606417.000895318</v>
      </c>
      <c r="P151" s="75">
        <f t="shared" si="69"/>
        <v>84379.787249410205</v>
      </c>
      <c r="Q151" s="75">
        <f t="shared" si="69"/>
        <v>126467.4004541646</v>
      </c>
      <c r="R151" s="75">
        <f t="shared" si="69"/>
        <v>4185.4465103606299</v>
      </c>
      <c r="S151" s="75">
        <f t="shared" si="69"/>
        <v>9819.2414714737788</v>
      </c>
      <c r="T151" s="75">
        <f t="shared" si="69"/>
        <v>0</v>
      </c>
      <c r="U151" s="75">
        <f t="shared" si="69"/>
        <v>0</v>
      </c>
      <c r="V151" s="75">
        <f t="shared" si="69"/>
        <v>0</v>
      </c>
      <c r="W151" s="75">
        <f t="shared" si="69"/>
        <v>0</v>
      </c>
      <c r="X151" s="75">
        <f>SUM(X146:X150)</f>
        <v>0</v>
      </c>
      <c r="Y151" s="75">
        <f>SUM(Y146:Y150)</f>
        <v>0</v>
      </c>
      <c r="Z151" s="75">
        <f>SUM(Z146:Z150)</f>
        <v>0</v>
      </c>
      <c r="AA151" s="79">
        <f t="shared" si="67"/>
        <v>661243629.89877284</v>
      </c>
      <c r="AB151" s="92" t="str">
        <f t="shared" si="68"/>
        <v>ok</v>
      </c>
    </row>
    <row r="152" spans="1:28">
      <c r="F152" s="78"/>
    </row>
    <row r="153" spans="1:28" ht="15">
      <c r="A153" s="65" t="s">
        <v>613</v>
      </c>
      <c r="F153" s="78"/>
    </row>
    <row r="154" spans="1:28">
      <c r="A154" s="68" t="s">
        <v>1016</v>
      </c>
      <c r="C154" s="60" t="s">
        <v>910</v>
      </c>
      <c r="D154" s="60" t="s">
        <v>426</v>
      </c>
      <c r="E154" s="60" t="s">
        <v>1209</v>
      </c>
      <c r="F154" s="75">
        <f>VLOOKUP(C154,'Functional Assignment'!$C$2:$AP$780,'Functional Assignment'!$X$2,)</f>
        <v>66122625.303167246</v>
      </c>
      <c r="G154" s="75">
        <f t="shared" ref="G154:P155" si="70">IF(VLOOKUP($E154,$D$6:$AN$1148,3,)=0,0,(VLOOKUP($E154,$D$6:$AN$1148,G$2,)/VLOOKUP($E154,$D$6:$AN$1148,3,))*$F154)</f>
        <v>45742982.132931657</v>
      </c>
      <c r="H154" s="75">
        <f t="shared" si="70"/>
        <v>7310570.6475956105</v>
      </c>
      <c r="I154" s="75">
        <f t="shared" si="70"/>
        <v>0</v>
      </c>
      <c r="J154" s="75">
        <f t="shared" si="70"/>
        <v>6924130.079345732</v>
      </c>
      <c r="K154" s="75">
        <f t="shared" si="70"/>
        <v>0</v>
      </c>
      <c r="L154" s="75">
        <f t="shared" si="70"/>
        <v>5775820.4364432395</v>
      </c>
      <c r="M154" s="75">
        <f t="shared" si="70"/>
        <v>0</v>
      </c>
      <c r="N154" s="75">
        <f t="shared" si="70"/>
        <v>0</v>
      </c>
      <c r="O154" s="75">
        <f t="shared" si="70"/>
        <v>350632.17800940049</v>
      </c>
      <c r="P154" s="75">
        <f t="shared" si="70"/>
        <v>12212.525913271929</v>
      </c>
      <c r="Q154" s="75">
        <f t="shared" ref="Q154:Z155" si="71">IF(VLOOKUP($E154,$D$6:$AN$1148,3,)=0,0,(VLOOKUP($E154,$D$6:$AN$1148,Q$2,)/VLOOKUP($E154,$D$6:$AN$1148,3,))*$F154)</f>
        <v>5606.1176448733668</v>
      </c>
      <c r="R154" s="75">
        <f t="shared" si="71"/>
        <v>610.09825165970801</v>
      </c>
      <c r="S154" s="75">
        <f t="shared" si="71"/>
        <v>61.087031795549784</v>
      </c>
      <c r="T154" s="75">
        <f t="shared" si="71"/>
        <v>0</v>
      </c>
      <c r="U154" s="75">
        <f t="shared" si="71"/>
        <v>0</v>
      </c>
      <c r="V154" s="75">
        <f t="shared" si="71"/>
        <v>0</v>
      </c>
      <c r="W154" s="75">
        <f t="shared" si="71"/>
        <v>0</v>
      </c>
      <c r="X154" s="75">
        <f t="shared" si="71"/>
        <v>0</v>
      </c>
      <c r="Y154" s="75">
        <f t="shared" si="71"/>
        <v>0</v>
      </c>
      <c r="Z154" s="75">
        <f t="shared" si="71"/>
        <v>0</v>
      </c>
      <c r="AA154" s="79">
        <f>SUM(G154:Z154)</f>
        <v>66122625.303167239</v>
      </c>
      <c r="AB154" s="92" t="str">
        <f>IF(ABS(F154-AA154)&lt;0.01,"ok","err")</f>
        <v>ok</v>
      </c>
    </row>
    <row r="155" spans="1:28">
      <c r="A155" s="68" t="s">
        <v>1019</v>
      </c>
      <c r="C155" s="60" t="s">
        <v>910</v>
      </c>
      <c r="D155" s="60" t="s">
        <v>427</v>
      </c>
      <c r="E155" s="60" t="s">
        <v>1333</v>
      </c>
      <c r="F155" s="78">
        <f>VLOOKUP(C155,'Functional Assignment'!$C$2:$AP$780,'Functional Assignment'!$Y$2,)</f>
        <v>36857274.11199981</v>
      </c>
      <c r="G155" s="78">
        <f t="shared" si="70"/>
        <v>31960408.911023788</v>
      </c>
      <c r="H155" s="78">
        <f t="shared" si="70"/>
        <v>3837378.8772411328</v>
      </c>
      <c r="I155" s="78">
        <f t="shared" si="70"/>
        <v>0</v>
      </c>
      <c r="J155" s="78">
        <f t="shared" si="70"/>
        <v>235582.48952973777</v>
      </c>
      <c r="K155" s="78">
        <f t="shared" si="70"/>
        <v>0</v>
      </c>
      <c r="L155" s="78">
        <f t="shared" si="70"/>
        <v>42748.529361307068</v>
      </c>
      <c r="M155" s="78">
        <f t="shared" si="70"/>
        <v>0</v>
      </c>
      <c r="N155" s="78">
        <f t="shared" si="70"/>
        <v>0</v>
      </c>
      <c r="O155" s="78">
        <f t="shared" si="70"/>
        <v>770396.21953330585</v>
      </c>
      <c r="P155" s="78">
        <f t="shared" si="70"/>
        <v>1362.8739063703838</v>
      </c>
      <c r="Q155" s="78">
        <f t="shared" si="71"/>
        <v>8465.0553190707069</v>
      </c>
      <c r="R155" s="78">
        <f t="shared" si="71"/>
        <v>84.650553190707058</v>
      </c>
      <c r="S155" s="78">
        <f t="shared" si="71"/>
        <v>846.50553190707058</v>
      </c>
      <c r="T155" s="78">
        <f t="shared" si="71"/>
        <v>0</v>
      </c>
      <c r="U155" s="78">
        <f t="shared" si="71"/>
        <v>0</v>
      </c>
      <c r="V155" s="78">
        <f t="shared" si="71"/>
        <v>0</v>
      </c>
      <c r="W155" s="78">
        <f t="shared" si="71"/>
        <v>0</v>
      </c>
      <c r="X155" s="78">
        <f t="shared" si="71"/>
        <v>0</v>
      </c>
      <c r="Y155" s="78">
        <f t="shared" si="71"/>
        <v>0</v>
      </c>
      <c r="Z155" s="78">
        <f t="shared" si="71"/>
        <v>0</v>
      </c>
      <c r="AA155" s="78">
        <f>SUM(G155:Z155)</f>
        <v>36857274.111999817</v>
      </c>
      <c r="AB155" s="92" t="str">
        <f>IF(ABS(F155-AA155)&lt;0.01,"ok","err")</f>
        <v>ok</v>
      </c>
    </row>
    <row r="156" spans="1:28">
      <c r="A156" s="60" t="s">
        <v>674</v>
      </c>
      <c r="D156" s="60" t="s">
        <v>428</v>
      </c>
      <c r="F156" s="75">
        <f>F154+F155</f>
        <v>102979899.41516706</v>
      </c>
      <c r="G156" s="75">
        <f t="shared" ref="G156:W156" si="72">G154+G155</f>
        <v>77703391.043955445</v>
      </c>
      <c r="H156" s="75">
        <f t="shared" si="72"/>
        <v>11147949.524836743</v>
      </c>
      <c r="I156" s="75">
        <f t="shared" si="72"/>
        <v>0</v>
      </c>
      <c r="J156" s="75">
        <f t="shared" si="72"/>
        <v>7159712.5688754702</v>
      </c>
      <c r="K156" s="75">
        <f t="shared" si="72"/>
        <v>0</v>
      </c>
      <c r="L156" s="75">
        <f t="shared" si="72"/>
        <v>5818568.9658045461</v>
      </c>
      <c r="M156" s="75">
        <f t="shared" si="72"/>
        <v>0</v>
      </c>
      <c r="N156" s="75">
        <f t="shared" si="72"/>
        <v>0</v>
      </c>
      <c r="O156" s="75">
        <f>O154+O155</f>
        <v>1121028.3975427062</v>
      </c>
      <c r="P156" s="75">
        <f t="shared" si="72"/>
        <v>13575.399819642313</v>
      </c>
      <c r="Q156" s="75">
        <f t="shared" si="72"/>
        <v>14071.172963944075</v>
      </c>
      <c r="R156" s="75">
        <f t="shared" si="72"/>
        <v>694.74880485041513</v>
      </c>
      <c r="S156" s="75">
        <f t="shared" si="72"/>
        <v>907.5925637026204</v>
      </c>
      <c r="T156" s="75">
        <f t="shared" si="72"/>
        <v>0</v>
      </c>
      <c r="U156" s="75">
        <f t="shared" si="72"/>
        <v>0</v>
      </c>
      <c r="V156" s="75">
        <f t="shared" si="72"/>
        <v>0</v>
      </c>
      <c r="W156" s="75">
        <f t="shared" si="72"/>
        <v>0</v>
      </c>
      <c r="X156" s="75">
        <f>X154+X155</f>
        <v>0</v>
      </c>
      <c r="Y156" s="75">
        <f>Y154+Y155</f>
        <v>0</v>
      </c>
      <c r="Z156" s="75">
        <f>Z154+Z155</f>
        <v>0</v>
      </c>
      <c r="AA156" s="79">
        <f>SUM(G156:Z156)</f>
        <v>102979899.41516706</v>
      </c>
      <c r="AB156" s="92" t="str">
        <f>IF(ABS(F156-AA156)&lt;0.01,"ok","err")</f>
        <v>ok</v>
      </c>
    </row>
    <row r="157" spans="1:28">
      <c r="F157" s="78"/>
    </row>
    <row r="158" spans="1:28" ht="15">
      <c r="A158" s="65" t="s">
        <v>343</v>
      </c>
      <c r="F158" s="78"/>
    </row>
    <row r="159" spans="1:28">
      <c r="A159" s="68" t="s">
        <v>1019</v>
      </c>
      <c r="C159" s="60" t="s">
        <v>910</v>
      </c>
      <c r="D159" s="60" t="s">
        <v>429</v>
      </c>
      <c r="E159" s="60" t="s">
        <v>1021</v>
      </c>
      <c r="F159" s="75">
        <f>VLOOKUP(C159,'Functional Assignment'!$C$2:$AP$780,'Functional Assignment'!$Z$2,)</f>
        <v>23551953.643023651</v>
      </c>
      <c r="G159" s="75">
        <f t="shared" ref="G159:Z159" si="73">IF(VLOOKUP($E159,$D$6:$AN$1148,3,)=0,0,(VLOOKUP($E159,$D$6:$AN$1148,G$2,)/VLOOKUP($E159,$D$6:$AN$1148,3,))*$F159)</f>
        <v>20285809.209282935</v>
      </c>
      <c r="H159" s="75">
        <f t="shared" si="73"/>
        <v>2889188.8653033222</v>
      </c>
      <c r="I159" s="75">
        <f t="shared" si="73"/>
        <v>0</v>
      </c>
      <c r="J159" s="75">
        <f t="shared" si="73"/>
        <v>297178.61093035253</v>
      </c>
      <c r="K159" s="75">
        <f t="shared" si="73"/>
        <v>0</v>
      </c>
      <c r="L159" s="75">
        <f t="shared" si="73"/>
        <v>79670.150828074984</v>
      </c>
      <c r="M159" s="75">
        <f t="shared" si="73"/>
        <v>0</v>
      </c>
      <c r="N159" s="75">
        <f t="shared" si="73"/>
        <v>0</v>
      </c>
      <c r="O159" s="75">
        <f t="shared" si="73"/>
        <v>0</v>
      </c>
      <c r="P159" s="75">
        <f t="shared" si="73"/>
        <v>0</v>
      </c>
      <c r="Q159" s="75">
        <f t="shared" si="73"/>
        <v>0</v>
      </c>
      <c r="R159" s="75">
        <f t="shared" si="73"/>
        <v>106.80667896470341</v>
      </c>
      <c r="S159" s="75">
        <f t="shared" si="73"/>
        <v>0</v>
      </c>
      <c r="T159" s="75">
        <f t="shared" si="73"/>
        <v>0</v>
      </c>
      <c r="U159" s="75">
        <f t="shared" si="73"/>
        <v>0</v>
      </c>
      <c r="V159" s="75">
        <f t="shared" si="73"/>
        <v>0</v>
      </c>
      <c r="W159" s="75">
        <f t="shared" si="73"/>
        <v>0</v>
      </c>
      <c r="X159" s="75">
        <f t="shared" si="73"/>
        <v>0</v>
      </c>
      <c r="Y159" s="75">
        <f t="shared" si="73"/>
        <v>0</v>
      </c>
      <c r="Z159" s="75">
        <f t="shared" si="73"/>
        <v>0</v>
      </c>
      <c r="AA159" s="79">
        <f>SUM(G159:Z159)</f>
        <v>23551953.643023651</v>
      </c>
      <c r="AB159" s="92" t="str">
        <f>IF(ABS(F159-AA159)&lt;0.01,"ok","err")</f>
        <v>ok</v>
      </c>
    </row>
    <row r="160" spans="1:28">
      <c r="F160" s="78"/>
    </row>
    <row r="161" spans="1:28" ht="15">
      <c r="A161" s="65" t="s">
        <v>342</v>
      </c>
      <c r="F161" s="78"/>
    </row>
    <row r="162" spans="1:28">
      <c r="A162" s="68" t="s">
        <v>1019</v>
      </c>
      <c r="C162" s="60" t="s">
        <v>910</v>
      </c>
      <c r="D162" s="60" t="s">
        <v>430</v>
      </c>
      <c r="E162" s="60" t="s">
        <v>1317</v>
      </c>
      <c r="F162" s="75">
        <f>VLOOKUP(C162,'Functional Assignment'!$C$2:$AP$780,'Functional Assignment'!$AA$2,)</f>
        <v>26834744.844464965</v>
      </c>
      <c r="G162" s="75">
        <f t="shared" ref="G162:Z162" si="74">IF(VLOOKUP($E162,$D$6:$AN$1148,3,)=0,0,(VLOOKUP($E162,$D$6:$AN$1148,G$2,)/VLOOKUP($E162,$D$6:$AN$1148,3,))*$F162)</f>
        <v>18270839.978029996</v>
      </c>
      <c r="H162" s="75">
        <f t="shared" si="74"/>
        <v>5676819.3954309383</v>
      </c>
      <c r="I162" s="75">
        <f t="shared" si="74"/>
        <v>185553.8635447954</v>
      </c>
      <c r="J162" s="75">
        <f t="shared" si="74"/>
        <v>1587508.5987171361</v>
      </c>
      <c r="K162" s="75">
        <f t="shared" si="74"/>
        <v>370624.71129483613</v>
      </c>
      <c r="L162" s="75">
        <f t="shared" si="74"/>
        <v>313840.61989991076</v>
      </c>
      <c r="M162" s="75">
        <f t="shared" si="74"/>
        <v>261918.40971661801</v>
      </c>
      <c r="N162" s="75">
        <f t="shared" si="74"/>
        <v>5632.8289316545306</v>
      </c>
      <c r="O162" s="75">
        <f t="shared" si="74"/>
        <v>0</v>
      </c>
      <c r="P162" s="75">
        <f t="shared" si="74"/>
        <v>7790.2928058022471</v>
      </c>
      <c r="Q162" s="75">
        <f t="shared" si="74"/>
        <v>48386.911837281034</v>
      </c>
      <c r="R162" s="75">
        <f t="shared" si="74"/>
        <v>570.55425599463808</v>
      </c>
      <c r="S162" s="75">
        <f t="shared" si="74"/>
        <v>105258.68000000004</v>
      </c>
      <c r="T162" s="75">
        <f t="shared" si="74"/>
        <v>0</v>
      </c>
      <c r="U162" s="75">
        <f t="shared" si="74"/>
        <v>0</v>
      </c>
      <c r="V162" s="75">
        <f t="shared" si="74"/>
        <v>0</v>
      </c>
      <c r="W162" s="75">
        <f t="shared" si="74"/>
        <v>0</v>
      </c>
      <c r="X162" s="75">
        <f t="shared" si="74"/>
        <v>0</v>
      </c>
      <c r="Y162" s="75">
        <f t="shared" si="74"/>
        <v>0</v>
      </c>
      <c r="Z162" s="75">
        <f t="shared" si="74"/>
        <v>0</v>
      </c>
      <c r="AA162" s="79">
        <f>SUM(G162:Z162)</f>
        <v>26834744.844464961</v>
      </c>
      <c r="AB162" s="92" t="str">
        <f>IF(ABS(F162-AA162)&lt;0.01,"ok","err")</f>
        <v>ok</v>
      </c>
    </row>
    <row r="163" spans="1:28">
      <c r="F163" s="78"/>
    </row>
    <row r="164" spans="1:28" ht="15">
      <c r="A164" s="65" t="s">
        <v>358</v>
      </c>
      <c r="F164" s="78"/>
    </row>
    <row r="165" spans="1:28">
      <c r="A165" s="68" t="s">
        <v>1019</v>
      </c>
      <c r="C165" s="60" t="s">
        <v>910</v>
      </c>
      <c r="D165" s="60" t="s">
        <v>431</v>
      </c>
      <c r="E165" s="60" t="s">
        <v>1329</v>
      </c>
      <c r="F165" s="75">
        <f>VLOOKUP(C165,'Functional Assignment'!$C$2:$AP$780,'Functional Assignment'!$AB$2,)</f>
        <v>77771356.537982255</v>
      </c>
      <c r="G165" s="75">
        <f t="shared" ref="G165:Z165" si="75">IF(VLOOKUP($E165,$D$6:$AN$1148,3,)=0,0,(VLOOKUP($E165,$D$6:$AN$1148,G$2,)/VLOOKUP($E165,$D$6:$AN$1148,3,))*$F165)</f>
        <v>0</v>
      </c>
      <c r="H165" s="75">
        <f t="shared" si="75"/>
        <v>0</v>
      </c>
      <c r="I165" s="75">
        <f t="shared" si="75"/>
        <v>0</v>
      </c>
      <c r="J165" s="75">
        <f t="shared" si="75"/>
        <v>0</v>
      </c>
      <c r="K165" s="75">
        <f t="shared" si="75"/>
        <v>0</v>
      </c>
      <c r="L165" s="75">
        <f t="shared" si="75"/>
        <v>0</v>
      </c>
      <c r="M165" s="75">
        <f t="shared" si="75"/>
        <v>0</v>
      </c>
      <c r="N165" s="75">
        <f t="shared" si="75"/>
        <v>0</v>
      </c>
      <c r="O165" s="75">
        <f t="shared" si="75"/>
        <v>77771356.537982255</v>
      </c>
      <c r="P165" s="75">
        <f t="shared" si="75"/>
        <v>0</v>
      </c>
      <c r="Q165" s="75">
        <f t="shared" si="75"/>
        <v>0</v>
      </c>
      <c r="R165" s="75">
        <f t="shared" si="75"/>
        <v>0</v>
      </c>
      <c r="S165" s="75">
        <f t="shared" si="75"/>
        <v>0</v>
      </c>
      <c r="T165" s="75">
        <f t="shared" si="75"/>
        <v>0</v>
      </c>
      <c r="U165" s="75">
        <f t="shared" si="75"/>
        <v>0</v>
      </c>
      <c r="V165" s="75">
        <f t="shared" si="75"/>
        <v>0</v>
      </c>
      <c r="W165" s="75">
        <f t="shared" si="75"/>
        <v>0</v>
      </c>
      <c r="X165" s="75">
        <f t="shared" si="75"/>
        <v>0</v>
      </c>
      <c r="Y165" s="75">
        <f t="shared" si="75"/>
        <v>0</v>
      </c>
      <c r="Z165" s="75">
        <f t="shared" si="75"/>
        <v>0</v>
      </c>
      <c r="AA165" s="79">
        <f>SUM(G165:Z165)</f>
        <v>77771356.537982255</v>
      </c>
      <c r="AB165" s="92" t="str">
        <f>IF(ABS(F165-AA165)&lt;0.01,"ok","err")</f>
        <v>ok</v>
      </c>
    </row>
    <row r="166" spans="1:28">
      <c r="F166" s="78"/>
    </row>
    <row r="167" spans="1:28" ht="15">
      <c r="A167" s="65" t="s">
        <v>951</v>
      </c>
      <c r="F167" s="78"/>
    </row>
    <row r="168" spans="1:28">
      <c r="A168" s="68" t="s">
        <v>1019</v>
      </c>
      <c r="C168" s="60" t="s">
        <v>910</v>
      </c>
      <c r="D168" s="60" t="s">
        <v>432</v>
      </c>
      <c r="E168" s="60" t="s">
        <v>1328</v>
      </c>
      <c r="F168" s="75">
        <f>VLOOKUP(C168,'Functional Assignment'!$C$2:$AP$780,'Functional Assignment'!$AC$2,)</f>
        <v>4604270.2204592507</v>
      </c>
      <c r="G168" s="75">
        <f t="shared" ref="G168:Z168" si="76">IF(VLOOKUP($E168,$D$6:$AN$1148,3,)=0,0,(VLOOKUP($E168,$D$6:$AN$1148,G$2,)/VLOOKUP($E168,$D$6:$AN$1148,3,))*$F168)</f>
        <v>3422077.7885027467</v>
      </c>
      <c r="H168" s="75">
        <f t="shared" si="76"/>
        <v>821754.75654487405</v>
      </c>
      <c r="I168" s="75">
        <f t="shared" si="76"/>
        <v>3172.3083560256105</v>
      </c>
      <c r="J168" s="75">
        <f t="shared" si="76"/>
        <v>126121.91649741819</v>
      </c>
      <c r="K168" s="75">
        <f t="shared" si="76"/>
        <v>29910.335928241468</v>
      </c>
      <c r="L168" s="75">
        <f t="shared" si="76"/>
        <v>114429.69427092381</v>
      </c>
      <c r="M168" s="75">
        <f t="shared" si="76"/>
        <v>2945.7149020237807</v>
      </c>
      <c r="N168" s="75">
        <f t="shared" si="76"/>
        <v>90.637381600731729</v>
      </c>
      <c r="O168" s="75">
        <f t="shared" si="76"/>
        <v>82488.174621009923</v>
      </c>
      <c r="P168" s="75">
        <f t="shared" si="76"/>
        <v>145.92618437717806</v>
      </c>
      <c r="Q168" s="75">
        <f t="shared" si="76"/>
        <v>906.37381600731726</v>
      </c>
      <c r="R168" s="75">
        <f t="shared" si="76"/>
        <v>45.318690800365864</v>
      </c>
      <c r="S168" s="75">
        <f t="shared" si="76"/>
        <v>181.27476320146346</v>
      </c>
      <c r="T168" s="75">
        <f t="shared" si="76"/>
        <v>0</v>
      </c>
      <c r="U168" s="75">
        <f t="shared" si="76"/>
        <v>0</v>
      </c>
      <c r="V168" s="75">
        <f t="shared" si="76"/>
        <v>0</v>
      </c>
      <c r="W168" s="75">
        <f t="shared" si="76"/>
        <v>0</v>
      </c>
      <c r="X168" s="75">
        <f t="shared" si="76"/>
        <v>0</v>
      </c>
      <c r="Y168" s="75">
        <f t="shared" si="76"/>
        <v>0</v>
      </c>
      <c r="Z168" s="75">
        <f t="shared" si="76"/>
        <v>0</v>
      </c>
      <c r="AA168" s="79">
        <f>SUM(G168:Z168)</f>
        <v>4604270.2204592507</v>
      </c>
      <c r="AB168" s="92" t="str">
        <f>IF(ABS(F168-AA168)&lt;0.01,"ok","err")</f>
        <v>ok</v>
      </c>
    </row>
    <row r="169" spans="1:28">
      <c r="F169" s="78"/>
    </row>
    <row r="170" spans="1:28" ht="15">
      <c r="A170" s="65" t="s">
        <v>340</v>
      </c>
      <c r="F170" s="78"/>
    </row>
    <row r="171" spans="1:28">
      <c r="A171" s="68" t="s">
        <v>1019</v>
      </c>
      <c r="C171" s="60" t="s">
        <v>910</v>
      </c>
      <c r="D171" s="60" t="s">
        <v>433</v>
      </c>
      <c r="E171" s="60" t="s">
        <v>1334</v>
      </c>
      <c r="F171" s="75">
        <f>VLOOKUP(C171,'Functional Assignment'!$C$2:$AP$780,'Functional Assignment'!$AD$2,)</f>
        <v>1013760.8624949354</v>
      </c>
      <c r="G171" s="75">
        <f t="shared" ref="G171:Z171" si="77">IF(VLOOKUP($E171,$D$6:$AN$1148,3,)=0,0,(VLOOKUP($E171,$D$6:$AN$1148,G$2,)/VLOOKUP($E171,$D$6:$AN$1148,3,))*$F171)</f>
        <v>878634.48118093284</v>
      </c>
      <c r="H171" s="75">
        <f t="shared" si="77"/>
        <v>105494.68901621226</v>
      </c>
      <c r="I171" s="75">
        <f t="shared" si="77"/>
        <v>162.90100218686263</v>
      </c>
      <c r="J171" s="75">
        <f t="shared" si="77"/>
        <v>6476.4784155148391</v>
      </c>
      <c r="K171" s="75">
        <f t="shared" si="77"/>
        <v>307.18474698094099</v>
      </c>
      <c r="L171" s="75">
        <f t="shared" si="77"/>
        <v>1175.2143729195091</v>
      </c>
      <c r="M171" s="75">
        <f t="shared" si="77"/>
        <v>30.253043263274492</v>
      </c>
      <c r="N171" s="75">
        <f t="shared" si="77"/>
        <v>4.6543143481960758</v>
      </c>
      <c r="O171" s="75">
        <f t="shared" si="77"/>
        <v>21179.224725748831</v>
      </c>
      <c r="P171" s="75">
        <f t="shared" si="77"/>
        <v>37.467230502978417</v>
      </c>
      <c r="Q171" s="75">
        <f t="shared" si="77"/>
        <v>232.71571740980377</v>
      </c>
      <c r="R171" s="75">
        <f t="shared" si="77"/>
        <v>2.3271571740980379</v>
      </c>
      <c r="S171" s="75">
        <f t="shared" si="77"/>
        <v>23.271571740980377</v>
      </c>
      <c r="T171" s="75">
        <f t="shared" si="77"/>
        <v>0</v>
      </c>
      <c r="U171" s="75">
        <f t="shared" si="77"/>
        <v>0</v>
      </c>
      <c r="V171" s="75">
        <f t="shared" si="77"/>
        <v>0</v>
      </c>
      <c r="W171" s="75">
        <f t="shared" si="77"/>
        <v>0</v>
      </c>
      <c r="X171" s="75">
        <f t="shared" si="77"/>
        <v>0</v>
      </c>
      <c r="Y171" s="75">
        <f t="shared" si="77"/>
        <v>0</v>
      </c>
      <c r="Z171" s="75">
        <f t="shared" si="77"/>
        <v>0</v>
      </c>
      <c r="AA171" s="79">
        <f>SUM(G171:Z171)</f>
        <v>1013760.8624949354</v>
      </c>
      <c r="AB171" s="92" t="str">
        <f>IF(ABS(F171-AA171)&lt;0.01,"ok","err")</f>
        <v>ok</v>
      </c>
    </row>
    <row r="172" spans="1:28">
      <c r="F172" s="78"/>
    </row>
    <row r="173" spans="1:28" ht="15">
      <c r="A173" s="65" t="s">
        <v>339</v>
      </c>
      <c r="F173" s="78"/>
    </row>
    <row r="174" spans="1:28">
      <c r="A174" s="68" t="s">
        <v>1019</v>
      </c>
      <c r="C174" s="60" t="s">
        <v>910</v>
      </c>
      <c r="D174" s="60" t="s">
        <v>434</v>
      </c>
      <c r="E174" s="60" t="s">
        <v>1334</v>
      </c>
      <c r="F174" s="75">
        <f>VLOOKUP(C174,'Functional Assignment'!$C$2:$AP$780,'Functional Assignment'!$AE$2,)</f>
        <v>0</v>
      </c>
      <c r="G174" s="75">
        <f t="shared" ref="G174:Z174" si="78">IF(VLOOKUP($E174,$D$6:$AN$1148,3,)=0,0,(VLOOKUP($E174,$D$6:$AN$1148,G$2,)/VLOOKUP($E174,$D$6:$AN$1148,3,))*$F174)</f>
        <v>0</v>
      </c>
      <c r="H174" s="75">
        <f t="shared" si="78"/>
        <v>0</v>
      </c>
      <c r="I174" s="75">
        <f t="shared" si="78"/>
        <v>0</v>
      </c>
      <c r="J174" s="75">
        <f t="shared" si="78"/>
        <v>0</v>
      </c>
      <c r="K174" s="75">
        <f t="shared" si="78"/>
        <v>0</v>
      </c>
      <c r="L174" s="75">
        <f t="shared" si="78"/>
        <v>0</v>
      </c>
      <c r="M174" s="75">
        <f t="shared" si="78"/>
        <v>0</v>
      </c>
      <c r="N174" s="75">
        <f t="shared" si="78"/>
        <v>0</v>
      </c>
      <c r="O174" s="75">
        <f t="shared" si="78"/>
        <v>0</v>
      </c>
      <c r="P174" s="75">
        <f t="shared" si="78"/>
        <v>0</v>
      </c>
      <c r="Q174" s="75">
        <f t="shared" si="78"/>
        <v>0</v>
      </c>
      <c r="R174" s="75">
        <f t="shared" si="78"/>
        <v>0</v>
      </c>
      <c r="S174" s="75">
        <f t="shared" si="78"/>
        <v>0</v>
      </c>
      <c r="T174" s="75">
        <f t="shared" si="78"/>
        <v>0</v>
      </c>
      <c r="U174" s="75">
        <f t="shared" si="78"/>
        <v>0</v>
      </c>
      <c r="V174" s="75">
        <f t="shared" si="78"/>
        <v>0</v>
      </c>
      <c r="W174" s="75">
        <f t="shared" si="78"/>
        <v>0</v>
      </c>
      <c r="X174" s="75">
        <f t="shared" si="78"/>
        <v>0</v>
      </c>
      <c r="Y174" s="75">
        <f t="shared" si="78"/>
        <v>0</v>
      </c>
      <c r="Z174" s="75">
        <f t="shared" si="78"/>
        <v>0</v>
      </c>
      <c r="AA174" s="79">
        <f>SUM(G174:Z174)</f>
        <v>0</v>
      </c>
      <c r="AB174" s="92" t="str">
        <f>IF(ABS(F174-AA174)&lt;0.01,"ok","err")</f>
        <v>ok</v>
      </c>
    </row>
    <row r="175" spans="1:28">
      <c r="F175" s="78"/>
    </row>
    <row r="176" spans="1:28">
      <c r="A176" s="60" t="s">
        <v>848</v>
      </c>
      <c r="D176" s="60" t="s">
        <v>1030</v>
      </c>
      <c r="F176" s="75">
        <f>F131+F137+F140+F143+F151+F156+F159+F162+F165+F168+F171+F174</f>
        <v>3460077816.1601419</v>
      </c>
      <c r="G176" s="75">
        <f t="shared" ref="G176:Z176" si="79">G131+G137+G140+G143+G151+G156+G159+G162+G165+G168+G171+G174</f>
        <v>1709217009.5216761</v>
      </c>
      <c r="H176" s="75">
        <f t="shared" si="79"/>
        <v>398697503.46332896</v>
      </c>
      <c r="I176" s="75">
        <f t="shared" si="79"/>
        <v>23605515.638910923</v>
      </c>
      <c r="J176" s="75">
        <f t="shared" si="79"/>
        <v>397022294.40015203</v>
      </c>
      <c r="K176" s="75">
        <f t="shared" si="79"/>
        <v>351297120.6955809</v>
      </c>
      <c r="L176" s="75">
        <f t="shared" si="79"/>
        <v>303389934.2634303</v>
      </c>
      <c r="M176" s="75">
        <f t="shared" si="79"/>
        <v>160366121.29716793</v>
      </c>
      <c r="N176" s="75">
        <f t="shared" si="79"/>
        <v>10299117.756014783</v>
      </c>
      <c r="O176" s="75">
        <f>O131+O137+O140+O143+O151+O156+O159+O162+O165+O168+O171+O174</f>
        <v>102450326.03465796</v>
      </c>
      <c r="P176" s="75">
        <f t="shared" si="79"/>
        <v>553419.98421918578</v>
      </c>
      <c r="Q176" s="75">
        <f t="shared" si="79"/>
        <v>670881.43252931838</v>
      </c>
      <c r="R176" s="75">
        <f t="shared" si="79"/>
        <v>12859.658157203232</v>
      </c>
      <c r="S176" s="75">
        <f t="shared" si="79"/>
        <v>120413.38431620215</v>
      </c>
      <c r="T176" s="75">
        <f t="shared" si="79"/>
        <v>2314621.8400000003</v>
      </c>
      <c r="U176" s="75">
        <f t="shared" si="79"/>
        <v>60676.790000000008</v>
      </c>
      <c r="V176" s="75">
        <f t="shared" si="79"/>
        <v>0</v>
      </c>
      <c r="W176" s="75">
        <f t="shared" si="79"/>
        <v>0</v>
      </c>
      <c r="X176" s="75">
        <f t="shared" si="79"/>
        <v>0</v>
      </c>
      <c r="Y176" s="75">
        <f t="shared" si="79"/>
        <v>0</v>
      </c>
      <c r="Z176" s="75">
        <f t="shared" si="79"/>
        <v>0</v>
      </c>
      <c r="AA176" s="79">
        <f>SUM(G176:Z176)</f>
        <v>3460077816.1601415</v>
      </c>
      <c r="AB176" s="92" t="str">
        <f>IF(ABS(F176-AA176)&lt;0.01,"ok","err")</f>
        <v>ok</v>
      </c>
    </row>
    <row r="179" spans="1:28" ht="15">
      <c r="A179" s="65" t="s">
        <v>901</v>
      </c>
    </row>
    <row r="181" spans="1:28" ht="15">
      <c r="A181" s="65" t="s">
        <v>352</v>
      </c>
    </row>
    <row r="182" spans="1:28">
      <c r="A182" s="68" t="s">
        <v>1254</v>
      </c>
      <c r="C182" s="60" t="s">
        <v>994</v>
      </c>
      <c r="D182" s="60" t="s">
        <v>1428</v>
      </c>
      <c r="E182" s="60" t="s">
        <v>1415</v>
      </c>
      <c r="F182" s="75">
        <f>VLOOKUP(C182,'Functional Assignment'!$C$2:$AP$780,'Functional Assignment'!$H$2,)</f>
        <v>111958098.21523491</v>
      </c>
      <c r="G182" s="75">
        <f t="shared" ref="G182:P187" si="80">IF(VLOOKUP($E182,$D$6:$AN$1148,3,)=0,0,(VLOOKUP($E182,$D$6:$AN$1148,G$2,)/VLOOKUP($E182,$D$6:$AN$1148,3,))*$F182)</f>
        <v>46626930.1977726</v>
      </c>
      <c r="H182" s="75">
        <f t="shared" si="80"/>
        <v>13421884.293799482</v>
      </c>
      <c r="I182" s="75">
        <f t="shared" si="80"/>
        <v>971731.61071078619</v>
      </c>
      <c r="J182" s="75">
        <f t="shared" si="80"/>
        <v>15647592.807170685</v>
      </c>
      <c r="K182" s="75">
        <f t="shared" si="80"/>
        <v>14666349.487308323</v>
      </c>
      <c r="L182" s="75">
        <f t="shared" si="80"/>
        <v>12128702.967937639</v>
      </c>
      <c r="M182" s="75">
        <f t="shared" si="80"/>
        <v>7503140.8555244273</v>
      </c>
      <c r="N182" s="75">
        <f t="shared" si="80"/>
        <v>421275.48505219509</v>
      </c>
      <c r="O182" s="75">
        <f t="shared" si="80"/>
        <v>460267.41009913664</v>
      </c>
      <c r="P182" s="75">
        <f t="shared" si="80"/>
        <v>16031.123283612504</v>
      </c>
      <c r="Q182" s="75">
        <f t="shared" ref="Q182:Z187" si="81">IF(VLOOKUP($E182,$D$6:$AN$1148,3,)=0,0,(VLOOKUP($E182,$D$6:$AN$1148,Q$2,)/VLOOKUP($E182,$D$6:$AN$1148,3,))*$F182)</f>
        <v>22077.09455332212</v>
      </c>
      <c r="R182" s="75">
        <f t="shared" si="81"/>
        <v>21.436356999651061</v>
      </c>
      <c r="S182" s="75">
        <f t="shared" si="81"/>
        <v>190.44566567636963</v>
      </c>
      <c r="T182" s="75">
        <f t="shared" si="81"/>
        <v>71903</v>
      </c>
      <c r="U182" s="75">
        <f t="shared" si="81"/>
        <v>0</v>
      </c>
      <c r="V182" s="75">
        <f t="shared" si="81"/>
        <v>0</v>
      </c>
      <c r="W182" s="75">
        <f t="shared" si="81"/>
        <v>0</v>
      </c>
      <c r="X182" s="75">
        <f t="shared" si="81"/>
        <v>0</v>
      </c>
      <c r="Y182" s="75">
        <f t="shared" si="81"/>
        <v>0</v>
      </c>
      <c r="Z182" s="75">
        <f t="shared" si="81"/>
        <v>0</v>
      </c>
      <c r="AA182" s="79">
        <f t="shared" ref="AA182:AA188" si="82">SUM(G182:Z182)</f>
        <v>111958098.21523488</v>
      </c>
      <c r="AB182" s="92" t="str">
        <f t="shared" ref="AB182:AB188" si="83">IF(ABS(F182-AA182)&lt;0.01,"ok","err")</f>
        <v>ok</v>
      </c>
    </row>
    <row r="183" spans="1:28" hidden="1">
      <c r="A183" s="68" t="s">
        <v>1255</v>
      </c>
      <c r="C183" s="60" t="s">
        <v>994</v>
      </c>
      <c r="D183" s="60" t="s">
        <v>435</v>
      </c>
      <c r="E183" s="60" t="s">
        <v>1415</v>
      </c>
      <c r="F183" s="78">
        <f>VLOOKUP(C183,'Functional Assignment'!$C$2:$AP$780,'Functional Assignment'!$I$2,)</f>
        <v>0</v>
      </c>
      <c r="G183" s="78">
        <f t="shared" si="80"/>
        <v>0</v>
      </c>
      <c r="H183" s="78">
        <f t="shared" si="80"/>
        <v>0</v>
      </c>
      <c r="I183" s="78">
        <f t="shared" si="80"/>
        <v>0</v>
      </c>
      <c r="J183" s="78">
        <f t="shared" si="80"/>
        <v>0</v>
      </c>
      <c r="K183" s="78">
        <f t="shared" si="80"/>
        <v>0</v>
      </c>
      <c r="L183" s="78">
        <f t="shared" si="80"/>
        <v>0</v>
      </c>
      <c r="M183" s="78">
        <f t="shared" si="80"/>
        <v>0</v>
      </c>
      <c r="N183" s="78">
        <f t="shared" si="80"/>
        <v>0</v>
      </c>
      <c r="O183" s="78">
        <f t="shared" si="80"/>
        <v>0</v>
      </c>
      <c r="P183" s="78">
        <f t="shared" si="80"/>
        <v>0</v>
      </c>
      <c r="Q183" s="78">
        <f t="shared" si="81"/>
        <v>0</v>
      </c>
      <c r="R183" s="78">
        <f t="shared" si="81"/>
        <v>0</v>
      </c>
      <c r="S183" s="78">
        <f t="shared" si="81"/>
        <v>0</v>
      </c>
      <c r="T183" s="78">
        <f t="shared" si="81"/>
        <v>0</v>
      </c>
      <c r="U183" s="78">
        <f t="shared" si="81"/>
        <v>0</v>
      </c>
      <c r="V183" s="78">
        <f t="shared" si="81"/>
        <v>0</v>
      </c>
      <c r="W183" s="78">
        <f t="shared" si="81"/>
        <v>0</v>
      </c>
      <c r="X183" s="78">
        <f t="shared" si="81"/>
        <v>0</v>
      </c>
      <c r="Y183" s="78">
        <f t="shared" si="81"/>
        <v>0</v>
      </c>
      <c r="Z183" s="78">
        <f t="shared" si="81"/>
        <v>0</v>
      </c>
      <c r="AA183" s="78">
        <f t="shared" si="82"/>
        <v>0</v>
      </c>
      <c r="AB183" s="92" t="str">
        <f t="shared" si="83"/>
        <v>ok</v>
      </c>
    </row>
    <row r="184" spans="1:28" hidden="1">
      <c r="A184" s="68" t="s">
        <v>1255</v>
      </c>
      <c r="C184" s="60" t="s">
        <v>994</v>
      </c>
      <c r="D184" s="60" t="s">
        <v>436</v>
      </c>
      <c r="E184" s="60" t="s">
        <v>1415</v>
      </c>
      <c r="F184" s="78">
        <f>VLOOKUP(C184,'Functional Assignment'!$C$2:$AP$780,'Functional Assignment'!$J$2,)</f>
        <v>0</v>
      </c>
      <c r="G184" s="78">
        <f t="shared" si="80"/>
        <v>0</v>
      </c>
      <c r="H184" s="78">
        <f t="shared" si="80"/>
        <v>0</v>
      </c>
      <c r="I184" s="78">
        <f t="shared" si="80"/>
        <v>0</v>
      </c>
      <c r="J184" s="78">
        <f t="shared" si="80"/>
        <v>0</v>
      </c>
      <c r="K184" s="78">
        <f t="shared" si="80"/>
        <v>0</v>
      </c>
      <c r="L184" s="78">
        <f t="shared" si="80"/>
        <v>0</v>
      </c>
      <c r="M184" s="78">
        <f t="shared" si="80"/>
        <v>0</v>
      </c>
      <c r="N184" s="78">
        <f t="shared" si="80"/>
        <v>0</v>
      </c>
      <c r="O184" s="78">
        <f t="shared" si="80"/>
        <v>0</v>
      </c>
      <c r="P184" s="78">
        <f t="shared" si="80"/>
        <v>0</v>
      </c>
      <c r="Q184" s="78">
        <f t="shared" si="81"/>
        <v>0</v>
      </c>
      <c r="R184" s="78">
        <f t="shared" si="81"/>
        <v>0</v>
      </c>
      <c r="S184" s="78">
        <f t="shared" si="81"/>
        <v>0</v>
      </c>
      <c r="T184" s="78">
        <f t="shared" si="81"/>
        <v>0</v>
      </c>
      <c r="U184" s="78">
        <f t="shared" si="81"/>
        <v>0</v>
      </c>
      <c r="V184" s="78">
        <f t="shared" si="81"/>
        <v>0</v>
      </c>
      <c r="W184" s="78">
        <f t="shared" si="81"/>
        <v>0</v>
      </c>
      <c r="X184" s="78">
        <f t="shared" si="81"/>
        <v>0</v>
      </c>
      <c r="Y184" s="78">
        <f t="shared" si="81"/>
        <v>0</v>
      </c>
      <c r="Z184" s="78">
        <f t="shared" si="81"/>
        <v>0</v>
      </c>
      <c r="AA184" s="78">
        <f t="shared" si="82"/>
        <v>0</v>
      </c>
      <c r="AB184" s="92" t="str">
        <f t="shared" si="83"/>
        <v>ok</v>
      </c>
    </row>
    <row r="185" spans="1:28">
      <c r="A185" s="68" t="s">
        <v>1162</v>
      </c>
      <c r="C185" s="60" t="s">
        <v>994</v>
      </c>
      <c r="D185" s="60" t="s">
        <v>437</v>
      </c>
      <c r="E185" s="60" t="s">
        <v>1017</v>
      </c>
      <c r="F185" s="78">
        <f>VLOOKUP(C185,'Functional Assignment'!$C$2:$AP$780,'Functional Assignment'!$K$2,)</f>
        <v>397495518.54181111</v>
      </c>
      <c r="G185" s="78">
        <f t="shared" si="80"/>
        <v>142877810.92888865</v>
      </c>
      <c r="H185" s="78">
        <f t="shared" si="80"/>
        <v>42240754.713143803</v>
      </c>
      <c r="I185" s="78">
        <f t="shared" si="80"/>
        <v>3578704.8916238984</v>
      </c>
      <c r="J185" s="78">
        <f t="shared" si="80"/>
        <v>53242471.460308753</v>
      </c>
      <c r="K185" s="78">
        <f t="shared" si="80"/>
        <v>68825160.332896098</v>
      </c>
      <c r="L185" s="78">
        <f t="shared" si="80"/>
        <v>45453323.591409646</v>
      </c>
      <c r="M185" s="78">
        <f t="shared" si="80"/>
        <v>35601403.112511456</v>
      </c>
      <c r="N185" s="78">
        <f t="shared" si="80"/>
        <v>1946305.3305381683</v>
      </c>
      <c r="O185" s="78">
        <f t="shared" si="80"/>
        <v>3493387.5012183185</v>
      </c>
      <c r="P185" s="78">
        <f t="shared" si="80"/>
        <v>121674.75793315042</v>
      </c>
      <c r="Q185" s="78">
        <f t="shared" si="81"/>
        <v>113470.39165618831</v>
      </c>
      <c r="R185" s="78">
        <f t="shared" si="81"/>
        <v>407.5559677213032</v>
      </c>
      <c r="S185" s="78">
        <f t="shared" si="81"/>
        <v>643.97371523063055</v>
      </c>
      <c r="T185" s="78">
        <f t="shared" si="81"/>
        <v>0</v>
      </c>
      <c r="U185" s="78">
        <f t="shared" si="81"/>
        <v>0</v>
      </c>
      <c r="V185" s="78">
        <f t="shared" si="81"/>
        <v>0</v>
      </c>
      <c r="W185" s="78">
        <f t="shared" si="81"/>
        <v>0</v>
      </c>
      <c r="X185" s="78">
        <f t="shared" si="81"/>
        <v>0</v>
      </c>
      <c r="Y185" s="78">
        <f t="shared" si="81"/>
        <v>0</v>
      </c>
      <c r="Z185" s="78">
        <f t="shared" si="81"/>
        <v>0</v>
      </c>
      <c r="AA185" s="78">
        <f t="shared" si="82"/>
        <v>397495518.54181105</v>
      </c>
      <c r="AB185" s="92" t="str">
        <f t="shared" si="83"/>
        <v>ok</v>
      </c>
    </row>
    <row r="186" spans="1:28" hidden="1">
      <c r="A186" s="68" t="s">
        <v>1163</v>
      </c>
      <c r="C186" s="60" t="s">
        <v>994</v>
      </c>
      <c r="D186" s="60" t="s">
        <v>438</v>
      </c>
      <c r="E186" s="60" t="s">
        <v>1017</v>
      </c>
      <c r="F186" s="78">
        <f>VLOOKUP(C186,'Functional Assignment'!$C$2:$AP$780,'Functional Assignment'!$L$2,)</f>
        <v>0</v>
      </c>
      <c r="G186" s="78">
        <f t="shared" si="80"/>
        <v>0</v>
      </c>
      <c r="H186" s="78">
        <f t="shared" si="80"/>
        <v>0</v>
      </c>
      <c r="I186" s="78">
        <f t="shared" si="80"/>
        <v>0</v>
      </c>
      <c r="J186" s="78">
        <f t="shared" si="80"/>
        <v>0</v>
      </c>
      <c r="K186" s="78">
        <f t="shared" si="80"/>
        <v>0</v>
      </c>
      <c r="L186" s="78">
        <f t="shared" si="80"/>
        <v>0</v>
      </c>
      <c r="M186" s="78">
        <f t="shared" si="80"/>
        <v>0</v>
      </c>
      <c r="N186" s="78">
        <f t="shared" si="80"/>
        <v>0</v>
      </c>
      <c r="O186" s="78">
        <f t="shared" si="80"/>
        <v>0</v>
      </c>
      <c r="P186" s="78">
        <f t="shared" si="80"/>
        <v>0</v>
      </c>
      <c r="Q186" s="78">
        <f t="shared" si="81"/>
        <v>0</v>
      </c>
      <c r="R186" s="78">
        <f t="shared" si="81"/>
        <v>0</v>
      </c>
      <c r="S186" s="78">
        <f t="shared" si="81"/>
        <v>0</v>
      </c>
      <c r="T186" s="78">
        <f t="shared" si="81"/>
        <v>0</v>
      </c>
      <c r="U186" s="78">
        <f t="shared" si="81"/>
        <v>0</v>
      </c>
      <c r="V186" s="78">
        <f t="shared" si="81"/>
        <v>0</v>
      </c>
      <c r="W186" s="78">
        <f t="shared" si="81"/>
        <v>0</v>
      </c>
      <c r="X186" s="78">
        <f t="shared" si="81"/>
        <v>0</v>
      </c>
      <c r="Y186" s="78">
        <f t="shared" si="81"/>
        <v>0</v>
      </c>
      <c r="Z186" s="78">
        <f t="shared" si="81"/>
        <v>0</v>
      </c>
      <c r="AA186" s="78">
        <f t="shared" si="82"/>
        <v>0</v>
      </c>
      <c r="AB186" s="92" t="str">
        <f t="shared" si="83"/>
        <v>ok</v>
      </c>
    </row>
    <row r="187" spans="1:28" hidden="1">
      <c r="A187" s="68" t="s">
        <v>1163</v>
      </c>
      <c r="C187" s="60" t="s">
        <v>994</v>
      </c>
      <c r="D187" s="60" t="s">
        <v>439</v>
      </c>
      <c r="E187" s="60" t="s">
        <v>1017</v>
      </c>
      <c r="F187" s="78">
        <f>VLOOKUP(C187,'Functional Assignment'!$C$2:$AP$780,'Functional Assignment'!$M$2,)</f>
        <v>0</v>
      </c>
      <c r="G187" s="78">
        <f t="shared" si="80"/>
        <v>0</v>
      </c>
      <c r="H187" s="78">
        <f t="shared" si="80"/>
        <v>0</v>
      </c>
      <c r="I187" s="78">
        <f t="shared" si="80"/>
        <v>0</v>
      </c>
      <c r="J187" s="78">
        <f t="shared" si="80"/>
        <v>0</v>
      </c>
      <c r="K187" s="78">
        <f t="shared" si="80"/>
        <v>0</v>
      </c>
      <c r="L187" s="78">
        <f t="shared" si="80"/>
        <v>0</v>
      </c>
      <c r="M187" s="78">
        <f t="shared" si="80"/>
        <v>0</v>
      </c>
      <c r="N187" s="78">
        <f t="shared" si="80"/>
        <v>0</v>
      </c>
      <c r="O187" s="78">
        <f t="shared" si="80"/>
        <v>0</v>
      </c>
      <c r="P187" s="78">
        <f t="shared" si="80"/>
        <v>0</v>
      </c>
      <c r="Q187" s="78">
        <f t="shared" si="81"/>
        <v>0</v>
      </c>
      <c r="R187" s="78">
        <f t="shared" si="81"/>
        <v>0</v>
      </c>
      <c r="S187" s="78">
        <f t="shared" si="81"/>
        <v>0</v>
      </c>
      <c r="T187" s="78">
        <f t="shared" si="81"/>
        <v>0</v>
      </c>
      <c r="U187" s="78">
        <f t="shared" si="81"/>
        <v>0</v>
      </c>
      <c r="V187" s="78">
        <f t="shared" si="81"/>
        <v>0</v>
      </c>
      <c r="W187" s="78">
        <f t="shared" si="81"/>
        <v>0</v>
      </c>
      <c r="X187" s="78">
        <f t="shared" si="81"/>
        <v>0</v>
      </c>
      <c r="Y187" s="78">
        <f t="shared" si="81"/>
        <v>0</v>
      </c>
      <c r="Z187" s="78">
        <f t="shared" si="81"/>
        <v>0</v>
      </c>
      <c r="AA187" s="78">
        <f t="shared" si="82"/>
        <v>0</v>
      </c>
      <c r="AB187" s="92" t="str">
        <f t="shared" si="83"/>
        <v>ok</v>
      </c>
    </row>
    <row r="188" spans="1:28">
      <c r="A188" s="60" t="s">
        <v>374</v>
      </c>
      <c r="D188" s="60" t="s">
        <v>1031</v>
      </c>
      <c r="F188" s="75">
        <f>SUM(F182:F187)</f>
        <v>509453616.75704598</v>
      </c>
      <c r="G188" s="75">
        <f t="shared" ref="G188:P188" si="84">SUM(G182:G187)</f>
        <v>189504741.12666124</v>
      </c>
      <c r="H188" s="75">
        <f t="shared" si="84"/>
        <v>55662639.006943285</v>
      </c>
      <c r="I188" s="75">
        <f t="shared" si="84"/>
        <v>4550436.5023346841</v>
      </c>
      <c r="J188" s="75">
        <f t="shared" si="84"/>
        <v>68890064.267479435</v>
      </c>
      <c r="K188" s="75">
        <f t="shared" si="84"/>
        <v>83491509.820204422</v>
      </c>
      <c r="L188" s="75">
        <f t="shared" si="84"/>
        <v>57582026.559347287</v>
      </c>
      <c r="M188" s="75">
        <f t="shared" si="84"/>
        <v>43104543.968035884</v>
      </c>
      <c r="N188" s="75">
        <f t="shared" si="84"/>
        <v>2367580.8155903635</v>
      </c>
      <c r="O188" s="75">
        <f>SUM(O182:O187)</f>
        <v>3953654.9113174551</v>
      </c>
      <c r="P188" s="75">
        <f t="shared" si="84"/>
        <v>137705.88121676294</v>
      </c>
      <c r="Q188" s="75">
        <f t="shared" ref="Q188:W188" si="85">SUM(Q182:Q187)</f>
        <v>135547.48620951042</v>
      </c>
      <c r="R188" s="75">
        <f t="shared" si="85"/>
        <v>428.99232472095429</v>
      </c>
      <c r="S188" s="75">
        <f t="shared" si="85"/>
        <v>834.41938090700023</v>
      </c>
      <c r="T188" s="75">
        <f t="shared" si="85"/>
        <v>71903</v>
      </c>
      <c r="U188" s="75">
        <f t="shared" si="85"/>
        <v>0</v>
      </c>
      <c r="V188" s="75">
        <f t="shared" si="85"/>
        <v>0</v>
      </c>
      <c r="W188" s="75">
        <f t="shared" si="85"/>
        <v>0</v>
      </c>
      <c r="X188" s="75">
        <f>SUM(X182:X187)</f>
        <v>0</v>
      </c>
      <c r="Y188" s="75">
        <f>SUM(Y182:Y187)</f>
        <v>0</v>
      </c>
      <c r="Z188" s="75">
        <f>SUM(Z182:Z187)</f>
        <v>0</v>
      </c>
      <c r="AA188" s="79">
        <f t="shared" si="82"/>
        <v>509453616.75704598</v>
      </c>
      <c r="AB188" s="92" t="str">
        <f t="shared" si="83"/>
        <v>ok</v>
      </c>
    </row>
    <row r="189" spans="1:28">
      <c r="F189" s="78"/>
      <c r="G189" s="78"/>
    </row>
    <row r="190" spans="1:28" ht="15">
      <c r="A190" s="65" t="s">
        <v>1057</v>
      </c>
      <c r="F190" s="78"/>
      <c r="G190" s="78"/>
    </row>
    <row r="191" spans="1:28">
      <c r="A191" s="68" t="s">
        <v>1228</v>
      </c>
      <c r="C191" s="60" t="s">
        <v>994</v>
      </c>
      <c r="D191" s="60" t="s">
        <v>440</v>
      </c>
      <c r="E191" s="60" t="s">
        <v>1232</v>
      </c>
      <c r="F191" s="75">
        <f>VLOOKUP(C191,'Functional Assignment'!$C$2:$AP$780,'Functional Assignment'!$N$2,)</f>
        <v>34465993.112126328</v>
      </c>
      <c r="G191" s="75">
        <f t="shared" ref="G191:P193" si="86">IF(VLOOKUP($E191,$D$6:$AN$1148,3,)=0,0,(VLOOKUP($E191,$D$6:$AN$1148,G$2,)/VLOOKUP($E191,$D$6:$AN$1148,3,))*$F191)</f>
        <v>16306536.154351067</v>
      </c>
      <c r="H191" s="75">
        <f t="shared" si="86"/>
        <v>3983168.2020558887</v>
      </c>
      <c r="I191" s="75">
        <f t="shared" si="86"/>
        <v>261467.66120077609</v>
      </c>
      <c r="J191" s="75">
        <f t="shared" si="86"/>
        <v>4432037.9877272239</v>
      </c>
      <c r="K191" s="75">
        <f t="shared" si="86"/>
        <v>3716813.9840023415</v>
      </c>
      <c r="L191" s="75">
        <f t="shared" si="86"/>
        <v>3518854.8915488119</v>
      </c>
      <c r="M191" s="75">
        <f t="shared" si="86"/>
        <v>1835020.9613327512</v>
      </c>
      <c r="N191" s="75">
        <f t="shared" si="86"/>
        <v>117919.72822374213</v>
      </c>
      <c r="O191" s="75">
        <f t="shared" si="86"/>
        <v>279437.98451155925</v>
      </c>
      <c r="P191" s="75">
        <f t="shared" si="86"/>
        <v>9732.8307013180165</v>
      </c>
      <c r="Q191" s="75">
        <f t="shared" ref="Q191:Z193" si="87">IF(VLOOKUP($E191,$D$6:$AN$1148,3,)=0,0,(VLOOKUP($E191,$D$6:$AN$1148,Q$2,)/VLOOKUP($E191,$D$6:$AN$1148,3,))*$F191)</f>
        <v>4467.8221619925116</v>
      </c>
      <c r="R191" s="75">
        <f t="shared" si="87"/>
        <v>486.22070788164837</v>
      </c>
      <c r="S191" s="75">
        <f t="shared" si="87"/>
        <v>48.683600979383918</v>
      </c>
      <c r="T191" s="75">
        <f t="shared" si="87"/>
        <v>0</v>
      </c>
      <c r="U191" s="75">
        <f t="shared" si="87"/>
        <v>0</v>
      </c>
      <c r="V191" s="75">
        <f t="shared" si="87"/>
        <v>0</v>
      </c>
      <c r="W191" s="75">
        <f t="shared" si="87"/>
        <v>0</v>
      </c>
      <c r="X191" s="75">
        <f t="shared" si="87"/>
        <v>0</v>
      </c>
      <c r="Y191" s="75">
        <f t="shared" si="87"/>
        <v>0</v>
      </c>
      <c r="Z191" s="75">
        <f t="shared" si="87"/>
        <v>0</v>
      </c>
      <c r="AA191" s="79">
        <f>SUM(G191:Z191)</f>
        <v>34465993.112126336</v>
      </c>
      <c r="AB191" s="92" t="str">
        <f>IF(ABS(F191-AA191)&lt;0.01,"ok","err")</f>
        <v>ok</v>
      </c>
    </row>
    <row r="192" spans="1:28" hidden="1">
      <c r="A192" s="68" t="s">
        <v>1229</v>
      </c>
      <c r="C192" s="60" t="s">
        <v>994</v>
      </c>
      <c r="D192" s="60" t="s">
        <v>441</v>
      </c>
      <c r="E192" s="60" t="s">
        <v>1232</v>
      </c>
      <c r="F192" s="78">
        <f>VLOOKUP(C192,'Functional Assignment'!$C$2:$AP$780,'Functional Assignment'!$O$2,)</f>
        <v>0</v>
      </c>
      <c r="G192" s="78">
        <f t="shared" si="86"/>
        <v>0</v>
      </c>
      <c r="H192" s="78">
        <f t="shared" si="86"/>
        <v>0</v>
      </c>
      <c r="I192" s="78">
        <f t="shared" si="86"/>
        <v>0</v>
      </c>
      <c r="J192" s="78">
        <f t="shared" si="86"/>
        <v>0</v>
      </c>
      <c r="K192" s="78">
        <f t="shared" si="86"/>
        <v>0</v>
      </c>
      <c r="L192" s="78">
        <f t="shared" si="86"/>
        <v>0</v>
      </c>
      <c r="M192" s="78">
        <f t="shared" si="86"/>
        <v>0</v>
      </c>
      <c r="N192" s="78">
        <f t="shared" si="86"/>
        <v>0</v>
      </c>
      <c r="O192" s="78">
        <f t="shared" si="86"/>
        <v>0</v>
      </c>
      <c r="P192" s="78">
        <f t="shared" si="86"/>
        <v>0</v>
      </c>
      <c r="Q192" s="78">
        <f t="shared" si="87"/>
        <v>0</v>
      </c>
      <c r="R192" s="78">
        <f t="shared" si="87"/>
        <v>0</v>
      </c>
      <c r="S192" s="78">
        <f t="shared" si="87"/>
        <v>0</v>
      </c>
      <c r="T192" s="78">
        <f t="shared" si="87"/>
        <v>0</v>
      </c>
      <c r="U192" s="78">
        <f t="shared" si="87"/>
        <v>0</v>
      </c>
      <c r="V192" s="78">
        <f t="shared" si="87"/>
        <v>0</v>
      </c>
      <c r="W192" s="78">
        <f t="shared" si="87"/>
        <v>0</v>
      </c>
      <c r="X192" s="78">
        <f t="shared" si="87"/>
        <v>0</v>
      </c>
      <c r="Y192" s="78">
        <f t="shared" si="87"/>
        <v>0</v>
      </c>
      <c r="Z192" s="78">
        <f t="shared" si="87"/>
        <v>0</v>
      </c>
      <c r="AA192" s="78">
        <f>SUM(G192:Z192)</f>
        <v>0</v>
      </c>
      <c r="AB192" s="92" t="str">
        <f>IF(ABS(F192-AA192)&lt;0.01,"ok","err")</f>
        <v>ok</v>
      </c>
    </row>
    <row r="193" spans="1:28" hidden="1">
      <c r="A193" s="68" t="s">
        <v>1229</v>
      </c>
      <c r="C193" s="60" t="s">
        <v>994</v>
      </c>
      <c r="D193" s="60" t="s">
        <v>442</v>
      </c>
      <c r="E193" s="60" t="s">
        <v>1232</v>
      </c>
      <c r="F193" s="78">
        <f>VLOOKUP(C193,'Functional Assignment'!$C$2:$AP$780,'Functional Assignment'!$P$2,)</f>
        <v>0</v>
      </c>
      <c r="G193" s="78">
        <f t="shared" si="86"/>
        <v>0</v>
      </c>
      <c r="H193" s="78">
        <f t="shared" si="86"/>
        <v>0</v>
      </c>
      <c r="I193" s="78">
        <f t="shared" si="86"/>
        <v>0</v>
      </c>
      <c r="J193" s="78">
        <f t="shared" si="86"/>
        <v>0</v>
      </c>
      <c r="K193" s="78">
        <f t="shared" si="86"/>
        <v>0</v>
      </c>
      <c r="L193" s="78">
        <f t="shared" si="86"/>
        <v>0</v>
      </c>
      <c r="M193" s="78">
        <f t="shared" si="86"/>
        <v>0</v>
      </c>
      <c r="N193" s="78">
        <f t="shared" si="86"/>
        <v>0</v>
      </c>
      <c r="O193" s="78">
        <f t="shared" si="86"/>
        <v>0</v>
      </c>
      <c r="P193" s="78">
        <f t="shared" si="86"/>
        <v>0</v>
      </c>
      <c r="Q193" s="78">
        <f t="shared" si="87"/>
        <v>0</v>
      </c>
      <c r="R193" s="78">
        <f t="shared" si="87"/>
        <v>0</v>
      </c>
      <c r="S193" s="78">
        <f t="shared" si="87"/>
        <v>0</v>
      </c>
      <c r="T193" s="78">
        <f t="shared" si="87"/>
        <v>0</v>
      </c>
      <c r="U193" s="78">
        <f t="shared" si="87"/>
        <v>0</v>
      </c>
      <c r="V193" s="78">
        <f t="shared" si="87"/>
        <v>0</v>
      </c>
      <c r="W193" s="78">
        <f t="shared" si="87"/>
        <v>0</v>
      </c>
      <c r="X193" s="78">
        <f t="shared" si="87"/>
        <v>0</v>
      </c>
      <c r="Y193" s="78">
        <f t="shared" si="87"/>
        <v>0</v>
      </c>
      <c r="Z193" s="78">
        <f t="shared" si="87"/>
        <v>0</v>
      </c>
      <c r="AA193" s="78">
        <f>SUM(G193:Z193)</f>
        <v>0</v>
      </c>
      <c r="AB193" s="92" t="str">
        <f>IF(ABS(F193-AA193)&lt;0.01,"ok","err")</f>
        <v>ok</v>
      </c>
    </row>
    <row r="194" spans="1:28" hidden="1">
      <c r="A194" s="60" t="s">
        <v>1059</v>
      </c>
      <c r="D194" s="60" t="s">
        <v>443</v>
      </c>
      <c r="F194" s="75">
        <f>SUM(F191:F193)</f>
        <v>34465993.112126328</v>
      </c>
      <c r="G194" s="75">
        <f t="shared" ref="G194:W194" si="88">SUM(G191:G193)</f>
        <v>16306536.154351067</v>
      </c>
      <c r="H194" s="75">
        <f t="shared" si="88"/>
        <v>3983168.2020558887</v>
      </c>
      <c r="I194" s="75">
        <f t="shared" si="88"/>
        <v>261467.66120077609</v>
      </c>
      <c r="J194" s="75">
        <f t="shared" si="88"/>
        <v>4432037.9877272239</v>
      </c>
      <c r="K194" s="75">
        <f t="shared" si="88"/>
        <v>3716813.9840023415</v>
      </c>
      <c r="L194" s="75">
        <f t="shared" si="88"/>
        <v>3518854.8915488119</v>
      </c>
      <c r="M194" s="75">
        <f t="shared" si="88"/>
        <v>1835020.9613327512</v>
      </c>
      <c r="N194" s="75">
        <f t="shared" si="88"/>
        <v>117919.72822374213</v>
      </c>
      <c r="O194" s="75">
        <f>SUM(O191:O193)</f>
        <v>279437.98451155925</v>
      </c>
      <c r="P194" s="75">
        <f t="shared" si="88"/>
        <v>9732.8307013180165</v>
      </c>
      <c r="Q194" s="75">
        <f t="shared" si="88"/>
        <v>4467.8221619925116</v>
      </c>
      <c r="R194" s="75">
        <f t="shared" si="88"/>
        <v>486.22070788164837</v>
      </c>
      <c r="S194" s="75">
        <f t="shared" si="88"/>
        <v>48.683600979383918</v>
      </c>
      <c r="T194" s="75">
        <f t="shared" si="88"/>
        <v>0</v>
      </c>
      <c r="U194" s="75">
        <f t="shared" si="88"/>
        <v>0</v>
      </c>
      <c r="V194" s="75">
        <f t="shared" si="88"/>
        <v>0</v>
      </c>
      <c r="W194" s="75">
        <f t="shared" si="88"/>
        <v>0</v>
      </c>
      <c r="X194" s="75">
        <f>SUM(X191:X193)</f>
        <v>0</v>
      </c>
      <c r="Y194" s="75">
        <f>SUM(Y191:Y193)</f>
        <v>0</v>
      </c>
      <c r="Z194" s="75">
        <f>SUM(Z191:Z193)</f>
        <v>0</v>
      </c>
      <c r="AA194" s="79">
        <f>SUM(G194:Z194)</f>
        <v>34465993.112126336</v>
      </c>
      <c r="AB194" s="92" t="str">
        <f>IF(ABS(F194-AA194)&lt;0.01,"ok","err")</f>
        <v>ok</v>
      </c>
    </row>
    <row r="195" spans="1:28">
      <c r="F195" s="78"/>
      <c r="G195" s="78"/>
    </row>
    <row r="196" spans="1:28" ht="15">
      <c r="A196" s="65" t="s">
        <v>337</v>
      </c>
      <c r="F196" s="78"/>
      <c r="G196" s="78"/>
    </row>
    <row r="197" spans="1:28">
      <c r="A197" s="68" t="s">
        <v>359</v>
      </c>
      <c r="C197" s="60" t="s">
        <v>994</v>
      </c>
      <c r="D197" s="60" t="s">
        <v>444</v>
      </c>
      <c r="E197" s="60" t="s">
        <v>1233</v>
      </c>
      <c r="F197" s="75">
        <f>VLOOKUP(C197,'Functional Assignment'!$C$2:$AP$780,'Functional Assignment'!$Q$2,)</f>
        <v>0</v>
      </c>
      <c r="G197" s="75">
        <f t="shared" ref="G197:Z197" si="89">IF(VLOOKUP($E197,$D$6:$AN$1148,3,)=0,0,(VLOOKUP($E197,$D$6:$AN$1148,G$2,)/VLOOKUP($E197,$D$6:$AN$1148,3,))*$F197)</f>
        <v>0</v>
      </c>
      <c r="H197" s="75">
        <f t="shared" si="89"/>
        <v>0</v>
      </c>
      <c r="I197" s="75">
        <f t="shared" si="89"/>
        <v>0</v>
      </c>
      <c r="J197" s="75">
        <f t="shared" si="89"/>
        <v>0</v>
      </c>
      <c r="K197" s="75">
        <f t="shared" si="89"/>
        <v>0</v>
      </c>
      <c r="L197" s="75">
        <f t="shared" si="89"/>
        <v>0</v>
      </c>
      <c r="M197" s="75">
        <f t="shared" si="89"/>
        <v>0</v>
      </c>
      <c r="N197" s="75">
        <f t="shared" si="89"/>
        <v>0</v>
      </c>
      <c r="O197" s="75">
        <f t="shared" si="89"/>
        <v>0</v>
      </c>
      <c r="P197" s="75">
        <f t="shared" si="89"/>
        <v>0</v>
      </c>
      <c r="Q197" s="75">
        <f t="shared" si="89"/>
        <v>0</v>
      </c>
      <c r="R197" s="75">
        <f t="shared" si="89"/>
        <v>0</v>
      </c>
      <c r="S197" s="75">
        <f t="shared" si="89"/>
        <v>0</v>
      </c>
      <c r="T197" s="75">
        <f t="shared" si="89"/>
        <v>0</v>
      </c>
      <c r="U197" s="75">
        <f t="shared" si="89"/>
        <v>0</v>
      </c>
      <c r="V197" s="75">
        <f t="shared" si="89"/>
        <v>0</v>
      </c>
      <c r="W197" s="75">
        <f t="shared" si="89"/>
        <v>0</v>
      </c>
      <c r="X197" s="75">
        <f t="shared" si="89"/>
        <v>0</v>
      </c>
      <c r="Y197" s="75">
        <f t="shared" si="89"/>
        <v>0</v>
      </c>
      <c r="Z197" s="75">
        <f t="shared" si="89"/>
        <v>0</v>
      </c>
      <c r="AA197" s="79">
        <f>SUM(G197:Z197)</f>
        <v>0</v>
      </c>
      <c r="AB197" s="92" t="str">
        <f>IF(ABS(F197-AA197)&lt;0.01,"ok","err")</f>
        <v>ok</v>
      </c>
    </row>
    <row r="198" spans="1:28">
      <c r="F198" s="78"/>
    </row>
    <row r="199" spans="1:28" ht="15">
      <c r="A199" s="65" t="s">
        <v>338</v>
      </c>
      <c r="F199" s="78"/>
      <c r="G199" s="78"/>
    </row>
    <row r="200" spans="1:28">
      <c r="A200" s="68" t="s">
        <v>361</v>
      </c>
      <c r="C200" s="60" t="s">
        <v>994</v>
      </c>
      <c r="D200" s="60" t="s">
        <v>445</v>
      </c>
      <c r="E200" s="60" t="s">
        <v>1233</v>
      </c>
      <c r="F200" s="75">
        <f>VLOOKUP(C200,'Functional Assignment'!$C$2:$AP$780,'Functional Assignment'!$R$2,)</f>
        <v>8074378.6521175466</v>
      </c>
      <c r="G200" s="75">
        <f t="shared" ref="G200:Z200" si="90">IF(VLOOKUP($E200,$D$6:$AN$1148,3,)=0,0,(VLOOKUP($E200,$D$6:$AN$1148,G$2,)/VLOOKUP($E200,$D$6:$AN$1148,3,))*$F200)</f>
        <v>4034974.710720445</v>
      </c>
      <c r="H200" s="75">
        <f t="shared" si="90"/>
        <v>985616.00156590308</v>
      </c>
      <c r="I200" s="75">
        <f t="shared" si="90"/>
        <v>64698.927511643451</v>
      </c>
      <c r="J200" s="75">
        <f t="shared" si="90"/>
        <v>1096686.6922660286</v>
      </c>
      <c r="K200" s="75">
        <f t="shared" si="90"/>
        <v>919707.91883350676</v>
      </c>
      <c r="L200" s="75">
        <f t="shared" si="90"/>
        <v>870723.88419571333</v>
      </c>
      <c r="M200" s="75">
        <f t="shared" si="90"/>
        <v>0</v>
      </c>
      <c r="N200" s="75">
        <f t="shared" si="90"/>
        <v>29178.675150508228</v>
      </c>
      <c r="O200" s="75">
        <f t="shared" si="90"/>
        <v>69145.598430355531</v>
      </c>
      <c r="P200" s="75">
        <f t="shared" si="90"/>
        <v>2408.342603960245</v>
      </c>
      <c r="Q200" s="75">
        <f t="shared" si="90"/>
        <v>1105.541315764099</v>
      </c>
      <c r="R200" s="75">
        <f t="shared" si="90"/>
        <v>120.31299851547899</v>
      </c>
      <c r="S200" s="75">
        <f t="shared" si="90"/>
        <v>12.046525204324524</v>
      </c>
      <c r="T200" s="75">
        <f t="shared" si="90"/>
        <v>0</v>
      </c>
      <c r="U200" s="75">
        <f t="shared" si="90"/>
        <v>0</v>
      </c>
      <c r="V200" s="75">
        <f t="shared" si="90"/>
        <v>0</v>
      </c>
      <c r="W200" s="75">
        <f t="shared" si="90"/>
        <v>0</v>
      </c>
      <c r="X200" s="75">
        <f t="shared" si="90"/>
        <v>0</v>
      </c>
      <c r="Y200" s="75">
        <f t="shared" si="90"/>
        <v>0</v>
      </c>
      <c r="Z200" s="75">
        <f t="shared" si="90"/>
        <v>0</v>
      </c>
      <c r="AA200" s="79">
        <f>SUM(G200:Z200)</f>
        <v>8074378.6521175476</v>
      </c>
      <c r="AB200" s="92" t="str">
        <f>IF(ABS(F200-AA200)&lt;0.01,"ok","err")</f>
        <v>ok</v>
      </c>
    </row>
    <row r="201" spans="1:28">
      <c r="F201" s="78"/>
    </row>
    <row r="202" spans="1:28" ht="15">
      <c r="A202" s="65" t="s">
        <v>360</v>
      </c>
      <c r="F202" s="78"/>
    </row>
    <row r="203" spans="1:28">
      <c r="A203" s="68" t="s">
        <v>603</v>
      </c>
      <c r="C203" s="60" t="s">
        <v>994</v>
      </c>
      <c r="D203" s="60" t="s">
        <v>446</v>
      </c>
      <c r="E203" s="60" t="s">
        <v>1233</v>
      </c>
      <c r="F203" s="75">
        <f>VLOOKUP(C203,'Functional Assignment'!$C$2:$AP$780,'Functional Assignment'!$S$2,)</f>
        <v>0</v>
      </c>
      <c r="G203" s="75">
        <f t="shared" ref="G203:P207" si="91">IF(VLOOKUP($E203,$D$6:$AN$1148,3,)=0,0,(VLOOKUP($E203,$D$6:$AN$1148,G$2,)/VLOOKUP($E203,$D$6:$AN$1148,3,))*$F203)</f>
        <v>0</v>
      </c>
      <c r="H203" s="75">
        <f t="shared" si="91"/>
        <v>0</v>
      </c>
      <c r="I203" s="75">
        <f t="shared" si="91"/>
        <v>0</v>
      </c>
      <c r="J203" s="75">
        <f t="shared" si="91"/>
        <v>0</v>
      </c>
      <c r="K203" s="75">
        <f t="shared" si="91"/>
        <v>0</v>
      </c>
      <c r="L203" s="75">
        <f t="shared" si="91"/>
        <v>0</v>
      </c>
      <c r="M203" s="75">
        <f t="shared" si="91"/>
        <v>0</v>
      </c>
      <c r="N203" s="75">
        <f t="shared" si="91"/>
        <v>0</v>
      </c>
      <c r="O203" s="75">
        <f t="shared" si="91"/>
        <v>0</v>
      </c>
      <c r="P203" s="75">
        <f t="shared" si="91"/>
        <v>0</v>
      </c>
      <c r="Q203" s="75">
        <f t="shared" ref="Q203:Z207" si="92">IF(VLOOKUP($E203,$D$6:$AN$1148,3,)=0,0,(VLOOKUP($E203,$D$6:$AN$1148,Q$2,)/VLOOKUP($E203,$D$6:$AN$1148,3,))*$F203)</f>
        <v>0</v>
      </c>
      <c r="R203" s="75">
        <f t="shared" si="92"/>
        <v>0</v>
      </c>
      <c r="S203" s="75">
        <f t="shared" si="92"/>
        <v>0</v>
      </c>
      <c r="T203" s="75">
        <f t="shared" si="92"/>
        <v>0</v>
      </c>
      <c r="U203" s="75">
        <f t="shared" si="92"/>
        <v>0</v>
      </c>
      <c r="V203" s="75">
        <f t="shared" si="92"/>
        <v>0</v>
      </c>
      <c r="W203" s="75">
        <f t="shared" si="92"/>
        <v>0</v>
      </c>
      <c r="X203" s="75">
        <f t="shared" si="92"/>
        <v>0</v>
      </c>
      <c r="Y203" s="75">
        <f t="shared" si="92"/>
        <v>0</v>
      </c>
      <c r="Z203" s="75">
        <f t="shared" si="92"/>
        <v>0</v>
      </c>
      <c r="AA203" s="79">
        <f t="shared" ref="AA203:AA208" si="93">SUM(G203:Z203)</f>
        <v>0</v>
      </c>
      <c r="AB203" s="92" t="str">
        <f t="shared" ref="AB203:AB208" si="94">IF(ABS(F203-AA203)&lt;0.01,"ok","err")</f>
        <v>ok</v>
      </c>
    </row>
    <row r="204" spans="1:28">
      <c r="A204" s="68" t="s">
        <v>604</v>
      </c>
      <c r="C204" s="60" t="s">
        <v>994</v>
      </c>
      <c r="D204" s="60" t="s">
        <v>447</v>
      </c>
      <c r="E204" s="60" t="s">
        <v>1233</v>
      </c>
      <c r="F204" s="78">
        <f>VLOOKUP(C204,'Functional Assignment'!$C$2:$AP$780,'Functional Assignment'!$T$2,)</f>
        <v>13200174.80048782</v>
      </c>
      <c r="G204" s="78">
        <f t="shared" si="91"/>
        <v>6596466.8975598915</v>
      </c>
      <c r="H204" s="78">
        <f t="shared" si="91"/>
        <v>1611307.0822379354</v>
      </c>
      <c r="I204" s="78">
        <f t="shared" si="91"/>
        <v>105771.25365972384</v>
      </c>
      <c r="J204" s="78">
        <f t="shared" si="91"/>
        <v>1792887.9314427308</v>
      </c>
      <c r="K204" s="78">
        <f t="shared" si="91"/>
        <v>1503559.0745810883</v>
      </c>
      <c r="L204" s="78">
        <f t="shared" si="91"/>
        <v>1423478.8792483553</v>
      </c>
      <c r="M204" s="78">
        <f t="shared" si="91"/>
        <v>0</v>
      </c>
      <c r="N204" s="78">
        <f t="shared" si="91"/>
        <v>47701.950704571893</v>
      </c>
      <c r="O204" s="78">
        <f t="shared" si="91"/>
        <v>113040.77072551708</v>
      </c>
      <c r="P204" s="78">
        <f t="shared" si="91"/>
        <v>3937.2123505008049</v>
      </c>
      <c r="Q204" s="78">
        <f t="shared" si="92"/>
        <v>1807.3636679672227</v>
      </c>
      <c r="R204" s="78">
        <f t="shared" si="92"/>
        <v>196.69038072157457</v>
      </c>
      <c r="S204" s="78">
        <f t="shared" si="92"/>
        <v>19.69392881938515</v>
      </c>
      <c r="T204" s="78">
        <f t="shared" si="92"/>
        <v>0</v>
      </c>
      <c r="U204" s="78">
        <f t="shared" si="92"/>
        <v>0</v>
      </c>
      <c r="V204" s="78">
        <f t="shared" si="92"/>
        <v>0</v>
      </c>
      <c r="W204" s="78">
        <f t="shared" si="92"/>
        <v>0</v>
      </c>
      <c r="X204" s="78">
        <f t="shared" si="92"/>
        <v>0</v>
      </c>
      <c r="Y204" s="78">
        <f t="shared" si="92"/>
        <v>0</v>
      </c>
      <c r="Z204" s="78">
        <f t="shared" si="92"/>
        <v>0</v>
      </c>
      <c r="AA204" s="78">
        <f t="shared" si="93"/>
        <v>13200174.800487824</v>
      </c>
      <c r="AB204" s="92" t="str">
        <f t="shared" si="94"/>
        <v>ok</v>
      </c>
    </row>
    <row r="205" spans="1:28">
      <c r="A205" s="68" t="s">
        <v>605</v>
      </c>
      <c r="C205" s="60" t="s">
        <v>994</v>
      </c>
      <c r="D205" s="60" t="s">
        <v>448</v>
      </c>
      <c r="E205" s="60" t="s">
        <v>660</v>
      </c>
      <c r="F205" s="78">
        <f>VLOOKUP(C205,'Functional Assignment'!$C$2:$AP$780,'Functional Assignment'!$U$2,)</f>
        <v>22092723.664574921</v>
      </c>
      <c r="G205" s="78">
        <f t="shared" si="91"/>
        <v>19102730.534957156</v>
      </c>
      <c r="H205" s="78">
        <f t="shared" si="91"/>
        <v>2294729.0185388867</v>
      </c>
      <c r="I205" s="78">
        <f t="shared" si="91"/>
        <v>3541.3013170190297</v>
      </c>
      <c r="J205" s="78">
        <f t="shared" si="91"/>
        <v>140761.52974683372</v>
      </c>
      <c r="K205" s="78">
        <f t="shared" si="91"/>
        <v>6657.36927041323</v>
      </c>
      <c r="L205" s="78">
        <f t="shared" si="91"/>
        <v>25548.236706934116</v>
      </c>
      <c r="M205" s="78">
        <f t="shared" si="91"/>
        <v>0</v>
      </c>
      <c r="N205" s="78">
        <f t="shared" si="91"/>
        <v>101.18003762911513</v>
      </c>
      <c r="O205" s="78">
        <f t="shared" si="91"/>
        <v>511571.89136600774</v>
      </c>
      <c r="P205" s="78">
        <f t="shared" si="91"/>
        <v>904.99922546041876</v>
      </c>
      <c r="Q205" s="78">
        <f t="shared" si="92"/>
        <v>5621.1132016175079</v>
      </c>
      <c r="R205" s="78">
        <f t="shared" si="92"/>
        <v>50.590018814557567</v>
      </c>
      <c r="S205" s="78">
        <f t="shared" si="92"/>
        <v>505.90018814557573</v>
      </c>
      <c r="T205" s="78">
        <f t="shared" si="92"/>
        <v>0</v>
      </c>
      <c r="U205" s="78">
        <f t="shared" si="92"/>
        <v>0</v>
      </c>
      <c r="V205" s="78">
        <f t="shared" si="92"/>
        <v>0</v>
      </c>
      <c r="W205" s="78">
        <f t="shared" si="92"/>
        <v>0</v>
      </c>
      <c r="X205" s="78">
        <f t="shared" si="92"/>
        <v>0</v>
      </c>
      <c r="Y205" s="78">
        <f t="shared" si="92"/>
        <v>0</v>
      </c>
      <c r="Z205" s="78">
        <f t="shared" si="92"/>
        <v>0</v>
      </c>
      <c r="AA205" s="78">
        <f t="shared" si="93"/>
        <v>22092723.664574917</v>
      </c>
      <c r="AB205" s="92" t="str">
        <f t="shared" si="94"/>
        <v>ok</v>
      </c>
    </row>
    <row r="206" spans="1:28">
      <c r="A206" s="68" t="s">
        <v>606</v>
      </c>
      <c r="C206" s="60" t="s">
        <v>994</v>
      </c>
      <c r="D206" s="60" t="s">
        <v>449</v>
      </c>
      <c r="E206" s="60" t="s">
        <v>646</v>
      </c>
      <c r="F206" s="78">
        <f>VLOOKUP(C206,'Functional Assignment'!$C$2:$AP$780,'Functional Assignment'!$V$2,)</f>
        <v>4169128.806815919</v>
      </c>
      <c r="G206" s="78">
        <f t="shared" si="91"/>
        <v>3160206.8235634179</v>
      </c>
      <c r="H206" s="78">
        <f t="shared" si="91"/>
        <v>505059.22804804734</v>
      </c>
      <c r="I206" s="78">
        <f t="shared" si="91"/>
        <v>0</v>
      </c>
      <c r="J206" s="78">
        <f t="shared" si="91"/>
        <v>478361.53446226357</v>
      </c>
      <c r="K206" s="78">
        <f t="shared" si="91"/>
        <v>0</v>
      </c>
      <c r="L206" s="78">
        <f t="shared" si="91"/>
        <v>0</v>
      </c>
      <c r="M206" s="78">
        <f t="shared" si="91"/>
        <v>0</v>
      </c>
      <c r="N206" s="78">
        <f t="shared" si="91"/>
        <v>0</v>
      </c>
      <c r="O206" s="78">
        <f t="shared" si="91"/>
        <v>24223.829532716005</v>
      </c>
      <c r="P206" s="78">
        <f t="shared" si="91"/>
        <v>843.71647681190495</v>
      </c>
      <c r="Q206" s="78">
        <f t="shared" si="92"/>
        <v>387.30512111219554</v>
      </c>
      <c r="R206" s="78">
        <f t="shared" si="92"/>
        <v>42.149343309890433</v>
      </c>
      <c r="S206" s="78">
        <f t="shared" si="92"/>
        <v>4.2202682402849172</v>
      </c>
      <c r="T206" s="78">
        <f t="shared" si="92"/>
        <v>0</v>
      </c>
      <c r="U206" s="78">
        <f t="shared" si="92"/>
        <v>0</v>
      </c>
      <c r="V206" s="78">
        <f t="shared" si="92"/>
        <v>0</v>
      </c>
      <c r="W206" s="78">
        <f t="shared" si="92"/>
        <v>0</v>
      </c>
      <c r="X206" s="78">
        <f t="shared" si="92"/>
        <v>0</v>
      </c>
      <c r="Y206" s="78">
        <f t="shared" si="92"/>
        <v>0</v>
      </c>
      <c r="Z206" s="78">
        <f t="shared" si="92"/>
        <v>0</v>
      </c>
      <c r="AA206" s="78">
        <f t="shared" si="93"/>
        <v>4169128.8068159195</v>
      </c>
      <c r="AB206" s="92" t="str">
        <f t="shared" si="94"/>
        <v>ok</v>
      </c>
    </row>
    <row r="207" spans="1:28">
      <c r="A207" s="68" t="s">
        <v>607</v>
      </c>
      <c r="C207" s="60" t="s">
        <v>994</v>
      </c>
      <c r="D207" s="60" t="s">
        <v>450</v>
      </c>
      <c r="E207" s="60" t="s">
        <v>659</v>
      </c>
      <c r="F207" s="78">
        <f>VLOOKUP(C207,'Functional Assignment'!$C$2:$AP$780,'Functional Assignment'!$W$2,)</f>
        <v>7223790.8391335364</v>
      </c>
      <c r="G207" s="78">
        <f t="shared" si="91"/>
        <v>6296483.4039928569</v>
      </c>
      <c r="H207" s="78">
        <f t="shared" si="91"/>
        <v>756369.52295643766</v>
      </c>
      <c r="I207" s="78">
        <f t="shared" si="91"/>
        <v>0</v>
      </c>
      <c r="J207" s="78">
        <f t="shared" si="91"/>
        <v>0</v>
      </c>
      <c r="K207" s="78">
        <f t="shared" si="91"/>
        <v>0</v>
      </c>
      <c r="L207" s="78">
        <f t="shared" si="91"/>
        <v>0</v>
      </c>
      <c r="M207" s="78">
        <f t="shared" si="91"/>
        <v>0</v>
      </c>
      <c r="N207" s="78">
        <f t="shared" si="91"/>
        <v>0</v>
      </c>
      <c r="O207" s="78">
        <f t="shared" si="91"/>
        <v>168620.07858200307</v>
      </c>
      <c r="P207" s="78">
        <f t="shared" si="91"/>
        <v>298.29832930482138</v>
      </c>
      <c r="Q207" s="78">
        <f t="shared" si="92"/>
        <v>1852.7846540672138</v>
      </c>
      <c r="R207" s="78">
        <f t="shared" si="92"/>
        <v>0</v>
      </c>
      <c r="S207" s="78">
        <f t="shared" si="92"/>
        <v>166.75061886604922</v>
      </c>
      <c r="T207" s="78">
        <f t="shared" si="92"/>
        <v>0</v>
      </c>
      <c r="U207" s="78">
        <f t="shared" si="92"/>
        <v>0</v>
      </c>
      <c r="V207" s="78">
        <f t="shared" si="92"/>
        <v>0</v>
      </c>
      <c r="W207" s="78">
        <f t="shared" si="92"/>
        <v>0</v>
      </c>
      <c r="X207" s="78">
        <f t="shared" si="92"/>
        <v>0</v>
      </c>
      <c r="Y207" s="78">
        <f t="shared" si="92"/>
        <v>0</v>
      </c>
      <c r="Z207" s="78">
        <f t="shared" si="92"/>
        <v>0</v>
      </c>
      <c r="AA207" s="78">
        <f t="shared" si="93"/>
        <v>7223790.8391335346</v>
      </c>
      <c r="AB207" s="92" t="str">
        <f t="shared" si="94"/>
        <v>ok</v>
      </c>
    </row>
    <row r="208" spans="1:28">
      <c r="A208" s="60" t="s">
        <v>365</v>
      </c>
      <c r="D208" s="60" t="s">
        <v>451</v>
      </c>
      <c r="F208" s="75">
        <f>SUM(F203:F207)</f>
        <v>46685818.111012198</v>
      </c>
      <c r="G208" s="75">
        <f t="shared" ref="G208:W208" si="95">SUM(G203:G207)</f>
        <v>35155887.660073325</v>
      </c>
      <c r="H208" s="75">
        <f t="shared" si="95"/>
        <v>5167464.8517813068</v>
      </c>
      <c r="I208" s="75">
        <f t="shared" si="95"/>
        <v>109312.55497674286</v>
      </c>
      <c r="J208" s="75">
        <f t="shared" si="95"/>
        <v>2412010.9956518281</v>
      </c>
      <c r="K208" s="75">
        <f t="shared" si="95"/>
        <v>1510216.4438515014</v>
      </c>
      <c r="L208" s="75">
        <f t="shared" si="95"/>
        <v>1449027.1159552895</v>
      </c>
      <c r="M208" s="75">
        <f t="shared" si="95"/>
        <v>0</v>
      </c>
      <c r="N208" s="75">
        <f t="shared" si="95"/>
        <v>47803.130742201007</v>
      </c>
      <c r="O208" s="75">
        <f>SUM(O203:O207)</f>
        <v>817456.57020624378</v>
      </c>
      <c r="P208" s="75">
        <f t="shared" si="95"/>
        <v>5984.226382077949</v>
      </c>
      <c r="Q208" s="75">
        <f t="shared" si="95"/>
        <v>9668.5666447641397</v>
      </c>
      <c r="R208" s="75">
        <f t="shared" si="95"/>
        <v>289.42974284602258</v>
      </c>
      <c r="S208" s="75">
        <f t="shared" si="95"/>
        <v>696.56500407129499</v>
      </c>
      <c r="T208" s="75">
        <f t="shared" si="95"/>
        <v>0</v>
      </c>
      <c r="U208" s="75">
        <f t="shared" si="95"/>
        <v>0</v>
      </c>
      <c r="V208" s="75">
        <f t="shared" si="95"/>
        <v>0</v>
      </c>
      <c r="W208" s="75">
        <f t="shared" si="95"/>
        <v>0</v>
      </c>
      <c r="X208" s="75">
        <f>SUM(X203:X207)</f>
        <v>0</v>
      </c>
      <c r="Y208" s="75">
        <f>SUM(Y203:Y207)</f>
        <v>0</v>
      </c>
      <c r="Z208" s="75">
        <f>SUM(Z203:Z207)</f>
        <v>0</v>
      </c>
      <c r="AA208" s="79">
        <f t="shared" si="93"/>
        <v>46685818.111012205</v>
      </c>
      <c r="AB208" s="92" t="str">
        <f t="shared" si="94"/>
        <v>ok</v>
      </c>
    </row>
    <row r="209" spans="1:28">
      <c r="F209" s="78"/>
    </row>
    <row r="210" spans="1:28" ht="15">
      <c r="A210" s="65" t="s">
        <v>613</v>
      </c>
      <c r="F210" s="78"/>
    </row>
    <row r="211" spans="1:28">
      <c r="A211" s="68" t="s">
        <v>1016</v>
      </c>
      <c r="C211" s="60" t="s">
        <v>994</v>
      </c>
      <c r="D211" s="60" t="s">
        <v>452</v>
      </c>
      <c r="E211" s="60" t="s">
        <v>1209</v>
      </c>
      <c r="F211" s="75">
        <f>VLOOKUP(C211,'Functional Assignment'!$C$2:$AP$780,'Functional Assignment'!$X$2,)</f>
        <v>1117029.2182578882</v>
      </c>
      <c r="G211" s="75">
        <f t="shared" ref="G211:P212" si="96">IF(VLOOKUP($E211,$D$6:$AN$1148,3,)=0,0,(VLOOKUP($E211,$D$6:$AN$1148,G$2,)/VLOOKUP($E211,$D$6:$AN$1148,3,))*$F211)</f>
        <v>772749.83167199977</v>
      </c>
      <c r="H211" s="75">
        <f t="shared" si="96"/>
        <v>123499.64899399775</v>
      </c>
      <c r="I211" s="75">
        <f t="shared" si="96"/>
        <v>0</v>
      </c>
      <c r="J211" s="75">
        <f t="shared" si="96"/>
        <v>116971.39328914418</v>
      </c>
      <c r="K211" s="75">
        <f t="shared" si="96"/>
        <v>0</v>
      </c>
      <c r="L211" s="75">
        <f t="shared" si="96"/>
        <v>97572.656217706011</v>
      </c>
      <c r="M211" s="75">
        <f t="shared" si="96"/>
        <v>0</v>
      </c>
      <c r="N211" s="75">
        <f t="shared" si="96"/>
        <v>0</v>
      </c>
      <c r="O211" s="75">
        <f t="shared" si="96"/>
        <v>5923.3338952006288</v>
      </c>
      <c r="P211" s="75">
        <f t="shared" si="96"/>
        <v>206.30984041105384</v>
      </c>
      <c r="Q211" s="75">
        <f t="shared" ref="Q211:Z212" si="97">IF(VLOOKUP($E211,$D$6:$AN$1148,3,)=0,0,(VLOOKUP($E211,$D$6:$AN$1148,Q$2,)/VLOOKUP($E211,$D$6:$AN$1148,3,))*$F211)</f>
        <v>94.705816376814269</v>
      </c>
      <c r="R211" s="75">
        <f t="shared" si="97"/>
        <v>10.306571615802202</v>
      </c>
      <c r="S211" s="75">
        <f t="shared" si="97"/>
        <v>1.0319614361864917</v>
      </c>
      <c r="T211" s="75">
        <f t="shared" si="97"/>
        <v>0</v>
      </c>
      <c r="U211" s="75">
        <f t="shared" si="97"/>
        <v>0</v>
      </c>
      <c r="V211" s="75">
        <f t="shared" si="97"/>
        <v>0</v>
      </c>
      <c r="W211" s="75">
        <f t="shared" si="97"/>
        <v>0</v>
      </c>
      <c r="X211" s="75">
        <f t="shared" si="97"/>
        <v>0</v>
      </c>
      <c r="Y211" s="75">
        <f t="shared" si="97"/>
        <v>0</v>
      </c>
      <c r="Z211" s="75">
        <f t="shared" si="97"/>
        <v>0</v>
      </c>
      <c r="AA211" s="79">
        <f>SUM(G211:Z211)</f>
        <v>1117029.218257888</v>
      </c>
      <c r="AB211" s="92" t="str">
        <f>IF(ABS(F211-AA211)&lt;0.01,"ok","err")</f>
        <v>ok</v>
      </c>
    </row>
    <row r="212" spans="1:28">
      <c r="A212" s="68" t="s">
        <v>1019</v>
      </c>
      <c r="C212" s="60" t="s">
        <v>994</v>
      </c>
      <c r="D212" s="60" t="s">
        <v>453</v>
      </c>
      <c r="E212" s="60" t="s">
        <v>1207</v>
      </c>
      <c r="F212" s="78">
        <f>VLOOKUP(C212,'Functional Assignment'!$C$2:$AP$780,'Functional Assignment'!$Y$2,)</f>
        <v>622640.91753283411</v>
      </c>
      <c r="G212" s="78">
        <f t="shared" si="96"/>
        <v>538624.82524017454</v>
      </c>
      <c r="H212" s="78">
        <f t="shared" si="96"/>
        <v>64702.688148285553</v>
      </c>
      <c r="I212" s="78">
        <f t="shared" si="96"/>
        <v>0</v>
      </c>
      <c r="J212" s="78">
        <f t="shared" si="96"/>
        <v>3968.9432995814373</v>
      </c>
      <c r="K212" s="78">
        <f t="shared" si="96"/>
        <v>0</v>
      </c>
      <c r="L212" s="78">
        <f t="shared" si="96"/>
        <v>720.36374623434756</v>
      </c>
      <c r="M212" s="78">
        <f t="shared" si="96"/>
        <v>0</v>
      </c>
      <c r="N212" s="78">
        <f t="shared" si="96"/>
        <v>0</v>
      </c>
      <c r="O212" s="78">
        <f t="shared" si="96"/>
        <v>14424.394464475414</v>
      </c>
      <c r="P212" s="78">
        <f t="shared" si="96"/>
        <v>25.517558799465345</v>
      </c>
      <c r="Q212" s="78">
        <f t="shared" si="97"/>
        <v>158.49415403394624</v>
      </c>
      <c r="R212" s="78">
        <f t="shared" si="97"/>
        <v>1.426447386305516</v>
      </c>
      <c r="S212" s="78">
        <f t="shared" si="97"/>
        <v>14.264473863055162</v>
      </c>
      <c r="T212" s="78">
        <f t="shared" si="97"/>
        <v>0</v>
      </c>
      <c r="U212" s="78">
        <f t="shared" si="97"/>
        <v>0</v>
      </c>
      <c r="V212" s="78">
        <f t="shared" si="97"/>
        <v>0</v>
      </c>
      <c r="W212" s="78">
        <f t="shared" si="97"/>
        <v>0</v>
      </c>
      <c r="X212" s="78">
        <f t="shared" si="97"/>
        <v>0</v>
      </c>
      <c r="Y212" s="78">
        <f t="shared" si="97"/>
        <v>0</v>
      </c>
      <c r="Z212" s="78">
        <f t="shared" si="97"/>
        <v>0</v>
      </c>
      <c r="AA212" s="78">
        <f>SUM(G212:Z212)</f>
        <v>622640.91753283399</v>
      </c>
      <c r="AB212" s="92" t="str">
        <f>IF(ABS(F212-AA212)&lt;0.01,"ok","err")</f>
        <v>ok</v>
      </c>
    </row>
    <row r="213" spans="1:28">
      <c r="A213" s="60" t="s">
        <v>674</v>
      </c>
      <c r="D213" s="60" t="s">
        <v>454</v>
      </c>
      <c r="F213" s="75">
        <f>F211+F212</f>
        <v>1739670.1357907224</v>
      </c>
      <c r="G213" s="75">
        <f t="shared" ref="G213:W213" si="98">G211+G212</f>
        <v>1311374.6569121743</v>
      </c>
      <c r="H213" s="75">
        <f t="shared" si="98"/>
        <v>188202.3371422833</v>
      </c>
      <c r="I213" s="75">
        <f t="shared" si="98"/>
        <v>0</v>
      </c>
      <c r="J213" s="75">
        <f t="shared" si="98"/>
        <v>120940.33658872562</v>
      </c>
      <c r="K213" s="75">
        <f t="shared" si="98"/>
        <v>0</v>
      </c>
      <c r="L213" s="75">
        <f t="shared" si="98"/>
        <v>98293.019963940358</v>
      </c>
      <c r="M213" s="75">
        <f t="shared" si="98"/>
        <v>0</v>
      </c>
      <c r="N213" s="75">
        <f t="shared" si="98"/>
        <v>0</v>
      </c>
      <c r="O213" s="75">
        <f>O211+O212</f>
        <v>20347.728359676043</v>
      </c>
      <c r="P213" s="75">
        <f t="shared" si="98"/>
        <v>231.82739921051919</v>
      </c>
      <c r="Q213" s="75">
        <f t="shared" si="98"/>
        <v>253.1999704107605</v>
      </c>
      <c r="R213" s="75">
        <f t="shared" si="98"/>
        <v>11.733019002107717</v>
      </c>
      <c r="S213" s="75">
        <f t="shared" si="98"/>
        <v>15.296435299241654</v>
      </c>
      <c r="T213" s="75">
        <f t="shared" si="98"/>
        <v>0</v>
      </c>
      <c r="U213" s="75">
        <f t="shared" si="98"/>
        <v>0</v>
      </c>
      <c r="V213" s="75">
        <f t="shared" si="98"/>
        <v>0</v>
      </c>
      <c r="W213" s="75">
        <f t="shared" si="98"/>
        <v>0</v>
      </c>
      <c r="X213" s="75">
        <f>X211+X212</f>
        <v>0</v>
      </c>
      <c r="Y213" s="75">
        <f>Y211+Y212</f>
        <v>0</v>
      </c>
      <c r="Z213" s="75">
        <f>Z211+Z212</f>
        <v>0</v>
      </c>
      <c r="AA213" s="79">
        <f>SUM(G213:Z213)</f>
        <v>1739670.1357907222</v>
      </c>
      <c r="AB213" s="92" t="str">
        <f>IF(ABS(F213-AA213)&lt;0.01,"ok","err")</f>
        <v>ok</v>
      </c>
    </row>
    <row r="214" spans="1:28">
      <c r="F214" s="78"/>
    </row>
    <row r="215" spans="1:28" ht="15">
      <c r="A215" s="65" t="s">
        <v>343</v>
      </c>
      <c r="F215" s="78"/>
    </row>
    <row r="216" spans="1:28">
      <c r="A216" s="68" t="s">
        <v>1019</v>
      </c>
      <c r="C216" s="60" t="s">
        <v>994</v>
      </c>
      <c r="D216" s="60" t="s">
        <v>455</v>
      </c>
      <c r="E216" s="60" t="s">
        <v>1021</v>
      </c>
      <c r="F216" s="75">
        <f>VLOOKUP(C216,'Functional Assignment'!$C$2:$AP$780,'Functional Assignment'!$Z$2,)</f>
        <v>332912.57849805721</v>
      </c>
      <c r="G216" s="75">
        <f t="shared" ref="G216:Z216" si="99">IF(VLOOKUP($E216,$D$6:$AN$1148,3,)=0,0,(VLOOKUP($E216,$D$6:$AN$1148,G$2,)/VLOOKUP($E216,$D$6:$AN$1148,3,))*$F216)</f>
        <v>286744.83455356362</v>
      </c>
      <c r="H216" s="75">
        <f t="shared" si="99"/>
        <v>40839.385534410423</v>
      </c>
      <c r="I216" s="75">
        <f t="shared" si="99"/>
        <v>0</v>
      </c>
      <c r="J216" s="75">
        <f t="shared" si="99"/>
        <v>4200.6917616619921</v>
      </c>
      <c r="K216" s="75">
        <f t="shared" si="99"/>
        <v>0</v>
      </c>
      <c r="L216" s="75">
        <f t="shared" si="99"/>
        <v>1126.1569101024463</v>
      </c>
      <c r="M216" s="75">
        <f t="shared" si="99"/>
        <v>0</v>
      </c>
      <c r="N216" s="75">
        <f t="shared" si="99"/>
        <v>0</v>
      </c>
      <c r="O216" s="75">
        <f t="shared" si="99"/>
        <v>0</v>
      </c>
      <c r="P216" s="75">
        <f t="shared" si="99"/>
        <v>0</v>
      </c>
      <c r="Q216" s="75">
        <f t="shared" si="99"/>
        <v>0</v>
      </c>
      <c r="R216" s="75">
        <f t="shared" si="99"/>
        <v>1.5097383186929836</v>
      </c>
      <c r="S216" s="75">
        <f t="shared" si="99"/>
        <v>0</v>
      </c>
      <c r="T216" s="75">
        <f t="shared" si="99"/>
        <v>0</v>
      </c>
      <c r="U216" s="75">
        <f t="shared" si="99"/>
        <v>0</v>
      </c>
      <c r="V216" s="75">
        <f t="shared" si="99"/>
        <v>0</v>
      </c>
      <c r="W216" s="75">
        <f t="shared" si="99"/>
        <v>0</v>
      </c>
      <c r="X216" s="75">
        <f t="shared" si="99"/>
        <v>0</v>
      </c>
      <c r="Y216" s="75">
        <f t="shared" si="99"/>
        <v>0</v>
      </c>
      <c r="Z216" s="75">
        <f t="shared" si="99"/>
        <v>0</v>
      </c>
      <c r="AA216" s="79">
        <f>SUM(G216:Z216)</f>
        <v>332912.57849805721</v>
      </c>
      <c r="AB216" s="92" t="str">
        <f>IF(ABS(F216-AA216)&lt;0.01,"ok","err")</f>
        <v>ok</v>
      </c>
    </row>
    <row r="217" spans="1:28">
      <c r="F217" s="78"/>
    </row>
    <row r="218" spans="1:28" ht="15">
      <c r="A218" s="65" t="s">
        <v>342</v>
      </c>
      <c r="F218" s="78"/>
    </row>
    <row r="219" spans="1:28">
      <c r="A219" s="68" t="s">
        <v>1019</v>
      </c>
      <c r="C219" s="60" t="s">
        <v>994</v>
      </c>
      <c r="D219" s="60" t="s">
        <v>456</v>
      </c>
      <c r="E219" s="60" t="s">
        <v>1295</v>
      </c>
      <c r="F219" s="75">
        <f>VLOOKUP(C219,'Functional Assignment'!$C$2:$AP$780,'Functional Assignment'!$AA$2,)</f>
        <v>13918315.257724669</v>
      </c>
      <c r="G219" s="75">
        <f t="shared" ref="G219:Z219" si="100">IF(VLOOKUP($E219,$D$6:$AN$1148,3,)=0,0,(VLOOKUP($E219,$D$6:$AN$1148,G$2,)/VLOOKUP($E219,$D$6:$AN$1148,3,))*$F219)</f>
        <v>9513812.1725562532</v>
      </c>
      <c r="H219" s="75">
        <f t="shared" si="100"/>
        <v>2955977.5867227307</v>
      </c>
      <c r="I219" s="75">
        <f t="shared" si="100"/>
        <v>96619.783643228962</v>
      </c>
      <c r="J219" s="75">
        <f t="shared" si="100"/>
        <v>826631.87071168679</v>
      </c>
      <c r="K219" s="75">
        <f t="shared" si="100"/>
        <v>192988.0560503462</v>
      </c>
      <c r="L219" s="75">
        <f t="shared" si="100"/>
        <v>163420.00222412925</v>
      </c>
      <c r="M219" s="75">
        <f t="shared" si="100"/>
        <v>136383.57938523268</v>
      </c>
      <c r="N219" s="75">
        <f t="shared" si="100"/>
        <v>2933.0713048957518</v>
      </c>
      <c r="O219" s="75">
        <f t="shared" si="100"/>
        <v>0</v>
      </c>
      <c r="P219" s="75">
        <f t="shared" si="100"/>
        <v>4056.4846833938559</v>
      </c>
      <c r="Q219" s="75">
        <f t="shared" si="100"/>
        <v>25195.557039713392</v>
      </c>
      <c r="R219" s="75">
        <f t="shared" si="100"/>
        <v>297.09340305715051</v>
      </c>
      <c r="S219" s="75">
        <f t="shared" si="100"/>
        <v>0</v>
      </c>
      <c r="T219" s="75">
        <f t="shared" si="100"/>
        <v>0</v>
      </c>
      <c r="U219" s="75">
        <f t="shared" si="100"/>
        <v>0</v>
      </c>
      <c r="V219" s="75">
        <f t="shared" si="100"/>
        <v>0</v>
      </c>
      <c r="W219" s="75">
        <f t="shared" si="100"/>
        <v>0</v>
      </c>
      <c r="X219" s="75">
        <f t="shared" si="100"/>
        <v>0</v>
      </c>
      <c r="Y219" s="75">
        <f t="shared" si="100"/>
        <v>0</v>
      </c>
      <c r="Z219" s="75">
        <f t="shared" si="100"/>
        <v>0</v>
      </c>
      <c r="AA219" s="79">
        <f>SUM(G219:Z219)</f>
        <v>13918315.257724663</v>
      </c>
      <c r="AB219" s="92" t="str">
        <f>IF(ABS(F219-AA219)&lt;0.01,"ok","err")</f>
        <v>ok</v>
      </c>
    </row>
    <row r="220" spans="1:28">
      <c r="F220" s="78"/>
    </row>
    <row r="221" spans="1:28" ht="15">
      <c r="A221" s="65" t="s">
        <v>358</v>
      </c>
      <c r="F221" s="78"/>
    </row>
    <row r="222" spans="1:28">
      <c r="A222" s="68" t="s">
        <v>1019</v>
      </c>
      <c r="C222" s="60" t="s">
        <v>994</v>
      </c>
      <c r="D222" s="60" t="s">
        <v>457</v>
      </c>
      <c r="E222" s="60" t="s">
        <v>1023</v>
      </c>
      <c r="F222" s="75">
        <f>VLOOKUP(C222,'Functional Assignment'!$C$2:$AP$780,'Functional Assignment'!$AB$2,)</f>
        <v>1673935.4718376463</v>
      </c>
      <c r="G222" s="75">
        <f t="shared" ref="G222:Z222" si="101">IF(VLOOKUP($E222,$D$6:$AN$1148,3,)=0,0,(VLOOKUP($E222,$D$6:$AN$1148,G$2,)/VLOOKUP($E222,$D$6:$AN$1148,3,))*$F222)</f>
        <v>0</v>
      </c>
      <c r="H222" s="75">
        <f t="shared" si="101"/>
        <v>0</v>
      </c>
      <c r="I222" s="75">
        <f t="shared" si="101"/>
        <v>0</v>
      </c>
      <c r="J222" s="75">
        <f t="shared" si="101"/>
        <v>0</v>
      </c>
      <c r="K222" s="75">
        <f t="shared" si="101"/>
        <v>0</v>
      </c>
      <c r="L222" s="75">
        <f t="shared" si="101"/>
        <v>0</v>
      </c>
      <c r="M222" s="75">
        <f t="shared" si="101"/>
        <v>0</v>
      </c>
      <c r="N222" s="75">
        <f t="shared" si="101"/>
        <v>0</v>
      </c>
      <c r="O222" s="75">
        <f t="shared" si="101"/>
        <v>1673935.4718376463</v>
      </c>
      <c r="P222" s="75">
        <f t="shared" si="101"/>
        <v>0</v>
      </c>
      <c r="Q222" s="75">
        <f t="shared" si="101"/>
        <v>0</v>
      </c>
      <c r="R222" s="75">
        <f t="shared" si="101"/>
        <v>0</v>
      </c>
      <c r="S222" s="75">
        <f t="shared" si="101"/>
        <v>0</v>
      </c>
      <c r="T222" s="75">
        <f t="shared" si="101"/>
        <v>0</v>
      </c>
      <c r="U222" s="75">
        <f t="shared" si="101"/>
        <v>0</v>
      </c>
      <c r="V222" s="75">
        <f t="shared" si="101"/>
        <v>0</v>
      </c>
      <c r="W222" s="75">
        <f t="shared" si="101"/>
        <v>0</v>
      </c>
      <c r="X222" s="75">
        <f t="shared" si="101"/>
        <v>0</v>
      </c>
      <c r="Y222" s="75">
        <f t="shared" si="101"/>
        <v>0</v>
      </c>
      <c r="Z222" s="75">
        <f t="shared" si="101"/>
        <v>0</v>
      </c>
      <c r="AA222" s="79">
        <f>SUM(G222:Z222)</f>
        <v>1673935.4718376463</v>
      </c>
      <c r="AB222" s="92" t="str">
        <f>IF(ABS(F222-AA222)&lt;0.01,"ok","err")</f>
        <v>ok</v>
      </c>
    </row>
    <row r="223" spans="1:28">
      <c r="F223" s="78"/>
    </row>
    <row r="224" spans="1:28" ht="15">
      <c r="A224" s="65" t="s">
        <v>951</v>
      </c>
      <c r="F224" s="78"/>
    </row>
    <row r="225" spans="1:28">
      <c r="A225" s="68" t="s">
        <v>1019</v>
      </c>
      <c r="C225" s="60" t="s">
        <v>994</v>
      </c>
      <c r="D225" s="60" t="s">
        <v>458</v>
      </c>
      <c r="E225" s="60" t="s">
        <v>1024</v>
      </c>
      <c r="F225" s="75">
        <f>VLOOKUP(C225,'Functional Assignment'!$C$2:$AP$780,'Functional Assignment'!$AC$2,)</f>
        <v>22203327.895651627</v>
      </c>
      <c r="G225" s="75">
        <f t="shared" ref="G225:Z225" si="102">IF(VLOOKUP($E225,$D$6:$AN$1148,3,)=0,0,(VLOOKUP($E225,$D$6:$AN$1148,G$2,)/VLOOKUP($E225,$D$6:$AN$1148,3,))*$F225)</f>
        <v>16468323.253124859</v>
      </c>
      <c r="H225" s="75">
        <f t="shared" si="102"/>
        <v>3956537.9605255569</v>
      </c>
      <c r="I225" s="75">
        <f t="shared" si="102"/>
        <v>15264.648872752623</v>
      </c>
      <c r="J225" s="75">
        <f t="shared" si="102"/>
        <v>606747.38860844413</v>
      </c>
      <c r="K225" s="75">
        <f t="shared" si="102"/>
        <v>143481.72498161526</v>
      </c>
      <c r="L225" s="75">
        <f t="shared" si="102"/>
        <v>550623.6659036933</v>
      </c>
      <c r="M225" s="75">
        <f t="shared" si="102"/>
        <v>14174.316810413151</v>
      </c>
      <c r="N225" s="75">
        <f t="shared" si="102"/>
        <v>436.1328249357893</v>
      </c>
      <c r="O225" s="75">
        <f t="shared" si="102"/>
        <v>441022.35849534714</v>
      </c>
      <c r="P225" s="75">
        <f t="shared" si="102"/>
        <v>780.19316460735627</v>
      </c>
      <c r="Q225" s="75">
        <f t="shared" si="102"/>
        <v>4845.9202770643251</v>
      </c>
      <c r="R225" s="75">
        <f t="shared" si="102"/>
        <v>218.06641246789465</v>
      </c>
      <c r="S225" s="75">
        <f t="shared" si="102"/>
        <v>872.2656498715786</v>
      </c>
      <c r="T225" s="75">
        <f t="shared" si="102"/>
        <v>0</v>
      </c>
      <c r="U225" s="75">
        <f t="shared" si="102"/>
        <v>0</v>
      </c>
      <c r="V225" s="75">
        <f t="shared" si="102"/>
        <v>0</v>
      </c>
      <c r="W225" s="75">
        <f t="shared" si="102"/>
        <v>0</v>
      </c>
      <c r="X225" s="75">
        <f t="shared" si="102"/>
        <v>0</v>
      </c>
      <c r="Y225" s="75">
        <f t="shared" si="102"/>
        <v>0</v>
      </c>
      <c r="Z225" s="75">
        <f t="shared" si="102"/>
        <v>0</v>
      </c>
      <c r="AA225" s="79">
        <f>SUM(G225:Z225)</f>
        <v>22203327.895651624</v>
      </c>
      <c r="AB225" s="92" t="str">
        <f>IF(ABS(F225-AA225)&lt;0.01,"ok","err")</f>
        <v>ok</v>
      </c>
    </row>
    <row r="226" spans="1:28">
      <c r="F226" s="78"/>
    </row>
    <row r="227" spans="1:28" ht="15">
      <c r="A227" s="65" t="s">
        <v>340</v>
      </c>
      <c r="F227" s="78"/>
    </row>
    <row r="228" spans="1:28">
      <c r="A228" s="68" t="s">
        <v>1019</v>
      </c>
      <c r="C228" s="60" t="s">
        <v>994</v>
      </c>
      <c r="D228" s="60" t="s">
        <v>459</v>
      </c>
      <c r="E228" s="60" t="s">
        <v>1366</v>
      </c>
      <c r="F228" s="75">
        <f>VLOOKUP(C228,'Functional Assignment'!$C$2:$AP$780,'Functional Assignment'!$AD$2,)</f>
        <v>4888693.2695076521</v>
      </c>
      <c r="G228" s="75">
        <f t="shared" ref="G228:Z228" si="103">IF(VLOOKUP($E228,$D$6:$AN$1148,3,)=0,0,(VLOOKUP($E228,$D$6:$AN$1148,G$2,)/VLOOKUP($E228,$D$6:$AN$1148,3,))*$F228)</f>
        <v>4197542.0580424443</v>
      </c>
      <c r="H228" s="75">
        <f t="shared" si="103"/>
        <v>504232.70900989242</v>
      </c>
      <c r="I228" s="75">
        <f t="shared" si="103"/>
        <v>778.14850558597459</v>
      </c>
      <c r="J228" s="75">
        <f t="shared" si="103"/>
        <v>30930.261000410032</v>
      </c>
      <c r="K228" s="75">
        <f t="shared" si="103"/>
        <v>1462.858278681234</v>
      </c>
      <c r="L228" s="75">
        <f t="shared" si="103"/>
        <v>5613.8465592620732</v>
      </c>
      <c r="M228" s="75">
        <f t="shared" si="103"/>
        <v>144.51329389453815</v>
      </c>
      <c r="N228" s="75">
        <f t="shared" si="103"/>
        <v>22.232814445313561</v>
      </c>
      <c r="O228" s="75">
        <f t="shared" si="103"/>
        <v>112410.34499186346</v>
      </c>
      <c r="P228" s="75">
        <f t="shared" si="103"/>
        <v>198.86017364974907</v>
      </c>
      <c r="Q228" s="75">
        <f t="shared" si="103"/>
        <v>1235.1563580729758</v>
      </c>
      <c r="R228" s="75">
        <f t="shared" si="103"/>
        <v>11.116407222656781</v>
      </c>
      <c r="S228" s="75">
        <f t="shared" si="103"/>
        <v>24111.164072226569</v>
      </c>
      <c r="T228" s="75">
        <f t="shared" si="103"/>
        <v>0</v>
      </c>
      <c r="U228" s="75">
        <f t="shared" si="103"/>
        <v>10000</v>
      </c>
      <c r="V228" s="75">
        <f t="shared" si="103"/>
        <v>0</v>
      </c>
      <c r="W228" s="75">
        <f t="shared" si="103"/>
        <v>0</v>
      </c>
      <c r="X228" s="75">
        <f t="shared" si="103"/>
        <v>0</v>
      </c>
      <c r="Y228" s="75">
        <f t="shared" si="103"/>
        <v>0</v>
      </c>
      <c r="Z228" s="75">
        <f t="shared" si="103"/>
        <v>0</v>
      </c>
      <c r="AA228" s="79">
        <f>SUM(G228:Z228)</f>
        <v>4888693.2695076521</v>
      </c>
      <c r="AB228" s="92" t="str">
        <f>IF(ABS(F228-AA228)&lt;0.01,"ok","err")</f>
        <v>ok</v>
      </c>
    </row>
    <row r="229" spans="1:28">
      <c r="F229" s="78"/>
    </row>
    <row r="230" spans="1:28" ht="15">
      <c r="A230" s="65" t="s">
        <v>339</v>
      </c>
      <c r="F230" s="78"/>
    </row>
    <row r="231" spans="1:28">
      <c r="A231" s="68" t="s">
        <v>1019</v>
      </c>
      <c r="C231" s="60" t="s">
        <v>994</v>
      </c>
      <c r="D231" s="60" t="s">
        <v>460</v>
      </c>
      <c r="E231" s="60" t="s">
        <v>1025</v>
      </c>
      <c r="F231" s="75">
        <f>VLOOKUP(C231,'Functional Assignment'!$C$2:$AP$780,'Functional Assignment'!$AE$2,)</f>
        <v>0</v>
      </c>
      <c r="G231" s="75">
        <f t="shared" ref="G231:Z231" si="104">IF(VLOOKUP($E231,$D$6:$AN$1148,3,)=0,0,(VLOOKUP($E231,$D$6:$AN$1148,G$2,)/VLOOKUP($E231,$D$6:$AN$1148,3,))*$F231)</f>
        <v>0</v>
      </c>
      <c r="H231" s="75">
        <f t="shared" si="104"/>
        <v>0</v>
      </c>
      <c r="I231" s="75">
        <f t="shared" si="104"/>
        <v>0</v>
      </c>
      <c r="J231" s="75">
        <f t="shared" si="104"/>
        <v>0</v>
      </c>
      <c r="K231" s="75">
        <f t="shared" si="104"/>
        <v>0</v>
      </c>
      <c r="L231" s="75">
        <f t="shared" si="104"/>
        <v>0</v>
      </c>
      <c r="M231" s="75">
        <f t="shared" si="104"/>
        <v>0</v>
      </c>
      <c r="N231" s="75">
        <f t="shared" si="104"/>
        <v>0</v>
      </c>
      <c r="O231" s="75">
        <f t="shared" si="104"/>
        <v>0</v>
      </c>
      <c r="P231" s="75">
        <f t="shared" si="104"/>
        <v>0</v>
      </c>
      <c r="Q231" s="75">
        <f t="shared" si="104"/>
        <v>0</v>
      </c>
      <c r="R231" s="75">
        <f t="shared" si="104"/>
        <v>0</v>
      </c>
      <c r="S231" s="75">
        <f t="shared" si="104"/>
        <v>0</v>
      </c>
      <c r="T231" s="75">
        <f t="shared" si="104"/>
        <v>0</v>
      </c>
      <c r="U231" s="75">
        <f t="shared" si="104"/>
        <v>0</v>
      </c>
      <c r="V231" s="75">
        <f t="shared" si="104"/>
        <v>0</v>
      </c>
      <c r="W231" s="75">
        <f t="shared" si="104"/>
        <v>0</v>
      </c>
      <c r="X231" s="75">
        <f t="shared" si="104"/>
        <v>0</v>
      </c>
      <c r="Y231" s="75">
        <f t="shared" si="104"/>
        <v>0</v>
      </c>
      <c r="Z231" s="75">
        <f t="shared" si="104"/>
        <v>0</v>
      </c>
      <c r="AA231" s="79">
        <f>SUM(G231:Z231)</f>
        <v>0</v>
      </c>
      <c r="AB231" s="92" t="str">
        <f>IF(ABS(F231-AA231)&lt;0.01,"ok","err")</f>
        <v>ok</v>
      </c>
    </row>
    <row r="232" spans="1:28">
      <c r="F232" s="78"/>
    </row>
    <row r="233" spans="1:28">
      <c r="A233" s="60" t="s">
        <v>848</v>
      </c>
      <c r="D233" s="60" t="s">
        <v>1032</v>
      </c>
      <c r="F233" s="75">
        <f>F188+F194+F197+F200+F208+F213+F216+F219+F222+F225+F228+F231</f>
        <v>643436661.24131227</v>
      </c>
      <c r="G233" s="75">
        <f t="shared" ref="G233:Z233" si="105">G188+G194+G197+G200+G208+G213+G216+G219+G222+G225+G228+G231</f>
        <v>276779936.62699538</v>
      </c>
      <c r="H233" s="75">
        <f t="shared" si="105"/>
        <v>73444678.041281253</v>
      </c>
      <c r="I233" s="75">
        <f t="shared" si="105"/>
        <v>5098578.227045414</v>
      </c>
      <c r="J233" s="75">
        <f t="shared" si="105"/>
        <v>78420250.491795436</v>
      </c>
      <c r="K233" s="75">
        <f t="shared" si="105"/>
        <v>89976180.806202412</v>
      </c>
      <c r="L233" s="75">
        <f t="shared" si="105"/>
        <v>64239709.14260824</v>
      </c>
      <c r="M233" s="75">
        <f t="shared" si="105"/>
        <v>45090267.33885818</v>
      </c>
      <c r="N233" s="75">
        <f t="shared" si="105"/>
        <v>2565873.7866510917</v>
      </c>
      <c r="O233" s="75">
        <f>O188+O194+O197+O200+O208+O213+O216+O219+O222+O225+O228+O231</f>
        <v>7367410.9681501463</v>
      </c>
      <c r="P233" s="75">
        <f t="shared" si="105"/>
        <v>161098.64632498063</v>
      </c>
      <c r="Q233" s="75">
        <f t="shared" si="105"/>
        <v>182319.24997729261</v>
      </c>
      <c r="R233" s="75">
        <f t="shared" si="105"/>
        <v>1864.4747540326068</v>
      </c>
      <c r="S233" s="75">
        <f t="shared" si="105"/>
        <v>26590.440668559393</v>
      </c>
      <c r="T233" s="75">
        <f t="shared" si="105"/>
        <v>71903</v>
      </c>
      <c r="U233" s="75">
        <f t="shared" si="105"/>
        <v>10000</v>
      </c>
      <c r="V233" s="75">
        <f t="shared" si="105"/>
        <v>0</v>
      </c>
      <c r="W233" s="75">
        <f t="shared" si="105"/>
        <v>0</v>
      </c>
      <c r="X233" s="75">
        <f t="shared" si="105"/>
        <v>0</v>
      </c>
      <c r="Y233" s="75">
        <f t="shared" si="105"/>
        <v>0</v>
      </c>
      <c r="Z233" s="75">
        <f t="shared" si="105"/>
        <v>0</v>
      </c>
      <c r="AA233" s="79">
        <f>SUM(G233:Z233)</f>
        <v>643436661.2413125</v>
      </c>
      <c r="AB233" s="92" t="str">
        <f>IF(ABS(F233-AA233)&lt;0.01,"ok","err")</f>
        <v>ok</v>
      </c>
    </row>
    <row r="235" spans="1:28">
      <c r="F235" s="147"/>
      <c r="G235" s="147"/>
      <c r="J235" s="147"/>
      <c r="K235" s="147"/>
      <c r="N235" s="147"/>
      <c r="O235" s="147"/>
    </row>
    <row r="236" spans="1:28" ht="15">
      <c r="A236" s="65" t="s">
        <v>995</v>
      </c>
    </row>
    <row r="238" spans="1:28" ht="15">
      <c r="A238" s="65" t="s">
        <v>352</v>
      </c>
    </row>
    <row r="239" spans="1:28">
      <c r="A239" s="68" t="s">
        <v>1254</v>
      </c>
      <c r="C239" s="60" t="s">
        <v>98</v>
      </c>
      <c r="D239" s="60" t="s">
        <v>1429</v>
      </c>
      <c r="E239" s="60" t="s">
        <v>1368</v>
      </c>
      <c r="F239" s="75">
        <f>VLOOKUP(C239,'Functional Assignment'!$C$2:$AP$780,'Functional Assignment'!$H$2,)</f>
        <v>24034851.784580022</v>
      </c>
      <c r="G239" s="75">
        <f t="shared" ref="G239:P244" si="106">IF(VLOOKUP($E239,$D$6:$AN$1148,3,)=0,0,(VLOOKUP($E239,$D$6:$AN$1148,G$2,)/VLOOKUP($E239,$D$6:$AN$1148,3,))*$F239)</f>
        <v>10016171.828147279</v>
      </c>
      <c r="H239" s="75">
        <f t="shared" si="106"/>
        <v>2883224.3249552147</v>
      </c>
      <c r="I239" s="75">
        <f t="shared" si="106"/>
        <v>208742.68888039535</v>
      </c>
      <c r="J239" s="75">
        <f t="shared" si="106"/>
        <v>3361340.2724288744</v>
      </c>
      <c r="K239" s="75">
        <f t="shared" si="106"/>
        <v>3150554.3241523006</v>
      </c>
      <c r="L239" s="75">
        <f t="shared" si="106"/>
        <v>2605429.36161872</v>
      </c>
      <c r="M239" s="75">
        <f t="shared" si="106"/>
        <v>1611788.4608949604</v>
      </c>
      <c r="N239" s="75">
        <f t="shared" si="106"/>
        <v>90496.363954718356</v>
      </c>
      <c r="O239" s="75">
        <f t="shared" si="106"/>
        <v>98872.420871265334</v>
      </c>
      <c r="P239" s="75">
        <f t="shared" si="106"/>
        <v>3443.7284360304307</v>
      </c>
      <c r="Q239" s="75">
        <f t="shared" ref="Q239:Z244" si="107">IF(VLOOKUP($E239,$D$6:$AN$1148,3,)=0,0,(VLOOKUP($E239,$D$6:$AN$1148,Q$2,)/VLOOKUP($E239,$D$6:$AN$1148,3,))*$F239)</f>
        <v>4742.4947680319774</v>
      </c>
      <c r="R239" s="75">
        <f t="shared" si="107"/>
        <v>4.6048546230107501</v>
      </c>
      <c r="S239" s="75">
        <f t="shared" si="107"/>
        <v>40.910617603376629</v>
      </c>
      <c r="T239" s="75">
        <f t="shared" si="107"/>
        <v>0</v>
      </c>
      <c r="U239" s="75">
        <f t="shared" si="107"/>
        <v>0</v>
      </c>
      <c r="V239" s="75">
        <f t="shared" si="107"/>
        <v>0</v>
      </c>
      <c r="W239" s="75">
        <f t="shared" si="107"/>
        <v>0</v>
      </c>
      <c r="X239" s="75">
        <f t="shared" si="107"/>
        <v>0</v>
      </c>
      <c r="Y239" s="75">
        <f t="shared" si="107"/>
        <v>0</v>
      </c>
      <c r="Z239" s="75">
        <f t="shared" si="107"/>
        <v>0</v>
      </c>
      <c r="AA239" s="79">
        <f t="shared" ref="AA239:AA245" si="108">SUM(G239:Z239)</f>
        <v>24034851.784580022</v>
      </c>
      <c r="AB239" s="92" t="str">
        <f t="shared" ref="AB239:AB245" si="109">IF(ABS(F239-AA239)&lt;0.01,"ok","err")</f>
        <v>ok</v>
      </c>
    </row>
    <row r="240" spans="1:28" hidden="1">
      <c r="A240" s="68" t="s">
        <v>1255</v>
      </c>
      <c r="C240" s="60" t="s">
        <v>98</v>
      </c>
      <c r="D240" s="60" t="s">
        <v>461</v>
      </c>
      <c r="E240" s="60" t="s">
        <v>1415</v>
      </c>
      <c r="F240" s="78">
        <f>VLOOKUP(C240,'Functional Assignment'!$C$2:$AP$780,'Functional Assignment'!$I$2,)</f>
        <v>0</v>
      </c>
      <c r="G240" s="78">
        <f t="shared" si="106"/>
        <v>0</v>
      </c>
      <c r="H240" s="78">
        <f t="shared" si="106"/>
        <v>0</v>
      </c>
      <c r="I240" s="78">
        <f t="shared" si="106"/>
        <v>0</v>
      </c>
      <c r="J240" s="78">
        <f t="shared" si="106"/>
        <v>0</v>
      </c>
      <c r="K240" s="78">
        <f t="shared" si="106"/>
        <v>0</v>
      </c>
      <c r="L240" s="78">
        <f t="shared" si="106"/>
        <v>0</v>
      </c>
      <c r="M240" s="78">
        <f t="shared" si="106"/>
        <v>0</v>
      </c>
      <c r="N240" s="78">
        <f t="shared" si="106"/>
        <v>0</v>
      </c>
      <c r="O240" s="78">
        <f t="shared" si="106"/>
        <v>0</v>
      </c>
      <c r="P240" s="78">
        <f t="shared" si="106"/>
        <v>0</v>
      </c>
      <c r="Q240" s="78">
        <f t="shared" si="107"/>
        <v>0</v>
      </c>
      <c r="R240" s="78">
        <f t="shared" si="107"/>
        <v>0</v>
      </c>
      <c r="S240" s="78">
        <f t="shared" si="107"/>
        <v>0</v>
      </c>
      <c r="T240" s="78">
        <f t="shared" si="107"/>
        <v>0</v>
      </c>
      <c r="U240" s="78">
        <f t="shared" si="107"/>
        <v>0</v>
      </c>
      <c r="V240" s="78">
        <f t="shared" si="107"/>
        <v>0</v>
      </c>
      <c r="W240" s="78">
        <f t="shared" si="107"/>
        <v>0</v>
      </c>
      <c r="X240" s="78">
        <f t="shared" si="107"/>
        <v>0</v>
      </c>
      <c r="Y240" s="78">
        <f t="shared" si="107"/>
        <v>0</v>
      </c>
      <c r="Z240" s="78">
        <f t="shared" si="107"/>
        <v>0</v>
      </c>
      <c r="AA240" s="78">
        <f t="shared" si="108"/>
        <v>0</v>
      </c>
      <c r="AB240" s="92" t="str">
        <f t="shared" si="109"/>
        <v>ok</v>
      </c>
    </row>
    <row r="241" spans="1:28" hidden="1">
      <c r="A241" s="68" t="s">
        <v>1255</v>
      </c>
      <c r="C241" s="60" t="s">
        <v>98</v>
      </c>
      <c r="D241" s="60" t="s">
        <v>462</v>
      </c>
      <c r="E241" s="60" t="s">
        <v>1415</v>
      </c>
      <c r="F241" s="78">
        <f>VLOOKUP(C241,'Functional Assignment'!$C$2:$AP$780,'Functional Assignment'!$J$2,)</f>
        <v>0</v>
      </c>
      <c r="G241" s="78">
        <f t="shared" si="106"/>
        <v>0</v>
      </c>
      <c r="H241" s="78">
        <f t="shared" si="106"/>
        <v>0</v>
      </c>
      <c r="I241" s="78">
        <f t="shared" si="106"/>
        <v>0</v>
      </c>
      <c r="J241" s="78">
        <f t="shared" si="106"/>
        <v>0</v>
      </c>
      <c r="K241" s="78">
        <f t="shared" si="106"/>
        <v>0</v>
      </c>
      <c r="L241" s="78">
        <f t="shared" si="106"/>
        <v>0</v>
      </c>
      <c r="M241" s="78">
        <f t="shared" si="106"/>
        <v>0</v>
      </c>
      <c r="N241" s="78">
        <f t="shared" si="106"/>
        <v>0</v>
      </c>
      <c r="O241" s="78">
        <f t="shared" si="106"/>
        <v>0</v>
      </c>
      <c r="P241" s="78">
        <f t="shared" si="106"/>
        <v>0</v>
      </c>
      <c r="Q241" s="78">
        <f t="shared" si="107"/>
        <v>0</v>
      </c>
      <c r="R241" s="78">
        <f t="shared" si="107"/>
        <v>0</v>
      </c>
      <c r="S241" s="78">
        <f t="shared" si="107"/>
        <v>0</v>
      </c>
      <c r="T241" s="78">
        <f t="shared" si="107"/>
        <v>0</v>
      </c>
      <c r="U241" s="78">
        <f t="shared" si="107"/>
        <v>0</v>
      </c>
      <c r="V241" s="78">
        <f t="shared" si="107"/>
        <v>0</v>
      </c>
      <c r="W241" s="78">
        <f t="shared" si="107"/>
        <v>0</v>
      </c>
      <c r="X241" s="78">
        <f t="shared" si="107"/>
        <v>0</v>
      </c>
      <c r="Y241" s="78">
        <f t="shared" si="107"/>
        <v>0</v>
      </c>
      <c r="Z241" s="78">
        <f t="shared" si="107"/>
        <v>0</v>
      </c>
      <c r="AA241" s="78">
        <f t="shared" si="108"/>
        <v>0</v>
      </c>
      <c r="AB241" s="92" t="str">
        <f t="shared" si="109"/>
        <v>ok</v>
      </c>
    </row>
    <row r="242" spans="1:28">
      <c r="A242" s="68" t="s">
        <v>1162</v>
      </c>
      <c r="C242" s="60" t="s">
        <v>98</v>
      </c>
      <c r="D242" s="60" t="s">
        <v>463</v>
      </c>
      <c r="E242" s="60" t="s">
        <v>1017</v>
      </c>
      <c r="F242" s="78">
        <f>VLOOKUP(C242,'Functional Assignment'!$C$2:$AP$780,'Functional Assignment'!$K$2,)</f>
        <v>20124089.731171191</v>
      </c>
      <c r="G242" s="78">
        <f t="shared" si="106"/>
        <v>7233505.1682446226</v>
      </c>
      <c r="H242" s="78">
        <f t="shared" si="106"/>
        <v>2138531.6274208105</v>
      </c>
      <c r="I242" s="78">
        <f t="shared" si="106"/>
        <v>181179.84983733916</v>
      </c>
      <c r="J242" s="78">
        <f t="shared" si="106"/>
        <v>2695517.8692508251</v>
      </c>
      <c r="K242" s="78">
        <f t="shared" si="106"/>
        <v>3484425.9562532841</v>
      </c>
      <c r="L242" s="78">
        <f t="shared" si="106"/>
        <v>2301175.0318318959</v>
      </c>
      <c r="M242" s="78">
        <f t="shared" si="106"/>
        <v>1802399.7689836032</v>
      </c>
      <c r="N242" s="78">
        <f t="shared" si="106"/>
        <v>98536.011826475486</v>
      </c>
      <c r="O242" s="78">
        <f t="shared" si="106"/>
        <v>176860.46825927831</v>
      </c>
      <c r="P242" s="78">
        <f t="shared" si="106"/>
        <v>6160.0537174551673</v>
      </c>
      <c r="Q242" s="78">
        <f t="shared" si="107"/>
        <v>5744.6895298269392</v>
      </c>
      <c r="R242" s="78">
        <f t="shared" si="107"/>
        <v>20.633422220671171</v>
      </c>
      <c r="S242" s="78">
        <f t="shared" si="107"/>
        <v>32.602593552142757</v>
      </c>
      <c r="T242" s="78">
        <f t="shared" si="107"/>
        <v>0</v>
      </c>
      <c r="U242" s="78">
        <f t="shared" si="107"/>
        <v>0</v>
      </c>
      <c r="V242" s="78">
        <f t="shared" si="107"/>
        <v>0</v>
      </c>
      <c r="W242" s="78">
        <f t="shared" si="107"/>
        <v>0</v>
      </c>
      <c r="X242" s="78">
        <f t="shared" si="107"/>
        <v>0</v>
      </c>
      <c r="Y242" s="78">
        <f t="shared" si="107"/>
        <v>0</v>
      </c>
      <c r="Z242" s="78">
        <f t="shared" si="107"/>
        <v>0</v>
      </c>
      <c r="AA242" s="78">
        <f t="shared" si="108"/>
        <v>20124089.731171191</v>
      </c>
      <c r="AB242" s="92" t="str">
        <f t="shared" si="109"/>
        <v>ok</v>
      </c>
    </row>
    <row r="243" spans="1:28" hidden="1">
      <c r="A243" s="68" t="s">
        <v>1163</v>
      </c>
      <c r="C243" s="60" t="s">
        <v>98</v>
      </c>
      <c r="D243" s="60" t="s">
        <v>464</v>
      </c>
      <c r="E243" s="60" t="s">
        <v>1017</v>
      </c>
      <c r="F243" s="78">
        <f>VLOOKUP(C243,'Functional Assignment'!$C$2:$AP$780,'Functional Assignment'!$L$2,)</f>
        <v>0</v>
      </c>
      <c r="G243" s="78">
        <f t="shared" si="106"/>
        <v>0</v>
      </c>
      <c r="H243" s="78">
        <f t="shared" si="106"/>
        <v>0</v>
      </c>
      <c r="I243" s="78">
        <f t="shared" si="106"/>
        <v>0</v>
      </c>
      <c r="J243" s="78">
        <f t="shared" si="106"/>
        <v>0</v>
      </c>
      <c r="K243" s="78">
        <f t="shared" si="106"/>
        <v>0</v>
      </c>
      <c r="L243" s="78">
        <f t="shared" si="106"/>
        <v>0</v>
      </c>
      <c r="M243" s="78">
        <f t="shared" si="106"/>
        <v>0</v>
      </c>
      <c r="N243" s="78">
        <f t="shared" si="106"/>
        <v>0</v>
      </c>
      <c r="O243" s="78">
        <f t="shared" si="106"/>
        <v>0</v>
      </c>
      <c r="P243" s="78">
        <f t="shared" si="106"/>
        <v>0</v>
      </c>
      <c r="Q243" s="78">
        <f t="shared" si="107"/>
        <v>0</v>
      </c>
      <c r="R243" s="78">
        <f t="shared" si="107"/>
        <v>0</v>
      </c>
      <c r="S243" s="78">
        <f t="shared" si="107"/>
        <v>0</v>
      </c>
      <c r="T243" s="78">
        <f t="shared" si="107"/>
        <v>0</v>
      </c>
      <c r="U243" s="78">
        <f t="shared" si="107"/>
        <v>0</v>
      </c>
      <c r="V243" s="78">
        <f t="shared" si="107"/>
        <v>0</v>
      </c>
      <c r="W243" s="78">
        <f t="shared" si="107"/>
        <v>0</v>
      </c>
      <c r="X243" s="78">
        <f t="shared" si="107"/>
        <v>0</v>
      </c>
      <c r="Y243" s="78">
        <f t="shared" si="107"/>
        <v>0</v>
      </c>
      <c r="Z243" s="78">
        <f t="shared" si="107"/>
        <v>0</v>
      </c>
      <c r="AA243" s="78">
        <f t="shared" si="108"/>
        <v>0</v>
      </c>
      <c r="AB243" s="92" t="str">
        <f t="shared" si="109"/>
        <v>ok</v>
      </c>
    </row>
    <row r="244" spans="1:28" hidden="1">
      <c r="A244" s="68" t="s">
        <v>1163</v>
      </c>
      <c r="C244" s="60" t="s">
        <v>98</v>
      </c>
      <c r="D244" s="60" t="s">
        <v>465</v>
      </c>
      <c r="E244" s="60" t="s">
        <v>1017</v>
      </c>
      <c r="F244" s="78">
        <f>VLOOKUP(C244,'Functional Assignment'!$C$2:$AP$780,'Functional Assignment'!$M$2,)</f>
        <v>0</v>
      </c>
      <c r="G244" s="78">
        <f t="shared" si="106"/>
        <v>0</v>
      </c>
      <c r="H244" s="78">
        <f t="shared" si="106"/>
        <v>0</v>
      </c>
      <c r="I244" s="78">
        <f t="shared" si="106"/>
        <v>0</v>
      </c>
      <c r="J244" s="78">
        <f t="shared" si="106"/>
        <v>0</v>
      </c>
      <c r="K244" s="78">
        <f t="shared" si="106"/>
        <v>0</v>
      </c>
      <c r="L244" s="78">
        <f t="shared" si="106"/>
        <v>0</v>
      </c>
      <c r="M244" s="78">
        <f t="shared" si="106"/>
        <v>0</v>
      </c>
      <c r="N244" s="78">
        <f t="shared" si="106"/>
        <v>0</v>
      </c>
      <c r="O244" s="78">
        <f t="shared" si="106"/>
        <v>0</v>
      </c>
      <c r="P244" s="78">
        <f t="shared" si="106"/>
        <v>0</v>
      </c>
      <c r="Q244" s="78">
        <f t="shared" si="107"/>
        <v>0</v>
      </c>
      <c r="R244" s="78">
        <f t="shared" si="107"/>
        <v>0</v>
      </c>
      <c r="S244" s="78">
        <f t="shared" si="107"/>
        <v>0</v>
      </c>
      <c r="T244" s="78">
        <f t="shared" si="107"/>
        <v>0</v>
      </c>
      <c r="U244" s="78">
        <f t="shared" si="107"/>
        <v>0</v>
      </c>
      <c r="V244" s="78">
        <f t="shared" si="107"/>
        <v>0</v>
      </c>
      <c r="W244" s="78">
        <f t="shared" si="107"/>
        <v>0</v>
      </c>
      <c r="X244" s="78">
        <f t="shared" si="107"/>
        <v>0</v>
      </c>
      <c r="Y244" s="78">
        <f t="shared" si="107"/>
        <v>0</v>
      </c>
      <c r="Z244" s="78">
        <f t="shared" si="107"/>
        <v>0</v>
      </c>
      <c r="AA244" s="78">
        <f t="shared" si="108"/>
        <v>0</v>
      </c>
      <c r="AB244" s="92" t="str">
        <f t="shared" si="109"/>
        <v>ok</v>
      </c>
    </row>
    <row r="245" spans="1:28">
      <c r="A245" s="60" t="s">
        <v>374</v>
      </c>
      <c r="D245" s="60" t="s">
        <v>1033</v>
      </c>
      <c r="F245" s="75">
        <f>SUM(F239:F244)</f>
        <v>44158941.515751213</v>
      </c>
      <c r="G245" s="75">
        <f t="shared" ref="G245:P245" si="110">SUM(G239:G244)</f>
        <v>17249676.9963919</v>
      </c>
      <c r="H245" s="75">
        <f t="shared" si="110"/>
        <v>5021755.9523760248</v>
      </c>
      <c r="I245" s="75">
        <f t="shared" si="110"/>
        <v>389922.53871773451</v>
      </c>
      <c r="J245" s="75">
        <f t="shared" si="110"/>
        <v>6056858.1416796995</v>
      </c>
      <c r="K245" s="75">
        <f t="shared" si="110"/>
        <v>6634980.2804055847</v>
      </c>
      <c r="L245" s="75">
        <f t="shared" si="110"/>
        <v>4906604.3934506159</v>
      </c>
      <c r="M245" s="75">
        <f t="shared" si="110"/>
        <v>3414188.2298785634</v>
      </c>
      <c r="N245" s="75">
        <f t="shared" si="110"/>
        <v>189032.37578119384</v>
      </c>
      <c r="O245" s="75">
        <f>SUM(O239:O244)</f>
        <v>275732.88913054363</v>
      </c>
      <c r="P245" s="75">
        <f t="shared" si="110"/>
        <v>9603.7821534855975</v>
      </c>
      <c r="Q245" s="75">
        <f t="shared" ref="Q245:W245" si="111">SUM(Q239:Q244)</f>
        <v>10487.184297858916</v>
      </c>
      <c r="R245" s="75">
        <f t="shared" si="111"/>
        <v>25.238276843681923</v>
      </c>
      <c r="S245" s="75">
        <f t="shared" si="111"/>
        <v>73.513211155519386</v>
      </c>
      <c r="T245" s="75">
        <f t="shared" si="111"/>
        <v>0</v>
      </c>
      <c r="U245" s="75">
        <f t="shared" si="111"/>
        <v>0</v>
      </c>
      <c r="V245" s="75">
        <f t="shared" si="111"/>
        <v>0</v>
      </c>
      <c r="W245" s="75">
        <f t="shared" si="111"/>
        <v>0</v>
      </c>
      <c r="X245" s="75">
        <f>SUM(X239:X244)</f>
        <v>0</v>
      </c>
      <c r="Y245" s="75">
        <f>SUM(Y239:Y244)</f>
        <v>0</v>
      </c>
      <c r="Z245" s="75">
        <f>SUM(Z239:Z244)</f>
        <v>0</v>
      </c>
      <c r="AA245" s="79">
        <f t="shared" si="108"/>
        <v>44158941.515751205</v>
      </c>
      <c r="AB245" s="92" t="str">
        <f t="shared" si="109"/>
        <v>ok</v>
      </c>
    </row>
    <row r="246" spans="1:28">
      <c r="F246" s="78"/>
      <c r="G246" s="78"/>
    </row>
    <row r="247" spans="1:28" ht="15">
      <c r="A247" s="65" t="s">
        <v>1057</v>
      </c>
      <c r="F247" s="78"/>
      <c r="G247" s="78"/>
    </row>
    <row r="248" spans="1:28">
      <c r="A248" s="68" t="s">
        <v>1228</v>
      </c>
      <c r="C248" s="60" t="s">
        <v>98</v>
      </c>
      <c r="D248" s="60" t="s">
        <v>466</v>
      </c>
      <c r="E248" s="60" t="s">
        <v>1232</v>
      </c>
      <c r="F248" s="75">
        <f>VLOOKUP(C248,'Functional Assignment'!$C$2:$AP$780,'Functional Assignment'!$N$2,)</f>
        <v>5515515.3771884199</v>
      </c>
      <c r="G248" s="75">
        <f t="shared" ref="G248:P250" si="112">IF(VLOOKUP($E248,$D$6:$AN$1148,3,)=0,0,(VLOOKUP($E248,$D$6:$AN$1148,G$2,)/VLOOKUP($E248,$D$6:$AN$1148,3,))*$F248)</f>
        <v>2609498.3137554973</v>
      </c>
      <c r="H248" s="75">
        <f t="shared" si="112"/>
        <v>637417.45078680676</v>
      </c>
      <c r="I248" s="75">
        <f t="shared" si="112"/>
        <v>41842.081883402388</v>
      </c>
      <c r="J248" s="75">
        <f t="shared" si="112"/>
        <v>709249.07325511356</v>
      </c>
      <c r="K248" s="75">
        <f t="shared" si="112"/>
        <v>594793.3841982116</v>
      </c>
      <c r="L248" s="75">
        <f t="shared" si="112"/>
        <v>563114.43576548656</v>
      </c>
      <c r="M248" s="75">
        <f t="shared" si="112"/>
        <v>293654.27819727955</v>
      </c>
      <c r="N248" s="75">
        <f t="shared" si="112"/>
        <v>18870.428952273542</v>
      </c>
      <c r="O248" s="75">
        <f t="shared" si="112"/>
        <v>44717.832314594794</v>
      </c>
      <c r="P248" s="75">
        <f t="shared" si="112"/>
        <v>1557.5230118004067</v>
      </c>
      <c r="Q248" s="75">
        <f t="shared" ref="Q248:Z250" si="113">IF(VLOOKUP($E248,$D$6:$AN$1148,3,)=0,0,(VLOOKUP($E248,$D$6:$AN$1148,Q$2,)/VLOOKUP($E248,$D$6:$AN$1148,3,))*$F248)</f>
        <v>714.97553419816825</v>
      </c>
      <c r="R248" s="75">
        <f t="shared" si="113"/>
        <v>77.808806562000242</v>
      </c>
      <c r="S248" s="75">
        <f t="shared" si="113"/>
        <v>7.7907271943434671</v>
      </c>
      <c r="T248" s="75">
        <f t="shared" si="113"/>
        <v>0</v>
      </c>
      <c r="U248" s="75">
        <f t="shared" si="113"/>
        <v>0</v>
      </c>
      <c r="V248" s="75">
        <f t="shared" si="113"/>
        <v>0</v>
      </c>
      <c r="W248" s="75">
        <f t="shared" si="113"/>
        <v>0</v>
      </c>
      <c r="X248" s="75">
        <f t="shared" si="113"/>
        <v>0</v>
      </c>
      <c r="Y248" s="75">
        <f t="shared" si="113"/>
        <v>0</v>
      </c>
      <c r="Z248" s="75">
        <f t="shared" si="113"/>
        <v>0</v>
      </c>
      <c r="AA248" s="79">
        <f>SUM(G248:Z248)</f>
        <v>5515515.3771884209</v>
      </c>
      <c r="AB248" s="92" t="str">
        <f>IF(ABS(F248-AA248)&lt;0.01,"ok","err")</f>
        <v>ok</v>
      </c>
    </row>
    <row r="249" spans="1:28" hidden="1">
      <c r="A249" s="68" t="s">
        <v>1229</v>
      </c>
      <c r="C249" s="60" t="s">
        <v>98</v>
      </c>
      <c r="D249" s="60" t="s">
        <v>467</v>
      </c>
      <c r="E249" s="60" t="s">
        <v>1232</v>
      </c>
      <c r="F249" s="78">
        <f>VLOOKUP(C249,'Functional Assignment'!$C$2:$AP$780,'Functional Assignment'!$O$2,)</f>
        <v>0</v>
      </c>
      <c r="G249" s="78">
        <f t="shared" si="112"/>
        <v>0</v>
      </c>
      <c r="H249" s="78">
        <f t="shared" si="112"/>
        <v>0</v>
      </c>
      <c r="I249" s="78">
        <f t="shared" si="112"/>
        <v>0</v>
      </c>
      <c r="J249" s="78">
        <f t="shared" si="112"/>
        <v>0</v>
      </c>
      <c r="K249" s="78">
        <f t="shared" si="112"/>
        <v>0</v>
      </c>
      <c r="L249" s="78">
        <f t="shared" si="112"/>
        <v>0</v>
      </c>
      <c r="M249" s="78">
        <f t="shared" si="112"/>
        <v>0</v>
      </c>
      <c r="N249" s="78">
        <f t="shared" si="112"/>
        <v>0</v>
      </c>
      <c r="O249" s="78">
        <f t="shared" si="112"/>
        <v>0</v>
      </c>
      <c r="P249" s="78">
        <f t="shared" si="112"/>
        <v>0</v>
      </c>
      <c r="Q249" s="78">
        <f t="shared" si="113"/>
        <v>0</v>
      </c>
      <c r="R249" s="78">
        <f t="shared" si="113"/>
        <v>0</v>
      </c>
      <c r="S249" s="78">
        <f t="shared" si="113"/>
        <v>0</v>
      </c>
      <c r="T249" s="78">
        <f t="shared" si="113"/>
        <v>0</v>
      </c>
      <c r="U249" s="78">
        <f t="shared" si="113"/>
        <v>0</v>
      </c>
      <c r="V249" s="78">
        <f t="shared" si="113"/>
        <v>0</v>
      </c>
      <c r="W249" s="78">
        <f t="shared" si="113"/>
        <v>0</v>
      </c>
      <c r="X249" s="78">
        <f t="shared" si="113"/>
        <v>0</v>
      </c>
      <c r="Y249" s="78">
        <f t="shared" si="113"/>
        <v>0</v>
      </c>
      <c r="Z249" s="78">
        <f t="shared" si="113"/>
        <v>0</v>
      </c>
      <c r="AA249" s="78">
        <f>SUM(G249:Z249)</f>
        <v>0</v>
      </c>
      <c r="AB249" s="92" t="str">
        <f>IF(ABS(F249-AA249)&lt;0.01,"ok","err")</f>
        <v>ok</v>
      </c>
    </row>
    <row r="250" spans="1:28" hidden="1">
      <c r="A250" s="68" t="s">
        <v>1229</v>
      </c>
      <c r="C250" s="60" t="s">
        <v>98</v>
      </c>
      <c r="D250" s="60" t="s">
        <v>468</v>
      </c>
      <c r="E250" s="60" t="s">
        <v>1232</v>
      </c>
      <c r="F250" s="78">
        <f>VLOOKUP(C250,'Functional Assignment'!$C$2:$AP$780,'Functional Assignment'!$P$2,)</f>
        <v>0</v>
      </c>
      <c r="G250" s="78">
        <f t="shared" si="112"/>
        <v>0</v>
      </c>
      <c r="H250" s="78">
        <f t="shared" si="112"/>
        <v>0</v>
      </c>
      <c r="I250" s="78">
        <f t="shared" si="112"/>
        <v>0</v>
      </c>
      <c r="J250" s="78">
        <f t="shared" si="112"/>
        <v>0</v>
      </c>
      <c r="K250" s="78">
        <f t="shared" si="112"/>
        <v>0</v>
      </c>
      <c r="L250" s="78">
        <f t="shared" si="112"/>
        <v>0</v>
      </c>
      <c r="M250" s="78">
        <f t="shared" si="112"/>
        <v>0</v>
      </c>
      <c r="N250" s="78">
        <f t="shared" si="112"/>
        <v>0</v>
      </c>
      <c r="O250" s="78">
        <f t="shared" si="112"/>
        <v>0</v>
      </c>
      <c r="P250" s="78">
        <f t="shared" si="112"/>
        <v>0</v>
      </c>
      <c r="Q250" s="78">
        <f t="shared" si="113"/>
        <v>0</v>
      </c>
      <c r="R250" s="78">
        <f t="shared" si="113"/>
        <v>0</v>
      </c>
      <c r="S250" s="78">
        <f t="shared" si="113"/>
        <v>0</v>
      </c>
      <c r="T250" s="78">
        <f t="shared" si="113"/>
        <v>0</v>
      </c>
      <c r="U250" s="78">
        <f t="shared" si="113"/>
        <v>0</v>
      </c>
      <c r="V250" s="78">
        <f t="shared" si="113"/>
        <v>0</v>
      </c>
      <c r="W250" s="78">
        <f t="shared" si="113"/>
        <v>0</v>
      </c>
      <c r="X250" s="78">
        <f t="shared" si="113"/>
        <v>0</v>
      </c>
      <c r="Y250" s="78">
        <f t="shared" si="113"/>
        <v>0</v>
      </c>
      <c r="Z250" s="78">
        <f t="shared" si="113"/>
        <v>0</v>
      </c>
      <c r="AA250" s="78">
        <f>SUM(G250:Z250)</f>
        <v>0</v>
      </c>
      <c r="AB250" s="92" t="str">
        <f>IF(ABS(F250-AA250)&lt;0.01,"ok","err")</f>
        <v>ok</v>
      </c>
    </row>
    <row r="251" spans="1:28" hidden="1">
      <c r="A251" s="60" t="s">
        <v>1059</v>
      </c>
      <c r="D251" s="60" t="s">
        <v>469</v>
      </c>
      <c r="F251" s="75">
        <f>SUM(F248:F250)</f>
        <v>5515515.3771884199</v>
      </c>
      <c r="G251" s="75">
        <f t="shared" ref="G251:W251" si="114">SUM(G248:G250)</f>
        <v>2609498.3137554973</v>
      </c>
      <c r="H251" s="75">
        <f t="shared" si="114"/>
        <v>637417.45078680676</v>
      </c>
      <c r="I251" s="75">
        <f t="shared" si="114"/>
        <v>41842.081883402388</v>
      </c>
      <c r="J251" s="75">
        <f t="shared" si="114"/>
        <v>709249.07325511356</v>
      </c>
      <c r="K251" s="75">
        <f t="shared" si="114"/>
        <v>594793.3841982116</v>
      </c>
      <c r="L251" s="75">
        <f t="shared" si="114"/>
        <v>563114.43576548656</v>
      </c>
      <c r="M251" s="75">
        <f t="shared" si="114"/>
        <v>293654.27819727955</v>
      </c>
      <c r="N251" s="75">
        <f t="shared" si="114"/>
        <v>18870.428952273542</v>
      </c>
      <c r="O251" s="75">
        <f>SUM(O248:O250)</f>
        <v>44717.832314594794</v>
      </c>
      <c r="P251" s="75">
        <f t="shared" si="114"/>
        <v>1557.5230118004067</v>
      </c>
      <c r="Q251" s="75">
        <f t="shared" si="114"/>
        <v>714.97553419816825</v>
      </c>
      <c r="R251" s="75">
        <f t="shared" si="114"/>
        <v>77.808806562000242</v>
      </c>
      <c r="S251" s="75">
        <f t="shared" si="114"/>
        <v>7.7907271943434671</v>
      </c>
      <c r="T251" s="75">
        <f t="shared" si="114"/>
        <v>0</v>
      </c>
      <c r="U251" s="75">
        <f t="shared" si="114"/>
        <v>0</v>
      </c>
      <c r="V251" s="75">
        <f t="shared" si="114"/>
        <v>0</v>
      </c>
      <c r="W251" s="75">
        <f t="shared" si="114"/>
        <v>0</v>
      </c>
      <c r="X251" s="75">
        <f>SUM(X248:X250)</f>
        <v>0</v>
      </c>
      <c r="Y251" s="75">
        <f>SUM(Y248:Y250)</f>
        <v>0</v>
      </c>
      <c r="Z251" s="75">
        <f>SUM(Z248:Z250)</f>
        <v>0</v>
      </c>
      <c r="AA251" s="79">
        <f>SUM(G251:Z251)</f>
        <v>5515515.3771884209</v>
      </c>
      <c r="AB251" s="92" t="str">
        <f>IF(ABS(F251-AA251)&lt;0.01,"ok","err")</f>
        <v>ok</v>
      </c>
    </row>
    <row r="252" spans="1:28">
      <c r="F252" s="78"/>
      <c r="G252" s="78"/>
    </row>
    <row r="253" spans="1:28" ht="15">
      <c r="A253" s="65" t="s">
        <v>337</v>
      </c>
      <c r="F253" s="78"/>
      <c r="G253" s="78"/>
    </row>
    <row r="254" spans="1:28">
      <c r="A254" s="68" t="s">
        <v>359</v>
      </c>
      <c r="C254" s="60" t="s">
        <v>98</v>
      </c>
      <c r="D254" s="60" t="s">
        <v>470</v>
      </c>
      <c r="E254" s="60" t="s">
        <v>1233</v>
      </c>
      <c r="F254" s="75">
        <f>VLOOKUP(C254,'Functional Assignment'!$C$2:$AP$780,'Functional Assignment'!$Q$2,)</f>
        <v>0</v>
      </c>
      <c r="G254" s="75">
        <f t="shared" ref="G254:Z254" si="115">IF(VLOOKUP($E254,$D$6:$AN$1148,3,)=0,0,(VLOOKUP($E254,$D$6:$AN$1148,G$2,)/VLOOKUP($E254,$D$6:$AN$1148,3,))*$F254)</f>
        <v>0</v>
      </c>
      <c r="H254" s="75">
        <f t="shared" si="115"/>
        <v>0</v>
      </c>
      <c r="I254" s="75">
        <f t="shared" si="115"/>
        <v>0</v>
      </c>
      <c r="J254" s="75">
        <f t="shared" si="115"/>
        <v>0</v>
      </c>
      <c r="K254" s="75">
        <f t="shared" si="115"/>
        <v>0</v>
      </c>
      <c r="L254" s="75">
        <f t="shared" si="115"/>
        <v>0</v>
      </c>
      <c r="M254" s="75">
        <f t="shared" si="115"/>
        <v>0</v>
      </c>
      <c r="N254" s="75">
        <f t="shared" si="115"/>
        <v>0</v>
      </c>
      <c r="O254" s="75">
        <f t="shared" si="115"/>
        <v>0</v>
      </c>
      <c r="P254" s="75">
        <f t="shared" si="115"/>
        <v>0</v>
      </c>
      <c r="Q254" s="75">
        <f t="shared" si="115"/>
        <v>0</v>
      </c>
      <c r="R254" s="75">
        <f t="shared" si="115"/>
        <v>0</v>
      </c>
      <c r="S254" s="75">
        <f t="shared" si="115"/>
        <v>0</v>
      </c>
      <c r="T254" s="75">
        <f t="shared" si="115"/>
        <v>0</v>
      </c>
      <c r="U254" s="75">
        <f t="shared" si="115"/>
        <v>0</v>
      </c>
      <c r="V254" s="75">
        <f t="shared" si="115"/>
        <v>0</v>
      </c>
      <c r="W254" s="75">
        <f t="shared" si="115"/>
        <v>0</v>
      </c>
      <c r="X254" s="75">
        <f t="shared" si="115"/>
        <v>0</v>
      </c>
      <c r="Y254" s="75">
        <f t="shared" si="115"/>
        <v>0</v>
      </c>
      <c r="Z254" s="75">
        <f t="shared" si="115"/>
        <v>0</v>
      </c>
      <c r="AA254" s="79">
        <f>SUM(G254:Z254)</f>
        <v>0</v>
      </c>
      <c r="AB254" s="92" t="str">
        <f>IF(ABS(F254-AA254)&lt;0.01,"ok","err")</f>
        <v>ok</v>
      </c>
    </row>
    <row r="255" spans="1:28">
      <c r="F255" s="78"/>
    </row>
    <row r="256" spans="1:28" ht="15">
      <c r="A256" s="65" t="s">
        <v>338</v>
      </c>
      <c r="F256" s="78"/>
      <c r="G256" s="78"/>
    </row>
    <row r="257" spans="1:28">
      <c r="A257" s="68" t="s">
        <v>361</v>
      </c>
      <c r="C257" s="60" t="s">
        <v>98</v>
      </c>
      <c r="D257" s="60" t="s">
        <v>471</v>
      </c>
      <c r="E257" s="60" t="s">
        <v>1233</v>
      </c>
      <c r="F257" s="75">
        <f>VLOOKUP(C257,'Functional Assignment'!$C$2:$AP$780,'Functional Assignment'!$R$2,)</f>
        <v>2294468.860985558</v>
      </c>
      <c r="G257" s="75">
        <f t="shared" ref="G257:Z257" si="116">IF(VLOOKUP($E257,$D$6:$AN$1148,3,)=0,0,(VLOOKUP($E257,$D$6:$AN$1148,G$2,)/VLOOKUP($E257,$D$6:$AN$1148,3,))*$F257)</f>
        <v>1146605.1107454915</v>
      </c>
      <c r="H257" s="75">
        <f t="shared" si="116"/>
        <v>280079.16422014427</v>
      </c>
      <c r="I257" s="75">
        <f t="shared" si="116"/>
        <v>18385.275314738436</v>
      </c>
      <c r="J257" s="75">
        <f t="shared" si="116"/>
        <v>311641.74657597189</v>
      </c>
      <c r="K257" s="75">
        <f t="shared" si="116"/>
        <v>261350.28735763993</v>
      </c>
      <c r="L257" s="75">
        <f t="shared" si="116"/>
        <v>247430.65997772021</v>
      </c>
      <c r="M257" s="75">
        <f t="shared" si="116"/>
        <v>0</v>
      </c>
      <c r="N257" s="75">
        <f t="shared" si="116"/>
        <v>8291.6053881243679</v>
      </c>
      <c r="O257" s="75">
        <f t="shared" si="116"/>
        <v>19648.87074388755</v>
      </c>
      <c r="P257" s="75">
        <f t="shared" si="116"/>
        <v>684.37056886383073</v>
      </c>
      <c r="Q257" s="75">
        <f t="shared" si="116"/>
        <v>314.15793497478387</v>
      </c>
      <c r="R257" s="75">
        <f t="shared" si="116"/>
        <v>34.188937695307558</v>
      </c>
      <c r="S257" s="75">
        <f t="shared" si="116"/>
        <v>3.4232203065125608</v>
      </c>
      <c r="T257" s="75">
        <f t="shared" si="116"/>
        <v>0</v>
      </c>
      <c r="U257" s="75">
        <f t="shared" si="116"/>
        <v>0</v>
      </c>
      <c r="V257" s="75">
        <f t="shared" si="116"/>
        <v>0</v>
      </c>
      <c r="W257" s="75">
        <f t="shared" si="116"/>
        <v>0</v>
      </c>
      <c r="X257" s="75">
        <f t="shared" si="116"/>
        <v>0</v>
      </c>
      <c r="Y257" s="75">
        <f t="shared" si="116"/>
        <v>0</v>
      </c>
      <c r="Z257" s="75">
        <f t="shared" si="116"/>
        <v>0</v>
      </c>
      <c r="AA257" s="79">
        <f>SUM(G257:Z257)</f>
        <v>2294468.8609855589</v>
      </c>
      <c r="AB257" s="92" t="str">
        <f>IF(ABS(F257-AA257)&lt;0.01,"ok","err")</f>
        <v>ok</v>
      </c>
    </row>
    <row r="258" spans="1:28">
      <c r="F258" s="78"/>
    </row>
    <row r="259" spans="1:28" ht="15">
      <c r="A259" s="65" t="s">
        <v>360</v>
      </c>
      <c r="F259" s="78"/>
    </row>
    <row r="260" spans="1:28">
      <c r="A260" s="68" t="s">
        <v>603</v>
      </c>
      <c r="C260" s="60" t="s">
        <v>98</v>
      </c>
      <c r="D260" s="60" t="s">
        <v>472</v>
      </c>
      <c r="E260" s="60" t="s">
        <v>1233</v>
      </c>
      <c r="F260" s="75">
        <f>VLOOKUP(C260,'Functional Assignment'!$C$2:$AP$780,'Functional Assignment'!$S$2,)</f>
        <v>0</v>
      </c>
      <c r="G260" s="75">
        <f t="shared" ref="G260:P264" si="117">IF(VLOOKUP($E260,$D$6:$AN$1148,3,)=0,0,(VLOOKUP($E260,$D$6:$AN$1148,G$2,)/VLOOKUP($E260,$D$6:$AN$1148,3,))*$F260)</f>
        <v>0</v>
      </c>
      <c r="H260" s="75">
        <f t="shared" si="117"/>
        <v>0</v>
      </c>
      <c r="I260" s="75">
        <f t="shared" si="117"/>
        <v>0</v>
      </c>
      <c r="J260" s="75">
        <f t="shared" si="117"/>
        <v>0</v>
      </c>
      <c r="K260" s="75">
        <f t="shared" si="117"/>
        <v>0</v>
      </c>
      <c r="L260" s="75">
        <f t="shared" si="117"/>
        <v>0</v>
      </c>
      <c r="M260" s="75">
        <f t="shared" si="117"/>
        <v>0</v>
      </c>
      <c r="N260" s="75">
        <f t="shared" si="117"/>
        <v>0</v>
      </c>
      <c r="O260" s="75">
        <f t="shared" si="117"/>
        <v>0</v>
      </c>
      <c r="P260" s="75">
        <f t="shared" si="117"/>
        <v>0</v>
      </c>
      <c r="Q260" s="75">
        <f t="shared" ref="Q260:Z264" si="118">IF(VLOOKUP($E260,$D$6:$AN$1148,3,)=0,0,(VLOOKUP($E260,$D$6:$AN$1148,Q$2,)/VLOOKUP($E260,$D$6:$AN$1148,3,))*$F260)</f>
        <v>0</v>
      </c>
      <c r="R260" s="75">
        <f t="shared" si="118"/>
        <v>0</v>
      </c>
      <c r="S260" s="75">
        <f t="shared" si="118"/>
        <v>0</v>
      </c>
      <c r="T260" s="75">
        <f t="shared" si="118"/>
        <v>0</v>
      </c>
      <c r="U260" s="75">
        <f t="shared" si="118"/>
        <v>0</v>
      </c>
      <c r="V260" s="75">
        <f t="shared" si="118"/>
        <v>0</v>
      </c>
      <c r="W260" s="75">
        <f t="shared" si="118"/>
        <v>0</v>
      </c>
      <c r="X260" s="75">
        <f t="shared" si="118"/>
        <v>0</v>
      </c>
      <c r="Y260" s="75">
        <f t="shared" si="118"/>
        <v>0</v>
      </c>
      <c r="Z260" s="75">
        <f t="shared" si="118"/>
        <v>0</v>
      </c>
      <c r="AA260" s="79">
        <f t="shared" ref="AA260:AA265" si="119">SUM(G260:Z260)</f>
        <v>0</v>
      </c>
      <c r="AB260" s="92" t="str">
        <f t="shared" ref="AB260:AB265" si="120">IF(ABS(F260-AA260)&lt;0.01,"ok","err")</f>
        <v>ok</v>
      </c>
    </row>
    <row r="261" spans="1:28">
      <c r="A261" s="68" t="s">
        <v>604</v>
      </c>
      <c r="C261" s="60" t="s">
        <v>98</v>
      </c>
      <c r="D261" s="60" t="s">
        <v>473</v>
      </c>
      <c r="E261" s="60" t="s">
        <v>1233</v>
      </c>
      <c r="F261" s="78">
        <f>VLOOKUP(C261,'Functional Assignment'!$C$2:$AP$780,'Functional Assignment'!$T$2,)</f>
        <v>2285840.7198717846</v>
      </c>
      <c r="G261" s="78">
        <f t="shared" si="117"/>
        <v>1142293.4066881801</v>
      </c>
      <c r="H261" s="78">
        <f t="shared" si="117"/>
        <v>279025.95203975274</v>
      </c>
      <c r="I261" s="78">
        <f t="shared" si="117"/>
        <v>18316.139161910891</v>
      </c>
      <c r="J261" s="78">
        <f t="shared" si="117"/>
        <v>310469.84618014551</v>
      </c>
      <c r="K261" s="78">
        <f t="shared" si="117"/>
        <v>260367.50341239243</v>
      </c>
      <c r="L261" s="78">
        <f t="shared" si="117"/>
        <v>246500.21952308493</v>
      </c>
      <c r="M261" s="78">
        <f t="shared" si="117"/>
        <v>0</v>
      </c>
      <c r="N261" s="78">
        <f t="shared" si="117"/>
        <v>8260.425561470398</v>
      </c>
      <c r="O261" s="78">
        <f t="shared" si="117"/>
        <v>19574.982955568761</v>
      </c>
      <c r="P261" s="78">
        <f t="shared" si="117"/>
        <v>681.79705568931149</v>
      </c>
      <c r="Q261" s="78">
        <f t="shared" si="118"/>
        <v>312.97657268172151</v>
      </c>
      <c r="R261" s="78">
        <f t="shared" si="118"/>
        <v>34.060373309893144</v>
      </c>
      <c r="S261" s="78">
        <f t="shared" si="118"/>
        <v>3.4103475984229692</v>
      </c>
      <c r="T261" s="78">
        <f t="shared" si="118"/>
        <v>0</v>
      </c>
      <c r="U261" s="78">
        <f t="shared" si="118"/>
        <v>0</v>
      </c>
      <c r="V261" s="78">
        <f t="shared" si="118"/>
        <v>0</v>
      </c>
      <c r="W261" s="78">
        <f t="shared" si="118"/>
        <v>0</v>
      </c>
      <c r="X261" s="78">
        <f t="shared" si="118"/>
        <v>0</v>
      </c>
      <c r="Y261" s="78">
        <f t="shared" si="118"/>
        <v>0</v>
      </c>
      <c r="Z261" s="78">
        <f t="shared" si="118"/>
        <v>0</v>
      </c>
      <c r="AA261" s="78">
        <f t="shared" si="119"/>
        <v>2285840.7198717855</v>
      </c>
      <c r="AB261" s="92" t="str">
        <f t="shared" si="120"/>
        <v>ok</v>
      </c>
    </row>
    <row r="262" spans="1:28">
      <c r="A262" s="68" t="s">
        <v>605</v>
      </c>
      <c r="C262" s="60" t="s">
        <v>98</v>
      </c>
      <c r="D262" s="60" t="s">
        <v>474</v>
      </c>
      <c r="E262" s="60" t="s">
        <v>660</v>
      </c>
      <c r="F262" s="78">
        <f>VLOOKUP(C262,'Functional Assignment'!$C$2:$AP$780,'Functional Assignment'!$U$2,)</f>
        <v>3861146.3975803666</v>
      </c>
      <c r="G262" s="78">
        <f t="shared" si="117"/>
        <v>3338585.1517831604</v>
      </c>
      <c r="H262" s="78">
        <f t="shared" si="117"/>
        <v>401049.90303037089</v>
      </c>
      <c r="I262" s="78">
        <f t="shared" si="117"/>
        <v>618.91340472789648</v>
      </c>
      <c r="J262" s="78">
        <f t="shared" si="117"/>
        <v>24600.899452310507</v>
      </c>
      <c r="K262" s="78">
        <f t="shared" si="117"/>
        <v>1163.5087536551985</v>
      </c>
      <c r="L262" s="78">
        <f t="shared" si="117"/>
        <v>4465.0665813416426</v>
      </c>
      <c r="M262" s="78">
        <f t="shared" si="117"/>
        <v>0</v>
      </c>
      <c r="N262" s="78">
        <f t="shared" si="117"/>
        <v>17.683240135082755</v>
      </c>
      <c r="O262" s="78">
        <f t="shared" si="117"/>
        <v>89407.44452520815</v>
      </c>
      <c r="P262" s="78">
        <f t="shared" si="117"/>
        <v>158.16675898601801</v>
      </c>
      <c r="Q262" s="78">
        <f t="shared" si="118"/>
        <v>982.40222972681988</v>
      </c>
      <c r="R262" s="78">
        <f t="shared" si="118"/>
        <v>8.8416200675413776</v>
      </c>
      <c r="S262" s="78">
        <f t="shared" si="118"/>
        <v>88.416200675413791</v>
      </c>
      <c r="T262" s="78">
        <f t="shared" si="118"/>
        <v>0</v>
      </c>
      <c r="U262" s="78">
        <f t="shared" si="118"/>
        <v>0</v>
      </c>
      <c r="V262" s="78">
        <f t="shared" si="118"/>
        <v>0</v>
      </c>
      <c r="W262" s="78">
        <f t="shared" si="118"/>
        <v>0</v>
      </c>
      <c r="X262" s="78">
        <f t="shared" si="118"/>
        <v>0</v>
      </c>
      <c r="Y262" s="78">
        <f t="shared" si="118"/>
        <v>0</v>
      </c>
      <c r="Z262" s="78">
        <f t="shared" si="118"/>
        <v>0</v>
      </c>
      <c r="AA262" s="78">
        <f t="shared" si="119"/>
        <v>3861146.3975803657</v>
      </c>
      <c r="AB262" s="92" t="str">
        <f t="shared" si="120"/>
        <v>ok</v>
      </c>
    </row>
    <row r="263" spans="1:28">
      <c r="A263" s="68" t="s">
        <v>606</v>
      </c>
      <c r="C263" s="60" t="s">
        <v>98</v>
      </c>
      <c r="D263" s="60" t="s">
        <v>475</v>
      </c>
      <c r="E263" s="60" t="s">
        <v>646</v>
      </c>
      <c r="F263" s="78">
        <f>VLOOKUP(C263,'Functional Assignment'!$C$2:$AP$780,'Functional Assignment'!$V$2,)</f>
        <v>756972.84189520229</v>
      </c>
      <c r="G263" s="78">
        <f t="shared" si="117"/>
        <v>573786.71925379871</v>
      </c>
      <c r="H263" s="78">
        <f t="shared" si="117"/>
        <v>91701.680829792604</v>
      </c>
      <c r="I263" s="78">
        <f t="shared" si="117"/>
        <v>0</v>
      </c>
      <c r="J263" s="78">
        <f t="shared" si="117"/>
        <v>86854.282267138798</v>
      </c>
      <c r="K263" s="78">
        <f t="shared" si="117"/>
        <v>0</v>
      </c>
      <c r="L263" s="78">
        <f t="shared" si="117"/>
        <v>0</v>
      </c>
      <c r="M263" s="78">
        <f t="shared" si="117"/>
        <v>0</v>
      </c>
      <c r="N263" s="78">
        <f t="shared" si="117"/>
        <v>0</v>
      </c>
      <c r="O263" s="78">
        <f t="shared" si="117"/>
        <v>4398.2284867253311</v>
      </c>
      <c r="P263" s="78">
        <f t="shared" si="117"/>
        <v>153.19038792036886</v>
      </c>
      <c r="Q263" s="78">
        <f t="shared" si="118"/>
        <v>70.321516027415228</v>
      </c>
      <c r="R263" s="78">
        <f t="shared" si="118"/>
        <v>7.6528957649719951</v>
      </c>
      <c r="S263" s="78">
        <f t="shared" si="118"/>
        <v>0.76625803409714421</v>
      </c>
      <c r="T263" s="78">
        <f t="shared" si="118"/>
        <v>0</v>
      </c>
      <c r="U263" s="78">
        <f t="shared" si="118"/>
        <v>0</v>
      </c>
      <c r="V263" s="78">
        <f t="shared" si="118"/>
        <v>0</v>
      </c>
      <c r="W263" s="78">
        <f t="shared" si="118"/>
        <v>0</v>
      </c>
      <c r="X263" s="78">
        <f t="shared" si="118"/>
        <v>0</v>
      </c>
      <c r="Y263" s="78">
        <f t="shared" si="118"/>
        <v>0</v>
      </c>
      <c r="Z263" s="78">
        <f t="shared" si="118"/>
        <v>0</v>
      </c>
      <c r="AA263" s="78">
        <f t="shared" si="119"/>
        <v>756972.84189520241</v>
      </c>
      <c r="AB263" s="92" t="str">
        <f t="shared" si="120"/>
        <v>ok</v>
      </c>
    </row>
    <row r="264" spans="1:28">
      <c r="A264" s="68" t="s">
        <v>607</v>
      </c>
      <c r="C264" s="60" t="s">
        <v>98</v>
      </c>
      <c r="D264" s="60" t="s">
        <v>476</v>
      </c>
      <c r="E264" s="60" t="s">
        <v>659</v>
      </c>
      <c r="F264" s="78">
        <f>VLOOKUP(C264,'Functional Assignment'!$C$2:$AP$780,'Functional Assignment'!$W$2,)</f>
        <v>1317944.1506281546</v>
      </c>
      <c r="G264" s="78">
        <f t="shared" si="117"/>
        <v>1148761.5929941568</v>
      </c>
      <c r="H264" s="78">
        <f t="shared" si="117"/>
        <v>137995.79897767541</v>
      </c>
      <c r="I264" s="78">
        <f t="shared" si="117"/>
        <v>0</v>
      </c>
      <c r="J264" s="78">
        <f t="shared" si="117"/>
        <v>0</v>
      </c>
      <c r="K264" s="78">
        <f t="shared" si="117"/>
        <v>0</v>
      </c>
      <c r="L264" s="78">
        <f t="shared" si="117"/>
        <v>0</v>
      </c>
      <c r="M264" s="78">
        <f t="shared" si="117"/>
        <v>0</v>
      </c>
      <c r="N264" s="78">
        <f t="shared" si="117"/>
        <v>0</v>
      </c>
      <c r="O264" s="78">
        <f t="shared" si="117"/>
        <v>30763.881623165395</v>
      </c>
      <c r="P264" s="78">
        <f t="shared" si="117"/>
        <v>54.423023451852323</v>
      </c>
      <c r="Q264" s="78">
        <f t="shared" si="118"/>
        <v>338.03120156430015</v>
      </c>
      <c r="R264" s="78">
        <f t="shared" si="118"/>
        <v>0</v>
      </c>
      <c r="S264" s="78">
        <f t="shared" si="118"/>
        <v>30.422808140787009</v>
      </c>
      <c r="T264" s="78">
        <f t="shared" si="118"/>
        <v>0</v>
      </c>
      <c r="U264" s="78">
        <f t="shared" si="118"/>
        <v>0</v>
      </c>
      <c r="V264" s="78">
        <f t="shared" si="118"/>
        <v>0</v>
      </c>
      <c r="W264" s="78">
        <f t="shared" si="118"/>
        <v>0</v>
      </c>
      <c r="X264" s="78">
        <f t="shared" si="118"/>
        <v>0</v>
      </c>
      <c r="Y264" s="78">
        <f t="shared" si="118"/>
        <v>0</v>
      </c>
      <c r="Z264" s="78">
        <f t="shared" si="118"/>
        <v>0</v>
      </c>
      <c r="AA264" s="78">
        <f t="shared" si="119"/>
        <v>1317944.1506281544</v>
      </c>
      <c r="AB264" s="92" t="str">
        <f t="shared" si="120"/>
        <v>ok</v>
      </c>
    </row>
    <row r="265" spans="1:28">
      <c r="A265" s="60" t="s">
        <v>365</v>
      </c>
      <c r="D265" s="60" t="s">
        <v>477</v>
      </c>
      <c r="F265" s="75">
        <f>SUM(F260:F264)</f>
        <v>8221904.1099755075</v>
      </c>
      <c r="G265" s="75">
        <f t="shared" ref="G265:W265" si="121">SUM(G260:G264)</f>
        <v>6203426.8707192969</v>
      </c>
      <c r="H265" s="75">
        <f t="shared" si="121"/>
        <v>909773.3348775917</v>
      </c>
      <c r="I265" s="75">
        <f t="shared" si="121"/>
        <v>18935.052566638788</v>
      </c>
      <c r="J265" s="75">
        <f t="shared" si="121"/>
        <v>421925.02789959486</v>
      </c>
      <c r="K265" s="75">
        <f t="shared" si="121"/>
        <v>261531.01216604761</v>
      </c>
      <c r="L265" s="75">
        <f t="shared" si="121"/>
        <v>250965.28610442657</v>
      </c>
      <c r="M265" s="75">
        <f t="shared" si="121"/>
        <v>0</v>
      </c>
      <c r="N265" s="75">
        <f t="shared" si="121"/>
        <v>8278.10880160548</v>
      </c>
      <c r="O265" s="75">
        <f>SUM(O260:O264)</f>
        <v>144144.53759066763</v>
      </c>
      <c r="P265" s="75">
        <f t="shared" si="121"/>
        <v>1047.5772260475508</v>
      </c>
      <c r="Q265" s="75">
        <f t="shared" si="121"/>
        <v>1703.7315200002568</v>
      </c>
      <c r="R265" s="75">
        <f t="shared" si="121"/>
        <v>50.554889142406516</v>
      </c>
      <c r="S265" s="75">
        <f t="shared" si="121"/>
        <v>123.01561444872092</v>
      </c>
      <c r="T265" s="75">
        <f t="shared" si="121"/>
        <v>0</v>
      </c>
      <c r="U265" s="75">
        <f t="shared" si="121"/>
        <v>0</v>
      </c>
      <c r="V265" s="75">
        <f t="shared" si="121"/>
        <v>0</v>
      </c>
      <c r="W265" s="75">
        <f t="shared" si="121"/>
        <v>0</v>
      </c>
      <c r="X265" s="75">
        <f>SUM(X260:X264)</f>
        <v>0</v>
      </c>
      <c r="Y265" s="75">
        <f>SUM(Y260:Y264)</f>
        <v>0</v>
      </c>
      <c r="Z265" s="75">
        <f>SUM(Z260:Z264)</f>
        <v>0</v>
      </c>
      <c r="AA265" s="79">
        <f t="shared" si="119"/>
        <v>8221904.1099755084</v>
      </c>
      <c r="AB265" s="92" t="str">
        <f t="shared" si="120"/>
        <v>ok</v>
      </c>
    </row>
    <row r="266" spans="1:28">
      <c r="F266" s="78"/>
    </row>
    <row r="267" spans="1:28" ht="15">
      <c r="A267" s="65" t="s">
        <v>613</v>
      </c>
      <c r="F267" s="78"/>
    </row>
    <row r="268" spans="1:28">
      <c r="A268" s="68" t="s">
        <v>1016</v>
      </c>
      <c r="C268" s="60" t="s">
        <v>98</v>
      </c>
      <c r="D268" s="60" t="s">
        <v>478</v>
      </c>
      <c r="E268" s="60" t="s">
        <v>1209</v>
      </c>
      <c r="F268" s="75">
        <f>VLOOKUP(C268,'Functional Assignment'!$C$2:$AP$780,'Functional Assignment'!$X$2,)</f>
        <v>214386.23873627349</v>
      </c>
      <c r="G268" s="75">
        <f t="shared" ref="G268:P269" si="122">IF(VLOOKUP($E268,$D$6:$AN$1148,3,)=0,0,(VLOOKUP($E268,$D$6:$AN$1148,G$2,)/VLOOKUP($E268,$D$6:$AN$1148,3,))*$F268)</f>
        <v>148310.2923257653</v>
      </c>
      <c r="H268" s="75">
        <f t="shared" si="122"/>
        <v>23702.715023306158</v>
      </c>
      <c r="I268" s="75">
        <f t="shared" si="122"/>
        <v>0</v>
      </c>
      <c r="J268" s="75">
        <f t="shared" si="122"/>
        <v>22449.77717423634</v>
      </c>
      <c r="K268" s="75">
        <f t="shared" si="122"/>
        <v>0</v>
      </c>
      <c r="L268" s="75">
        <f t="shared" si="122"/>
        <v>18726.667510672112</v>
      </c>
      <c r="M268" s="75">
        <f t="shared" si="122"/>
        <v>0</v>
      </c>
      <c r="N268" s="75">
        <f t="shared" si="122"/>
        <v>0</v>
      </c>
      <c r="O268" s="75">
        <f t="shared" si="122"/>
        <v>1136.8380108728416</v>
      </c>
      <c r="P268" s="75">
        <f t="shared" si="122"/>
        <v>39.596091111195364</v>
      </c>
      <c r="Q268" s="75">
        <f t="shared" ref="Q268:Z269" si="123">IF(VLOOKUP($E268,$D$6:$AN$1148,3,)=0,0,(VLOOKUP($E268,$D$6:$AN$1148,Q$2,)/VLOOKUP($E268,$D$6:$AN$1148,3,))*$F268)</f>
        <v>18.176448232158858</v>
      </c>
      <c r="R268" s="75">
        <f t="shared" si="123"/>
        <v>1.978092503635607</v>
      </c>
      <c r="S268" s="75">
        <f t="shared" si="123"/>
        <v>0.19805957374145217</v>
      </c>
      <c r="T268" s="75">
        <f t="shared" si="123"/>
        <v>0</v>
      </c>
      <c r="U268" s="75">
        <f t="shared" si="123"/>
        <v>0</v>
      </c>
      <c r="V268" s="75">
        <f t="shared" si="123"/>
        <v>0</v>
      </c>
      <c r="W268" s="75">
        <f t="shared" si="123"/>
        <v>0</v>
      </c>
      <c r="X268" s="75">
        <f t="shared" si="123"/>
        <v>0</v>
      </c>
      <c r="Y268" s="75">
        <f t="shared" si="123"/>
        <v>0</v>
      </c>
      <c r="Z268" s="75">
        <f t="shared" si="123"/>
        <v>0</v>
      </c>
      <c r="AA268" s="79">
        <f>SUM(G268:Z268)</f>
        <v>214386.23873627349</v>
      </c>
      <c r="AB268" s="92" t="str">
        <f>IF(ABS(F268-AA268)&lt;0.01,"ok","err")</f>
        <v>ok</v>
      </c>
    </row>
    <row r="269" spans="1:28">
      <c r="A269" s="68" t="s">
        <v>1019</v>
      </c>
      <c r="C269" s="60" t="s">
        <v>98</v>
      </c>
      <c r="D269" s="60" t="s">
        <v>479</v>
      </c>
      <c r="E269" s="60" t="s">
        <v>1207</v>
      </c>
      <c r="F269" s="78">
        <f>VLOOKUP(C269,'Functional Assignment'!$C$2:$AP$780,'Functional Assignment'!$Y$2,)</f>
        <v>119500.58441743354</v>
      </c>
      <c r="G269" s="78">
        <f t="shared" si="122"/>
        <v>103375.76536566857</v>
      </c>
      <c r="H269" s="78">
        <f t="shared" si="122"/>
        <v>12418.08694124465</v>
      </c>
      <c r="I269" s="78">
        <f t="shared" si="122"/>
        <v>0</v>
      </c>
      <c r="J269" s="78">
        <f t="shared" si="122"/>
        <v>761.74088541912704</v>
      </c>
      <c r="K269" s="78">
        <f t="shared" si="122"/>
        <v>0</v>
      </c>
      <c r="L269" s="78">
        <f t="shared" si="122"/>
        <v>138.25607383664567</v>
      </c>
      <c r="M269" s="78">
        <f t="shared" si="122"/>
        <v>0</v>
      </c>
      <c r="N269" s="78">
        <f t="shared" si="122"/>
        <v>0</v>
      </c>
      <c r="O269" s="78">
        <f t="shared" si="122"/>
        <v>2768.4071506294908</v>
      </c>
      <c r="P269" s="78">
        <f t="shared" si="122"/>
        <v>4.8974667478089868</v>
      </c>
      <c r="Q269" s="78">
        <f t="shared" si="123"/>
        <v>30.419048123037182</v>
      </c>
      <c r="R269" s="78">
        <f t="shared" si="123"/>
        <v>0.27377143310733465</v>
      </c>
      <c r="S269" s="78">
        <f t="shared" si="123"/>
        <v>2.7377143310733465</v>
      </c>
      <c r="T269" s="78">
        <f t="shared" si="123"/>
        <v>0</v>
      </c>
      <c r="U269" s="78">
        <f t="shared" si="123"/>
        <v>0</v>
      </c>
      <c r="V269" s="78">
        <f t="shared" si="123"/>
        <v>0</v>
      </c>
      <c r="W269" s="78">
        <f t="shared" si="123"/>
        <v>0</v>
      </c>
      <c r="X269" s="78">
        <f t="shared" si="123"/>
        <v>0</v>
      </c>
      <c r="Y269" s="78">
        <f t="shared" si="123"/>
        <v>0</v>
      </c>
      <c r="Z269" s="78">
        <f t="shared" si="123"/>
        <v>0</v>
      </c>
      <c r="AA269" s="78">
        <f>SUM(G269:Z269)</f>
        <v>119500.58441743349</v>
      </c>
      <c r="AB269" s="92" t="str">
        <f>IF(ABS(F269-AA269)&lt;0.01,"ok","err")</f>
        <v>ok</v>
      </c>
    </row>
    <row r="270" spans="1:28">
      <c r="A270" s="60" t="s">
        <v>674</v>
      </c>
      <c r="D270" s="60" t="s">
        <v>480</v>
      </c>
      <c r="F270" s="75">
        <f>F268+F269</f>
        <v>333886.82315370702</v>
      </c>
      <c r="G270" s="75">
        <f t="shared" ref="G270:W270" si="124">G268+G269</f>
        <v>251686.05769143387</v>
      </c>
      <c r="H270" s="75">
        <f t="shared" si="124"/>
        <v>36120.80196455081</v>
      </c>
      <c r="I270" s="75">
        <f t="shared" si="124"/>
        <v>0</v>
      </c>
      <c r="J270" s="75">
        <f t="shared" si="124"/>
        <v>23211.518059655467</v>
      </c>
      <c r="K270" s="75">
        <f t="shared" si="124"/>
        <v>0</v>
      </c>
      <c r="L270" s="75">
        <f t="shared" si="124"/>
        <v>18864.923584508757</v>
      </c>
      <c r="M270" s="75">
        <f t="shared" si="124"/>
        <v>0</v>
      </c>
      <c r="N270" s="75">
        <f t="shared" si="124"/>
        <v>0</v>
      </c>
      <c r="O270" s="75">
        <f>O268+O269</f>
        <v>3905.2451615023324</v>
      </c>
      <c r="P270" s="75">
        <f t="shared" si="124"/>
        <v>44.493557859004348</v>
      </c>
      <c r="Q270" s="75">
        <f t="shared" si="124"/>
        <v>48.59549635519604</v>
      </c>
      <c r="R270" s="75">
        <f t="shared" si="124"/>
        <v>2.2518639367429416</v>
      </c>
      <c r="S270" s="75">
        <f t="shared" si="124"/>
        <v>2.9357739048147988</v>
      </c>
      <c r="T270" s="75">
        <f t="shared" si="124"/>
        <v>0</v>
      </c>
      <c r="U270" s="75">
        <f t="shared" si="124"/>
        <v>0</v>
      </c>
      <c r="V270" s="75">
        <f t="shared" si="124"/>
        <v>0</v>
      </c>
      <c r="W270" s="75">
        <f t="shared" si="124"/>
        <v>0</v>
      </c>
      <c r="X270" s="75">
        <f>X268+X269</f>
        <v>0</v>
      </c>
      <c r="Y270" s="75">
        <f>Y268+Y269</f>
        <v>0</v>
      </c>
      <c r="Z270" s="75">
        <f>Z268+Z269</f>
        <v>0</v>
      </c>
      <c r="AA270" s="79">
        <f>SUM(G270:Z270)</f>
        <v>333886.82315370697</v>
      </c>
      <c r="AB270" s="92" t="str">
        <f>IF(ABS(F270-AA270)&lt;0.01,"ok","err")</f>
        <v>ok</v>
      </c>
    </row>
    <row r="271" spans="1:28">
      <c r="F271" s="78"/>
    </row>
    <row r="272" spans="1:28" ht="15">
      <c r="A272" s="65" t="s">
        <v>343</v>
      </c>
      <c r="F272" s="78"/>
    </row>
    <row r="273" spans="1:28">
      <c r="A273" s="68" t="s">
        <v>1019</v>
      </c>
      <c r="C273" s="60" t="s">
        <v>98</v>
      </c>
      <c r="D273" s="60" t="s">
        <v>481</v>
      </c>
      <c r="E273" s="60" t="s">
        <v>1021</v>
      </c>
      <c r="F273" s="75">
        <f>VLOOKUP(C273,'Functional Assignment'!$C$2:$AP$780,'Functional Assignment'!$Z$2,)</f>
        <v>54624.483716633593</v>
      </c>
      <c r="G273" s="75">
        <f t="shared" ref="G273:Z273" si="125">IF(VLOOKUP($E273,$D$6:$AN$1148,3,)=0,0,(VLOOKUP($E273,$D$6:$AN$1148,G$2,)/VLOOKUP($E273,$D$6:$AN$1148,3,))*$F273)</f>
        <v>47049.254241354349</v>
      </c>
      <c r="H273" s="75">
        <f t="shared" si="125"/>
        <v>6700.949420974619</v>
      </c>
      <c r="I273" s="75">
        <f t="shared" si="125"/>
        <v>0</v>
      </c>
      <c r="J273" s="75">
        <f t="shared" si="125"/>
        <v>689.25187437710895</v>
      </c>
      <c r="K273" s="75">
        <f t="shared" si="125"/>
        <v>0</v>
      </c>
      <c r="L273" s="75">
        <f t="shared" si="125"/>
        <v>184.78046121235539</v>
      </c>
      <c r="M273" s="75">
        <f t="shared" si="125"/>
        <v>0</v>
      </c>
      <c r="N273" s="75">
        <f t="shared" si="125"/>
        <v>0</v>
      </c>
      <c r="O273" s="75">
        <f t="shared" si="125"/>
        <v>0</v>
      </c>
      <c r="P273" s="75">
        <f t="shared" si="125"/>
        <v>0</v>
      </c>
      <c r="Q273" s="75">
        <f t="shared" si="125"/>
        <v>0</v>
      </c>
      <c r="R273" s="75">
        <f t="shared" si="125"/>
        <v>0.24771871515904265</v>
      </c>
      <c r="S273" s="75">
        <f t="shared" si="125"/>
        <v>0</v>
      </c>
      <c r="T273" s="75">
        <f t="shared" si="125"/>
        <v>0</v>
      </c>
      <c r="U273" s="75">
        <f t="shared" si="125"/>
        <v>0</v>
      </c>
      <c r="V273" s="75">
        <f t="shared" si="125"/>
        <v>0</v>
      </c>
      <c r="W273" s="75">
        <f t="shared" si="125"/>
        <v>0</v>
      </c>
      <c r="X273" s="75">
        <f t="shared" si="125"/>
        <v>0</v>
      </c>
      <c r="Y273" s="75">
        <f t="shared" si="125"/>
        <v>0</v>
      </c>
      <c r="Z273" s="75">
        <f t="shared" si="125"/>
        <v>0</v>
      </c>
      <c r="AA273" s="79">
        <f>SUM(G273:Z273)</f>
        <v>54624.483716633593</v>
      </c>
      <c r="AB273" s="92" t="str">
        <f>IF(ABS(F273-AA273)&lt;0.01,"ok","err")</f>
        <v>ok</v>
      </c>
    </row>
    <row r="274" spans="1:28">
      <c r="F274" s="78"/>
    </row>
    <row r="275" spans="1:28" ht="15">
      <c r="A275" s="65" t="s">
        <v>342</v>
      </c>
      <c r="F275" s="78"/>
    </row>
    <row r="276" spans="1:28">
      <c r="A276" s="68" t="s">
        <v>1019</v>
      </c>
      <c r="C276" s="60" t="s">
        <v>98</v>
      </c>
      <c r="D276" s="60" t="s">
        <v>482</v>
      </c>
      <c r="E276" s="60" t="s">
        <v>1022</v>
      </c>
      <c r="F276" s="75">
        <f>VLOOKUP(C276,'Functional Assignment'!$C$2:$AP$780,'Functional Assignment'!$AA$2,)</f>
        <v>4648097.8497791598</v>
      </c>
      <c r="G276" s="75">
        <f t="shared" ref="G276:Z276" si="126">IF(VLOOKUP($E276,$D$6:$AN$1148,3,)=0,0,(VLOOKUP($E276,$D$6:$AN$1148,G$2,)/VLOOKUP($E276,$D$6:$AN$1148,3,))*$F276)</f>
        <v>3177189.8454390001</v>
      </c>
      <c r="H276" s="75">
        <f t="shared" si="126"/>
        <v>987164.95570222056</v>
      </c>
      <c r="I276" s="75">
        <f t="shared" si="126"/>
        <v>32266.707592283525</v>
      </c>
      <c r="J276" s="75">
        <f t="shared" si="126"/>
        <v>276058.25487258285</v>
      </c>
      <c r="K276" s="75">
        <f t="shared" si="126"/>
        <v>64449.421625424366</v>
      </c>
      <c r="L276" s="75">
        <f t="shared" si="126"/>
        <v>54575.007598517128</v>
      </c>
      <c r="M276" s="75">
        <f t="shared" si="126"/>
        <v>45546.045649013242</v>
      </c>
      <c r="N276" s="75">
        <f t="shared" si="126"/>
        <v>979.51527703530553</v>
      </c>
      <c r="O276" s="75">
        <f t="shared" si="126"/>
        <v>0</v>
      </c>
      <c r="P276" s="75">
        <f t="shared" si="126"/>
        <v>1354.6853469984869</v>
      </c>
      <c r="Q276" s="75">
        <f t="shared" si="126"/>
        <v>8414.1947018539558</v>
      </c>
      <c r="R276" s="75">
        <f t="shared" si="126"/>
        <v>99.215974229862624</v>
      </c>
      <c r="S276" s="75">
        <f t="shared" si="126"/>
        <v>0</v>
      </c>
      <c r="T276" s="75">
        <f t="shared" si="126"/>
        <v>0</v>
      </c>
      <c r="U276" s="75">
        <f t="shared" si="126"/>
        <v>0</v>
      </c>
      <c r="V276" s="75">
        <f t="shared" si="126"/>
        <v>0</v>
      </c>
      <c r="W276" s="75">
        <f t="shared" si="126"/>
        <v>0</v>
      </c>
      <c r="X276" s="75">
        <f t="shared" si="126"/>
        <v>0</v>
      </c>
      <c r="Y276" s="75">
        <f t="shared" si="126"/>
        <v>0</v>
      </c>
      <c r="Z276" s="75">
        <f t="shared" si="126"/>
        <v>0</v>
      </c>
      <c r="AA276" s="79">
        <f>SUM(G276:Z276)</f>
        <v>4648097.8497791607</v>
      </c>
      <c r="AB276" s="92" t="str">
        <f>IF(ABS(F276-AA276)&lt;0.01,"ok","err")</f>
        <v>ok</v>
      </c>
    </row>
    <row r="277" spans="1:28">
      <c r="F277" s="78"/>
    </row>
    <row r="278" spans="1:28" ht="15">
      <c r="A278" s="65" t="s">
        <v>358</v>
      </c>
      <c r="F278" s="78"/>
    </row>
    <row r="279" spans="1:28">
      <c r="A279" s="68" t="s">
        <v>1019</v>
      </c>
      <c r="C279" s="60" t="s">
        <v>98</v>
      </c>
      <c r="D279" s="60" t="s">
        <v>483</v>
      </c>
      <c r="E279" s="60" t="s">
        <v>1023</v>
      </c>
      <c r="F279" s="75">
        <f>VLOOKUP(C279,'Functional Assignment'!$C$2:$AP$780,'Functional Assignment'!$AB$2,)</f>
        <v>187932.13640545908</v>
      </c>
      <c r="G279" s="75">
        <f t="shared" ref="G279:Z279" si="127">IF(VLOOKUP($E279,$D$6:$AN$1148,3,)=0,0,(VLOOKUP($E279,$D$6:$AN$1148,G$2,)/VLOOKUP($E279,$D$6:$AN$1148,3,))*$F279)</f>
        <v>0</v>
      </c>
      <c r="H279" s="75">
        <f t="shared" si="127"/>
        <v>0</v>
      </c>
      <c r="I279" s="75">
        <f t="shared" si="127"/>
        <v>0</v>
      </c>
      <c r="J279" s="75">
        <f t="shared" si="127"/>
        <v>0</v>
      </c>
      <c r="K279" s="75">
        <f t="shared" si="127"/>
        <v>0</v>
      </c>
      <c r="L279" s="75">
        <f t="shared" si="127"/>
        <v>0</v>
      </c>
      <c r="M279" s="75">
        <f t="shared" si="127"/>
        <v>0</v>
      </c>
      <c r="N279" s="75">
        <f t="shared" si="127"/>
        <v>0</v>
      </c>
      <c r="O279" s="75">
        <f t="shared" si="127"/>
        <v>187932.13640545908</v>
      </c>
      <c r="P279" s="75">
        <f t="shared" si="127"/>
        <v>0</v>
      </c>
      <c r="Q279" s="75">
        <f t="shared" si="127"/>
        <v>0</v>
      </c>
      <c r="R279" s="75">
        <f t="shared" si="127"/>
        <v>0</v>
      </c>
      <c r="S279" s="75">
        <f t="shared" si="127"/>
        <v>0</v>
      </c>
      <c r="T279" s="75">
        <f t="shared" si="127"/>
        <v>0</v>
      </c>
      <c r="U279" s="75">
        <f t="shared" si="127"/>
        <v>0</v>
      </c>
      <c r="V279" s="75">
        <f t="shared" si="127"/>
        <v>0</v>
      </c>
      <c r="W279" s="75">
        <f t="shared" si="127"/>
        <v>0</v>
      </c>
      <c r="X279" s="75">
        <f t="shared" si="127"/>
        <v>0</v>
      </c>
      <c r="Y279" s="75">
        <f t="shared" si="127"/>
        <v>0</v>
      </c>
      <c r="Z279" s="75">
        <f t="shared" si="127"/>
        <v>0</v>
      </c>
      <c r="AA279" s="79">
        <f>SUM(G279:Z279)</f>
        <v>187932.13640545908</v>
      </c>
      <c r="AB279" s="92" t="str">
        <f>IF(ABS(F279-AA279)&lt;0.01,"ok","err")</f>
        <v>ok</v>
      </c>
    </row>
    <row r="280" spans="1:28">
      <c r="F280" s="78"/>
    </row>
    <row r="281" spans="1:28" ht="15">
      <c r="A281" s="65" t="s">
        <v>951</v>
      </c>
      <c r="F281" s="78"/>
    </row>
    <row r="282" spans="1:28">
      <c r="A282" s="68" t="s">
        <v>1019</v>
      </c>
      <c r="C282" s="60" t="s">
        <v>98</v>
      </c>
      <c r="D282" s="60" t="s">
        <v>484</v>
      </c>
      <c r="E282" s="60" t="s">
        <v>1024</v>
      </c>
      <c r="F282" s="75">
        <f>VLOOKUP(C282,'Functional Assignment'!$C$2:$AP$780,'Functional Assignment'!$AC$2,)</f>
        <v>6530471.1273467047</v>
      </c>
      <c r="G282" s="75">
        <f t="shared" ref="G282:Z282" si="128">IF(VLOOKUP($E282,$D$6:$AN$1148,3,)=0,0,(VLOOKUP($E282,$D$6:$AN$1148,G$2,)/VLOOKUP($E282,$D$6:$AN$1148,3,))*$F282)</f>
        <v>4843684.2452525506</v>
      </c>
      <c r="H282" s="75">
        <f t="shared" si="128"/>
        <v>1163701.9926424443</v>
      </c>
      <c r="I282" s="75">
        <f t="shared" si="128"/>
        <v>4489.65800086748</v>
      </c>
      <c r="J282" s="75">
        <f t="shared" si="128"/>
        <v>178457.31601686854</v>
      </c>
      <c r="K282" s="75">
        <f t="shared" si="128"/>
        <v>42201.028003457293</v>
      </c>
      <c r="L282" s="75">
        <f t="shared" si="128"/>
        <v>161950.1350931311</v>
      </c>
      <c r="M282" s="75">
        <f t="shared" si="128"/>
        <v>4168.9681436626597</v>
      </c>
      <c r="N282" s="75">
        <f t="shared" si="128"/>
        <v>128.27594288192802</v>
      </c>
      <c r="O282" s="75">
        <f t="shared" si="128"/>
        <v>129714.05873045983</v>
      </c>
      <c r="P282" s="75">
        <f t="shared" si="128"/>
        <v>229.47140893322674</v>
      </c>
      <c r="Q282" s="75">
        <f t="shared" si="128"/>
        <v>1425.2882542436444</v>
      </c>
      <c r="R282" s="75">
        <f t="shared" si="128"/>
        <v>64.137971440964009</v>
      </c>
      <c r="S282" s="75">
        <f t="shared" si="128"/>
        <v>256.55188576385603</v>
      </c>
      <c r="T282" s="75">
        <f t="shared" si="128"/>
        <v>0</v>
      </c>
      <c r="U282" s="75">
        <f t="shared" si="128"/>
        <v>0</v>
      </c>
      <c r="V282" s="75">
        <f t="shared" si="128"/>
        <v>0</v>
      </c>
      <c r="W282" s="75">
        <f t="shared" si="128"/>
        <v>0</v>
      </c>
      <c r="X282" s="75">
        <f t="shared" si="128"/>
        <v>0</v>
      </c>
      <c r="Y282" s="75">
        <f t="shared" si="128"/>
        <v>0</v>
      </c>
      <c r="Z282" s="75">
        <f t="shared" si="128"/>
        <v>0</v>
      </c>
      <c r="AA282" s="79">
        <f>SUM(G282:Z282)</f>
        <v>6530471.1273467056</v>
      </c>
      <c r="AB282" s="92" t="str">
        <f>IF(ABS(F282-AA282)&lt;0.01,"ok","err")</f>
        <v>ok</v>
      </c>
    </row>
    <row r="283" spans="1:28">
      <c r="F283" s="78"/>
    </row>
    <row r="284" spans="1:28" ht="15">
      <c r="A284" s="65" t="s">
        <v>340</v>
      </c>
      <c r="F284" s="78"/>
    </row>
    <row r="285" spans="1:28">
      <c r="A285" s="68" t="s">
        <v>1019</v>
      </c>
      <c r="C285" s="60" t="s">
        <v>98</v>
      </c>
      <c r="D285" s="60" t="s">
        <v>485</v>
      </c>
      <c r="E285" s="60" t="s">
        <v>1024</v>
      </c>
      <c r="F285" s="75">
        <f>VLOOKUP(C285,'Functional Assignment'!$C$2:$AP$780,'Functional Assignment'!$AD$2,)</f>
        <v>1422705.1256976379</v>
      </c>
      <c r="G285" s="75">
        <f t="shared" ref="G285:Z285" si="129">IF(VLOOKUP($E285,$D$6:$AN$1148,3,)=0,0,(VLOOKUP($E285,$D$6:$AN$1148,G$2,)/VLOOKUP($E285,$D$6:$AN$1148,3,))*$F285)</f>
        <v>1055227.7574775112</v>
      </c>
      <c r="H285" s="75">
        <f t="shared" si="129"/>
        <v>253519.96164319979</v>
      </c>
      <c r="I285" s="75">
        <f t="shared" si="129"/>
        <v>978.10086376704703</v>
      </c>
      <c r="J285" s="75">
        <f t="shared" si="129"/>
        <v>38878.073765957684</v>
      </c>
      <c r="K285" s="75">
        <f t="shared" si="129"/>
        <v>9193.7653010682589</v>
      </c>
      <c r="L285" s="75">
        <f t="shared" si="129"/>
        <v>35281.878261367609</v>
      </c>
      <c r="M285" s="75">
        <f t="shared" si="129"/>
        <v>908.2365163551151</v>
      </c>
      <c r="N285" s="75">
        <f t="shared" si="129"/>
        <v>27.945738964772776</v>
      </c>
      <c r="O285" s="75">
        <f t="shared" si="129"/>
        <v>28259.041749388947</v>
      </c>
      <c r="P285" s="75">
        <f t="shared" si="129"/>
        <v>49.991821925871292</v>
      </c>
      <c r="Q285" s="75">
        <f t="shared" si="129"/>
        <v>310.5082107196975</v>
      </c>
      <c r="R285" s="75">
        <f t="shared" si="129"/>
        <v>13.972869482386388</v>
      </c>
      <c r="S285" s="75">
        <f t="shared" si="129"/>
        <v>55.891477929545552</v>
      </c>
      <c r="T285" s="75">
        <f t="shared" si="129"/>
        <v>0</v>
      </c>
      <c r="U285" s="75">
        <f t="shared" si="129"/>
        <v>0</v>
      </c>
      <c r="V285" s="75">
        <f t="shared" si="129"/>
        <v>0</v>
      </c>
      <c r="W285" s="75">
        <f t="shared" si="129"/>
        <v>0</v>
      </c>
      <c r="X285" s="75">
        <f t="shared" si="129"/>
        <v>0</v>
      </c>
      <c r="Y285" s="75">
        <f t="shared" si="129"/>
        <v>0</v>
      </c>
      <c r="Z285" s="75">
        <f t="shared" si="129"/>
        <v>0</v>
      </c>
      <c r="AA285" s="79">
        <f>SUM(G285:Z285)</f>
        <v>1422705.1256976381</v>
      </c>
      <c r="AB285" s="92" t="str">
        <f>IF(ABS(F285-AA285)&lt;0.01,"ok","err")</f>
        <v>ok</v>
      </c>
    </row>
    <row r="286" spans="1:28">
      <c r="F286" s="78"/>
    </row>
    <row r="287" spans="1:28" ht="15">
      <c r="A287" s="65" t="s">
        <v>339</v>
      </c>
      <c r="F287" s="78"/>
    </row>
    <row r="288" spans="1:28">
      <c r="A288" s="68" t="s">
        <v>1019</v>
      </c>
      <c r="C288" s="60" t="s">
        <v>98</v>
      </c>
      <c r="D288" s="60" t="s">
        <v>486</v>
      </c>
      <c r="E288" s="60" t="s">
        <v>1025</v>
      </c>
      <c r="F288" s="75">
        <f>VLOOKUP(C288,'Functional Assignment'!$C$2:$AP$780,'Functional Assignment'!$AE$2,)</f>
        <v>0</v>
      </c>
      <c r="G288" s="75">
        <f t="shared" ref="G288:Z288" si="130">IF(VLOOKUP($E288,$D$6:$AN$1148,3,)=0,0,(VLOOKUP($E288,$D$6:$AN$1148,G$2,)/VLOOKUP($E288,$D$6:$AN$1148,3,))*$F288)</f>
        <v>0</v>
      </c>
      <c r="H288" s="75">
        <f t="shared" si="130"/>
        <v>0</v>
      </c>
      <c r="I288" s="75">
        <f t="shared" si="130"/>
        <v>0</v>
      </c>
      <c r="J288" s="75">
        <f t="shared" si="130"/>
        <v>0</v>
      </c>
      <c r="K288" s="75">
        <f t="shared" si="130"/>
        <v>0</v>
      </c>
      <c r="L288" s="75">
        <f t="shared" si="130"/>
        <v>0</v>
      </c>
      <c r="M288" s="75">
        <f t="shared" si="130"/>
        <v>0</v>
      </c>
      <c r="N288" s="75">
        <f t="shared" si="130"/>
        <v>0</v>
      </c>
      <c r="O288" s="75">
        <f t="shared" si="130"/>
        <v>0</v>
      </c>
      <c r="P288" s="75">
        <f t="shared" si="130"/>
        <v>0</v>
      </c>
      <c r="Q288" s="75">
        <f t="shared" si="130"/>
        <v>0</v>
      </c>
      <c r="R288" s="75">
        <f t="shared" si="130"/>
        <v>0</v>
      </c>
      <c r="S288" s="75">
        <f t="shared" si="130"/>
        <v>0</v>
      </c>
      <c r="T288" s="75">
        <f t="shared" si="130"/>
        <v>0</v>
      </c>
      <c r="U288" s="75">
        <f t="shared" si="130"/>
        <v>0</v>
      </c>
      <c r="V288" s="75">
        <f t="shared" si="130"/>
        <v>0</v>
      </c>
      <c r="W288" s="75">
        <f t="shared" si="130"/>
        <v>0</v>
      </c>
      <c r="X288" s="75">
        <f t="shared" si="130"/>
        <v>0</v>
      </c>
      <c r="Y288" s="75">
        <f t="shared" si="130"/>
        <v>0</v>
      </c>
      <c r="Z288" s="75">
        <f t="shared" si="130"/>
        <v>0</v>
      </c>
      <c r="AA288" s="79">
        <f>SUM(G288:Z288)</f>
        <v>0</v>
      </c>
      <c r="AB288" s="92" t="str">
        <f>IF(ABS(F288-AA288)&lt;0.01,"ok","err")</f>
        <v>ok</v>
      </c>
    </row>
    <row r="289" spans="1:28">
      <c r="F289" s="78"/>
    </row>
    <row r="290" spans="1:28">
      <c r="A290" s="60" t="s">
        <v>848</v>
      </c>
      <c r="D290" s="60" t="s">
        <v>1034</v>
      </c>
      <c r="F290" s="75">
        <f>F245+F251+F254+F257+F265+F270+F273+F276+F279+F282+F285+F288</f>
        <v>73368547.410000011</v>
      </c>
      <c r="G290" s="75">
        <f t="shared" ref="G290:Z290" si="131">G245+G251+G254+G257+G265+G270+G273+G276+G279+G282+G285+G288</f>
        <v>36584044.451714039</v>
      </c>
      <c r="H290" s="75">
        <f t="shared" si="131"/>
        <v>9296234.5636339579</v>
      </c>
      <c r="I290" s="75">
        <f t="shared" si="131"/>
        <v>506819.41493943217</v>
      </c>
      <c r="J290" s="75">
        <f t="shared" si="131"/>
        <v>8016968.4039998213</v>
      </c>
      <c r="K290" s="75">
        <f t="shared" si="131"/>
        <v>7868499.1790574323</v>
      </c>
      <c r="L290" s="75">
        <f t="shared" si="131"/>
        <v>6238971.5002969867</v>
      </c>
      <c r="M290" s="75">
        <f t="shared" si="131"/>
        <v>3758465.7583848736</v>
      </c>
      <c r="N290" s="75">
        <f t="shared" si="131"/>
        <v>225608.25588207922</v>
      </c>
      <c r="O290" s="75">
        <f>O245+O251+O254+O257+O265+O270+O273+O276+O279+O282+O285+O288</f>
        <v>834054.61182650388</v>
      </c>
      <c r="P290" s="75">
        <f t="shared" si="131"/>
        <v>14571.895095913977</v>
      </c>
      <c r="Q290" s="75">
        <f t="shared" si="131"/>
        <v>23418.635950204618</v>
      </c>
      <c r="R290" s="75">
        <f t="shared" si="131"/>
        <v>367.61730804851123</v>
      </c>
      <c r="S290" s="75">
        <f t="shared" si="131"/>
        <v>523.12191070331266</v>
      </c>
      <c r="T290" s="75">
        <f t="shared" si="131"/>
        <v>0</v>
      </c>
      <c r="U290" s="75">
        <f t="shared" si="131"/>
        <v>0</v>
      </c>
      <c r="V290" s="75">
        <f t="shared" si="131"/>
        <v>0</v>
      </c>
      <c r="W290" s="75">
        <f t="shared" si="131"/>
        <v>0</v>
      </c>
      <c r="X290" s="75">
        <f t="shared" si="131"/>
        <v>0</v>
      </c>
      <c r="Y290" s="75">
        <f t="shared" si="131"/>
        <v>0</v>
      </c>
      <c r="Z290" s="75">
        <f t="shared" si="131"/>
        <v>0</v>
      </c>
      <c r="AA290" s="79">
        <f>SUM(G290:Z290)</f>
        <v>73368547.410000011</v>
      </c>
      <c r="AB290" s="92" t="str">
        <f>IF(ABS(F290-AA290)&lt;0.01,"ok","err")</f>
        <v>ok</v>
      </c>
    </row>
    <row r="293" spans="1:28" ht="15">
      <c r="A293" s="65" t="s">
        <v>997</v>
      </c>
    </row>
    <row r="295" spans="1:28" ht="15">
      <c r="A295" s="65" t="s">
        <v>352</v>
      </c>
    </row>
    <row r="296" spans="1:28">
      <c r="A296" s="68" t="s">
        <v>1254</v>
      </c>
      <c r="C296" s="60" t="s">
        <v>999</v>
      </c>
      <c r="D296" s="60" t="s">
        <v>1430</v>
      </c>
      <c r="E296" s="60" t="s">
        <v>1418</v>
      </c>
      <c r="F296" s="75">
        <f>VLOOKUP(C296,'Functional Assignment'!$C$2:$AP$780,'Functional Assignment'!$H$2,)</f>
        <v>212733072.11107191</v>
      </c>
      <c r="G296" s="75">
        <f t="shared" ref="G296:P301" si="132">IF(VLOOKUP($E296,$D$6:$AN$1148,3,)=0,0,(VLOOKUP($E296,$D$6:$AN$1148,G$2,)/VLOOKUP($E296,$D$6:$AN$1148,3,))*$F296)</f>
        <v>88617120.513404801</v>
      </c>
      <c r="H296" s="75">
        <f t="shared" si="132"/>
        <v>25509050.94835994</v>
      </c>
      <c r="I296" s="75">
        <f t="shared" si="132"/>
        <v>1846830.9384252864</v>
      </c>
      <c r="J296" s="75">
        <f t="shared" si="132"/>
        <v>29739135.981205385</v>
      </c>
      <c r="K296" s="75">
        <f t="shared" si="132"/>
        <v>27874227.501054779</v>
      </c>
      <c r="L296" s="75">
        <f t="shared" si="132"/>
        <v>23051286.628180481</v>
      </c>
      <c r="M296" s="75">
        <f t="shared" si="132"/>
        <v>14260143.968363211</v>
      </c>
      <c r="N296" s="75">
        <f t="shared" si="132"/>
        <v>800657.9088493546</v>
      </c>
      <c r="O296" s="75">
        <f t="shared" si="132"/>
        <v>874764.26983598317</v>
      </c>
      <c r="P296" s="75">
        <f t="shared" si="132"/>
        <v>30468.057364347002</v>
      </c>
      <c r="Q296" s="75">
        <f t="shared" ref="Q296:Z301" si="133">IF(VLOOKUP($E296,$D$6:$AN$1148,3,)=0,0,(VLOOKUP($E296,$D$6:$AN$1148,Q$2,)/VLOOKUP($E296,$D$6:$AN$1148,3,))*$F296)</f>
        <v>41958.768040685594</v>
      </c>
      <c r="R296" s="75">
        <f t="shared" si="133"/>
        <v>40.741010046104066</v>
      </c>
      <c r="S296" s="75">
        <f t="shared" si="133"/>
        <v>361.95276924545766</v>
      </c>
      <c r="T296" s="75">
        <f t="shared" si="133"/>
        <v>83869.534208333309</v>
      </c>
      <c r="U296" s="75">
        <f t="shared" si="133"/>
        <v>3154.4</v>
      </c>
      <c r="V296" s="75">
        <f t="shared" si="133"/>
        <v>0</v>
      </c>
      <c r="W296" s="75">
        <f t="shared" si="133"/>
        <v>0</v>
      </c>
      <c r="X296" s="75">
        <f t="shared" si="133"/>
        <v>0</v>
      </c>
      <c r="Y296" s="75">
        <f t="shared" si="133"/>
        <v>0</v>
      </c>
      <c r="Z296" s="75">
        <f t="shared" si="133"/>
        <v>0</v>
      </c>
      <c r="AA296" s="79">
        <f t="shared" ref="AA296:AA302" si="134">SUM(G296:Z296)</f>
        <v>212733072.11107183</v>
      </c>
      <c r="AB296" s="92" t="str">
        <f t="shared" ref="AB296:AB302" si="135">IF(ABS(F296-AA296)&lt;0.01,"ok","err")</f>
        <v>ok</v>
      </c>
    </row>
    <row r="297" spans="1:28" hidden="1">
      <c r="A297" s="68" t="s">
        <v>1255</v>
      </c>
      <c r="C297" s="60" t="s">
        <v>999</v>
      </c>
      <c r="D297" s="60" t="s">
        <v>487</v>
      </c>
      <c r="E297" s="60" t="s">
        <v>1418</v>
      </c>
      <c r="F297" s="78">
        <f>VLOOKUP(C297,'Functional Assignment'!$C$2:$AP$780,'Functional Assignment'!$I$2,)</f>
        <v>0</v>
      </c>
      <c r="G297" s="78">
        <f t="shared" si="132"/>
        <v>0</v>
      </c>
      <c r="H297" s="78">
        <f t="shared" si="132"/>
        <v>0</v>
      </c>
      <c r="I297" s="78">
        <f t="shared" si="132"/>
        <v>0</v>
      </c>
      <c r="J297" s="78">
        <f t="shared" si="132"/>
        <v>0</v>
      </c>
      <c r="K297" s="78">
        <f t="shared" si="132"/>
        <v>0</v>
      </c>
      <c r="L297" s="78">
        <f t="shared" si="132"/>
        <v>0</v>
      </c>
      <c r="M297" s="78">
        <f t="shared" si="132"/>
        <v>0</v>
      </c>
      <c r="N297" s="78">
        <f t="shared" si="132"/>
        <v>0</v>
      </c>
      <c r="O297" s="78">
        <f t="shared" si="132"/>
        <v>0</v>
      </c>
      <c r="P297" s="78">
        <f t="shared" si="132"/>
        <v>0</v>
      </c>
      <c r="Q297" s="78">
        <f t="shared" si="133"/>
        <v>0</v>
      </c>
      <c r="R297" s="78">
        <f t="shared" si="133"/>
        <v>0</v>
      </c>
      <c r="S297" s="78">
        <f t="shared" si="133"/>
        <v>0</v>
      </c>
      <c r="T297" s="78">
        <f t="shared" si="133"/>
        <v>0</v>
      </c>
      <c r="U297" s="78">
        <f t="shared" si="133"/>
        <v>0</v>
      </c>
      <c r="V297" s="78">
        <f t="shared" si="133"/>
        <v>0</v>
      </c>
      <c r="W297" s="78">
        <f t="shared" si="133"/>
        <v>0</v>
      </c>
      <c r="X297" s="78">
        <f t="shared" si="133"/>
        <v>0</v>
      </c>
      <c r="Y297" s="78">
        <f t="shared" si="133"/>
        <v>0</v>
      </c>
      <c r="Z297" s="78">
        <f t="shared" si="133"/>
        <v>0</v>
      </c>
      <c r="AA297" s="78">
        <f t="shared" si="134"/>
        <v>0</v>
      </c>
      <c r="AB297" s="92" t="str">
        <f t="shared" si="135"/>
        <v>ok</v>
      </c>
    </row>
    <row r="298" spans="1:28" hidden="1">
      <c r="A298" s="68" t="s">
        <v>1255</v>
      </c>
      <c r="C298" s="60" t="s">
        <v>999</v>
      </c>
      <c r="D298" s="60" t="s">
        <v>488</v>
      </c>
      <c r="E298" s="60" t="s">
        <v>1418</v>
      </c>
      <c r="F298" s="78">
        <f>VLOOKUP(C298,'Functional Assignment'!$C$2:$AP$780,'Functional Assignment'!$J$2,)</f>
        <v>0</v>
      </c>
      <c r="G298" s="78">
        <f t="shared" si="132"/>
        <v>0</v>
      </c>
      <c r="H298" s="78">
        <f t="shared" si="132"/>
        <v>0</v>
      </c>
      <c r="I298" s="78">
        <f t="shared" si="132"/>
        <v>0</v>
      </c>
      <c r="J298" s="78">
        <f t="shared" si="132"/>
        <v>0</v>
      </c>
      <c r="K298" s="78">
        <f t="shared" si="132"/>
        <v>0</v>
      </c>
      <c r="L298" s="78">
        <f t="shared" si="132"/>
        <v>0</v>
      </c>
      <c r="M298" s="78">
        <f t="shared" si="132"/>
        <v>0</v>
      </c>
      <c r="N298" s="78">
        <f t="shared" si="132"/>
        <v>0</v>
      </c>
      <c r="O298" s="78">
        <f t="shared" si="132"/>
        <v>0</v>
      </c>
      <c r="P298" s="78">
        <f t="shared" si="132"/>
        <v>0</v>
      </c>
      <c r="Q298" s="78">
        <f t="shared" si="133"/>
        <v>0</v>
      </c>
      <c r="R298" s="78">
        <f t="shared" si="133"/>
        <v>0</v>
      </c>
      <c r="S298" s="78">
        <f t="shared" si="133"/>
        <v>0</v>
      </c>
      <c r="T298" s="78">
        <f t="shared" si="133"/>
        <v>0</v>
      </c>
      <c r="U298" s="78">
        <f t="shared" si="133"/>
        <v>0</v>
      </c>
      <c r="V298" s="78">
        <f t="shared" si="133"/>
        <v>0</v>
      </c>
      <c r="W298" s="78">
        <f t="shared" si="133"/>
        <v>0</v>
      </c>
      <c r="X298" s="78">
        <f t="shared" si="133"/>
        <v>0</v>
      </c>
      <c r="Y298" s="78">
        <f t="shared" si="133"/>
        <v>0</v>
      </c>
      <c r="Z298" s="78">
        <f t="shared" si="133"/>
        <v>0</v>
      </c>
      <c r="AA298" s="78">
        <f t="shared" si="134"/>
        <v>0</v>
      </c>
      <c r="AB298" s="92" t="str">
        <f t="shared" si="135"/>
        <v>ok</v>
      </c>
    </row>
    <row r="299" spans="1:28">
      <c r="A299" s="68" t="s">
        <v>1162</v>
      </c>
      <c r="C299" s="60" t="s">
        <v>999</v>
      </c>
      <c r="D299" s="60" t="s">
        <v>489</v>
      </c>
      <c r="E299" s="60" t="s">
        <v>1017</v>
      </c>
      <c r="F299" s="78">
        <f>VLOOKUP(C299,'Functional Assignment'!$C$2:$AP$780,'Functional Assignment'!$K$2,)</f>
        <v>0</v>
      </c>
      <c r="G299" s="78">
        <f t="shared" si="132"/>
        <v>0</v>
      </c>
      <c r="H299" s="78">
        <f t="shared" si="132"/>
        <v>0</v>
      </c>
      <c r="I299" s="78">
        <f t="shared" si="132"/>
        <v>0</v>
      </c>
      <c r="J299" s="78">
        <f t="shared" si="132"/>
        <v>0</v>
      </c>
      <c r="K299" s="78">
        <f t="shared" si="132"/>
        <v>0</v>
      </c>
      <c r="L299" s="78">
        <f t="shared" si="132"/>
        <v>0</v>
      </c>
      <c r="M299" s="78">
        <f t="shared" si="132"/>
        <v>0</v>
      </c>
      <c r="N299" s="78">
        <f t="shared" si="132"/>
        <v>0</v>
      </c>
      <c r="O299" s="78">
        <f t="shared" si="132"/>
        <v>0</v>
      </c>
      <c r="P299" s="78">
        <f t="shared" si="132"/>
        <v>0</v>
      </c>
      <c r="Q299" s="78">
        <f t="shared" si="133"/>
        <v>0</v>
      </c>
      <c r="R299" s="78">
        <f t="shared" si="133"/>
        <v>0</v>
      </c>
      <c r="S299" s="78">
        <f t="shared" si="133"/>
        <v>0</v>
      </c>
      <c r="T299" s="78">
        <f t="shared" si="133"/>
        <v>0</v>
      </c>
      <c r="U299" s="78">
        <f t="shared" si="133"/>
        <v>0</v>
      </c>
      <c r="V299" s="78">
        <f t="shared" si="133"/>
        <v>0</v>
      </c>
      <c r="W299" s="78">
        <f t="shared" si="133"/>
        <v>0</v>
      </c>
      <c r="X299" s="78">
        <f t="shared" si="133"/>
        <v>0</v>
      </c>
      <c r="Y299" s="78">
        <f t="shared" si="133"/>
        <v>0</v>
      </c>
      <c r="Z299" s="78">
        <f t="shared" si="133"/>
        <v>0</v>
      </c>
      <c r="AA299" s="78">
        <f t="shared" si="134"/>
        <v>0</v>
      </c>
      <c r="AB299" s="92" t="str">
        <f t="shared" si="135"/>
        <v>ok</v>
      </c>
    </row>
    <row r="300" spans="1:28" hidden="1">
      <c r="A300" s="68" t="s">
        <v>1163</v>
      </c>
      <c r="C300" s="60" t="s">
        <v>999</v>
      </c>
      <c r="D300" s="60" t="s">
        <v>490</v>
      </c>
      <c r="E300" s="60" t="s">
        <v>1017</v>
      </c>
      <c r="F300" s="78">
        <f>VLOOKUP(C300,'Functional Assignment'!$C$2:$AP$780,'Functional Assignment'!$L$2,)</f>
        <v>0</v>
      </c>
      <c r="G300" s="78">
        <f t="shared" si="132"/>
        <v>0</v>
      </c>
      <c r="H300" s="78">
        <f t="shared" si="132"/>
        <v>0</v>
      </c>
      <c r="I300" s="78">
        <f t="shared" si="132"/>
        <v>0</v>
      </c>
      <c r="J300" s="78">
        <f t="shared" si="132"/>
        <v>0</v>
      </c>
      <c r="K300" s="78">
        <f t="shared" si="132"/>
        <v>0</v>
      </c>
      <c r="L300" s="78">
        <f t="shared" si="132"/>
        <v>0</v>
      </c>
      <c r="M300" s="78">
        <f t="shared" si="132"/>
        <v>0</v>
      </c>
      <c r="N300" s="78">
        <f t="shared" si="132"/>
        <v>0</v>
      </c>
      <c r="O300" s="78">
        <f t="shared" si="132"/>
        <v>0</v>
      </c>
      <c r="P300" s="78">
        <f t="shared" si="132"/>
        <v>0</v>
      </c>
      <c r="Q300" s="78">
        <f t="shared" si="133"/>
        <v>0</v>
      </c>
      <c r="R300" s="78">
        <f t="shared" si="133"/>
        <v>0</v>
      </c>
      <c r="S300" s="78">
        <f t="shared" si="133"/>
        <v>0</v>
      </c>
      <c r="T300" s="78">
        <f t="shared" si="133"/>
        <v>0</v>
      </c>
      <c r="U300" s="78">
        <f t="shared" si="133"/>
        <v>0</v>
      </c>
      <c r="V300" s="78">
        <f t="shared" si="133"/>
        <v>0</v>
      </c>
      <c r="W300" s="78">
        <f t="shared" si="133"/>
        <v>0</v>
      </c>
      <c r="X300" s="78">
        <f t="shared" si="133"/>
        <v>0</v>
      </c>
      <c r="Y300" s="78">
        <f t="shared" si="133"/>
        <v>0</v>
      </c>
      <c r="Z300" s="78">
        <f t="shared" si="133"/>
        <v>0</v>
      </c>
      <c r="AA300" s="78">
        <f t="shared" si="134"/>
        <v>0</v>
      </c>
      <c r="AB300" s="92" t="str">
        <f t="shared" si="135"/>
        <v>ok</v>
      </c>
    </row>
    <row r="301" spans="1:28" hidden="1">
      <c r="A301" s="68" t="s">
        <v>1163</v>
      </c>
      <c r="C301" s="60" t="s">
        <v>999</v>
      </c>
      <c r="D301" s="60" t="s">
        <v>491</v>
      </c>
      <c r="E301" s="60" t="s">
        <v>1017</v>
      </c>
      <c r="F301" s="78">
        <f>VLOOKUP(C301,'Functional Assignment'!$C$2:$AP$780,'Functional Assignment'!$M$2,)</f>
        <v>0</v>
      </c>
      <c r="G301" s="78">
        <f t="shared" si="132"/>
        <v>0</v>
      </c>
      <c r="H301" s="78">
        <f t="shared" si="132"/>
        <v>0</v>
      </c>
      <c r="I301" s="78">
        <f t="shared" si="132"/>
        <v>0</v>
      </c>
      <c r="J301" s="78">
        <f t="shared" si="132"/>
        <v>0</v>
      </c>
      <c r="K301" s="78">
        <f t="shared" si="132"/>
        <v>0</v>
      </c>
      <c r="L301" s="78">
        <f t="shared" si="132"/>
        <v>0</v>
      </c>
      <c r="M301" s="78">
        <f t="shared" si="132"/>
        <v>0</v>
      </c>
      <c r="N301" s="78">
        <f t="shared" si="132"/>
        <v>0</v>
      </c>
      <c r="O301" s="78">
        <f t="shared" si="132"/>
        <v>0</v>
      </c>
      <c r="P301" s="78">
        <f t="shared" si="132"/>
        <v>0</v>
      </c>
      <c r="Q301" s="78">
        <f t="shared" si="133"/>
        <v>0</v>
      </c>
      <c r="R301" s="78">
        <f t="shared" si="133"/>
        <v>0</v>
      </c>
      <c r="S301" s="78">
        <f t="shared" si="133"/>
        <v>0</v>
      </c>
      <c r="T301" s="78">
        <f t="shared" si="133"/>
        <v>0</v>
      </c>
      <c r="U301" s="78">
        <f t="shared" si="133"/>
        <v>0</v>
      </c>
      <c r="V301" s="78">
        <f t="shared" si="133"/>
        <v>0</v>
      </c>
      <c r="W301" s="78">
        <f t="shared" si="133"/>
        <v>0</v>
      </c>
      <c r="X301" s="78">
        <f t="shared" si="133"/>
        <v>0</v>
      </c>
      <c r="Y301" s="78">
        <f t="shared" si="133"/>
        <v>0</v>
      </c>
      <c r="Z301" s="78">
        <f t="shared" si="133"/>
        <v>0</v>
      </c>
      <c r="AA301" s="78">
        <f t="shared" si="134"/>
        <v>0</v>
      </c>
      <c r="AB301" s="92" t="str">
        <f t="shared" si="135"/>
        <v>ok</v>
      </c>
    </row>
    <row r="302" spans="1:28">
      <c r="A302" s="60" t="s">
        <v>374</v>
      </c>
      <c r="D302" s="60" t="s">
        <v>492</v>
      </c>
      <c r="F302" s="75">
        <f>SUM(F296:F301)</f>
        <v>212733072.11107191</v>
      </c>
      <c r="G302" s="75">
        <f t="shared" ref="G302:P302" si="136">SUM(G296:G301)</f>
        <v>88617120.513404801</v>
      </c>
      <c r="H302" s="75">
        <f t="shared" si="136"/>
        <v>25509050.94835994</v>
      </c>
      <c r="I302" s="75">
        <f t="shared" si="136"/>
        <v>1846830.9384252864</v>
      </c>
      <c r="J302" s="75">
        <f t="shared" si="136"/>
        <v>29739135.981205385</v>
      </c>
      <c r="K302" s="75">
        <f t="shared" si="136"/>
        <v>27874227.501054779</v>
      </c>
      <c r="L302" s="75">
        <f t="shared" si="136"/>
        <v>23051286.628180481</v>
      </c>
      <c r="M302" s="75">
        <f t="shared" si="136"/>
        <v>14260143.968363211</v>
      </c>
      <c r="N302" s="75">
        <f t="shared" si="136"/>
        <v>800657.9088493546</v>
      </c>
      <c r="O302" s="75">
        <f>SUM(O296:O301)</f>
        <v>874764.26983598317</v>
      </c>
      <c r="P302" s="75">
        <f t="shared" si="136"/>
        <v>30468.057364347002</v>
      </c>
      <c r="Q302" s="75">
        <f t="shared" ref="Q302:W302" si="137">SUM(Q296:Q301)</f>
        <v>41958.768040685594</v>
      </c>
      <c r="R302" s="75">
        <f t="shared" si="137"/>
        <v>40.741010046104066</v>
      </c>
      <c r="S302" s="75">
        <f t="shared" si="137"/>
        <v>361.95276924545766</v>
      </c>
      <c r="T302" s="75">
        <f t="shared" si="137"/>
        <v>83869.534208333309</v>
      </c>
      <c r="U302" s="75">
        <f t="shared" si="137"/>
        <v>3154.4</v>
      </c>
      <c r="V302" s="75">
        <f t="shared" si="137"/>
        <v>0</v>
      </c>
      <c r="W302" s="75">
        <f t="shared" si="137"/>
        <v>0</v>
      </c>
      <c r="X302" s="75">
        <f>SUM(X296:X301)</f>
        <v>0</v>
      </c>
      <c r="Y302" s="75">
        <f>SUM(Y296:Y301)</f>
        <v>0</v>
      </c>
      <c r="Z302" s="75">
        <f>SUM(Z296:Z301)</f>
        <v>0</v>
      </c>
      <c r="AA302" s="79">
        <f t="shared" si="134"/>
        <v>212733072.11107183</v>
      </c>
      <c r="AB302" s="92" t="str">
        <f t="shared" si="135"/>
        <v>ok</v>
      </c>
    </row>
    <row r="303" spans="1:28">
      <c r="F303" s="78"/>
      <c r="G303" s="78"/>
    </row>
    <row r="304" spans="1:28" ht="15">
      <c r="A304" s="65" t="s">
        <v>1057</v>
      </c>
      <c r="F304" s="78"/>
      <c r="G304" s="78"/>
    </row>
    <row r="305" spans="1:28">
      <c r="A305" s="68" t="s">
        <v>1228</v>
      </c>
      <c r="C305" s="60" t="s">
        <v>999</v>
      </c>
      <c r="D305" s="60" t="s">
        <v>493</v>
      </c>
      <c r="E305" s="60" t="s">
        <v>1232</v>
      </c>
      <c r="F305" s="75">
        <f>VLOOKUP(C305,'Functional Assignment'!$C$2:$AP$780,'Functional Assignment'!$N$2,)</f>
        <v>14573794.862699246</v>
      </c>
      <c r="G305" s="75">
        <f t="shared" ref="G305:P307" si="138">IF(VLOOKUP($E305,$D$6:$AN$1148,3,)=0,0,(VLOOKUP($E305,$D$6:$AN$1148,G$2,)/VLOOKUP($E305,$D$6:$AN$1148,3,))*$F305)</f>
        <v>6895147.691278575</v>
      </c>
      <c r="H305" s="75">
        <f t="shared" si="138"/>
        <v>1684265.3014970038</v>
      </c>
      <c r="I305" s="75">
        <f t="shared" si="138"/>
        <v>110560.46013742064</v>
      </c>
      <c r="J305" s="75">
        <f t="shared" si="138"/>
        <v>1874067.9326051788</v>
      </c>
      <c r="K305" s="75">
        <f t="shared" si="138"/>
        <v>1571638.5821072957</v>
      </c>
      <c r="L305" s="75">
        <f t="shared" si="138"/>
        <v>1487932.4432695669</v>
      </c>
      <c r="M305" s="75">
        <f t="shared" si="138"/>
        <v>775930.60998458485</v>
      </c>
      <c r="N305" s="75">
        <f t="shared" si="138"/>
        <v>49861.842767949238</v>
      </c>
      <c r="O305" s="75">
        <f t="shared" si="138"/>
        <v>118159.13297112442</v>
      </c>
      <c r="P305" s="75">
        <f t="shared" si="138"/>
        <v>4115.4850119343955</v>
      </c>
      <c r="Q305" s="75">
        <f t="shared" ref="Q305:Z307" si="139">IF(VLOOKUP($E305,$D$6:$AN$1148,3,)=0,0,(VLOOKUP($E305,$D$6:$AN$1148,Q$2,)/VLOOKUP($E305,$D$6:$AN$1148,3,))*$F305)</f>
        <v>1889.1991146191942</v>
      </c>
      <c r="R305" s="75">
        <f t="shared" si="139"/>
        <v>205.59630565731268</v>
      </c>
      <c r="S305" s="75">
        <f t="shared" si="139"/>
        <v>20.585648338721946</v>
      </c>
      <c r="T305" s="75">
        <f t="shared" si="139"/>
        <v>0</v>
      </c>
      <c r="U305" s="75">
        <f t="shared" si="139"/>
        <v>0</v>
      </c>
      <c r="V305" s="75">
        <f t="shared" si="139"/>
        <v>0</v>
      </c>
      <c r="W305" s="75">
        <f t="shared" si="139"/>
        <v>0</v>
      </c>
      <c r="X305" s="75">
        <f t="shared" si="139"/>
        <v>0</v>
      </c>
      <c r="Y305" s="75">
        <f t="shared" si="139"/>
        <v>0</v>
      </c>
      <c r="Z305" s="75">
        <f t="shared" si="139"/>
        <v>0</v>
      </c>
      <c r="AA305" s="79">
        <f>SUM(G305:Z305)</f>
        <v>14573794.862699252</v>
      </c>
      <c r="AB305" s="92" t="str">
        <f>IF(ABS(F305-AA305)&lt;0.01,"ok","err")</f>
        <v>ok</v>
      </c>
    </row>
    <row r="306" spans="1:28" hidden="1">
      <c r="A306" s="68" t="s">
        <v>1229</v>
      </c>
      <c r="C306" s="60" t="s">
        <v>999</v>
      </c>
      <c r="D306" s="60" t="s">
        <v>494</v>
      </c>
      <c r="E306" s="60" t="s">
        <v>1232</v>
      </c>
      <c r="F306" s="78">
        <f>VLOOKUP(C306,'Functional Assignment'!$C$2:$AP$780,'Functional Assignment'!$O$2,)</f>
        <v>0</v>
      </c>
      <c r="G306" s="78">
        <f t="shared" si="138"/>
        <v>0</v>
      </c>
      <c r="H306" s="78">
        <f t="shared" si="138"/>
        <v>0</v>
      </c>
      <c r="I306" s="78">
        <f t="shared" si="138"/>
        <v>0</v>
      </c>
      <c r="J306" s="78">
        <f t="shared" si="138"/>
        <v>0</v>
      </c>
      <c r="K306" s="78">
        <f t="shared" si="138"/>
        <v>0</v>
      </c>
      <c r="L306" s="78">
        <f t="shared" si="138"/>
        <v>0</v>
      </c>
      <c r="M306" s="78">
        <f t="shared" si="138"/>
        <v>0</v>
      </c>
      <c r="N306" s="78">
        <f t="shared" si="138"/>
        <v>0</v>
      </c>
      <c r="O306" s="78">
        <f t="shared" si="138"/>
        <v>0</v>
      </c>
      <c r="P306" s="78">
        <f t="shared" si="138"/>
        <v>0</v>
      </c>
      <c r="Q306" s="78">
        <f t="shared" si="139"/>
        <v>0</v>
      </c>
      <c r="R306" s="78">
        <f t="shared" si="139"/>
        <v>0</v>
      </c>
      <c r="S306" s="78">
        <f t="shared" si="139"/>
        <v>0</v>
      </c>
      <c r="T306" s="78">
        <f t="shared" si="139"/>
        <v>0</v>
      </c>
      <c r="U306" s="78">
        <f t="shared" si="139"/>
        <v>0</v>
      </c>
      <c r="V306" s="78">
        <f t="shared" si="139"/>
        <v>0</v>
      </c>
      <c r="W306" s="78">
        <f t="shared" si="139"/>
        <v>0</v>
      </c>
      <c r="X306" s="78">
        <f t="shared" si="139"/>
        <v>0</v>
      </c>
      <c r="Y306" s="78">
        <f t="shared" si="139"/>
        <v>0</v>
      </c>
      <c r="Z306" s="78">
        <f t="shared" si="139"/>
        <v>0</v>
      </c>
      <c r="AA306" s="78">
        <f>SUM(G306:Z306)</f>
        <v>0</v>
      </c>
      <c r="AB306" s="92" t="str">
        <f>IF(ABS(F306-AA306)&lt;0.01,"ok","err")</f>
        <v>ok</v>
      </c>
    </row>
    <row r="307" spans="1:28" hidden="1">
      <c r="A307" s="68" t="s">
        <v>1229</v>
      </c>
      <c r="C307" s="60" t="s">
        <v>999</v>
      </c>
      <c r="D307" s="60" t="s">
        <v>495</v>
      </c>
      <c r="E307" s="60" t="s">
        <v>1232</v>
      </c>
      <c r="F307" s="78">
        <f>VLOOKUP(C307,'Functional Assignment'!$C$2:$AP$780,'Functional Assignment'!$P$2,)</f>
        <v>0</v>
      </c>
      <c r="G307" s="78">
        <f t="shared" si="138"/>
        <v>0</v>
      </c>
      <c r="H307" s="78">
        <f t="shared" si="138"/>
        <v>0</v>
      </c>
      <c r="I307" s="78">
        <f t="shared" si="138"/>
        <v>0</v>
      </c>
      <c r="J307" s="78">
        <f t="shared" si="138"/>
        <v>0</v>
      </c>
      <c r="K307" s="78">
        <f t="shared" si="138"/>
        <v>0</v>
      </c>
      <c r="L307" s="78">
        <f t="shared" si="138"/>
        <v>0</v>
      </c>
      <c r="M307" s="78">
        <f t="shared" si="138"/>
        <v>0</v>
      </c>
      <c r="N307" s="78">
        <f t="shared" si="138"/>
        <v>0</v>
      </c>
      <c r="O307" s="78">
        <f t="shared" si="138"/>
        <v>0</v>
      </c>
      <c r="P307" s="78">
        <f t="shared" si="138"/>
        <v>0</v>
      </c>
      <c r="Q307" s="78">
        <f t="shared" si="139"/>
        <v>0</v>
      </c>
      <c r="R307" s="78">
        <f t="shared" si="139"/>
        <v>0</v>
      </c>
      <c r="S307" s="78">
        <f t="shared" si="139"/>
        <v>0</v>
      </c>
      <c r="T307" s="78">
        <f t="shared" si="139"/>
        <v>0</v>
      </c>
      <c r="U307" s="78">
        <f t="shared" si="139"/>
        <v>0</v>
      </c>
      <c r="V307" s="78">
        <f t="shared" si="139"/>
        <v>0</v>
      </c>
      <c r="W307" s="78">
        <f t="shared" si="139"/>
        <v>0</v>
      </c>
      <c r="X307" s="78">
        <f t="shared" si="139"/>
        <v>0</v>
      </c>
      <c r="Y307" s="78">
        <f t="shared" si="139"/>
        <v>0</v>
      </c>
      <c r="Z307" s="78">
        <f t="shared" si="139"/>
        <v>0</v>
      </c>
      <c r="AA307" s="78">
        <f>SUM(G307:Z307)</f>
        <v>0</v>
      </c>
      <c r="AB307" s="92" t="str">
        <f>IF(ABS(F307-AA307)&lt;0.01,"ok","err")</f>
        <v>ok</v>
      </c>
    </row>
    <row r="308" spans="1:28" hidden="1">
      <c r="A308" s="60" t="s">
        <v>1059</v>
      </c>
      <c r="D308" s="60" t="s">
        <v>496</v>
      </c>
      <c r="F308" s="75">
        <f>SUM(F305:F307)</f>
        <v>14573794.862699246</v>
      </c>
      <c r="G308" s="75">
        <f t="shared" ref="G308:W308" si="140">SUM(G305:G307)</f>
        <v>6895147.691278575</v>
      </c>
      <c r="H308" s="75">
        <f t="shared" si="140"/>
        <v>1684265.3014970038</v>
      </c>
      <c r="I308" s="75">
        <f t="shared" si="140"/>
        <v>110560.46013742064</v>
      </c>
      <c r="J308" s="75">
        <f t="shared" si="140"/>
        <v>1874067.9326051788</v>
      </c>
      <c r="K308" s="75">
        <f t="shared" si="140"/>
        <v>1571638.5821072957</v>
      </c>
      <c r="L308" s="75">
        <f t="shared" si="140"/>
        <v>1487932.4432695669</v>
      </c>
      <c r="M308" s="75">
        <f t="shared" si="140"/>
        <v>775930.60998458485</v>
      </c>
      <c r="N308" s="75">
        <f t="shared" si="140"/>
        <v>49861.842767949238</v>
      </c>
      <c r="O308" s="75">
        <f>SUM(O305:O307)</f>
        <v>118159.13297112442</v>
      </c>
      <c r="P308" s="75">
        <f t="shared" si="140"/>
        <v>4115.4850119343955</v>
      </c>
      <c r="Q308" s="75">
        <f t="shared" si="140"/>
        <v>1889.1991146191942</v>
      </c>
      <c r="R308" s="75">
        <f t="shared" si="140"/>
        <v>205.59630565731268</v>
      </c>
      <c r="S308" s="75">
        <f t="shared" si="140"/>
        <v>20.585648338721946</v>
      </c>
      <c r="T308" s="75">
        <f t="shared" si="140"/>
        <v>0</v>
      </c>
      <c r="U308" s="75">
        <f t="shared" si="140"/>
        <v>0</v>
      </c>
      <c r="V308" s="75">
        <f t="shared" si="140"/>
        <v>0</v>
      </c>
      <c r="W308" s="75">
        <f t="shared" si="140"/>
        <v>0</v>
      </c>
      <c r="X308" s="75">
        <f>SUM(X305:X307)</f>
        <v>0</v>
      </c>
      <c r="Y308" s="75">
        <f>SUM(Y305:Y307)</f>
        <v>0</v>
      </c>
      <c r="Z308" s="75">
        <f>SUM(Z305:Z307)</f>
        <v>0</v>
      </c>
      <c r="AA308" s="79">
        <f>SUM(G308:Z308)</f>
        <v>14573794.862699252</v>
      </c>
      <c r="AB308" s="92" t="str">
        <f>IF(ABS(F308-AA308)&lt;0.01,"ok","err")</f>
        <v>ok</v>
      </c>
    </row>
    <row r="309" spans="1:28">
      <c r="F309" s="78"/>
      <c r="G309" s="78"/>
    </row>
    <row r="310" spans="1:28" ht="15">
      <c r="A310" s="65" t="s">
        <v>337</v>
      </c>
      <c r="F310" s="78"/>
      <c r="G310" s="78"/>
    </row>
    <row r="311" spans="1:28">
      <c r="A311" s="68" t="s">
        <v>359</v>
      </c>
      <c r="C311" s="60" t="s">
        <v>999</v>
      </c>
      <c r="D311" s="60" t="s">
        <v>497</v>
      </c>
      <c r="E311" s="60" t="s">
        <v>1233</v>
      </c>
      <c r="F311" s="75">
        <f>VLOOKUP(C311,'Functional Assignment'!$C$2:$AP$780,'Functional Assignment'!$Q$2,)</f>
        <v>0</v>
      </c>
      <c r="G311" s="75">
        <f t="shared" ref="G311:Z311" si="141">IF(VLOOKUP($E311,$D$6:$AN$1148,3,)=0,0,(VLOOKUP($E311,$D$6:$AN$1148,G$2,)/VLOOKUP($E311,$D$6:$AN$1148,3,))*$F311)</f>
        <v>0</v>
      </c>
      <c r="H311" s="75">
        <f t="shared" si="141"/>
        <v>0</v>
      </c>
      <c r="I311" s="75">
        <f t="shared" si="141"/>
        <v>0</v>
      </c>
      <c r="J311" s="75">
        <f t="shared" si="141"/>
        <v>0</v>
      </c>
      <c r="K311" s="75">
        <f t="shared" si="141"/>
        <v>0</v>
      </c>
      <c r="L311" s="75">
        <f t="shared" si="141"/>
        <v>0</v>
      </c>
      <c r="M311" s="75">
        <f t="shared" si="141"/>
        <v>0</v>
      </c>
      <c r="N311" s="75">
        <f t="shared" si="141"/>
        <v>0</v>
      </c>
      <c r="O311" s="75">
        <f t="shared" si="141"/>
        <v>0</v>
      </c>
      <c r="P311" s="75">
        <f t="shared" si="141"/>
        <v>0</v>
      </c>
      <c r="Q311" s="75">
        <f t="shared" si="141"/>
        <v>0</v>
      </c>
      <c r="R311" s="75">
        <f t="shared" si="141"/>
        <v>0</v>
      </c>
      <c r="S311" s="75">
        <f t="shared" si="141"/>
        <v>0</v>
      </c>
      <c r="T311" s="75">
        <f t="shared" si="141"/>
        <v>0</v>
      </c>
      <c r="U311" s="75">
        <f t="shared" si="141"/>
        <v>0</v>
      </c>
      <c r="V311" s="75">
        <f t="shared" si="141"/>
        <v>0</v>
      </c>
      <c r="W311" s="75">
        <f t="shared" si="141"/>
        <v>0</v>
      </c>
      <c r="X311" s="75">
        <f t="shared" si="141"/>
        <v>0</v>
      </c>
      <c r="Y311" s="75">
        <f t="shared" si="141"/>
        <v>0</v>
      </c>
      <c r="Z311" s="75">
        <f t="shared" si="141"/>
        <v>0</v>
      </c>
      <c r="AA311" s="79">
        <f>SUM(G311:Z311)</f>
        <v>0</v>
      </c>
      <c r="AB311" s="92" t="str">
        <f>IF(ABS(F311-AA311)&lt;0.01,"ok","err")</f>
        <v>ok</v>
      </c>
    </row>
    <row r="312" spans="1:28">
      <c r="F312" s="78"/>
    </row>
    <row r="313" spans="1:28" ht="15">
      <c r="A313" s="65" t="s">
        <v>338</v>
      </c>
      <c r="F313" s="78"/>
      <c r="G313" s="78"/>
    </row>
    <row r="314" spans="1:28">
      <c r="A314" s="68" t="s">
        <v>361</v>
      </c>
      <c r="C314" s="60" t="s">
        <v>999</v>
      </c>
      <c r="D314" s="60" t="s">
        <v>498</v>
      </c>
      <c r="E314" s="60" t="s">
        <v>1233</v>
      </c>
      <c r="F314" s="75">
        <f>VLOOKUP(C314,'Functional Assignment'!$C$2:$AP$780,'Functional Assignment'!$R$2,)</f>
        <v>6212135.672551712</v>
      </c>
      <c r="G314" s="75">
        <f t="shared" ref="G314:Z314" si="142">IF(VLOOKUP($E314,$D$6:$AN$1148,3,)=0,0,(VLOOKUP($E314,$D$6:$AN$1148,G$2,)/VLOOKUP($E314,$D$6:$AN$1148,3,))*$F314)</f>
        <v>3104363.9911210835</v>
      </c>
      <c r="H314" s="75">
        <f t="shared" si="142"/>
        <v>758297.39804927283</v>
      </c>
      <c r="I314" s="75">
        <f t="shared" si="142"/>
        <v>49777.020980495196</v>
      </c>
      <c r="J314" s="75">
        <f t="shared" si="142"/>
        <v>843751.18088521354</v>
      </c>
      <c r="K314" s="75">
        <f t="shared" si="142"/>
        <v>707590.09665908676</v>
      </c>
      <c r="L314" s="75">
        <f t="shared" si="142"/>
        <v>669903.54738149722</v>
      </c>
      <c r="M314" s="75">
        <f t="shared" si="142"/>
        <v>0</v>
      </c>
      <c r="N314" s="75">
        <f t="shared" si="142"/>
        <v>22449.020115341445</v>
      </c>
      <c r="O314" s="75">
        <f t="shared" si="142"/>
        <v>53198.129183166035</v>
      </c>
      <c r="P314" s="75">
        <f t="shared" si="142"/>
        <v>1852.8919247382501</v>
      </c>
      <c r="Q314" s="75">
        <f t="shared" si="142"/>
        <v>850.56360879692056</v>
      </c>
      <c r="R314" s="75">
        <f t="shared" si="142"/>
        <v>92.564481076653323</v>
      </c>
      <c r="S314" s="75">
        <f t="shared" si="142"/>
        <v>9.2681619448763293</v>
      </c>
      <c r="T314" s="75">
        <f t="shared" si="142"/>
        <v>0</v>
      </c>
      <c r="U314" s="75">
        <f t="shared" si="142"/>
        <v>0</v>
      </c>
      <c r="V314" s="75">
        <f t="shared" si="142"/>
        <v>0</v>
      </c>
      <c r="W314" s="75">
        <f t="shared" si="142"/>
        <v>0</v>
      </c>
      <c r="X314" s="75">
        <f t="shared" si="142"/>
        <v>0</v>
      </c>
      <c r="Y314" s="75">
        <f t="shared" si="142"/>
        <v>0</v>
      </c>
      <c r="Z314" s="75">
        <f t="shared" si="142"/>
        <v>0</v>
      </c>
      <c r="AA314" s="79">
        <f>SUM(G314:Z314)</f>
        <v>6212135.672551712</v>
      </c>
      <c r="AB314" s="92" t="str">
        <f>IF(ABS(F314-AA314)&lt;0.01,"ok","err")</f>
        <v>ok</v>
      </c>
    </row>
    <row r="315" spans="1:28">
      <c r="F315" s="78"/>
    </row>
    <row r="316" spans="1:28" ht="15">
      <c r="A316" s="65" t="s">
        <v>360</v>
      </c>
      <c r="F316" s="78"/>
    </row>
    <row r="317" spans="1:28">
      <c r="A317" s="68" t="s">
        <v>603</v>
      </c>
      <c r="C317" s="60" t="s">
        <v>999</v>
      </c>
      <c r="D317" s="60" t="s">
        <v>499</v>
      </c>
      <c r="E317" s="60" t="s">
        <v>1233</v>
      </c>
      <c r="F317" s="75">
        <f>VLOOKUP(C317,'Functional Assignment'!$C$2:$AP$780,'Functional Assignment'!$S$2,)</f>
        <v>0</v>
      </c>
      <c r="G317" s="75">
        <f t="shared" ref="G317:P321" si="143">IF(VLOOKUP($E317,$D$6:$AN$1148,3,)=0,0,(VLOOKUP($E317,$D$6:$AN$1148,G$2,)/VLOOKUP($E317,$D$6:$AN$1148,3,))*$F317)</f>
        <v>0</v>
      </c>
      <c r="H317" s="75">
        <f t="shared" si="143"/>
        <v>0</v>
      </c>
      <c r="I317" s="75">
        <f t="shared" si="143"/>
        <v>0</v>
      </c>
      <c r="J317" s="75">
        <f t="shared" si="143"/>
        <v>0</v>
      </c>
      <c r="K317" s="75">
        <f t="shared" si="143"/>
        <v>0</v>
      </c>
      <c r="L317" s="75">
        <f t="shared" si="143"/>
        <v>0</v>
      </c>
      <c r="M317" s="75">
        <f t="shared" si="143"/>
        <v>0</v>
      </c>
      <c r="N317" s="75">
        <f t="shared" si="143"/>
        <v>0</v>
      </c>
      <c r="O317" s="75">
        <f t="shared" si="143"/>
        <v>0</v>
      </c>
      <c r="P317" s="75">
        <f t="shared" si="143"/>
        <v>0</v>
      </c>
      <c r="Q317" s="75">
        <f t="shared" ref="Q317:Z321" si="144">IF(VLOOKUP($E317,$D$6:$AN$1148,3,)=0,0,(VLOOKUP($E317,$D$6:$AN$1148,Q$2,)/VLOOKUP($E317,$D$6:$AN$1148,3,))*$F317)</f>
        <v>0</v>
      </c>
      <c r="R317" s="75">
        <f t="shared" si="144"/>
        <v>0</v>
      </c>
      <c r="S317" s="75">
        <f t="shared" si="144"/>
        <v>0</v>
      </c>
      <c r="T317" s="75">
        <f t="shared" si="144"/>
        <v>0</v>
      </c>
      <c r="U317" s="75">
        <f t="shared" si="144"/>
        <v>0</v>
      </c>
      <c r="V317" s="75">
        <f t="shared" si="144"/>
        <v>0</v>
      </c>
      <c r="W317" s="75">
        <f t="shared" si="144"/>
        <v>0</v>
      </c>
      <c r="X317" s="75">
        <f t="shared" si="144"/>
        <v>0</v>
      </c>
      <c r="Y317" s="75">
        <f t="shared" si="144"/>
        <v>0</v>
      </c>
      <c r="Z317" s="75">
        <f t="shared" si="144"/>
        <v>0</v>
      </c>
      <c r="AA317" s="79">
        <f t="shared" ref="AA317:AA322" si="145">SUM(G317:Z317)</f>
        <v>0</v>
      </c>
      <c r="AB317" s="92" t="str">
        <f t="shared" ref="AB317:AB322" si="146">IF(ABS(F317-AA317)&lt;0.01,"ok","err")</f>
        <v>ok</v>
      </c>
    </row>
    <row r="318" spans="1:28">
      <c r="A318" s="68" t="s">
        <v>604</v>
      </c>
      <c r="C318" s="60" t="s">
        <v>999</v>
      </c>
      <c r="D318" s="60" t="s">
        <v>500</v>
      </c>
      <c r="E318" s="60" t="s">
        <v>1233</v>
      </c>
      <c r="F318" s="78">
        <f>VLOOKUP(C318,'Functional Assignment'!$C$2:$AP$780,'Functional Assignment'!$T$2,)</f>
        <v>9536738.2354523409</v>
      </c>
      <c r="G318" s="78">
        <f t="shared" si="143"/>
        <v>4765753.4109722748</v>
      </c>
      <c r="H318" s="78">
        <f t="shared" si="143"/>
        <v>1164121.9978136793</v>
      </c>
      <c r="I318" s="78">
        <f t="shared" si="143"/>
        <v>76416.621312555581</v>
      </c>
      <c r="J318" s="78">
        <f t="shared" si="143"/>
        <v>1295308.8232618759</v>
      </c>
      <c r="K318" s="78">
        <f t="shared" si="143"/>
        <v>1086277.2298506906</v>
      </c>
      <c r="L318" s="78">
        <f t="shared" si="143"/>
        <v>1028421.6429152855</v>
      </c>
      <c r="M318" s="78">
        <f t="shared" si="143"/>
        <v>0</v>
      </c>
      <c r="N318" s="78">
        <f t="shared" si="143"/>
        <v>34463.257045137136</v>
      </c>
      <c r="O318" s="78">
        <f t="shared" si="143"/>
        <v>81668.63368379038</v>
      </c>
      <c r="P318" s="78">
        <f t="shared" si="143"/>
        <v>2844.520177318303</v>
      </c>
      <c r="Q318" s="78">
        <f t="shared" si="144"/>
        <v>1305.7671173440388</v>
      </c>
      <c r="R318" s="78">
        <f t="shared" si="144"/>
        <v>142.10301778002193</v>
      </c>
      <c r="S318" s="78">
        <f t="shared" si="144"/>
        <v>14.228284611137596</v>
      </c>
      <c r="T318" s="78">
        <f t="shared" si="144"/>
        <v>0</v>
      </c>
      <c r="U318" s="78">
        <f t="shared" si="144"/>
        <v>0</v>
      </c>
      <c r="V318" s="78">
        <f t="shared" si="144"/>
        <v>0</v>
      </c>
      <c r="W318" s="78">
        <f t="shared" si="144"/>
        <v>0</v>
      </c>
      <c r="X318" s="78">
        <f t="shared" si="144"/>
        <v>0</v>
      </c>
      <c r="Y318" s="78">
        <f t="shared" si="144"/>
        <v>0</v>
      </c>
      <c r="Z318" s="78">
        <f t="shared" si="144"/>
        <v>0</v>
      </c>
      <c r="AA318" s="78">
        <f t="shared" si="145"/>
        <v>9536738.2354523409</v>
      </c>
      <c r="AB318" s="92" t="str">
        <f t="shared" si="146"/>
        <v>ok</v>
      </c>
    </row>
    <row r="319" spans="1:28">
      <c r="A319" s="68" t="s">
        <v>605</v>
      </c>
      <c r="C319" s="60" t="s">
        <v>999</v>
      </c>
      <c r="D319" s="60" t="s">
        <v>501</v>
      </c>
      <c r="E319" s="60" t="s">
        <v>660</v>
      </c>
      <c r="F319" s="78">
        <f>VLOOKUP(C319,'Functional Assignment'!$C$2:$AP$780,'Functional Assignment'!$U$2,)</f>
        <v>15606193.407375533</v>
      </c>
      <c r="G319" s="78">
        <f t="shared" si="143"/>
        <v>13494076.686232597</v>
      </c>
      <c r="H319" s="78">
        <f t="shared" si="143"/>
        <v>1620985.5074708802</v>
      </c>
      <c r="I319" s="78">
        <f t="shared" si="143"/>
        <v>2501.5581648636003</v>
      </c>
      <c r="J319" s="78">
        <f t="shared" si="143"/>
        <v>99433.265490463833</v>
      </c>
      <c r="K319" s="78">
        <f t="shared" si="143"/>
        <v>4702.733533257473</v>
      </c>
      <c r="L319" s="78">
        <f t="shared" si="143"/>
        <v>18047.151148916353</v>
      </c>
      <c r="M319" s="78">
        <f t="shared" si="143"/>
        <v>0</v>
      </c>
      <c r="N319" s="78">
        <f t="shared" si="143"/>
        <v>71.473090424674297</v>
      </c>
      <c r="O319" s="78">
        <f t="shared" si="143"/>
        <v>361371.91591439908</v>
      </c>
      <c r="P319" s="78">
        <f t="shared" si="143"/>
        <v>639.2870865762535</v>
      </c>
      <c r="Q319" s="78">
        <f t="shared" si="144"/>
        <v>3970.7272458152393</v>
      </c>
      <c r="R319" s="78">
        <f t="shared" si="144"/>
        <v>35.736545212337148</v>
      </c>
      <c r="S319" s="78">
        <f t="shared" si="144"/>
        <v>357.36545212337148</v>
      </c>
      <c r="T319" s="78">
        <f t="shared" si="144"/>
        <v>0</v>
      </c>
      <c r="U319" s="78">
        <f t="shared" si="144"/>
        <v>0</v>
      </c>
      <c r="V319" s="78">
        <f t="shared" si="144"/>
        <v>0</v>
      </c>
      <c r="W319" s="78">
        <f t="shared" si="144"/>
        <v>0</v>
      </c>
      <c r="X319" s="78">
        <f t="shared" si="144"/>
        <v>0</v>
      </c>
      <c r="Y319" s="78">
        <f t="shared" si="144"/>
        <v>0</v>
      </c>
      <c r="Z319" s="78">
        <f t="shared" si="144"/>
        <v>0</v>
      </c>
      <c r="AA319" s="78">
        <f t="shared" si="145"/>
        <v>15606193.407375529</v>
      </c>
      <c r="AB319" s="92" t="str">
        <f t="shared" si="146"/>
        <v>ok</v>
      </c>
    </row>
    <row r="320" spans="1:28">
      <c r="A320" s="68" t="s">
        <v>606</v>
      </c>
      <c r="C320" s="60" t="s">
        <v>999</v>
      </c>
      <c r="D320" s="60" t="s">
        <v>502</v>
      </c>
      <c r="E320" s="60" t="s">
        <v>646</v>
      </c>
      <c r="F320" s="78">
        <f>VLOOKUP(C320,'Functional Assignment'!$C$2:$AP$780,'Functional Assignment'!$V$2,)</f>
        <v>2660836.9943457851</v>
      </c>
      <c r="G320" s="78">
        <f t="shared" si="143"/>
        <v>2016919.029264428</v>
      </c>
      <c r="H320" s="78">
        <f t="shared" si="143"/>
        <v>322340.79122931394</v>
      </c>
      <c r="I320" s="78">
        <f t="shared" si="143"/>
        <v>0</v>
      </c>
      <c r="J320" s="78">
        <f t="shared" si="143"/>
        <v>305301.68928537192</v>
      </c>
      <c r="K320" s="78">
        <f t="shared" si="143"/>
        <v>0</v>
      </c>
      <c r="L320" s="78">
        <f t="shared" si="143"/>
        <v>0</v>
      </c>
      <c r="M320" s="78">
        <f t="shared" si="143"/>
        <v>0</v>
      </c>
      <c r="N320" s="78">
        <f t="shared" si="143"/>
        <v>0</v>
      </c>
      <c r="O320" s="78">
        <f t="shared" si="143"/>
        <v>15460.223167008198</v>
      </c>
      <c r="P320" s="78">
        <f t="shared" si="143"/>
        <v>538.47988830903216</v>
      </c>
      <c r="Q320" s="78">
        <f t="shared" si="144"/>
        <v>247.18732428465532</v>
      </c>
      <c r="R320" s="78">
        <f t="shared" si="144"/>
        <v>26.900711674579213</v>
      </c>
      <c r="S320" s="78">
        <f t="shared" si="144"/>
        <v>2.6934753950163848</v>
      </c>
      <c r="T320" s="78">
        <f t="shared" si="144"/>
        <v>0</v>
      </c>
      <c r="U320" s="78">
        <f t="shared" si="144"/>
        <v>0</v>
      </c>
      <c r="V320" s="78">
        <f t="shared" si="144"/>
        <v>0</v>
      </c>
      <c r="W320" s="78">
        <f t="shared" si="144"/>
        <v>0</v>
      </c>
      <c r="X320" s="78">
        <f t="shared" si="144"/>
        <v>0</v>
      </c>
      <c r="Y320" s="78">
        <f t="shared" si="144"/>
        <v>0</v>
      </c>
      <c r="Z320" s="78">
        <f t="shared" si="144"/>
        <v>0</v>
      </c>
      <c r="AA320" s="78">
        <f t="shared" si="145"/>
        <v>2660836.9943457856</v>
      </c>
      <c r="AB320" s="92" t="str">
        <f t="shared" si="146"/>
        <v>ok</v>
      </c>
    </row>
    <row r="321" spans="1:28">
      <c r="A321" s="68" t="s">
        <v>607</v>
      </c>
      <c r="C321" s="60" t="s">
        <v>999</v>
      </c>
      <c r="D321" s="60" t="s">
        <v>503</v>
      </c>
      <c r="E321" s="60" t="s">
        <v>659</v>
      </c>
      <c r="F321" s="78">
        <f>VLOOKUP(C321,'Functional Assignment'!$C$2:$AP$780,'Functional Assignment'!$W$2,)</f>
        <v>4546719.1268392131</v>
      </c>
      <c r="G321" s="78">
        <f t="shared" si="143"/>
        <v>3963063.4610392246</v>
      </c>
      <c r="H321" s="78">
        <f t="shared" si="143"/>
        <v>476065.80167772132</v>
      </c>
      <c r="I321" s="78">
        <f t="shared" si="143"/>
        <v>0</v>
      </c>
      <c r="J321" s="78">
        <f t="shared" si="143"/>
        <v>0</v>
      </c>
      <c r="K321" s="78">
        <f t="shared" si="143"/>
        <v>0</v>
      </c>
      <c r="L321" s="78">
        <f t="shared" si="143"/>
        <v>0</v>
      </c>
      <c r="M321" s="78">
        <f t="shared" si="143"/>
        <v>0</v>
      </c>
      <c r="N321" s="78">
        <f t="shared" si="143"/>
        <v>0</v>
      </c>
      <c r="O321" s="78">
        <f t="shared" si="143"/>
        <v>106130.9987416362</v>
      </c>
      <c r="P321" s="78">
        <f t="shared" si="143"/>
        <v>187.75165969743023</v>
      </c>
      <c r="Q321" s="78">
        <f t="shared" si="144"/>
        <v>1166.1593770026723</v>
      </c>
      <c r="R321" s="78">
        <f t="shared" si="144"/>
        <v>0</v>
      </c>
      <c r="S321" s="78">
        <f t="shared" si="144"/>
        <v>104.95434393024048</v>
      </c>
      <c r="T321" s="78">
        <f t="shared" si="144"/>
        <v>0</v>
      </c>
      <c r="U321" s="78">
        <f t="shared" si="144"/>
        <v>0</v>
      </c>
      <c r="V321" s="78">
        <f t="shared" si="144"/>
        <v>0</v>
      </c>
      <c r="W321" s="78">
        <f t="shared" si="144"/>
        <v>0</v>
      </c>
      <c r="X321" s="78">
        <f t="shared" si="144"/>
        <v>0</v>
      </c>
      <c r="Y321" s="78">
        <f t="shared" si="144"/>
        <v>0</v>
      </c>
      <c r="Z321" s="78">
        <f t="shared" si="144"/>
        <v>0</v>
      </c>
      <c r="AA321" s="78">
        <f t="shared" si="145"/>
        <v>4546719.1268392131</v>
      </c>
      <c r="AB321" s="92" t="str">
        <f t="shared" si="146"/>
        <v>ok</v>
      </c>
    </row>
    <row r="322" spans="1:28">
      <c r="A322" s="60" t="s">
        <v>365</v>
      </c>
      <c r="D322" s="60" t="s">
        <v>504</v>
      </c>
      <c r="F322" s="75">
        <f>SUM(F317:F321)</f>
        <v>32350487.764012873</v>
      </c>
      <c r="G322" s="75">
        <f t="shared" ref="G322:W322" si="147">SUM(G317:G321)</f>
        <v>24239812.587508522</v>
      </c>
      <c r="H322" s="75">
        <f t="shared" si="147"/>
        <v>3583514.0981915947</v>
      </c>
      <c r="I322" s="75">
        <f t="shared" si="147"/>
        <v>78918.17947741918</v>
      </c>
      <c r="J322" s="75">
        <f t="shared" si="147"/>
        <v>1700043.7780377117</v>
      </c>
      <c r="K322" s="75">
        <f t="shared" si="147"/>
        <v>1090979.963383948</v>
      </c>
      <c r="L322" s="75">
        <f t="shared" si="147"/>
        <v>1046468.7940642019</v>
      </c>
      <c r="M322" s="75">
        <f t="shared" si="147"/>
        <v>0</v>
      </c>
      <c r="N322" s="75">
        <f t="shared" si="147"/>
        <v>34534.730135561811</v>
      </c>
      <c r="O322" s="75">
        <f>SUM(O317:O321)</f>
        <v>564631.77150683384</v>
      </c>
      <c r="P322" s="75">
        <f t="shared" si="147"/>
        <v>4210.0388119010186</v>
      </c>
      <c r="Q322" s="75">
        <f t="shared" si="147"/>
        <v>6689.8410644466048</v>
      </c>
      <c r="R322" s="75">
        <f t="shared" si="147"/>
        <v>204.74027466693829</v>
      </c>
      <c r="S322" s="75">
        <f t="shared" si="147"/>
        <v>479.24155605976597</v>
      </c>
      <c r="T322" s="75">
        <f t="shared" si="147"/>
        <v>0</v>
      </c>
      <c r="U322" s="75">
        <f t="shared" si="147"/>
        <v>0</v>
      </c>
      <c r="V322" s="75">
        <f t="shared" si="147"/>
        <v>0</v>
      </c>
      <c r="W322" s="75">
        <f t="shared" si="147"/>
        <v>0</v>
      </c>
      <c r="X322" s="75">
        <f>SUM(X317:X321)</f>
        <v>0</v>
      </c>
      <c r="Y322" s="75">
        <f>SUM(Y317:Y321)</f>
        <v>0</v>
      </c>
      <c r="Z322" s="75">
        <f>SUM(Z317:Z321)</f>
        <v>0</v>
      </c>
      <c r="AA322" s="79">
        <f t="shared" si="145"/>
        <v>32350487.764012866</v>
      </c>
      <c r="AB322" s="92" t="str">
        <f t="shared" si="146"/>
        <v>ok</v>
      </c>
    </row>
    <row r="323" spans="1:28">
      <c r="F323" s="78"/>
    </row>
    <row r="324" spans="1:28" ht="15">
      <c r="A324" s="65" t="s">
        <v>613</v>
      </c>
      <c r="F324" s="78"/>
    </row>
    <row r="325" spans="1:28">
      <c r="A325" s="68" t="s">
        <v>1016</v>
      </c>
      <c r="C325" s="60" t="s">
        <v>999</v>
      </c>
      <c r="D325" s="60" t="s">
        <v>505</v>
      </c>
      <c r="E325" s="60" t="s">
        <v>1209</v>
      </c>
      <c r="F325" s="75">
        <f>VLOOKUP(C325,'Functional Assignment'!$C$2:$AP$780,'Functional Assignment'!$X$2,)</f>
        <v>3259675.1829248848</v>
      </c>
      <c r="G325" s="75">
        <f t="shared" ref="G325:P326" si="148">IF(VLOOKUP($E325,$D$6:$AN$1148,3,)=0,0,(VLOOKUP($E325,$D$6:$AN$1148,G$2,)/VLOOKUP($E325,$D$6:$AN$1148,3,))*$F325)</f>
        <v>2255011.2456673975</v>
      </c>
      <c r="H325" s="75">
        <f t="shared" si="148"/>
        <v>360392.31055523542</v>
      </c>
      <c r="I325" s="75">
        <f t="shared" si="148"/>
        <v>0</v>
      </c>
      <c r="J325" s="75">
        <f t="shared" si="148"/>
        <v>341341.78550085309</v>
      </c>
      <c r="K325" s="75">
        <f t="shared" si="148"/>
        <v>0</v>
      </c>
      <c r="L325" s="75">
        <f t="shared" si="148"/>
        <v>284733.07663424831</v>
      </c>
      <c r="M325" s="75">
        <f t="shared" si="148"/>
        <v>0</v>
      </c>
      <c r="N325" s="75">
        <f t="shared" si="148"/>
        <v>0</v>
      </c>
      <c r="O325" s="75">
        <f t="shared" si="148"/>
        <v>17285.263610629758</v>
      </c>
      <c r="P325" s="75">
        <f t="shared" si="148"/>
        <v>602.04608419279964</v>
      </c>
      <c r="Q325" s="75">
        <f t="shared" ref="Q325:Z326" si="149">IF(VLOOKUP($E325,$D$6:$AN$1148,3,)=0,0,(VLOOKUP($E325,$D$6:$AN$1148,Q$2,)/VLOOKUP($E325,$D$6:$AN$1148,3,))*$F325)</f>
        <v>276.36716594003252</v>
      </c>
      <c r="R325" s="75">
        <f t="shared" si="149"/>
        <v>30.076272999791986</v>
      </c>
      <c r="S325" s="75">
        <f t="shared" si="149"/>
        <v>3.01143338803517</v>
      </c>
      <c r="T325" s="75">
        <f t="shared" si="149"/>
        <v>0</v>
      </c>
      <c r="U325" s="75">
        <f t="shared" si="149"/>
        <v>0</v>
      </c>
      <c r="V325" s="75">
        <f t="shared" si="149"/>
        <v>0</v>
      </c>
      <c r="W325" s="75">
        <f t="shared" si="149"/>
        <v>0</v>
      </c>
      <c r="X325" s="75">
        <f t="shared" si="149"/>
        <v>0</v>
      </c>
      <c r="Y325" s="75">
        <f t="shared" si="149"/>
        <v>0</v>
      </c>
      <c r="Z325" s="75">
        <f t="shared" si="149"/>
        <v>0</v>
      </c>
      <c r="AA325" s="79">
        <f>SUM(G325:Z325)</f>
        <v>3259675.1829248844</v>
      </c>
      <c r="AB325" s="92" t="str">
        <f>IF(ABS(F325-AA325)&lt;0.01,"ok","err")</f>
        <v>ok</v>
      </c>
    </row>
    <row r="326" spans="1:28">
      <c r="A326" s="68" t="s">
        <v>1019</v>
      </c>
      <c r="C326" s="60" t="s">
        <v>999</v>
      </c>
      <c r="D326" s="60" t="s">
        <v>506</v>
      </c>
      <c r="E326" s="60" t="s">
        <v>1207</v>
      </c>
      <c r="F326" s="78">
        <f>VLOOKUP(C326,'Functional Assignment'!$C$2:$AP$780,'Functional Assignment'!$Y$2,)</f>
        <v>1816968.7180794806</v>
      </c>
      <c r="G326" s="78">
        <f t="shared" si="148"/>
        <v>1571795.9271297257</v>
      </c>
      <c r="H326" s="78">
        <f t="shared" si="148"/>
        <v>188813.0976147858</v>
      </c>
      <c r="I326" s="78">
        <f t="shared" si="148"/>
        <v>0</v>
      </c>
      <c r="J326" s="78">
        <f t="shared" si="148"/>
        <v>11582.03005312503</v>
      </c>
      <c r="K326" s="78">
        <f t="shared" si="148"/>
        <v>0</v>
      </c>
      <c r="L326" s="78">
        <f t="shared" si="148"/>
        <v>2102.1400227480758</v>
      </c>
      <c r="M326" s="78">
        <f t="shared" si="148"/>
        <v>0</v>
      </c>
      <c r="N326" s="78">
        <f t="shared" si="148"/>
        <v>0</v>
      </c>
      <c r="O326" s="78">
        <f t="shared" si="148"/>
        <v>42092.758090875985</v>
      </c>
      <c r="P326" s="78">
        <f t="shared" si="148"/>
        <v>74.464438161401986</v>
      </c>
      <c r="Q326" s="78">
        <f t="shared" si="149"/>
        <v>462.51203826957754</v>
      </c>
      <c r="R326" s="78">
        <f t="shared" si="149"/>
        <v>4.1626083444261974</v>
      </c>
      <c r="S326" s="78">
        <f t="shared" si="149"/>
        <v>41.62608344426198</v>
      </c>
      <c r="T326" s="78">
        <f t="shared" si="149"/>
        <v>0</v>
      </c>
      <c r="U326" s="78">
        <f t="shared" si="149"/>
        <v>0</v>
      </c>
      <c r="V326" s="78">
        <f t="shared" si="149"/>
        <v>0</v>
      </c>
      <c r="W326" s="78">
        <f t="shared" si="149"/>
        <v>0</v>
      </c>
      <c r="X326" s="78">
        <f t="shared" si="149"/>
        <v>0</v>
      </c>
      <c r="Y326" s="78">
        <f t="shared" si="149"/>
        <v>0</v>
      </c>
      <c r="Z326" s="78">
        <f t="shared" si="149"/>
        <v>0</v>
      </c>
      <c r="AA326" s="78">
        <f>SUM(G326:Z326)</f>
        <v>1816968.7180794803</v>
      </c>
      <c r="AB326" s="92" t="str">
        <f>IF(ABS(F326-AA326)&lt;0.01,"ok","err")</f>
        <v>ok</v>
      </c>
    </row>
    <row r="327" spans="1:28">
      <c r="A327" s="60" t="s">
        <v>674</v>
      </c>
      <c r="D327" s="60" t="s">
        <v>507</v>
      </c>
      <c r="F327" s="75">
        <f>F325+F326</f>
        <v>5076643.9010043656</v>
      </c>
      <c r="G327" s="75">
        <f t="shared" ref="G327:W327" si="150">G325+G326</f>
        <v>3826807.172797123</v>
      </c>
      <c r="H327" s="75">
        <f t="shared" si="150"/>
        <v>549205.40817002126</v>
      </c>
      <c r="I327" s="75">
        <f t="shared" si="150"/>
        <v>0</v>
      </c>
      <c r="J327" s="75">
        <f t="shared" si="150"/>
        <v>352923.81555397814</v>
      </c>
      <c r="K327" s="75">
        <f t="shared" si="150"/>
        <v>0</v>
      </c>
      <c r="L327" s="75">
        <f t="shared" si="150"/>
        <v>286835.2166569964</v>
      </c>
      <c r="M327" s="75">
        <f t="shared" si="150"/>
        <v>0</v>
      </c>
      <c r="N327" s="75">
        <f t="shared" si="150"/>
        <v>0</v>
      </c>
      <c r="O327" s="75">
        <f>O325+O326</f>
        <v>59378.021701505742</v>
      </c>
      <c r="P327" s="75">
        <f t="shared" si="150"/>
        <v>676.51052235420161</v>
      </c>
      <c r="Q327" s="75">
        <f t="shared" si="150"/>
        <v>738.87920420961007</v>
      </c>
      <c r="R327" s="75">
        <f t="shared" si="150"/>
        <v>34.238881344218186</v>
      </c>
      <c r="S327" s="75">
        <f t="shared" si="150"/>
        <v>44.637516832297152</v>
      </c>
      <c r="T327" s="75">
        <f t="shared" si="150"/>
        <v>0</v>
      </c>
      <c r="U327" s="75">
        <f t="shared" si="150"/>
        <v>0</v>
      </c>
      <c r="V327" s="75">
        <f t="shared" si="150"/>
        <v>0</v>
      </c>
      <c r="W327" s="75">
        <f t="shared" si="150"/>
        <v>0</v>
      </c>
      <c r="X327" s="75">
        <f>X325+X326</f>
        <v>0</v>
      </c>
      <c r="Y327" s="75">
        <f>Y325+Y326</f>
        <v>0</v>
      </c>
      <c r="Z327" s="75">
        <f>Z325+Z326</f>
        <v>0</v>
      </c>
      <c r="AA327" s="79">
        <f>SUM(G327:Z327)</f>
        <v>5076643.9010043647</v>
      </c>
      <c r="AB327" s="92" t="str">
        <f>IF(ABS(F327-AA327)&lt;0.01,"ok","err")</f>
        <v>ok</v>
      </c>
    </row>
    <row r="328" spans="1:28">
      <c r="F328" s="78"/>
    </row>
    <row r="329" spans="1:28" ht="15">
      <c r="A329" s="65" t="s">
        <v>343</v>
      </c>
      <c r="F329" s="78"/>
    </row>
    <row r="330" spans="1:28">
      <c r="A330" s="68" t="s">
        <v>1019</v>
      </c>
      <c r="C330" s="60" t="s">
        <v>999</v>
      </c>
      <c r="D330" s="60" t="s">
        <v>508</v>
      </c>
      <c r="E330" s="60" t="s">
        <v>1021</v>
      </c>
      <c r="F330" s="75">
        <f>VLOOKUP(C330,'Functional Assignment'!$C$2:$AP$780,'Functional Assignment'!$Z$2,)</f>
        <v>1161717.0543709998</v>
      </c>
      <c r="G330" s="75">
        <f t="shared" ref="G330:Z330" si="151">IF(VLOOKUP($E330,$D$6:$AN$1148,3,)=0,0,(VLOOKUP($E330,$D$6:$AN$1148,G$2,)/VLOOKUP($E330,$D$6:$AN$1148,3,))*$F330)</f>
        <v>1000612.1308378548</v>
      </c>
      <c r="H330" s="75">
        <f t="shared" si="151"/>
        <v>142511.3189756925</v>
      </c>
      <c r="I330" s="75">
        <f t="shared" si="151"/>
        <v>0</v>
      </c>
      <c r="J330" s="75">
        <f t="shared" si="151"/>
        <v>14658.548744823031</v>
      </c>
      <c r="K330" s="75">
        <f t="shared" si="151"/>
        <v>0</v>
      </c>
      <c r="L330" s="75">
        <f t="shared" si="151"/>
        <v>3929.7874963633899</v>
      </c>
      <c r="M330" s="75">
        <f t="shared" si="151"/>
        <v>0</v>
      </c>
      <c r="N330" s="75">
        <f t="shared" si="151"/>
        <v>0</v>
      </c>
      <c r="O330" s="75">
        <f t="shared" si="151"/>
        <v>0</v>
      </c>
      <c r="P330" s="75">
        <f t="shared" si="151"/>
        <v>0</v>
      </c>
      <c r="Q330" s="75">
        <f t="shared" si="151"/>
        <v>0</v>
      </c>
      <c r="R330" s="75">
        <f t="shared" si="151"/>
        <v>5.2683162660171874</v>
      </c>
      <c r="S330" s="75">
        <f t="shared" si="151"/>
        <v>0</v>
      </c>
      <c r="T330" s="75">
        <f t="shared" si="151"/>
        <v>0</v>
      </c>
      <c r="U330" s="75">
        <f t="shared" si="151"/>
        <v>0</v>
      </c>
      <c r="V330" s="75">
        <f t="shared" si="151"/>
        <v>0</v>
      </c>
      <c r="W330" s="75">
        <f t="shared" si="151"/>
        <v>0</v>
      </c>
      <c r="X330" s="75">
        <f t="shared" si="151"/>
        <v>0</v>
      </c>
      <c r="Y330" s="75">
        <f t="shared" si="151"/>
        <v>0</v>
      </c>
      <c r="Z330" s="75">
        <f t="shared" si="151"/>
        <v>0</v>
      </c>
      <c r="AA330" s="79">
        <f>SUM(G330:Z330)</f>
        <v>1161717.0543709998</v>
      </c>
      <c r="AB330" s="92" t="str">
        <f>IF(ABS(F330-AA330)&lt;0.01,"ok","err")</f>
        <v>ok</v>
      </c>
    </row>
    <row r="331" spans="1:28">
      <c r="F331" s="78"/>
    </row>
    <row r="332" spans="1:28" ht="15">
      <c r="A332" s="65" t="s">
        <v>342</v>
      </c>
      <c r="F332" s="78"/>
    </row>
    <row r="333" spans="1:28">
      <c r="A333" s="68" t="s">
        <v>1019</v>
      </c>
      <c r="C333" s="60" t="s">
        <v>999</v>
      </c>
      <c r="D333" s="60" t="s">
        <v>509</v>
      </c>
      <c r="E333" s="60" t="s">
        <v>1297</v>
      </c>
      <c r="F333" s="75">
        <f>VLOOKUP(C333,'Functional Assignment'!$C$2:$AP$780,'Functional Assignment'!$AA$2,)</f>
        <v>1184750.9707206148</v>
      </c>
      <c r="G333" s="75">
        <f t="shared" ref="G333:Z333" si="152">IF(VLOOKUP($E333,$D$6:$AN$1148,3,)=0,0,(VLOOKUP($E333,$D$6:$AN$1148,G$2,)/VLOOKUP($E333,$D$6:$AN$1148,3,))*$F333)</f>
        <v>797296.69023075048</v>
      </c>
      <c r="H333" s="75">
        <f t="shared" si="152"/>
        <v>247723.11073039309</v>
      </c>
      <c r="I333" s="75">
        <f t="shared" si="152"/>
        <v>8097.1362806355819</v>
      </c>
      <c r="J333" s="75">
        <f t="shared" si="152"/>
        <v>69275.159379207791</v>
      </c>
      <c r="K333" s="75">
        <f t="shared" si="152"/>
        <v>16173.194882579317</v>
      </c>
      <c r="L333" s="75">
        <f t="shared" si="152"/>
        <v>13695.270048177917</v>
      </c>
      <c r="M333" s="75">
        <f t="shared" si="152"/>
        <v>11429.506329685308</v>
      </c>
      <c r="N333" s="75">
        <f t="shared" si="152"/>
        <v>245.80346985932093</v>
      </c>
      <c r="O333" s="75">
        <f t="shared" si="152"/>
        <v>0</v>
      </c>
      <c r="P333" s="75">
        <f t="shared" si="152"/>
        <v>339.95014336851858</v>
      </c>
      <c r="Q333" s="75">
        <f t="shared" si="152"/>
        <v>2111.491573717507</v>
      </c>
      <c r="R333" s="75">
        <f t="shared" si="152"/>
        <v>24.897652239776324</v>
      </c>
      <c r="S333" s="75">
        <f t="shared" si="152"/>
        <v>18338.759999999998</v>
      </c>
      <c r="T333" s="75">
        <f t="shared" si="152"/>
        <v>0</v>
      </c>
      <c r="U333" s="75">
        <f t="shared" si="152"/>
        <v>0</v>
      </c>
      <c r="V333" s="75">
        <f t="shared" si="152"/>
        <v>0</v>
      </c>
      <c r="W333" s="75">
        <f t="shared" si="152"/>
        <v>0</v>
      </c>
      <c r="X333" s="75">
        <f t="shared" si="152"/>
        <v>0</v>
      </c>
      <c r="Y333" s="75">
        <f t="shared" si="152"/>
        <v>0</v>
      </c>
      <c r="Z333" s="75">
        <f t="shared" si="152"/>
        <v>0</v>
      </c>
      <c r="AA333" s="79">
        <f>SUM(G333:Z333)</f>
        <v>1184750.9707206143</v>
      </c>
      <c r="AB333" s="92" t="str">
        <f>IF(ABS(F333-AA333)&lt;0.01,"ok","err")</f>
        <v>ok</v>
      </c>
    </row>
    <row r="334" spans="1:28">
      <c r="F334" s="78"/>
    </row>
    <row r="335" spans="1:28" ht="15">
      <c r="A335" s="65" t="s">
        <v>358</v>
      </c>
      <c r="F335" s="78"/>
    </row>
    <row r="336" spans="1:28">
      <c r="A336" s="68" t="s">
        <v>1019</v>
      </c>
      <c r="C336" s="60" t="s">
        <v>999</v>
      </c>
      <c r="D336" s="60" t="s">
        <v>510</v>
      </c>
      <c r="E336" s="60" t="s">
        <v>1023</v>
      </c>
      <c r="F336" s="75">
        <f>VLOOKUP(C336,'Functional Assignment'!$C$2:$AP$780,'Functional Assignment'!$AB$2,)</f>
        <v>3830233.2811966836</v>
      </c>
      <c r="G336" s="75">
        <f t="shared" ref="G336:Z336" si="153">IF(VLOOKUP($E336,$D$6:$AN$1148,3,)=0,0,(VLOOKUP($E336,$D$6:$AN$1148,G$2,)/VLOOKUP($E336,$D$6:$AN$1148,3,))*$F336)</f>
        <v>0</v>
      </c>
      <c r="H336" s="75">
        <f t="shared" si="153"/>
        <v>0</v>
      </c>
      <c r="I336" s="75">
        <f t="shared" si="153"/>
        <v>0</v>
      </c>
      <c r="J336" s="75">
        <f t="shared" si="153"/>
        <v>0</v>
      </c>
      <c r="K336" s="75">
        <f t="shared" si="153"/>
        <v>0</v>
      </c>
      <c r="L336" s="75">
        <f t="shared" si="153"/>
        <v>0</v>
      </c>
      <c r="M336" s="75">
        <f t="shared" si="153"/>
        <v>0</v>
      </c>
      <c r="N336" s="75">
        <f t="shared" si="153"/>
        <v>0</v>
      </c>
      <c r="O336" s="75">
        <f t="shared" si="153"/>
        <v>3830233.2811966836</v>
      </c>
      <c r="P336" s="75">
        <f t="shared" si="153"/>
        <v>0</v>
      </c>
      <c r="Q336" s="75">
        <f t="shared" si="153"/>
        <v>0</v>
      </c>
      <c r="R336" s="75">
        <f t="shared" si="153"/>
        <v>0</v>
      </c>
      <c r="S336" s="75">
        <f t="shared" si="153"/>
        <v>0</v>
      </c>
      <c r="T336" s="75">
        <f t="shared" si="153"/>
        <v>0</v>
      </c>
      <c r="U336" s="75">
        <f t="shared" si="153"/>
        <v>0</v>
      </c>
      <c r="V336" s="75">
        <f t="shared" si="153"/>
        <v>0</v>
      </c>
      <c r="W336" s="75">
        <f t="shared" si="153"/>
        <v>0</v>
      </c>
      <c r="X336" s="75">
        <f t="shared" si="153"/>
        <v>0</v>
      </c>
      <c r="Y336" s="75">
        <f t="shared" si="153"/>
        <v>0</v>
      </c>
      <c r="Z336" s="75">
        <f t="shared" si="153"/>
        <v>0</v>
      </c>
      <c r="AA336" s="79">
        <f>SUM(G336:Z336)</f>
        <v>3830233.2811966836</v>
      </c>
      <c r="AB336" s="92" t="str">
        <f>IF(ABS(F336-AA336)&lt;0.01,"ok","err")</f>
        <v>ok</v>
      </c>
    </row>
    <row r="337" spans="1:28">
      <c r="F337" s="78"/>
    </row>
    <row r="338" spans="1:28" ht="15">
      <c r="A338" s="65" t="s">
        <v>951</v>
      </c>
      <c r="F338" s="78"/>
    </row>
    <row r="339" spans="1:28">
      <c r="A339" s="68" t="s">
        <v>1019</v>
      </c>
      <c r="C339" s="60" t="s">
        <v>999</v>
      </c>
      <c r="D339" s="60" t="s">
        <v>511</v>
      </c>
      <c r="E339" s="60" t="s">
        <v>1024</v>
      </c>
      <c r="F339" s="75">
        <f>VLOOKUP(C339,'Functional Assignment'!$C$2:$AP$780,'Functional Assignment'!$AC$2,)</f>
        <v>0</v>
      </c>
      <c r="G339" s="75">
        <f t="shared" ref="G339:Z339" si="154">IF(VLOOKUP($E339,$D$6:$AN$1148,3,)=0,0,(VLOOKUP($E339,$D$6:$AN$1148,G$2,)/VLOOKUP($E339,$D$6:$AN$1148,3,))*$F339)</f>
        <v>0</v>
      </c>
      <c r="H339" s="75">
        <f t="shared" si="154"/>
        <v>0</v>
      </c>
      <c r="I339" s="75">
        <f t="shared" si="154"/>
        <v>0</v>
      </c>
      <c r="J339" s="75">
        <f t="shared" si="154"/>
        <v>0</v>
      </c>
      <c r="K339" s="75">
        <f t="shared" si="154"/>
        <v>0</v>
      </c>
      <c r="L339" s="75">
        <f t="shared" si="154"/>
        <v>0</v>
      </c>
      <c r="M339" s="75">
        <f t="shared" si="154"/>
        <v>0</v>
      </c>
      <c r="N339" s="75">
        <f t="shared" si="154"/>
        <v>0</v>
      </c>
      <c r="O339" s="75">
        <f t="shared" si="154"/>
        <v>0</v>
      </c>
      <c r="P339" s="75">
        <f t="shared" si="154"/>
        <v>0</v>
      </c>
      <c r="Q339" s="75">
        <f t="shared" si="154"/>
        <v>0</v>
      </c>
      <c r="R339" s="75">
        <f t="shared" si="154"/>
        <v>0</v>
      </c>
      <c r="S339" s="75">
        <f t="shared" si="154"/>
        <v>0</v>
      </c>
      <c r="T339" s="75">
        <f t="shared" si="154"/>
        <v>0</v>
      </c>
      <c r="U339" s="75">
        <f t="shared" si="154"/>
        <v>0</v>
      </c>
      <c r="V339" s="75">
        <f t="shared" si="154"/>
        <v>0</v>
      </c>
      <c r="W339" s="75">
        <f t="shared" si="154"/>
        <v>0</v>
      </c>
      <c r="X339" s="75">
        <f t="shared" si="154"/>
        <v>0</v>
      </c>
      <c r="Y339" s="75">
        <f t="shared" si="154"/>
        <v>0</v>
      </c>
      <c r="Z339" s="75">
        <f t="shared" si="154"/>
        <v>0</v>
      </c>
      <c r="AA339" s="79">
        <f>SUM(G339:Z339)</f>
        <v>0</v>
      </c>
      <c r="AB339" s="92" t="str">
        <f>IF(ABS(F339-AA339)&lt;0.01,"ok","err")</f>
        <v>ok</v>
      </c>
    </row>
    <row r="340" spans="1:28">
      <c r="F340" s="78"/>
    </row>
    <row r="341" spans="1:28" ht="15">
      <c r="A341" s="65" t="s">
        <v>340</v>
      </c>
      <c r="F341" s="78"/>
    </row>
    <row r="342" spans="1:28">
      <c r="A342" s="68" t="s">
        <v>1019</v>
      </c>
      <c r="C342" s="60" t="s">
        <v>999</v>
      </c>
      <c r="D342" s="60" t="s">
        <v>512</v>
      </c>
      <c r="E342" s="60" t="s">
        <v>1024</v>
      </c>
      <c r="F342" s="75">
        <f>VLOOKUP(C342,'Functional Assignment'!$C$2:$AP$780,'Functional Assignment'!$AD$2,)</f>
        <v>0</v>
      </c>
      <c r="G342" s="75">
        <f t="shared" ref="G342:Z342" si="155">IF(VLOOKUP($E342,$D$6:$AN$1148,3,)=0,0,(VLOOKUP($E342,$D$6:$AN$1148,G$2,)/VLOOKUP($E342,$D$6:$AN$1148,3,))*$F342)</f>
        <v>0</v>
      </c>
      <c r="H342" s="75">
        <f t="shared" si="155"/>
        <v>0</v>
      </c>
      <c r="I342" s="75">
        <f t="shared" si="155"/>
        <v>0</v>
      </c>
      <c r="J342" s="75">
        <f t="shared" si="155"/>
        <v>0</v>
      </c>
      <c r="K342" s="75">
        <f t="shared" si="155"/>
        <v>0</v>
      </c>
      <c r="L342" s="75">
        <f t="shared" si="155"/>
        <v>0</v>
      </c>
      <c r="M342" s="75">
        <f t="shared" si="155"/>
        <v>0</v>
      </c>
      <c r="N342" s="75">
        <f t="shared" si="155"/>
        <v>0</v>
      </c>
      <c r="O342" s="75">
        <f t="shared" si="155"/>
        <v>0</v>
      </c>
      <c r="P342" s="75">
        <f t="shared" si="155"/>
        <v>0</v>
      </c>
      <c r="Q342" s="75">
        <f t="shared" si="155"/>
        <v>0</v>
      </c>
      <c r="R342" s="75">
        <f t="shared" si="155"/>
        <v>0</v>
      </c>
      <c r="S342" s="75">
        <f t="shared" si="155"/>
        <v>0</v>
      </c>
      <c r="T342" s="75">
        <f t="shared" si="155"/>
        <v>0</v>
      </c>
      <c r="U342" s="75">
        <f t="shared" si="155"/>
        <v>0</v>
      </c>
      <c r="V342" s="75">
        <f t="shared" si="155"/>
        <v>0</v>
      </c>
      <c r="W342" s="75">
        <f t="shared" si="155"/>
        <v>0</v>
      </c>
      <c r="X342" s="75">
        <f t="shared" si="155"/>
        <v>0</v>
      </c>
      <c r="Y342" s="75">
        <f t="shared" si="155"/>
        <v>0</v>
      </c>
      <c r="Z342" s="75">
        <f t="shared" si="155"/>
        <v>0</v>
      </c>
      <c r="AA342" s="79">
        <f>SUM(G342:Z342)</f>
        <v>0</v>
      </c>
      <c r="AB342" s="92" t="str">
        <f>IF(ABS(F342-AA342)&lt;0.01,"ok","err")</f>
        <v>ok</v>
      </c>
    </row>
    <row r="343" spans="1:28">
      <c r="F343" s="78"/>
    </row>
    <row r="344" spans="1:28" ht="15">
      <c r="A344" s="65" t="s">
        <v>339</v>
      </c>
      <c r="F344" s="78"/>
    </row>
    <row r="345" spans="1:28">
      <c r="A345" s="68" t="s">
        <v>1019</v>
      </c>
      <c r="C345" s="60" t="s">
        <v>999</v>
      </c>
      <c r="D345" s="60" t="s">
        <v>513</v>
      </c>
      <c r="E345" s="60" t="s">
        <v>1025</v>
      </c>
      <c r="F345" s="75">
        <f>VLOOKUP(C345,'Functional Assignment'!$C$2:$AP$780,'Functional Assignment'!$AE$2,)</f>
        <v>0</v>
      </c>
      <c r="G345" s="75">
        <f t="shared" ref="G345:Z345" si="156">IF(VLOOKUP($E345,$D$6:$AN$1148,3,)=0,0,(VLOOKUP($E345,$D$6:$AN$1148,G$2,)/VLOOKUP($E345,$D$6:$AN$1148,3,))*$F345)</f>
        <v>0</v>
      </c>
      <c r="H345" s="75">
        <f t="shared" si="156"/>
        <v>0</v>
      </c>
      <c r="I345" s="75">
        <f t="shared" si="156"/>
        <v>0</v>
      </c>
      <c r="J345" s="75">
        <f t="shared" si="156"/>
        <v>0</v>
      </c>
      <c r="K345" s="75">
        <f t="shared" si="156"/>
        <v>0</v>
      </c>
      <c r="L345" s="75">
        <f t="shared" si="156"/>
        <v>0</v>
      </c>
      <c r="M345" s="75">
        <f t="shared" si="156"/>
        <v>0</v>
      </c>
      <c r="N345" s="75">
        <f t="shared" si="156"/>
        <v>0</v>
      </c>
      <c r="O345" s="75">
        <f t="shared" si="156"/>
        <v>0</v>
      </c>
      <c r="P345" s="75">
        <f t="shared" si="156"/>
        <v>0</v>
      </c>
      <c r="Q345" s="75">
        <f t="shared" si="156"/>
        <v>0</v>
      </c>
      <c r="R345" s="75">
        <f t="shared" si="156"/>
        <v>0</v>
      </c>
      <c r="S345" s="75">
        <f t="shared" si="156"/>
        <v>0</v>
      </c>
      <c r="T345" s="75">
        <f t="shared" si="156"/>
        <v>0</v>
      </c>
      <c r="U345" s="75">
        <f t="shared" si="156"/>
        <v>0</v>
      </c>
      <c r="V345" s="75">
        <f t="shared" si="156"/>
        <v>0</v>
      </c>
      <c r="W345" s="75">
        <f t="shared" si="156"/>
        <v>0</v>
      </c>
      <c r="X345" s="75">
        <f t="shared" si="156"/>
        <v>0</v>
      </c>
      <c r="Y345" s="75">
        <f t="shared" si="156"/>
        <v>0</v>
      </c>
      <c r="Z345" s="75">
        <f t="shared" si="156"/>
        <v>0</v>
      </c>
      <c r="AA345" s="79">
        <f>SUM(G345:Z345)</f>
        <v>0</v>
      </c>
      <c r="AB345" s="92" t="str">
        <f>IF(ABS(F345-AA345)&lt;0.01,"ok","err")</f>
        <v>ok</v>
      </c>
    </row>
    <row r="346" spans="1:28">
      <c r="F346" s="78"/>
    </row>
    <row r="347" spans="1:28">
      <c r="A347" s="60" t="s">
        <v>848</v>
      </c>
      <c r="D347" s="60" t="s">
        <v>514</v>
      </c>
      <c r="F347" s="75">
        <f>F302+F308+F311+F314+F322+F327+F330+F333+F336+F339+F342+F345</f>
        <v>277122835.61762834</v>
      </c>
      <c r="G347" s="75">
        <f t="shared" ref="G347:Z347" si="157">G302+G308+G311+G314+G322+G327+G330+G333+G336+G339+G342+G345</f>
        <v>128481160.77717872</v>
      </c>
      <c r="H347" s="75">
        <f t="shared" si="157"/>
        <v>32474567.583973918</v>
      </c>
      <c r="I347" s="75">
        <f t="shared" si="157"/>
        <v>2094183.7353012571</v>
      </c>
      <c r="J347" s="75">
        <f t="shared" si="157"/>
        <v>34593856.396411493</v>
      </c>
      <c r="K347" s="75">
        <f t="shared" si="157"/>
        <v>31260609.338087685</v>
      </c>
      <c r="L347" s="75">
        <f t="shared" si="157"/>
        <v>26560051.687097285</v>
      </c>
      <c r="M347" s="75">
        <f t="shared" si="157"/>
        <v>15047504.08467748</v>
      </c>
      <c r="N347" s="75">
        <f t="shared" si="157"/>
        <v>907749.3053380663</v>
      </c>
      <c r="O347" s="75">
        <f>O302+O308+O311+O314+O322+O327+O330+O333+O336+O339+O342+O345</f>
        <v>5500364.6063952968</v>
      </c>
      <c r="P347" s="75">
        <f t="shared" si="157"/>
        <v>41662.93377864339</v>
      </c>
      <c r="Q347" s="75">
        <f t="shared" si="157"/>
        <v>54238.742606475425</v>
      </c>
      <c r="R347" s="75">
        <f t="shared" si="157"/>
        <v>608.04692129702005</v>
      </c>
      <c r="S347" s="75">
        <f t="shared" si="157"/>
        <v>19254.445652421116</v>
      </c>
      <c r="T347" s="75">
        <f t="shared" si="157"/>
        <v>83869.534208333309</v>
      </c>
      <c r="U347" s="75">
        <f t="shared" si="157"/>
        <v>3154.4</v>
      </c>
      <c r="V347" s="75">
        <f t="shared" si="157"/>
        <v>0</v>
      </c>
      <c r="W347" s="75">
        <f t="shared" si="157"/>
        <v>0</v>
      </c>
      <c r="X347" s="75">
        <f t="shared" si="157"/>
        <v>0</v>
      </c>
      <c r="Y347" s="75">
        <f t="shared" si="157"/>
        <v>0</v>
      </c>
      <c r="Z347" s="75">
        <f t="shared" si="157"/>
        <v>0</v>
      </c>
      <c r="AA347" s="79">
        <f>SUM(G347:Z347)</f>
        <v>277122835.6176284</v>
      </c>
      <c r="AB347" s="92" t="str">
        <f>IF(ABS(F347-AA347)&lt;0.01,"ok","err")</f>
        <v>ok</v>
      </c>
    </row>
    <row r="350" spans="1:28" ht="15">
      <c r="A350" s="206" t="s">
        <v>720</v>
      </c>
    </row>
    <row r="352" spans="1:28" ht="15">
      <c r="A352" s="65" t="s">
        <v>352</v>
      </c>
    </row>
    <row r="353" spans="1:28">
      <c r="A353" s="68" t="s">
        <v>1254</v>
      </c>
      <c r="C353" s="110" t="s">
        <v>726</v>
      </c>
      <c r="D353" s="60" t="s">
        <v>1431</v>
      </c>
      <c r="E353" s="60" t="s">
        <v>1368</v>
      </c>
      <c r="F353" s="75">
        <f>VLOOKUP(C353,'Functional Assignment'!$C$2:$AP$780,'Functional Assignment'!$H$2,)</f>
        <v>0</v>
      </c>
      <c r="G353" s="75">
        <f t="shared" ref="G353:P358" si="158">IF(VLOOKUP($E353,$D$6:$AN$1148,3,)=0,0,(VLOOKUP($E353,$D$6:$AN$1148,G$2,)/VLOOKUP($E353,$D$6:$AN$1148,3,))*$F353)</f>
        <v>0</v>
      </c>
      <c r="H353" s="75">
        <f t="shared" si="158"/>
        <v>0</v>
      </c>
      <c r="I353" s="75">
        <f t="shared" si="158"/>
        <v>0</v>
      </c>
      <c r="J353" s="75">
        <f t="shared" si="158"/>
        <v>0</v>
      </c>
      <c r="K353" s="75">
        <f t="shared" si="158"/>
        <v>0</v>
      </c>
      <c r="L353" s="75">
        <f t="shared" si="158"/>
        <v>0</v>
      </c>
      <c r="M353" s="75">
        <f t="shared" si="158"/>
        <v>0</v>
      </c>
      <c r="N353" s="75">
        <f t="shared" si="158"/>
        <v>0</v>
      </c>
      <c r="O353" s="75">
        <f t="shared" si="158"/>
        <v>0</v>
      </c>
      <c r="P353" s="75">
        <f t="shared" si="158"/>
        <v>0</v>
      </c>
      <c r="Q353" s="75">
        <f t="shared" ref="Q353:Z358" si="159">IF(VLOOKUP($E353,$D$6:$AN$1148,3,)=0,0,(VLOOKUP($E353,$D$6:$AN$1148,Q$2,)/VLOOKUP($E353,$D$6:$AN$1148,3,))*$F353)</f>
        <v>0</v>
      </c>
      <c r="R353" s="75">
        <f t="shared" si="159"/>
        <v>0</v>
      </c>
      <c r="S353" s="75">
        <f t="shared" si="159"/>
        <v>0</v>
      </c>
      <c r="T353" s="75">
        <f t="shared" si="159"/>
        <v>0</v>
      </c>
      <c r="U353" s="75">
        <f t="shared" si="159"/>
        <v>0</v>
      </c>
      <c r="V353" s="75">
        <f t="shared" si="159"/>
        <v>0</v>
      </c>
      <c r="W353" s="75">
        <f t="shared" si="159"/>
        <v>0</v>
      </c>
      <c r="X353" s="75">
        <f t="shared" si="159"/>
        <v>0</v>
      </c>
      <c r="Y353" s="75">
        <f t="shared" si="159"/>
        <v>0</v>
      </c>
      <c r="Z353" s="75">
        <f t="shared" si="159"/>
        <v>0</v>
      </c>
      <c r="AA353" s="79">
        <f t="shared" ref="AA353:AA359" si="160">SUM(G353:Z353)</f>
        <v>0</v>
      </c>
      <c r="AB353" s="92" t="str">
        <f t="shared" ref="AB353:AB359" si="161">IF(ABS(F353-AA353)&lt;0.01,"ok","err")</f>
        <v>ok</v>
      </c>
    </row>
    <row r="354" spans="1:28" hidden="1">
      <c r="A354" s="68" t="s">
        <v>1255</v>
      </c>
      <c r="C354" s="110" t="s">
        <v>726</v>
      </c>
      <c r="D354" s="60" t="s">
        <v>727</v>
      </c>
      <c r="E354" s="60" t="s">
        <v>1406</v>
      </c>
      <c r="F354" s="78">
        <f>VLOOKUP(C354,'Functional Assignment'!$C$2:$AP$780,'Functional Assignment'!$I$2,)</f>
        <v>0</v>
      </c>
      <c r="G354" s="78">
        <f t="shared" si="158"/>
        <v>0</v>
      </c>
      <c r="H354" s="78">
        <f t="shared" si="158"/>
        <v>0</v>
      </c>
      <c r="I354" s="78">
        <f t="shared" si="158"/>
        <v>0</v>
      </c>
      <c r="J354" s="78">
        <f t="shared" si="158"/>
        <v>0</v>
      </c>
      <c r="K354" s="78">
        <f t="shared" si="158"/>
        <v>0</v>
      </c>
      <c r="L354" s="78">
        <f t="shared" si="158"/>
        <v>0</v>
      </c>
      <c r="M354" s="78">
        <f t="shared" si="158"/>
        <v>0</v>
      </c>
      <c r="N354" s="78">
        <f t="shared" si="158"/>
        <v>0</v>
      </c>
      <c r="O354" s="78">
        <f t="shared" si="158"/>
        <v>0</v>
      </c>
      <c r="P354" s="78">
        <f t="shared" si="158"/>
        <v>0</v>
      </c>
      <c r="Q354" s="78">
        <f t="shared" si="159"/>
        <v>0</v>
      </c>
      <c r="R354" s="78">
        <f t="shared" si="159"/>
        <v>0</v>
      </c>
      <c r="S354" s="78">
        <f t="shared" si="159"/>
        <v>0</v>
      </c>
      <c r="T354" s="78">
        <f t="shared" si="159"/>
        <v>0</v>
      </c>
      <c r="U354" s="78">
        <f t="shared" si="159"/>
        <v>0</v>
      </c>
      <c r="V354" s="78">
        <f t="shared" si="159"/>
        <v>0</v>
      </c>
      <c r="W354" s="78">
        <f t="shared" si="159"/>
        <v>0</v>
      </c>
      <c r="X354" s="78">
        <f t="shared" si="159"/>
        <v>0</v>
      </c>
      <c r="Y354" s="78">
        <f t="shared" si="159"/>
        <v>0</v>
      </c>
      <c r="Z354" s="78">
        <f t="shared" si="159"/>
        <v>0</v>
      </c>
      <c r="AA354" s="78">
        <f t="shared" si="160"/>
        <v>0</v>
      </c>
      <c r="AB354" s="92" t="str">
        <f t="shared" si="161"/>
        <v>ok</v>
      </c>
    </row>
    <row r="355" spans="1:28" hidden="1">
      <c r="A355" s="68" t="s">
        <v>1255</v>
      </c>
      <c r="C355" s="110" t="s">
        <v>726</v>
      </c>
      <c r="D355" s="60" t="s">
        <v>728</v>
      </c>
      <c r="E355" s="60" t="s">
        <v>1406</v>
      </c>
      <c r="F355" s="78">
        <f>VLOOKUP(C355,'Functional Assignment'!$C$2:$AP$780,'Functional Assignment'!$J$2,)</f>
        <v>0</v>
      </c>
      <c r="G355" s="78">
        <f t="shared" si="158"/>
        <v>0</v>
      </c>
      <c r="H355" s="78">
        <f t="shared" si="158"/>
        <v>0</v>
      </c>
      <c r="I355" s="78">
        <f t="shared" si="158"/>
        <v>0</v>
      </c>
      <c r="J355" s="78">
        <f t="shared" si="158"/>
        <v>0</v>
      </c>
      <c r="K355" s="78">
        <f t="shared" si="158"/>
        <v>0</v>
      </c>
      <c r="L355" s="78">
        <f t="shared" si="158"/>
        <v>0</v>
      </c>
      <c r="M355" s="78">
        <f t="shared" si="158"/>
        <v>0</v>
      </c>
      <c r="N355" s="78">
        <f t="shared" si="158"/>
        <v>0</v>
      </c>
      <c r="O355" s="78">
        <f t="shared" si="158"/>
        <v>0</v>
      </c>
      <c r="P355" s="78">
        <f t="shared" si="158"/>
        <v>0</v>
      </c>
      <c r="Q355" s="78">
        <f t="shared" si="159"/>
        <v>0</v>
      </c>
      <c r="R355" s="78">
        <f t="shared" si="159"/>
        <v>0</v>
      </c>
      <c r="S355" s="78">
        <f t="shared" si="159"/>
        <v>0</v>
      </c>
      <c r="T355" s="78">
        <f t="shared" si="159"/>
        <v>0</v>
      </c>
      <c r="U355" s="78">
        <f t="shared" si="159"/>
        <v>0</v>
      </c>
      <c r="V355" s="78">
        <f t="shared" si="159"/>
        <v>0</v>
      </c>
      <c r="W355" s="78">
        <f t="shared" si="159"/>
        <v>0</v>
      </c>
      <c r="X355" s="78">
        <f t="shared" si="159"/>
        <v>0</v>
      </c>
      <c r="Y355" s="78">
        <f t="shared" si="159"/>
        <v>0</v>
      </c>
      <c r="Z355" s="78">
        <f t="shared" si="159"/>
        <v>0</v>
      </c>
      <c r="AA355" s="78">
        <f t="shared" si="160"/>
        <v>0</v>
      </c>
      <c r="AB355" s="92" t="str">
        <f t="shared" si="161"/>
        <v>ok</v>
      </c>
    </row>
    <row r="356" spans="1:28">
      <c r="A356" s="68" t="s">
        <v>1162</v>
      </c>
      <c r="C356" s="110" t="s">
        <v>726</v>
      </c>
      <c r="D356" s="60" t="s">
        <v>729</v>
      </c>
      <c r="E356" s="60" t="s">
        <v>1017</v>
      </c>
      <c r="F356" s="78">
        <f>VLOOKUP(C356,'Functional Assignment'!$C$2:$AP$780,'Functional Assignment'!$K$2,)</f>
        <v>0</v>
      </c>
      <c r="G356" s="78">
        <f t="shared" si="158"/>
        <v>0</v>
      </c>
      <c r="H356" s="78">
        <f t="shared" si="158"/>
        <v>0</v>
      </c>
      <c r="I356" s="78">
        <f t="shared" si="158"/>
        <v>0</v>
      </c>
      <c r="J356" s="78">
        <f t="shared" si="158"/>
        <v>0</v>
      </c>
      <c r="K356" s="78">
        <f t="shared" si="158"/>
        <v>0</v>
      </c>
      <c r="L356" s="78">
        <f t="shared" si="158"/>
        <v>0</v>
      </c>
      <c r="M356" s="78">
        <f t="shared" si="158"/>
        <v>0</v>
      </c>
      <c r="N356" s="78">
        <f t="shared" si="158"/>
        <v>0</v>
      </c>
      <c r="O356" s="78">
        <f t="shared" si="158"/>
        <v>0</v>
      </c>
      <c r="P356" s="78">
        <f t="shared" si="158"/>
        <v>0</v>
      </c>
      <c r="Q356" s="78">
        <f t="shared" si="159"/>
        <v>0</v>
      </c>
      <c r="R356" s="78">
        <f t="shared" si="159"/>
        <v>0</v>
      </c>
      <c r="S356" s="78">
        <f t="shared" si="159"/>
        <v>0</v>
      </c>
      <c r="T356" s="78">
        <f t="shared" si="159"/>
        <v>0</v>
      </c>
      <c r="U356" s="78">
        <f t="shared" si="159"/>
        <v>0</v>
      </c>
      <c r="V356" s="78">
        <f t="shared" si="159"/>
        <v>0</v>
      </c>
      <c r="W356" s="78">
        <f t="shared" si="159"/>
        <v>0</v>
      </c>
      <c r="X356" s="78">
        <f t="shared" si="159"/>
        <v>0</v>
      </c>
      <c r="Y356" s="78">
        <f t="shared" si="159"/>
        <v>0</v>
      </c>
      <c r="Z356" s="78">
        <f t="shared" si="159"/>
        <v>0</v>
      </c>
      <c r="AA356" s="78">
        <f t="shared" si="160"/>
        <v>0</v>
      </c>
      <c r="AB356" s="92" t="str">
        <f t="shared" si="161"/>
        <v>ok</v>
      </c>
    </row>
    <row r="357" spans="1:28" hidden="1">
      <c r="A357" s="68" t="s">
        <v>1163</v>
      </c>
      <c r="C357" s="110" t="s">
        <v>726</v>
      </c>
      <c r="D357" s="60" t="s">
        <v>730</v>
      </c>
      <c r="E357" s="60" t="s">
        <v>1017</v>
      </c>
      <c r="F357" s="78">
        <f>VLOOKUP(C357,'Functional Assignment'!$C$2:$AP$780,'Functional Assignment'!$L$2,)</f>
        <v>0</v>
      </c>
      <c r="G357" s="78">
        <f t="shared" si="158"/>
        <v>0</v>
      </c>
      <c r="H357" s="78">
        <f t="shared" si="158"/>
        <v>0</v>
      </c>
      <c r="I357" s="78">
        <f t="shared" si="158"/>
        <v>0</v>
      </c>
      <c r="J357" s="78">
        <f t="shared" si="158"/>
        <v>0</v>
      </c>
      <c r="K357" s="78">
        <f t="shared" si="158"/>
        <v>0</v>
      </c>
      <c r="L357" s="78">
        <f t="shared" si="158"/>
        <v>0</v>
      </c>
      <c r="M357" s="78">
        <f t="shared" si="158"/>
        <v>0</v>
      </c>
      <c r="N357" s="78">
        <f t="shared" si="158"/>
        <v>0</v>
      </c>
      <c r="O357" s="78">
        <f t="shared" si="158"/>
        <v>0</v>
      </c>
      <c r="P357" s="78">
        <f t="shared" si="158"/>
        <v>0</v>
      </c>
      <c r="Q357" s="78">
        <f t="shared" si="159"/>
        <v>0</v>
      </c>
      <c r="R357" s="78">
        <f t="shared" si="159"/>
        <v>0</v>
      </c>
      <c r="S357" s="78">
        <f t="shared" si="159"/>
        <v>0</v>
      </c>
      <c r="T357" s="78">
        <f t="shared" si="159"/>
        <v>0</v>
      </c>
      <c r="U357" s="78">
        <f t="shared" si="159"/>
        <v>0</v>
      </c>
      <c r="V357" s="78">
        <f t="shared" si="159"/>
        <v>0</v>
      </c>
      <c r="W357" s="78">
        <f t="shared" si="159"/>
        <v>0</v>
      </c>
      <c r="X357" s="78">
        <f t="shared" si="159"/>
        <v>0</v>
      </c>
      <c r="Y357" s="78">
        <f t="shared" si="159"/>
        <v>0</v>
      </c>
      <c r="Z357" s="78">
        <f t="shared" si="159"/>
        <v>0</v>
      </c>
      <c r="AA357" s="78">
        <f t="shared" si="160"/>
        <v>0</v>
      </c>
      <c r="AB357" s="92" t="str">
        <f t="shared" si="161"/>
        <v>ok</v>
      </c>
    </row>
    <row r="358" spans="1:28" hidden="1">
      <c r="A358" s="68" t="s">
        <v>1163</v>
      </c>
      <c r="C358" s="110" t="s">
        <v>726</v>
      </c>
      <c r="D358" s="60" t="s">
        <v>731</v>
      </c>
      <c r="E358" s="60" t="s">
        <v>1017</v>
      </c>
      <c r="F358" s="78">
        <f>VLOOKUP(C358,'Functional Assignment'!$C$2:$AP$780,'Functional Assignment'!$M$2,)</f>
        <v>0</v>
      </c>
      <c r="G358" s="78">
        <f t="shared" si="158"/>
        <v>0</v>
      </c>
      <c r="H358" s="78">
        <f t="shared" si="158"/>
        <v>0</v>
      </c>
      <c r="I358" s="78">
        <f t="shared" si="158"/>
        <v>0</v>
      </c>
      <c r="J358" s="78">
        <f t="shared" si="158"/>
        <v>0</v>
      </c>
      <c r="K358" s="78">
        <f t="shared" si="158"/>
        <v>0</v>
      </c>
      <c r="L358" s="78">
        <f t="shared" si="158"/>
        <v>0</v>
      </c>
      <c r="M358" s="78">
        <f t="shared" si="158"/>
        <v>0</v>
      </c>
      <c r="N358" s="78">
        <f t="shared" si="158"/>
        <v>0</v>
      </c>
      <c r="O358" s="78">
        <f t="shared" si="158"/>
        <v>0</v>
      </c>
      <c r="P358" s="78">
        <f t="shared" si="158"/>
        <v>0</v>
      </c>
      <c r="Q358" s="78">
        <f t="shared" si="159"/>
        <v>0</v>
      </c>
      <c r="R358" s="78">
        <f t="shared" si="159"/>
        <v>0</v>
      </c>
      <c r="S358" s="78">
        <f t="shared" si="159"/>
        <v>0</v>
      </c>
      <c r="T358" s="78">
        <f t="shared" si="159"/>
        <v>0</v>
      </c>
      <c r="U358" s="78">
        <f t="shared" si="159"/>
        <v>0</v>
      </c>
      <c r="V358" s="78">
        <f t="shared" si="159"/>
        <v>0</v>
      </c>
      <c r="W358" s="78">
        <f t="shared" si="159"/>
        <v>0</v>
      </c>
      <c r="X358" s="78">
        <f t="shared" si="159"/>
        <v>0</v>
      </c>
      <c r="Y358" s="78">
        <f t="shared" si="159"/>
        <v>0</v>
      </c>
      <c r="Z358" s="78">
        <f t="shared" si="159"/>
        <v>0</v>
      </c>
      <c r="AA358" s="78">
        <f t="shared" si="160"/>
        <v>0</v>
      </c>
      <c r="AB358" s="92" t="str">
        <f t="shared" si="161"/>
        <v>ok</v>
      </c>
    </row>
    <row r="359" spans="1:28">
      <c r="A359" s="60" t="s">
        <v>374</v>
      </c>
      <c r="D359" s="60" t="s">
        <v>732</v>
      </c>
      <c r="F359" s="75">
        <f t="shared" ref="F359:P359" si="162">SUM(F353:F358)</f>
        <v>0</v>
      </c>
      <c r="G359" s="75">
        <f t="shared" si="162"/>
        <v>0</v>
      </c>
      <c r="H359" s="75">
        <f t="shared" si="162"/>
        <v>0</v>
      </c>
      <c r="I359" s="75">
        <f t="shared" si="162"/>
        <v>0</v>
      </c>
      <c r="J359" s="75">
        <f t="shared" si="162"/>
        <v>0</v>
      </c>
      <c r="K359" s="75">
        <f t="shared" si="162"/>
        <v>0</v>
      </c>
      <c r="L359" s="75">
        <f t="shared" si="162"/>
        <v>0</v>
      </c>
      <c r="M359" s="75">
        <f t="shared" si="162"/>
        <v>0</v>
      </c>
      <c r="N359" s="75">
        <f t="shared" si="162"/>
        <v>0</v>
      </c>
      <c r="O359" s="75">
        <f>SUM(O353:O358)</f>
        <v>0</v>
      </c>
      <c r="P359" s="75">
        <f t="shared" si="162"/>
        <v>0</v>
      </c>
      <c r="Q359" s="75">
        <f t="shared" ref="Q359:Z359" si="163">SUM(Q353:Q358)</f>
        <v>0</v>
      </c>
      <c r="R359" s="75">
        <f t="shared" si="163"/>
        <v>0</v>
      </c>
      <c r="S359" s="75">
        <f t="shared" si="163"/>
        <v>0</v>
      </c>
      <c r="T359" s="75">
        <f t="shared" si="163"/>
        <v>0</v>
      </c>
      <c r="U359" s="75">
        <f t="shared" si="163"/>
        <v>0</v>
      </c>
      <c r="V359" s="75">
        <f t="shared" si="163"/>
        <v>0</v>
      </c>
      <c r="W359" s="75">
        <f t="shared" si="163"/>
        <v>0</v>
      </c>
      <c r="X359" s="75">
        <f t="shared" si="163"/>
        <v>0</v>
      </c>
      <c r="Y359" s="75">
        <f t="shared" si="163"/>
        <v>0</v>
      </c>
      <c r="Z359" s="75">
        <f t="shared" si="163"/>
        <v>0</v>
      </c>
      <c r="AA359" s="79">
        <f t="shared" si="160"/>
        <v>0</v>
      </c>
      <c r="AB359" s="92" t="str">
        <f t="shared" si="161"/>
        <v>ok</v>
      </c>
    </row>
    <row r="360" spans="1:28">
      <c r="F360" s="78"/>
      <c r="G360" s="78"/>
    </row>
    <row r="361" spans="1:28" ht="15">
      <c r="A361" s="65" t="s">
        <v>1057</v>
      </c>
      <c r="F361" s="78"/>
      <c r="G361" s="78"/>
    </row>
    <row r="362" spans="1:28">
      <c r="A362" s="68" t="s">
        <v>1228</v>
      </c>
      <c r="C362" s="110" t="s">
        <v>726</v>
      </c>
      <c r="D362" s="60" t="s">
        <v>733</v>
      </c>
      <c r="E362" s="60" t="s">
        <v>1232</v>
      </c>
      <c r="F362" s="75">
        <f>VLOOKUP(C362,'Functional Assignment'!$C$2:$AP$780,'Functional Assignment'!$N$2,)</f>
        <v>0</v>
      </c>
      <c r="G362" s="75">
        <f t="shared" ref="G362:P364" si="164">IF(VLOOKUP($E362,$D$6:$AN$1148,3,)=0,0,(VLOOKUP($E362,$D$6:$AN$1148,G$2,)/VLOOKUP($E362,$D$6:$AN$1148,3,))*$F362)</f>
        <v>0</v>
      </c>
      <c r="H362" s="75">
        <f t="shared" si="164"/>
        <v>0</v>
      </c>
      <c r="I362" s="75">
        <f t="shared" si="164"/>
        <v>0</v>
      </c>
      <c r="J362" s="75">
        <f t="shared" si="164"/>
        <v>0</v>
      </c>
      <c r="K362" s="75">
        <f t="shared" si="164"/>
        <v>0</v>
      </c>
      <c r="L362" s="75">
        <f t="shared" si="164"/>
        <v>0</v>
      </c>
      <c r="M362" s="75">
        <f t="shared" si="164"/>
        <v>0</v>
      </c>
      <c r="N362" s="75">
        <f t="shared" si="164"/>
        <v>0</v>
      </c>
      <c r="O362" s="75">
        <f t="shared" si="164"/>
        <v>0</v>
      </c>
      <c r="P362" s="75">
        <f t="shared" si="164"/>
        <v>0</v>
      </c>
      <c r="Q362" s="75">
        <f t="shared" ref="Q362:Z364" si="165">IF(VLOOKUP($E362,$D$6:$AN$1148,3,)=0,0,(VLOOKUP($E362,$D$6:$AN$1148,Q$2,)/VLOOKUP($E362,$D$6:$AN$1148,3,))*$F362)</f>
        <v>0</v>
      </c>
      <c r="R362" s="75">
        <f t="shared" si="165"/>
        <v>0</v>
      </c>
      <c r="S362" s="75">
        <f t="shared" si="165"/>
        <v>0</v>
      </c>
      <c r="T362" s="75">
        <f t="shared" si="165"/>
        <v>0</v>
      </c>
      <c r="U362" s="75">
        <f t="shared" si="165"/>
        <v>0</v>
      </c>
      <c r="V362" s="75">
        <f t="shared" si="165"/>
        <v>0</v>
      </c>
      <c r="W362" s="75">
        <f t="shared" si="165"/>
        <v>0</v>
      </c>
      <c r="X362" s="75">
        <f t="shared" si="165"/>
        <v>0</v>
      </c>
      <c r="Y362" s="75">
        <f t="shared" si="165"/>
        <v>0</v>
      </c>
      <c r="Z362" s="75">
        <f t="shared" si="165"/>
        <v>0</v>
      </c>
      <c r="AA362" s="79">
        <f>SUM(G362:Z362)</f>
        <v>0</v>
      </c>
      <c r="AB362" s="92" t="str">
        <f>IF(ABS(F362-AA362)&lt;0.01,"ok","err")</f>
        <v>ok</v>
      </c>
    </row>
    <row r="363" spans="1:28" hidden="1">
      <c r="A363" s="68" t="s">
        <v>1229</v>
      </c>
      <c r="C363" s="110" t="s">
        <v>726</v>
      </c>
      <c r="D363" s="60" t="s">
        <v>734</v>
      </c>
      <c r="E363" s="60" t="s">
        <v>1232</v>
      </c>
      <c r="F363" s="78">
        <f>VLOOKUP(C363,'Functional Assignment'!$C$2:$AP$780,'Functional Assignment'!$O$2,)</f>
        <v>0</v>
      </c>
      <c r="G363" s="78">
        <f t="shared" si="164"/>
        <v>0</v>
      </c>
      <c r="H363" s="78">
        <f t="shared" si="164"/>
        <v>0</v>
      </c>
      <c r="I363" s="78">
        <f t="shared" si="164"/>
        <v>0</v>
      </c>
      <c r="J363" s="78">
        <f t="shared" si="164"/>
        <v>0</v>
      </c>
      <c r="K363" s="78">
        <f t="shared" si="164"/>
        <v>0</v>
      </c>
      <c r="L363" s="78">
        <f t="shared" si="164"/>
        <v>0</v>
      </c>
      <c r="M363" s="78">
        <f t="shared" si="164"/>
        <v>0</v>
      </c>
      <c r="N363" s="78">
        <f t="shared" si="164"/>
        <v>0</v>
      </c>
      <c r="O363" s="78">
        <f t="shared" si="164"/>
        <v>0</v>
      </c>
      <c r="P363" s="78">
        <f t="shared" si="164"/>
        <v>0</v>
      </c>
      <c r="Q363" s="78">
        <f t="shared" si="165"/>
        <v>0</v>
      </c>
      <c r="R363" s="78">
        <f t="shared" si="165"/>
        <v>0</v>
      </c>
      <c r="S363" s="78">
        <f t="shared" si="165"/>
        <v>0</v>
      </c>
      <c r="T363" s="78">
        <f t="shared" si="165"/>
        <v>0</v>
      </c>
      <c r="U363" s="78">
        <f t="shared" si="165"/>
        <v>0</v>
      </c>
      <c r="V363" s="78">
        <f t="shared" si="165"/>
        <v>0</v>
      </c>
      <c r="W363" s="78">
        <f t="shared" si="165"/>
        <v>0</v>
      </c>
      <c r="X363" s="78">
        <f t="shared" si="165"/>
        <v>0</v>
      </c>
      <c r="Y363" s="78">
        <f t="shared" si="165"/>
        <v>0</v>
      </c>
      <c r="Z363" s="78">
        <f t="shared" si="165"/>
        <v>0</v>
      </c>
      <c r="AA363" s="78">
        <f>SUM(G363:Z363)</f>
        <v>0</v>
      </c>
      <c r="AB363" s="92" t="str">
        <f>IF(ABS(F363-AA363)&lt;0.01,"ok","err")</f>
        <v>ok</v>
      </c>
    </row>
    <row r="364" spans="1:28" hidden="1">
      <c r="A364" s="68" t="s">
        <v>1229</v>
      </c>
      <c r="C364" s="110" t="s">
        <v>726</v>
      </c>
      <c r="D364" s="60" t="s">
        <v>735</v>
      </c>
      <c r="E364" s="60" t="s">
        <v>1232</v>
      </c>
      <c r="F364" s="78">
        <f>VLOOKUP(C364,'Functional Assignment'!$C$2:$AP$780,'Functional Assignment'!$P$2,)</f>
        <v>0</v>
      </c>
      <c r="G364" s="78">
        <f t="shared" si="164"/>
        <v>0</v>
      </c>
      <c r="H364" s="78">
        <f t="shared" si="164"/>
        <v>0</v>
      </c>
      <c r="I364" s="78">
        <f t="shared" si="164"/>
        <v>0</v>
      </c>
      <c r="J364" s="78">
        <f t="shared" si="164"/>
        <v>0</v>
      </c>
      <c r="K364" s="78">
        <f t="shared" si="164"/>
        <v>0</v>
      </c>
      <c r="L364" s="78">
        <f t="shared" si="164"/>
        <v>0</v>
      </c>
      <c r="M364" s="78">
        <f t="shared" si="164"/>
        <v>0</v>
      </c>
      <c r="N364" s="78">
        <f t="shared" si="164"/>
        <v>0</v>
      </c>
      <c r="O364" s="78">
        <f t="shared" si="164"/>
        <v>0</v>
      </c>
      <c r="P364" s="78">
        <f t="shared" si="164"/>
        <v>0</v>
      </c>
      <c r="Q364" s="78">
        <f t="shared" si="165"/>
        <v>0</v>
      </c>
      <c r="R364" s="78">
        <f t="shared" si="165"/>
        <v>0</v>
      </c>
      <c r="S364" s="78">
        <f t="shared" si="165"/>
        <v>0</v>
      </c>
      <c r="T364" s="78">
        <f t="shared" si="165"/>
        <v>0</v>
      </c>
      <c r="U364" s="78">
        <f t="shared" si="165"/>
        <v>0</v>
      </c>
      <c r="V364" s="78">
        <f t="shared" si="165"/>
        <v>0</v>
      </c>
      <c r="W364" s="78">
        <f t="shared" si="165"/>
        <v>0</v>
      </c>
      <c r="X364" s="78">
        <f t="shared" si="165"/>
        <v>0</v>
      </c>
      <c r="Y364" s="78">
        <f t="shared" si="165"/>
        <v>0</v>
      </c>
      <c r="Z364" s="78">
        <f t="shared" si="165"/>
        <v>0</v>
      </c>
      <c r="AA364" s="78">
        <f>SUM(G364:Z364)</f>
        <v>0</v>
      </c>
      <c r="AB364" s="92" t="str">
        <f>IF(ABS(F364-AA364)&lt;0.01,"ok","err")</f>
        <v>ok</v>
      </c>
    </row>
    <row r="365" spans="1:28" hidden="1">
      <c r="A365" s="60" t="s">
        <v>1059</v>
      </c>
      <c r="D365" s="60" t="s">
        <v>736</v>
      </c>
      <c r="F365" s="75">
        <f t="shared" ref="F365:P365" si="166">SUM(F362:F364)</f>
        <v>0</v>
      </c>
      <c r="G365" s="75">
        <f t="shared" si="166"/>
        <v>0</v>
      </c>
      <c r="H365" s="75">
        <f t="shared" si="166"/>
        <v>0</v>
      </c>
      <c r="I365" s="75">
        <f t="shared" si="166"/>
        <v>0</v>
      </c>
      <c r="J365" s="75">
        <f t="shared" si="166"/>
        <v>0</v>
      </c>
      <c r="K365" s="75">
        <f t="shared" si="166"/>
        <v>0</v>
      </c>
      <c r="L365" s="75">
        <f t="shared" si="166"/>
        <v>0</v>
      </c>
      <c r="M365" s="75">
        <f t="shared" si="166"/>
        <v>0</v>
      </c>
      <c r="N365" s="75">
        <f t="shared" si="166"/>
        <v>0</v>
      </c>
      <c r="O365" s="75">
        <f>SUM(O362:O364)</f>
        <v>0</v>
      </c>
      <c r="P365" s="75">
        <f t="shared" si="166"/>
        <v>0</v>
      </c>
      <c r="Q365" s="75">
        <f t="shared" ref="Q365:Z365" si="167">SUM(Q362:Q364)</f>
        <v>0</v>
      </c>
      <c r="R365" s="75">
        <f t="shared" si="167"/>
        <v>0</v>
      </c>
      <c r="S365" s="75">
        <f t="shared" si="167"/>
        <v>0</v>
      </c>
      <c r="T365" s="75">
        <f t="shared" si="167"/>
        <v>0</v>
      </c>
      <c r="U365" s="75">
        <f t="shared" si="167"/>
        <v>0</v>
      </c>
      <c r="V365" s="75">
        <f t="shared" si="167"/>
        <v>0</v>
      </c>
      <c r="W365" s="75">
        <f t="shared" si="167"/>
        <v>0</v>
      </c>
      <c r="X365" s="75">
        <f t="shared" si="167"/>
        <v>0</v>
      </c>
      <c r="Y365" s="75">
        <f t="shared" si="167"/>
        <v>0</v>
      </c>
      <c r="Z365" s="75">
        <f t="shared" si="167"/>
        <v>0</v>
      </c>
      <c r="AA365" s="79">
        <f>SUM(G365:Z365)</f>
        <v>0</v>
      </c>
      <c r="AB365" s="92" t="str">
        <f>IF(ABS(F365-AA365)&lt;0.01,"ok","err")</f>
        <v>ok</v>
      </c>
    </row>
    <row r="366" spans="1:28">
      <c r="F366" s="78"/>
      <c r="G366" s="78"/>
    </row>
    <row r="367" spans="1:28" ht="15">
      <c r="A367" s="65" t="s">
        <v>337</v>
      </c>
      <c r="F367" s="78"/>
      <c r="G367" s="78"/>
    </row>
    <row r="368" spans="1:28">
      <c r="A368" s="68" t="s">
        <v>359</v>
      </c>
      <c r="C368" s="110" t="s">
        <v>726</v>
      </c>
      <c r="D368" s="60" t="s">
        <v>737</v>
      </c>
      <c r="E368" s="60" t="s">
        <v>1233</v>
      </c>
      <c r="F368" s="75">
        <f>VLOOKUP(C368,'Functional Assignment'!$C$2:$AP$780,'Functional Assignment'!$Q$2,)</f>
        <v>0</v>
      </c>
      <c r="G368" s="75">
        <f t="shared" ref="G368:Z368" si="168">IF(VLOOKUP($E368,$D$6:$AN$1148,3,)=0,0,(VLOOKUP($E368,$D$6:$AN$1148,G$2,)/VLOOKUP($E368,$D$6:$AN$1148,3,))*$F368)</f>
        <v>0</v>
      </c>
      <c r="H368" s="75">
        <f t="shared" si="168"/>
        <v>0</v>
      </c>
      <c r="I368" s="75">
        <f t="shared" si="168"/>
        <v>0</v>
      </c>
      <c r="J368" s="75">
        <f t="shared" si="168"/>
        <v>0</v>
      </c>
      <c r="K368" s="75">
        <f t="shared" si="168"/>
        <v>0</v>
      </c>
      <c r="L368" s="75">
        <f t="shared" si="168"/>
        <v>0</v>
      </c>
      <c r="M368" s="75">
        <f t="shared" si="168"/>
        <v>0</v>
      </c>
      <c r="N368" s="75">
        <f t="shared" si="168"/>
        <v>0</v>
      </c>
      <c r="O368" s="75">
        <f t="shared" si="168"/>
        <v>0</v>
      </c>
      <c r="P368" s="75">
        <f t="shared" si="168"/>
        <v>0</v>
      </c>
      <c r="Q368" s="75">
        <f t="shared" si="168"/>
        <v>0</v>
      </c>
      <c r="R368" s="75">
        <f t="shared" si="168"/>
        <v>0</v>
      </c>
      <c r="S368" s="75">
        <f t="shared" si="168"/>
        <v>0</v>
      </c>
      <c r="T368" s="75">
        <f t="shared" si="168"/>
        <v>0</v>
      </c>
      <c r="U368" s="75">
        <f t="shared" si="168"/>
        <v>0</v>
      </c>
      <c r="V368" s="75">
        <f t="shared" si="168"/>
        <v>0</v>
      </c>
      <c r="W368" s="75">
        <f t="shared" si="168"/>
        <v>0</v>
      </c>
      <c r="X368" s="75">
        <f t="shared" si="168"/>
        <v>0</v>
      </c>
      <c r="Y368" s="75">
        <f t="shared" si="168"/>
        <v>0</v>
      </c>
      <c r="Z368" s="75">
        <f t="shared" si="168"/>
        <v>0</v>
      </c>
      <c r="AA368" s="79">
        <f>SUM(G368:Z368)</f>
        <v>0</v>
      </c>
      <c r="AB368" s="92" t="str">
        <f>IF(ABS(F368-AA368)&lt;0.01,"ok","err")</f>
        <v>ok</v>
      </c>
    </row>
    <row r="369" spans="1:28">
      <c r="F369" s="78"/>
    </row>
    <row r="370" spans="1:28" ht="15">
      <c r="A370" s="65" t="s">
        <v>338</v>
      </c>
      <c r="F370" s="78"/>
      <c r="G370" s="78"/>
    </row>
    <row r="371" spans="1:28">
      <c r="A371" s="68" t="s">
        <v>361</v>
      </c>
      <c r="C371" s="110" t="s">
        <v>726</v>
      </c>
      <c r="D371" s="60" t="s">
        <v>738</v>
      </c>
      <c r="E371" s="60" t="s">
        <v>1233</v>
      </c>
      <c r="F371" s="75">
        <f>VLOOKUP(C371,'Functional Assignment'!$C$2:$AP$780,'Functional Assignment'!$R$2,)</f>
        <v>0</v>
      </c>
      <c r="G371" s="75">
        <f t="shared" ref="G371:Z371" si="169">IF(VLOOKUP($E371,$D$6:$AN$1148,3,)=0,0,(VLOOKUP($E371,$D$6:$AN$1148,G$2,)/VLOOKUP($E371,$D$6:$AN$1148,3,))*$F371)</f>
        <v>0</v>
      </c>
      <c r="H371" s="75">
        <f t="shared" si="169"/>
        <v>0</v>
      </c>
      <c r="I371" s="75">
        <f t="shared" si="169"/>
        <v>0</v>
      </c>
      <c r="J371" s="75">
        <f t="shared" si="169"/>
        <v>0</v>
      </c>
      <c r="K371" s="75">
        <f t="shared" si="169"/>
        <v>0</v>
      </c>
      <c r="L371" s="75">
        <f t="shared" si="169"/>
        <v>0</v>
      </c>
      <c r="M371" s="75">
        <f t="shared" si="169"/>
        <v>0</v>
      </c>
      <c r="N371" s="75">
        <f t="shared" si="169"/>
        <v>0</v>
      </c>
      <c r="O371" s="75">
        <f t="shared" si="169"/>
        <v>0</v>
      </c>
      <c r="P371" s="75">
        <f t="shared" si="169"/>
        <v>0</v>
      </c>
      <c r="Q371" s="75">
        <f t="shared" si="169"/>
        <v>0</v>
      </c>
      <c r="R371" s="75">
        <f t="shared" si="169"/>
        <v>0</v>
      </c>
      <c r="S371" s="75">
        <f t="shared" si="169"/>
        <v>0</v>
      </c>
      <c r="T371" s="75">
        <f t="shared" si="169"/>
        <v>0</v>
      </c>
      <c r="U371" s="75">
        <f t="shared" si="169"/>
        <v>0</v>
      </c>
      <c r="V371" s="75">
        <f t="shared" si="169"/>
        <v>0</v>
      </c>
      <c r="W371" s="75">
        <f t="shared" si="169"/>
        <v>0</v>
      </c>
      <c r="X371" s="75">
        <f t="shared" si="169"/>
        <v>0</v>
      </c>
      <c r="Y371" s="75">
        <f t="shared" si="169"/>
        <v>0</v>
      </c>
      <c r="Z371" s="75">
        <f t="shared" si="169"/>
        <v>0</v>
      </c>
      <c r="AA371" s="79">
        <f>SUM(G371:Z371)</f>
        <v>0</v>
      </c>
      <c r="AB371" s="92" t="str">
        <f>IF(ABS(F371-AA371)&lt;0.01,"ok","err")</f>
        <v>ok</v>
      </c>
    </row>
    <row r="372" spans="1:28">
      <c r="F372" s="78"/>
    </row>
    <row r="373" spans="1:28" ht="15">
      <c r="A373" s="65" t="s">
        <v>360</v>
      </c>
      <c r="F373" s="78"/>
    </row>
    <row r="374" spans="1:28">
      <c r="A374" s="68" t="s">
        <v>603</v>
      </c>
      <c r="C374" s="110" t="s">
        <v>726</v>
      </c>
      <c r="D374" s="60" t="s">
        <v>739</v>
      </c>
      <c r="E374" s="60" t="s">
        <v>1233</v>
      </c>
      <c r="F374" s="75">
        <f>VLOOKUP(C374,'Functional Assignment'!$C$2:$AP$780,'Functional Assignment'!$S$2,)</f>
        <v>0</v>
      </c>
      <c r="G374" s="75">
        <f t="shared" ref="G374:P378" si="170">IF(VLOOKUP($E374,$D$6:$AN$1148,3,)=0,0,(VLOOKUP($E374,$D$6:$AN$1148,G$2,)/VLOOKUP($E374,$D$6:$AN$1148,3,))*$F374)</f>
        <v>0</v>
      </c>
      <c r="H374" s="75">
        <f t="shared" si="170"/>
        <v>0</v>
      </c>
      <c r="I374" s="75">
        <f t="shared" si="170"/>
        <v>0</v>
      </c>
      <c r="J374" s="75">
        <f t="shared" si="170"/>
        <v>0</v>
      </c>
      <c r="K374" s="75">
        <f t="shared" si="170"/>
        <v>0</v>
      </c>
      <c r="L374" s="75">
        <f t="shared" si="170"/>
        <v>0</v>
      </c>
      <c r="M374" s="75">
        <f t="shared" si="170"/>
        <v>0</v>
      </c>
      <c r="N374" s="75">
        <f t="shared" si="170"/>
        <v>0</v>
      </c>
      <c r="O374" s="75">
        <f t="shared" si="170"/>
        <v>0</v>
      </c>
      <c r="P374" s="75">
        <f t="shared" si="170"/>
        <v>0</v>
      </c>
      <c r="Q374" s="75">
        <f t="shared" ref="Q374:Z378" si="171">IF(VLOOKUP($E374,$D$6:$AN$1148,3,)=0,0,(VLOOKUP($E374,$D$6:$AN$1148,Q$2,)/VLOOKUP($E374,$D$6:$AN$1148,3,))*$F374)</f>
        <v>0</v>
      </c>
      <c r="R374" s="75">
        <f t="shared" si="171"/>
        <v>0</v>
      </c>
      <c r="S374" s="75">
        <f t="shared" si="171"/>
        <v>0</v>
      </c>
      <c r="T374" s="75">
        <f t="shared" si="171"/>
        <v>0</v>
      </c>
      <c r="U374" s="75">
        <f t="shared" si="171"/>
        <v>0</v>
      </c>
      <c r="V374" s="75">
        <f t="shared" si="171"/>
        <v>0</v>
      </c>
      <c r="W374" s="75">
        <f t="shared" si="171"/>
        <v>0</v>
      </c>
      <c r="X374" s="75">
        <f t="shared" si="171"/>
        <v>0</v>
      </c>
      <c r="Y374" s="75">
        <f t="shared" si="171"/>
        <v>0</v>
      </c>
      <c r="Z374" s="75">
        <f t="shared" si="171"/>
        <v>0</v>
      </c>
      <c r="AA374" s="79">
        <f t="shared" ref="AA374:AA379" si="172">SUM(G374:Z374)</f>
        <v>0</v>
      </c>
      <c r="AB374" s="92" t="str">
        <f t="shared" ref="AB374:AB379" si="173">IF(ABS(F374-AA374)&lt;0.01,"ok","err")</f>
        <v>ok</v>
      </c>
    </row>
    <row r="375" spans="1:28">
      <c r="A375" s="68" t="s">
        <v>604</v>
      </c>
      <c r="C375" s="110" t="s">
        <v>726</v>
      </c>
      <c r="D375" s="60" t="s">
        <v>740</v>
      </c>
      <c r="E375" s="60" t="s">
        <v>1233</v>
      </c>
      <c r="F375" s="78">
        <f>VLOOKUP(C375,'Functional Assignment'!$C$2:$AP$780,'Functional Assignment'!$T$2,)</f>
        <v>0</v>
      </c>
      <c r="G375" s="78">
        <f t="shared" si="170"/>
        <v>0</v>
      </c>
      <c r="H375" s="78">
        <f t="shared" si="170"/>
        <v>0</v>
      </c>
      <c r="I375" s="78">
        <f t="shared" si="170"/>
        <v>0</v>
      </c>
      <c r="J375" s="78">
        <f t="shared" si="170"/>
        <v>0</v>
      </c>
      <c r="K375" s="78">
        <f t="shared" si="170"/>
        <v>0</v>
      </c>
      <c r="L375" s="78">
        <f t="shared" si="170"/>
        <v>0</v>
      </c>
      <c r="M375" s="78">
        <f t="shared" si="170"/>
        <v>0</v>
      </c>
      <c r="N375" s="78">
        <f t="shared" si="170"/>
        <v>0</v>
      </c>
      <c r="O375" s="78">
        <f t="shared" si="170"/>
        <v>0</v>
      </c>
      <c r="P375" s="78">
        <f t="shared" si="170"/>
        <v>0</v>
      </c>
      <c r="Q375" s="78">
        <f t="shared" si="171"/>
        <v>0</v>
      </c>
      <c r="R375" s="78">
        <f t="shared" si="171"/>
        <v>0</v>
      </c>
      <c r="S375" s="78">
        <f t="shared" si="171"/>
        <v>0</v>
      </c>
      <c r="T375" s="78">
        <f t="shared" si="171"/>
        <v>0</v>
      </c>
      <c r="U375" s="78">
        <f t="shared" si="171"/>
        <v>0</v>
      </c>
      <c r="V375" s="78">
        <f t="shared" si="171"/>
        <v>0</v>
      </c>
      <c r="W375" s="78">
        <f t="shared" si="171"/>
        <v>0</v>
      </c>
      <c r="X375" s="78">
        <f t="shared" si="171"/>
        <v>0</v>
      </c>
      <c r="Y375" s="78">
        <f t="shared" si="171"/>
        <v>0</v>
      </c>
      <c r="Z375" s="78">
        <f t="shared" si="171"/>
        <v>0</v>
      </c>
      <c r="AA375" s="78">
        <f t="shared" si="172"/>
        <v>0</v>
      </c>
      <c r="AB375" s="92" t="str">
        <f t="shared" si="173"/>
        <v>ok</v>
      </c>
    </row>
    <row r="376" spans="1:28">
      <c r="A376" s="68" t="s">
        <v>605</v>
      </c>
      <c r="C376" s="110" t="s">
        <v>726</v>
      </c>
      <c r="D376" s="60" t="s">
        <v>741</v>
      </c>
      <c r="E376" s="60" t="s">
        <v>660</v>
      </c>
      <c r="F376" s="78">
        <f>VLOOKUP(C376,'Functional Assignment'!$C$2:$AP$780,'Functional Assignment'!$U$2,)</f>
        <v>0</v>
      </c>
      <c r="G376" s="78">
        <f t="shared" si="170"/>
        <v>0</v>
      </c>
      <c r="H376" s="78">
        <f t="shared" si="170"/>
        <v>0</v>
      </c>
      <c r="I376" s="78">
        <f t="shared" si="170"/>
        <v>0</v>
      </c>
      <c r="J376" s="78">
        <f t="shared" si="170"/>
        <v>0</v>
      </c>
      <c r="K376" s="78">
        <f t="shared" si="170"/>
        <v>0</v>
      </c>
      <c r="L376" s="78">
        <f t="shared" si="170"/>
        <v>0</v>
      </c>
      <c r="M376" s="78">
        <f t="shared" si="170"/>
        <v>0</v>
      </c>
      <c r="N376" s="78">
        <f t="shared" si="170"/>
        <v>0</v>
      </c>
      <c r="O376" s="78">
        <f t="shared" si="170"/>
        <v>0</v>
      </c>
      <c r="P376" s="78">
        <f t="shared" si="170"/>
        <v>0</v>
      </c>
      <c r="Q376" s="78">
        <f t="shared" si="171"/>
        <v>0</v>
      </c>
      <c r="R376" s="78">
        <f t="shared" si="171"/>
        <v>0</v>
      </c>
      <c r="S376" s="78">
        <f t="shared" si="171"/>
        <v>0</v>
      </c>
      <c r="T376" s="78">
        <f t="shared" si="171"/>
        <v>0</v>
      </c>
      <c r="U376" s="78">
        <f t="shared" si="171"/>
        <v>0</v>
      </c>
      <c r="V376" s="78">
        <f t="shared" si="171"/>
        <v>0</v>
      </c>
      <c r="W376" s="78">
        <f t="shared" si="171"/>
        <v>0</v>
      </c>
      <c r="X376" s="78">
        <f t="shared" si="171"/>
        <v>0</v>
      </c>
      <c r="Y376" s="78">
        <f t="shared" si="171"/>
        <v>0</v>
      </c>
      <c r="Z376" s="78">
        <f t="shared" si="171"/>
        <v>0</v>
      </c>
      <c r="AA376" s="78">
        <f t="shared" si="172"/>
        <v>0</v>
      </c>
      <c r="AB376" s="92" t="str">
        <f t="shared" si="173"/>
        <v>ok</v>
      </c>
    </row>
    <row r="377" spans="1:28">
      <c r="A377" s="68" t="s">
        <v>606</v>
      </c>
      <c r="C377" s="110" t="s">
        <v>726</v>
      </c>
      <c r="D377" s="60" t="s">
        <v>742</v>
      </c>
      <c r="E377" s="60" t="s">
        <v>646</v>
      </c>
      <c r="F377" s="78">
        <f>VLOOKUP(C377,'Functional Assignment'!$C$2:$AP$780,'Functional Assignment'!$V$2,)</f>
        <v>0</v>
      </c>
      <c r="G377" s="78">
        <f t="shared" si="170"/>
        <v>0</v>
      </c>
      <c r="H377" s="78">
        <f t="shared" si="170"/>
        <v>0</v>
      </c>
      <c r="I377" s="78">
        <f t="shared" si="170"/>
        <v>0</v>
      </c>
      <c r="J377" s="78">
        <f t="shared" si="170"/>
        <v>0</v>
      </c>
      <c r="K377" s="78">
        <f t="shared" si="170"/>
        <v>0</v>
      </c>
      <c r="L377" s="78">
        <f t="shared" si="170"/>
        <v>0</v>
      </c>
      <c r="M377" s="78">
        <f t="shared" si="170"/>
        <v>0</v>
      </c>
      <c r="N377" s="78">
        <f t="shared" si="170"/>
        <v>0</v>
      </c>
      <c r="O377" s="78">
        <f t="shared" si="170"/>
        <v>0</v>
      </c>
      <c r="P377" s="78">
        <f t="shared" si="170"/>
        <v>0</v>
      </c>
      <c r="Q377" s="78">
        <f t="shared" si="171"/>
        <v>0</v>
      </c>
      <c r="R377" s="78">
        <f t="shared" si="171"/>
        <v>0</v>
      </c>
      <c r="S377" s="78">
        <f t="shared" si="171"/>
        <v>0</v>
      </c>
      <c r="T377" s="78">
        <f t="shared" si="171"/>
        <v>0</v>
      </c>
      <c r="U377" s="78">
        <f t="shared" si="171"/>
        <v>0</v>
      </c>
      <c r="V377" s="78">
        <f t="shared" si="171"/>
        <v>0</v>
      </c>
      <c r="W377" s="78">
        <f t="shared" si="171"/>
        <v>0</v>
      </c>
      <c r="X377" s="78">
        <f t="shared" si="171"/>
        <v>0</v>
      </c>
      <c r="Y377" s="78">
        <f t="shared" si="171"/>
        <v>0</v>
      </c>
      <c r="Z377" s="78">
        <f t="shared" si="171"/>
        <v>0</v>
      </c>
      <c r="AA377" s="78">
        <f t="shared" si="172"/>
        <v>0</v>
      </c>
      <c r="AB377" s="92" t="str">
        <f t="shared" si="173"/>
        <v>ok</v>
      </c>
    </row>
    <row r="378" spans="1:28">
      <c r="A378" s="68" t="s">
        <v>607</v>
      </c>
      <c r="C378" s="110" t="s">
        <v>726</v>
      </c>
      <c r="D378" s="60" t="s">
        <v>743</v>
      </c>
      <c r="E378" s="60" t="s">
        <v>659</v>
      </c>
      <c r="F378" s="78">
        <f>VLOOKUP(C378,'Functional Assignment'!$C$2:$AP$780,'Functional Assignment'!$W$2,)</f>
        <v>0</v>
      </c>
      <c r="G378" s="78">
        <f t="shared" si="170"/>
        <v>0</v>
      </c>
      <c r="H378" s="78">
        <f t="shared" si="170"/>
        <v>0</v>
      </c>
      <c r="I378" s="78">
        <f t="shared" si="170"/>
        <v>0</v>
      </c>
      <c r="J378" s="78">
        <f t="shared" si="170"/>
        <v>0</v>
      </c>
      <c r="K378" s="78">
        <f t="shared" si="170"/>
        <v>0</v>
      </c>
      <c r="L378" s="78">
        <f t="shared" si="170"/>
        <v>0</v>
      </c>
      <c r="M378" s="78">
        <f t="shared" si="170"/>
        <v>0</v>
      </c>
      <c r="N378" s="78">
        <f t="shared" si="170"/>
        <v>0</v>
      </c>
      <c r="O378" s="78">
        <f t="shared" si="170"/>
        <v>0</v>
      </c>
      <c r="P378" s="78">
        <f t="shared" si="170"/>
        <v>0</v>
      </c>
      <c r="Q378" s="78">
        <f t="shared" si="171"/>
        <v>0</v>
      </c>
      <c r="R378" s="78">
        <f t="shared" si="171"/>
        <v>0</v>
      </c>
      <c r="S378" s="78">
        <f t="shared" si="171"/>
        <v>0</v>
      </c>
      <c r="T378" s="78">
        <f t="shared" si="171"/>
        <v>0</v>
      </c>
      <c r="U378" s="78">
        <f t="shared" si="171"/>
        <v>0</v>
      </c>
      <c r="V378" s="78">
        <f t="shared" si="171"/>
        <v>0</v>
      </c>
      <c r="W378" s="78">
        <f t="shared" si="171"/>
        <v>0</v>
      </c>
      <c r="X378" s="78">
        <f t="shared" si="171"/>
        <v>0</v>
      </c>
      <c r="Y378" s="78">
        <f t="shared" si="171"/>
        <v>0</v>
      </c>
      <c r="Z378" s="78">
        <f t="shared" si="171"/>
        <v>0</v>
      </c>
      <c r="AA378" s="78">
        <f t="shared" si="172"/>
        <v>0</v>
      </c>
      <c r="AB378" s="92" t="str">
        <f t="shared" si="173"/>
        <v>ok</v>
      </c>
    </row>
    <row r="379" spans="1:28">
      <c r="A379" s="60" t="s">
        <v>365</v>
      </c>
      <c r="D379" s="60" t="s">
        <v>744</v>
      </c>
      <c r="F379" s="75">
        <f t="shared" ref="F379:P379" si="174">SUM(F374:F378)</f>
        <v>0</v>
      </c>
      <c r="G379" s="75">
        <f t="shared" si="174"/>
        <v>0</v>
      </c>
      <c r="H379" s="75">
        <f t="shared" si="174"/>
        <v>0</v>
      </c>
      <c r="I379" s="75">
        <f t="shared" si="174"/>
        <v>0</v>
      </c>
      <c r="J379" s="75">
        <f t="shared" si="174"/>
        <v>0</v>
      </c>
      <c r="K379" s="75">
        <f t="shared" si="174"/>
        <v>0</v>
      </c>
      <c r="L379" s="75">
        <f t="shared" si="174"/>
        <v>0</v>
      </c>
      <c r="M379" s="75">
        <f t="shared" si="174"/>
        <v>0</v>
      </c>
      <c r="N379" s="75">
        <f t="shared" si="174"/>
        <v>0</v>
      </c>
      <c r="O379" s="75">
        <f>SUM(O374:O378)</f>
        <v>0</v>
      </c>
      <c r="P379" s="75">
        <f t="shared" si="174"/>
        <v>0</v>
      </c>
      <c r="Q379" s="75">
        <f t="shared" ref="Q379:Z379" si="175">SUM(Q374:Q378)</f>
        <v>0</v>
      </c>
      <c r="R379" s="75">
        <f t="shared" si="175"/>
        <v>0</v>
      </c>
      <c r="S379" s="75">
        <f t="shared" si="175"/>
        <v>0</v>
      </c>
      <c r="T379" s="75">
        <f t="shared" si="175"/>
        <v>0</v>
      </c>
      <c r="U379" s="75">
        <f t="shared" si="175"/>
        <v>0</v>
      </c>
      <c r="V379" s="75">
        <f t="shared" si="175"/>
        <v>0</v>
      </c>
      <c r="W379" s="75">
        <f t="shared" si="175"/>
        <v>0</v>
      </c>
      <c r="X379" s="75">
        <f t="shared" si="175"/>
        <v>0</v>
      </c>
      <c r="Y379" s="75">
        <f t="shared" si="175"/>
        <v>0</v>
      </c>
      <c r="Z379" s="75">
        <f t="shared" si="175"/>
        <v>0</v>
      </c>
      <c r="AA379" s="79">
        <f t="shared" si="172"/>
        <v>0</v>
      </c>
      <c r="AB379" s="92" t="str">
        <f t="shared" si="173"/>
        <v>ok</v>
      </c>
    </row>
    <row r="380" spans="1:28">
      <c r="F380" s="78"/>
    </row>
    <row r="381" spans="1:28" ht="15">
      <c r="A381" s="65" t="s">
        <v>613</v>
      </c>
      <c r="F381" s="78"/>
    </row>
    <row r="382" spans="1:28">
      <c r="A382" s="68" t="s">
        <v>1016</v>
      </c>
      <c r="C382" s="110" t="s">
        <v>726</v>
      </c>
      <c r="D382" s="60" t="s">
        <v>745</v>
      </c>
      <c r="E382" s="60" t="s">
        <v>1209</v>
      </c>
      <c r="F382" s="75">
        <f>VLOOKUP(C382,'Functional Assignment'!$C$2:$AP$780,'Functional Assignment'!$X$2,)</f>
        <v>0</v>
      </c>
      <c r="G382" s="75">
        <f t="shared" ref="G382:P383" si="176">IF(VLOOKUP($E382,$D$6:$AN$1148,3,)=0,0,(VLOOKUP($E382,$D$6:$AN$1148,G$2,)/VLOOKUP($E382,$D$6:$AN$1148,3,))*$F382)</f>
        <v>0</v>
      </c>
      <c r="H382" s="75">
        <f t="shared" si="176"/>
        <v>0</v>
      </c>
      <c r="I382" s="75">
        <f t="shared" si="176"/>
        <v>0</v>
      </c>
      <c r="J382" s="75">
        <f t="shared" si="176"/>
        <v>0</v>
      </c>
      <c r="K382" s="75">
        <f t="shared" si="176"/>
        <v>0</v>
      </c>
      <c r="L382" s="75">
        <f t="shared" si="176"/>
        <v>0</v>
      </c>
      <c r="M382" s="75">
        <f t="shared" si="176"/>
        <v>0</v>
      </c>
      <c r="N382" s="75">
        <f t="shared" si="176"/>
        <v>0</v>
      </c>
      <c r="O382" s="75">
        <f t="shared" si="176"/>
        <v>0</v>
      </c>
      <c r="P382" s="75">
        <f t="shared" si="176"/>
        <v>0</v>
      </c>
      <c r="Q382" s="75">
        <f t="shared" ref="Q382:Z383" si="177">IF(VLOOKUP($E382,$D$6:$AN$1148,3,)=0,0,(VLOOKUP($E382,$D$6:$AN$1148,Q$2,)/VLOOKUP($E382,$D$6:$AN$1148,3,))*$F382)</f>
        <v>0</v>
      </c>
      <c r="R382" s="75">
        <f t="shared" si="177"/>
        <v>0</v>
      </c>
      <c r="S382" s="75">
        <f t="shared" si="177"/>
        <v>0</v>
      </c>
      <c r="T382" s="75">
        <f t="shared" si="177"/>
        <v>0</v>
      </c>
      <c r="U382" s="75">
        <f t="shared" si="177"/>
        <v>0</v>
      </c>
      <c r="V382" s="75">
        <f t="shared" si="177"/>
        <v>0</v>
      </c>
      <c r="W382" s="75">
        <f t="shared" si="177"/>
        <v>0</v>
      </c>
      <c r="X382" s="75">
        <f t="shared" si="177"/>
        <v>0</v>
      </c>
      <c r="Y382" s="75">
        <f t="shared" si="177"/>
        <v>0</v>
      </c>
      <c r="Z382" s="75">
        <f t="shared" si="177"/>
        <v>0</v>
      </c>
      <c r="AA382" s="79">
        <f>SUM(G382:Z382)</f>
        <v>0</v>
      </c>
      <c r="AB382" s="92" t="str">
        <f>IF(ABS(F382-AA382)&lt;0.01,"ok","err")</f>
        <v>ok</v>
      </c>
    </row>
    <row r="383" spans="1:28">
      <c r="A383" s="68" t="s">
        <v>1019</v>
      </c>
      <c r="C383" s="110" t="s">
        <v>726</v>
      </c>
      <c r="D383" s="60" t="s">
        <v>746</v>
      </c>
      <c r="E383" s="60" t="s">
        <v>1207</v>
      </c>
      <c r="F383" s="78">
        <f>VLOOKUP(C383,'Functional Assignment'!$C$2:$AP$780,'Functional Assignment'!$Y$2,)</f>
        <v>0</v>
      </c>
      <c r="G383" s="78">
        <f t="shared" si="176"/>
        <v>0</v>
      </c>
      <c r="H383" s="78">
        <f t="shared" si="176"/>
        <v>0</v>
      </c>
      <c r="I383" s="78">
        <f t="shared" si="176"/>
        <v>0</v>
      </c>
      <c r="J383" s="78">
        <f t="shared" si="176"/>
        <v>0</v>
      </c>
      <c r="K383" s="78">
        <f t="shared" si="176"/>
        <v>0</v>
      </c>
      <c r="L383" s="78">
        <f t="shared" si="176"/>
        <v>0</v>
      </c>
      <c r="M383" s="78">
        <f t="shared" si="176"/>
        <v>0</v>
      </c>
      <c r="N383" s="78">
        <f t="shared" si="176"/>
        <v>0</v>
      </c>
      <c r="O383" s="78">
        <f t="shared" si="176"/>
        <v>0</v>
      </c>
      <c r="P383" s="78">
        <f t="shared" si="176"/>
        <v>0</v>
      </c>
      <c r="Q383" s="78">
        <f t="shared" si="177"/>
        <v>0</v>
      </c>
      <c r="R383" s="78">
        <f t="shared" si="177"/>
        <v>0</v>
      </c>
      <c r="S383" s="78">
        <f t="shared" si="177"/>
        <v>0</v>
      </c>
      <c r="T383" s="78">
        <f t="shared" si="177"/>
        <v>0</v>
      </c>
      <c r="U383" s="78">
        <f t="shared" si="177"/>
        <v>0</v>
      </c>
      <c r="V383" s="78">
        <f t="shared" si="177"/>
        <v>0</v>
      </c>
      <c r="W383" s="78">
        <f t="shared" si="177"/>
        <v>0</v>
      </c>
      <c r="X383" s="78">
        <f t="shared" si="177"/>
        <v>0</v>
      </c>
      <c r="Y383" s="78">
        <f t="shared" si="177"/>
        <v>0</v>
      </c>
      <c r="Z383" s="78">
        <f t="shared" si="177"/>
        <v>0</v>
      </c>
      <c r="AA383" s="78">
        <f>SUM(G383:Z383)</f>
        <v>0</v>
      </c>
      <c r="AB383" s="92" t="str">
        <f>IF(ABS(F383-AA383)&lt;0.01,"ok","err")</f>
        <v>ok</v>
      </c>
    </row>
    <row r="384" spans="1:28">
      <c r="A384" s="60" t="s">
        <v>674</v>
      </c>
      <c r="D384" s="60" t="s">
        <v>747</v>
      </c>
      <c r="F384" s="75">
        <f t="shared" ref="F384:P384" si="178">F382+F383</f>
        <v>0</v>
      </c>
      <c r="G384" s="75">
        <f t="shared" si="178"/>
        <v>0</v>
      </c>
      <c r="H384" s="75">
        <f t="shared" si="178"/>
        <v>0</v>
      </c>
      <c r="I384" s="75">
        <f t="shared" si="178"/>
        <v>0</v>
      </c>
      <c r="J384" s="75">
        <f t="shared" si="178"/>
        <v>0</v>
      </c>
      <c r="K384" s="75">
        <f t="shared" si="178"/>
        <v>0</v>
      </c>
      <c r="L384" s="75">
        <f t="shared" si="178"/>
        <v>0</v>
      </c>
      <c r="M384" s="75">
        <f t="shared" si="178"/>
        <v>0</v>
      </c>
      <c r="N384" s="75">
        <f t="shared" si="178"/>
        <v>0</v>
      </c>
      <c r="O384" s="75">
        <f>O382+O383</f>
        <v>0</v>
      </c>
      <c r="P384" s="75">
        <f t="shared" si="178"/>
        <v>0</v>
      </c>
      <c r="Q384" s="75">
        <f t="shared" ref="Q384:Z384" si="179">Q382+Q383</f>
        <v>0</v>
      </c>
      <c r="R384" s="75">
        <f t="shared" si="179"/>
        <v>0</v>
      </c>
      <c r="S384" s="75">
        <f t="shared" si="179"/>
        <v>0</v>
      </c>
      <c r="T384" s="75">
        <f t="shared" si="179"/>
        <v>0</v>
      </c>
      <c r="U384" s="75">
        <f t="shared" si="179"/>
        <v>0</v>
      </c>
      <c r="V384" s="75">
        <f t="shared" si="179"/>
        <v>0</v>
      </c>
      <c r="W384" s="75">
        <f t="shared" si="179"/>
        <v>0</v>
      </c>
      <c r="X384" s="75">
        <f t="shared" si="179"/>
        <v>0</v>
      </c>
      <c r="Y384" s="75">
        <f t="shared" si="179"/>
        <v>0</v>
      </c>
      <c r="Z384" s="75">
        <f t="shared" si="179"/>
        <v>0</v>
      </c>
      <c r="AA384" s="79">
        <f>SUM(G384:Z384)</f>
        <v>0</v>
      </c>
      <c r="AB384" s="92" t="str">
        <f>IF(ABS(F384-AA384)&lt;0.01,"ok","err")</f>
        <v>ok</v>
      </c>
    </row>
    <row r="385" spans="1:28">
      <c r="F385" s="78"/>
    </row>
    <row r="386" spans="1:28" ht="15">
      <c r="A386" s="65" t="s">
        <v>343</v>
      </c>
      <c r="F386" s="78"/>
    </row>
    <row r="387" spans="1:28">
      <c r="A387" s="68" t="s">
        <v>1019</v>
      </c>
      <c r="C387" s="110" t="s">
        <v>726</v>
      </c>
      <c r="D387" s="60" t="s">
        <v>748</v>
      </c>
      <c r="E387" s="60" t="s">
        <v>1021</v>
      </c>
      <c r="F387" s="75">
        <f>VLOOKUP(C387,'Functional Assignment'!$C$2:$AP$780,'Functional Assignment'!$Z$2,)</f>
        <v>0</v>
      </c>
      <c r="G387" s="75">
        <f t="shared" ref="G387:Z387" si="180">IF(VLOOKUP($E387,$D$6:$AN$1148,3,)=0,0,(VLOOKUP($E387,$D$6:$AN$1148,G$2,)/VLOOKUP($E387,$D$6:$AN$1148,3,))*$F387)</f>
        <v>0</v>
      </c>
      <c r="H387" s="75">
        <f t="shared" si="180"/>
        <v>0</v>
      </c>
      <c r="I387" s="75">
        <f t="shared" si="180"/>
        <v>0</v>
      </c>
      <c r="J387" s="75">
        <f t="shared" si="180"/>
        <v>0</v>
      </c>
      <c r="K387" s="75">
        <f t="shared" si="180"/>
        <v>0</v>
      </c>
      <c r="L387" s="75">
        <f t="shared" si="180"/>
        <v>0</v>
      </c>
      <c r="M387" s="75">
        <f t="shared" si="180"/>
        <v>0</v>
      </c>
      <c r="N387" s="75">
        <f t="shared" si="180"/>
        <v>0</v>
      </c>
      <c r="O387" s="75">
        <f t="shared" si="180"/>
        <v>0</v>
      </c>
      <c r="P387" s="75">
        <f t="shared" si="180"/>
        <v>0</v>
      </c>
      <c r="Q387" s="75">
        <f t="shared" si="180"/>
        <v>0</v>
      </c>
      <c r="R387" s="75">
        <f t="shared" si="180"/>
        <v>0</v>
      </c>
      <c r="S387" s="75">
        <f t="shared" si="180"/>
        <v>0</v>
      </c>
      <c r="T387" s="75">
        <f t="shared" si="180"/>
        <v>0</v>
      </c>
      <c r="U387" s="75">
        <f t="shared" si="180"/>
        <v>0</v>
      </c>
      <c r="V387" s="75">
        <f t="shared" si="180"/>
        <v>0</v>
      </c>
      <c r="W387" s="75">
        <f t="shared" si="180"/>
        <v>0</v>
      </c>
      <c r="X387" s="75">
        <f t="shared" si="180"/>
        <v>0</v>
      </c>
      <c r="Y387" s="75">
        <f t="shared" si="180"/>
        <v>0</v>
      </c>
      <c r="Z387" s="75">
        <f t="shared" si="180"/>
        <v>0</v>
      </c>
      <c r="AA387" s="79">
        <f>SUM(G387:Z387)</f>
        <v>0</v>
      </c>
      <c r="AB387" s="92" t="str">
        <f>IF(ABS(F387-AA387)&lt;0.01,"ok","err")</f>
        <v>ok</v>
      </c>
    </row>
    <row r="388" spans="1:28">
      <c r="A388" s="68"/>
      <c r="C388" s="110"/>
      <c r="F388" s="78"/>
      <c r="AB388" s="92"/>
    </row>
    <row r="389" spans="1:28" hidden="1">
      <c r="F389" s="78">
        <v>-481.11596323706613</v>
      </c>
      <c r="G389" s="60">
        <v>-282.97749498118196</v>
      </c>
      <c r="H389" s="60">
        <v>-81.183507636622537</v>
      </c>
      <c r="I389" s="60">
        <v>0</v>
      </c>
      <c r="J389" s="60">
        <v>-86.606165658267514</v>
      </c>
      <c r="K389" s="60">
        <v>0</v>
      </c>
      <c r="L389" s="60">
        <v>-1.6617745370208263</v>
      </c>
      <c r="M389" s="60">
        <v>0</v>
      </c>
      <c r="N389" s="60">
        <v>-26.887646721466677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-0.14048586126522331</v>
      </c>
      <c r="U389" s="60">
        <v>-0.66586449312009954</v>
      </c>
      <c r="V389" s="60">
        <v>0</v>
      </c>
      <c r="W389" s="60">
        <v>-0.99302334812130444</v>
      </c>
      <c r="AA389" s="60">
        <v>-482.10898658518755</v>
      </c>
    </row>
    <row r="390" spans="1:28" ht="15">
      <c r="A390" s="65" t="s">
        <v>342</v>
      </c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9"/>
    </row>
    <row r="391" spans="1:28">
      <c r="A391" s="68" t="s">
        <v>1019</v>
      </c>
      <c r="C391" s="110" t="s">
        <v>726</v>
      </c>
      <c r="D391" s="60" t="s">
        <v>749</v>
      </c>
      <c r="E391" s="60" t="s">
        <v>1022</v>
      </c>
      <c r="F391" s="75">
        <f>VLOOKUP(C391,'Functional Assignment'!$C$2:$AP$780,'Functional Assignment'!$AA$2,)</f>
        <v>0</v>
      </c>
      <c r="G391" s="75">
        <f t="shared" ref="G391:Z391" si="181">IF(VLOOKUP($E391,$D$6:$AN$1148,3,)=0,0,(VLOOKUP($E391,$D$6:$AN$1148,G$2,)/VLOOKUP($E391,$D$6:$AN$1148,3,))*$F391)</f>
        <v>0</v>
      </c>
      <c r="H391" s="75">
        <f t="shared" si="181"/>
        <v>0</v>
      </c>
      <c r="I391" s="75">
        <f t="shared" si="181"/>
        <v>0</v>
      </c>
      <c r="J391" s="75">
        <f t="shared" si="181"/>
        <v>0</v>
      </c>
      <c r="K391" s="75">
        <f t="shared" si="181"/>
        <v>0</v>
      </c>
      <c r="L391" s="75">
        <f t="shared" si="181"/>
        <v>0</v>
      </c>
      <c r="M391" s="75">
        <f t="shared" si="181"/>
        <v>0</v>
      </c>
      <c r="N391" s="75">
        <f t="shared" si="181"/>
        <v>0</v>
      </c>
      <c r="O391" s="75">
        <f t="shared" si="181"/>
        <v>0</v>
      </c>
      <c r="P391" s="75">
        <f t="shared" si="181"/>
        <v>0</v>
      </c>
      <c r="Q391" s="75">
        <f t="shared" si="181"/>
        <v>0</v>
      </c>
      <c r="R391" s="75">
        <f t="shared" si="181"/>
        <v>0</v>
      </c>
      <c r="S391" s="75">
        <f t="shared" si="181"/>
        <v>0</v>
      </c>
      <c r="T391" s="75">
        <f t="shared" si="181"/>
        <v>0</v>
      </c>
      <c r="U391" s="75">
        <f t="shared" si="181"/>
        <v>0</v>
      </c>
      <c r="V391" s="75">
        <f t="shared" si="181"/>
        <v>0</v>
      </c>
      <c r="W391" s="75">
        <f t="shared" si="181"/>
        <v>0</v>
      </c>
      <c r="X391" s="75">
        <f t="shared" si="181"/>
        <v>0</v>
      </c>
      <c r="Y391" s="75">
        <f t="shared" si="181"/>
        <v>0</v>
      </c>
      <c r="Z391" s="75">
        <f t="shared" si="181"/>
        <v>0</v>
      </c>
      <c r="AA391" s="79">
        <f>SUM(G391:Z391)</f>
        <v>0</v>
      </c>
      <c r="AB391" s="92" t="str">
        <f>IF(ABS(F391-AA391)&lt;0.01,"ok","err")</f>
        <v>ok</v>
      </c>
    </row>
    <row r="392" spans="1:28">
      <c r="F392" s="78"/>
    </row>
    <row r="393" spans="1:28" ht="15">
      <c r="A393" s="65" t="s">
        <v>358</v>
      </c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9"/>
    </row>
    <row r="394" spans="1:28">
      <c r="A394" s="68" t="s">
        <v>1019</v>
      </c>
      <c r="C394" s="110" t="s">
        <v>726</v>
      </c>
      <c r="D394" s="60" t="s">
        <v>750</v>
      </c>
      <c r="E394" s="60" t="s">
        <v>1023</v>
      </c>
      <c r="F394" s="75">
        <f>VLOOKUP(C394,'Functional Assignment'!$C$2:$AP$780,'Functional Assignment'!$AB$2,)</f>
        <v>0</v>
      </c>
      <c r="G394" s="75">
        <f t="shared" ref="G394:Z394" si="182">IF(VLOOKUP($E394,$D$6:$AN$1148,3,)=0,0,(VLOOKUP($E394,$D$6:$AN$1148,G$2,)/VLOOKUP($E394,$D$6:$AN$1148,3,))*$F394)</f>
        <v>0</v>
      </c>
      <c r="H394" s="75">
        <f t="shared" si="182"/>
        <v>0</v>
      </c>
      <c r="I394" s="75">
        <f t="shared" si="182"/>
        <v>0</v>
      </c>
      <c r="J394" s="75">
        <f t="shared" si="182"/>
        <v>0</v>
      </c>
      <c r="K394" s="75">
        <f t="shared" si="182"/>
        <v>0</v>
      </c>
      <c r="L394" s="75">
        <f t="shared" si="182"/>
        <v>0</v>
      </c>
      <c r="M394" s="75">
        <f t="shared" si="182"/>
        <v>0</v>
      </c>
      <c r="N394" s="75">
        <f t="shared" si="182"/>
        <v>0</v>
      </c>
      <c r="O394" s="75">
        <f t="shared" si="182"/>
        <v>0</v>
      </c>
      <c r="P394" s="75">
        <f t="shared" si="182"/>
        <v>0</v>
      </c>
      <c r="Q394" s="75">
        <f t="shared" si="182"/>
        <v>0</v>
      </c>
      <c r="R394" s="75">
        <f t="shared" si="182"/>
        <v>0</v>
      </c>
      <c r="S394" s="75">
        <f t="shared" si="182"/>
        <v>0</v>
      </c>
      <c r="T394" s="75">
        <f t="shared" si="182"/>
        <v>0</v>
      </c>
      <c r="U394" s="75">
        <f t="shared" si="182"/>
        <v>0</v>
      </c>
      <c r="V394" s="75">
        <f t="shared" si="182"/>
        <v>0</v>
      </c>
      <c r="W394" s="75">
        <f t="shared" si="182"/>
        <v>0</v>
      </c>
      <c r="X394" s="75">
        <f t="shared" si="182"/>
        <v>0</v>
      </c>
      <c r="Y394" s="75">
        <f t="shared" si="182"/>
        <v>0</v>
      </c>
      <c r="Z394" s="75">
        <f t="shared" si="182"/>
        <v>0</v>
      </c>
      <c r="AA394" s="79">
        <f>SUM(G394:Z394)</f>
        <v>0</v>
      </c>
      <c r="AB394" s="92" t="str">
        <f>IF(ABS(F394-AA394)&lt;0.01,"ok","err")</f>
        <v>ok</v>
      </c>
    </row>
    <row r="395" spans="1:28">
      <c r="F395" s="78"/>
    </row>
    <row r="396" spans="1:28" ht="15">
      <c r="A396" s="65" t="s">
        <v>951</v>
      </c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9"/>
    </row>
    <row r="397" spans="1:28">
      <c r="A397" s="68" t="s">
        <v>1019</v>
      </c>
      <c r="C397" s="110" t="s">
        <v>726</v>
      </c>
      <c r="D397" s="60" t="s">
        <v>751</v>
      </c>
      <c r="E397" s="60" t="s">
        <v>1024</v>
      </c>
      <c r="F397" s="75">
        <f>VLOOKUP(C397,'Functional Assignment'!$C$2:$AP$780,'Functional Assignment'!$AC$2,)</f>
        <v>0</v>
      </c>
      <c r="G397" s="75">
        <f t="shared" ref="G397:Z397" si="183">IF(VLOOKUP($E397,$D$6:$AN$1148,3,)=0,0,(VLOOKUP($E397,$D$6:$AN$1148,G$2,)/VLOOKUP($E397,$D$6:$AN$1148,3,))*$F397)</f>
        <v>0</v>
      </c>
      <c r="H397" s="75">
        <f t="shared" si="183"/>
        <v>0</v>
      </c>
      <c r="I397" s="75">
        <f t="shared" si="183"/>
        <v>0</v>
      </c>
      <c r="J397" s="75">
        <f t="shared" si="183"/>
        <v>0</v>
      </c>
      <c r="K397" s="75">
        <f t="shared" si="183"/>
        <v>0</v>
      </c>
      <c r="L397" s="75">
        <f t="shared" si="183"/>
        <v>0</v>
      </c>
      <c r="M397" s="75">
        <f t="shared" si="183"/>
        <v>0</v>
      </c>
      <c r="N397" s="75">
        <f t="shared" si="183"/>
        <v>0</v>
      </c>
      <c r="O397" s="75">
        <f t="shared" si="183"/>
        <v>0</v>
      </c>
      <c r="P397" s="75">
        <f t="shared" si="183"/>
        <v>0</v>
      </c>
      <c r="Q397" s="75">
        <f t="shared" si="183"/>
        <v>0</v>
      </c>
      <c r="R397" s="75">
        <f t="shared" si="183"/>
        <v>0</v>
      </c>
      <c r="S397" s="75">
        <f t="shared" si="183"/>
        <v>0</v>
      </c>
      <c r="T397" s="75">
        <f t="shared" si="183"/>
        <v>0</v>
      </c>
      <c r="U397" s="75">
        <f t="shared" si="183"/>
        <v>0</v>
      </c>
      <c r="V397" s="75">
        <f t="shared" si="183"/>
        <v>0</v>
      </c>
      <c r="W397" s="75">
        <f t="shared" si="183"/>
        <v>0</v>
      </c>
      <c r="X397" s="75">
        <f t="shared" si="183"/>
        <v>0</v>
      </c>
      <c r="Y397" s="75">
        <f t="shared" si="183"/>
        <v>0</v>
      </c>
      <c r="Z397" s="75">
        <f t="shared" si="183"/>
        <v>0</v>
      </c>
      <c r="AA397" s="79">
        <f>SUM(G397:Z397)</f>
        <v>0</v>
      </c>
      <c r="AB397" s="92" t="str">
        <f>IF(ABS(F397-AA397)&lt;0.01,"ok","err")</f>
        <v>ok</v>
      </c>
    </row>
    <row r="398" spans="1:28">
      <c r="F398" s="78"/>
    </row>
    <row r="399" spans="1:28" ht="15">
      <c r="A399" s="65" t="s">
        <v>340</v>
      </c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9"/>
    </row>
    <row r="400" spans="1:28">
      <c r="A400" s="68" t="s">
        <v>1019</v>
      </c>
      <c r="C400" s="110" t="s">
        <v>726</v>
      </c>
      <c r="D400" s="60" t="s">
        <v>752</v>
      </c>
      <c r="E400" s="60" t="s">
        <v>1024</v>
      </c>
      <c r="F400" s="75">
        <f>VLOOKUP(C400,'Functional Assignment'!$C$2:$AP$780,'Functional Assignment'!$AD$2,)</f>
        <v>0</v>
      </c>
      <c r="G400" s="75">
        <f t="shared" ref="G400:Z400" si="184">IF(VLOOKUP($E400,$D$6:$AN$1148,3,)=0,0,(VLOOKUP($E400,$D$6:$AN$1148,G$2,)/VLOOKUP($E400,$D$6:$AN$1148,3,))*$F400)</f>
        <v>0</v>
      </c>
      <c r="H400" s="75">
        <f t="shared" si="184"/>
        <v>0</v>
      </c>
      <c r="I400" s="75">
        <f t="shared" si="184"/>
        <v>0</v>
      </c>
      <c r="J400" s="75">
        <f t="shared" si="184"/>
        <v>0</v>
      </c>
      <c r="K400" s="75">
        <f t="shared" si="184"/>
        <v>0</v>
      </c>
      <c r="L400" s="75">
        <f t="shared" si="184"/>
        <v>0</v>
      </c>
      <c r="M400" s="75">
        <f t="shared" si="184"/>
        <v>0</v>
      </c>
      <c r="N400" s="75">
        <f t="shared" si="184"/>
        <v>0</v>
      </c>
      <c r="O400" s="75">
        <f t="shared" si="184"/>
        <v>0</v>
      </c>
      <c r="P400" s="75">
        <f t="shared" si="184"/>
        <v>0</v>
      </c>
      <c r="Q400" s="75">
        <f t="shared" si="184"/>
        <v>0</v>
      </c>
      <c r="R400" s="75">
        <f t="shared" si="184"/>
        <v>0</v>
      </c>
      <c r="S400" s="75">
        <f t="shared" si="184"/>
        <v>0</v>
      </c>
      <c r="T400" s="75">
        <f t="shared" si="184"/>
        <v>0</v>
      </c>
      <c r="U400" s="75">
        <f t="shared" si="184"/>
        <v>0</v>
      </c>
      <c r="V400" s="75">
        <f t="shared" si="184"/>
        <v>0</v>
      </c>
      <c r="W400" s="75">
        <f t="shared" si="184"/>
        <v>0</v>
      </c>
      <c r="X400" s="75">
        <f t="shared" si="184"/>
        <v>0</v>
      </c>
      <c r="Y400" s="75">
        <f t="shared" si="184"/>
        <v>0</v>
      </c>
      <c r="Z400" s="75">
        <f t="shared" si="184"/>
        <v>0</v>
      </c>
      <c r="AA400" s="79">
        <f>SUM(G400:Z400)</f>
        <v>0</v>
      </c>
      <c r="AB400" s="92" t="str">
        <f>IF(ABS(F400-AA400)&lt;0.01,"ok","err")</f>
        <v>ok</v>
      </c>
    </row>
    <row r="401" spans="1:28">
      <c r="F401" s="78"/>
    </row>
    <row r="402" spans="1:28" ht="15">
      <c r="A402" s="65" t="s">
        <v>339</v>
      </c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9"/>
    </row>
    <row r="403" spans="1:28">
      <c r="A403" s="68" t="s">
        <v>1019</v>
      </c>
      <c r="C403" s="110" t="s">
        <v>726</v>
      </c>
      <c r="D403" s="60" t="s">
        <v>753</v>
      </c>
      <c r="E403" s="60" t="s">
        <v>1025</v>
      </c>
      <c r="F403" s="75">
        <f>VLOOKUP(C403,'Functional Assignment'!$C$2:$AP$780,'Functional Assignment'!$AE$2,)</f>
        <v>0</v>
      </c>
      <c r="G403" s="75">
        <f t="shared" ref="G403:Z403" si="185">IF(VLOOKUP($E403,$D$6:$AN$1148,3,)=0,0,(VLOOKUP($E403,$D$6:$AN$1148,G$2,)/VLOOKUP($E403,$D$6:$AN$1148,3,))*$F403)</f>
        <v>0</v>
      </c>
      <c r="H403" s="75">
        <f t="shared" si="185"/>
        <v>0</v>
      </c>
      <c r="I403" s="75">
        <f t="shared" si="185"/>
        <v>0</v>
      </c>
      <c r="J403" s="75">
        <f t="shared" si="185"/>
        <v>0</v>
      </c>
      <c r="K403" s="75">
        <f t="shared" si="185"/>
        <v>0</v>
      </c>
      <c r="L403" s="75">
        <f t="shared" si="185"/>
        <v>0</v>
      </c>
      <c r="M403" s="75">
        <f t="shared" si="185"/>
        <v>0</v>
      </c>
      <c r="N403" s="75">
        <f t="shared" si="185"/>
        <v>0</v>
      </c>
      <c r="O403" s="75">
        <f t="shared" si="185"/>
        <v>0</v>
      </c>
      <c r="P403" s="75">
        <f t="shared" si="185"/>
        <v>0</v>
      </c>
      <c r="Q403" s="75">
        <f t="shared" si="185"/>
        <v>0</v>
      </c>
      <c r="R403" s="75">
        <f t="shared" si="185"/>
        <v>0</v>
      </c>
      <c r="S403" s="75">
        <f t="shared" si="185"/>
        <v>0</v>
      </c>
      <c r="T403" s="75">
        <f t="shared" si="185"/>
        <v>0</v>
      </c>
      <c r="U403" s="75">
        <f t="shared" si="185"/>
        <v>0</v>
      </c>
      <c r="V403" s="75">
        <f t="shared" si="185"/>
        <v>0</v>
      </c>
      <c r="W403" s="75">
        <f t="shared" si="185"/>
        <v>0</v>
      </c>
      <c r="X403" s="75">
        <f t="shared" si="185"/>
        <v>0</v>
      </c>
      <c r="Y403" s="75">
        <f t="shared" si="185"/>
        <v>0</v>
      </c>
      <c r="Z403" s="75">
        <f t="shared" si="185"/>
        <v>0</v>
      </c>
      <c r="AA403" s="79">
        <f>SUM(G403:Z403)</f>
        <v>0</v>
      </c>
      <c r="AB403" s="92" t="str">
        <f>IF(ABS(F403-AA403)&lt;0.01,"ok","err")</f>
        <v>ok</v>
      </c>
    </row>
    <row r="404" spans="1:28"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9"/>
    </row>
    <row r="405" spans="1:28">
      <c r="A405" s="60" t="s">
        <v>848</v>
      </c>
      <c r="D405" s="60" t="s">
        <v>754</v>
      </c>
      <c r="F405" s="75">
        <f t="shared" ref="F405:P405" si="186">F359+F365+F368+F371+F379+F384+F387+F391+F394+F397+F400+F403</f>
        <v>0</v>
      </c>
      <c r="G405" s="75">
        <f t="shared" si="186"/>
        <v>0</v>
      </c>
      <c r="H405" s="75">
        <f t="shared" si="186"/>
        <v>0</v>
      </c>
      <c r="I405" s="75">
        <f t="shared" si="186"/>
        <v>0</v>
      </c>
      <c r="J405" s="75">
        <f t="shared" si="186"/>
        <v>0</v>
      </c>
      <c r="K405" s="75">
        <f t="shared" si="186"/>
        <v>0</v>
      </c>
      <c r="L405" s="75">
        <f t="shared" si="186"/>
        <v>0</v>
      </c>
      <c r="M405" s="75">
        <f t="shared" si="186"/>
        <v>0</v>
      </c>
      <c r="N405" s="75">
        <f t="shared" si="186"/>
        <v>0</v>
      </c>
      <c r="O405" s="75">
        <f>O359+O365+O368+O371+O379+O384+O387+O391+O394+O397+O400+O403</f>
        <v>0</v>
      </c>
      <c r="P405" s="75">
        <f t="shared" si="186"/>
        <v>0</v>
      </c>
      <c r="Q405" s="75">
        <f>Q359+Q365+Q368+Q371+Q379+Q384+Q387+Q391+Q394+Q397+Q400+Q403</f>
        <v>0</v>
      </c>
      <c r="R405" s="75">
        <f>R359+R365+R368+R371+R379+R384+R387+R391+R394+R397+R400+R403</f>
        <v>0</v>
      </c>
      <c r="S405" s="75">
        <f t="shared" ref="S405:Z405" si="187">S359+S365+S368+S371+S379+S384+S387+S391+S394+S397+S400+S403</f>
        <v>0</v>
      </c>
      <c r="T405" s="75">
        <f t="shared" si="187"/>
        <v>0</v>
      </c>
      <c r="U405" s="75">
        <f t="shared" si="187"/>
        <v>0</v>
      </c>
      <c r="V405" s="75">
        <f t="shared" si="187"/>
        <v>0</v>
      </c>
      <c r="W405" s="75">
        <f t="shared" si="187"/>
        <v>0</v>
      </c>
      <c r="X405" s="75">
        <f t="shared" si="187"/>
        <v>0</v>
      </c>
      <c r="Y405" s="75">
        <f t="shared" si="187"/>
        <v>0</v>
      </c>
      <c r="Z405" s="75">
        <f t="shared" si="187"/>
        <v>0</v>
      </c>
      <c r="AA405" s="79">
        <f>SUM(G405:Z405)</f>
        <v>0</v>
      </c>
      <c r="AB405" s="92" t="str">
        <f>IF(ABS(F405-AA405)&lt;0.01,"ok","err")</f>
        <v>ok</v>
      </c>
    </row>
    <row r="408" spans="1:28" ht="15">
      <c r="A408" s="65" t="s">
        <v>695</v>
      </c>
    </row>
    <row r="410" spans="1:28" ht="15">
      <c r="A410" s="65" t="s">
        <v>352</v>
      </c>
    </row>
    <row r="411" spans="1:28">
      <c r="A411" s="68" t="s">
        <v>1254</v>
      </c>
      <c r="C411" s="60" t="s">
        <v>696</v>
      </c>
      <c r="D411" s="60" t="s">
        <v>1432</v>
      </c>
      <c r="E411" s="60" t="s">
        <v>1368</v>
      </c>
      <c r="F411" s="75">
        <f>VLOOKUP(C411,'Functional Assignment'!$C$2:$AP$780,'Functional Assignment'!$H$2,)</f>
        <v>0</v>
      </c>
      <c r="G411" s="75">
        <f t="shared" ref="G411:P416" si="188">IF(VLOOKUP($E411,$D$6:$AN$1148,3,)=0,0,(VLOOKUP($E411,$D$6:$AN$1148,G$2,)/VLOOKUP($E411,$D$6:$AN$1148,3,))*$F411)</f>
        <v>0</v>
      </c>
      <c r="H411" s="75">
        <f t="shared" si="188"/>
        <v>0</v>
      </c>
      <c r="I411" s="75">
        <f t="shared" si="188"/>
        <v>0</v>
      </c>
      <c r="J411" s="75">
        <f t="shared" si="188"/>
        <v>0</v>
      </c>
      <c r="K411" s="75">
        <f t="shared" si="188"/>
        <v>0</v>
      </c>
      <c r="L411" s="75">
        <f t="shared" si="188"/>
        <v>0</v>
      </c>
      <c r="M411" s="75">
        <f t="shared" si="188"/>
        <v>0</v>
      </c>
      <c r="N411" s="75">
        <f t="shared" si="188"/>
        <v>0</v>
      </c>
      <c r="O411" s="75">
        <f t="shared" si="188"/>
        <v>0</v>
      </c>
      <c r="P411" s="75">
        <f t="shared" si="188"/>
        <v>0</v>
      </c>
      <c r="Q411" s="75">
        <f t="shared" ref="Q411:Z416" si="189">IF(VLOOKUP($E411,$D$6:$AN$1148,3,)=0,0,(VLOOKUP($E411,$D$6:$AN$1148,Q$2,)/VLOOKUP($E411,$D$6:$AN$1148,3,))*$F411)</f>
        <v>0</v>
      </c>
      <c r="R411" s="75">
        <f t="shared" si="189"/>
        <v>0</v>
      </c>
      <c r="S411" s="75">
        <f t="shared" si="189"/>
        <v>0</v>
      </c>
      <c r="T411" s="75">
        <f t="shared" si="189"/>
        <v>0</v>
      </c>
      <c r="U411" s="75">
        <f t="shared" si="189"/>
        <v>0</v>
      </c>
      <c r="V411" s="75">
        <f t="shared" si="189"/>
        <v>0</v>
      </c>
      <c r="W411" s="75">
        <f t="shared" si="189"/>
        <v>0</v>
      </c>
      <c r="X411" s="75">
        <f t="shared" si="189"/>
        <v>0</v>
      </c>
      <c r="Y411" s="75">
        <f t="shared" si="189"/>
        <v>0</v>
      </c>
      <c r="Z411" s="75">
        <f t="shared" si="189"/>
        <v>0</v>
      </c>
      <c r="AA411" s="79">
        <f t="shared" ref="AA411:AA417" si="190">SUM(G411:Z411)</f>
        <v>0</v>
      </c>
      <c r="AB411" s="92" t="str">
        <f t="shared" ref="AB411:AB417" si="191">IF(ABS(F411-AA411)&lt;0.01,"ok","err")</f>
        <v>ok</v>
      </c>
    </row>
    <row r="412" spans="1:28" hidden="1">
      <c r="A412" s="68" t="s">
        <v>1255</v>
      </c>
      <c r="C412" s="60" t="s">
        <v>696</v>
      </c>
      <c r="D412" s="60" t="s">
        <v>697</v>
      </c>
      <c r="E412" s="60" t="s">
        <v>1406</v>
      </c>
      <c r="F412" s="78">
        <f>VLOOKUP(C412,'Functional Assignment'!$C$2:$AP$780,'Functional Assignment'!$I$2,)</f>
        <v>0</v>
      </c>
      <c r="G412" s="78">
        <f t="shared" si="188"/>
        <v>0</v>
      </c>
      <c r="H412" s="78">
        <f t="shared" si="188"/>
        <v>0</v>
      </c>
      <c r="I412" s="78">
        <f t="shared" si="188"/>
        <v>0</v>
      </c>
      <c r="J412" s="78">
        <f t="shared" si="188"/>
        <v>0</v>
      </c>
      <c r="K412" s="78">
        <f t="shared" si="188"/>
        <v>0</v>
      </c>
      <c r="L412" s="78">
        <f t="shared" si="188"/>
        <v>0</v>
      </c>
      <c r="M412" s="78">
        <f t="shared" si="188"/>
        <v>0</v>
      </c>
      <c r="N412" s="78">
        <f t="shared" si="188"/>
        <v>0</v>
      </c>
      <c r="O412" s="78">
        <f t="shared" si="188"/>
        <v>0</v>
      </c>
      <c r="P412" s="78">
        <f t="shared" si="188"/>
        <v>0</v>
      </c>
      <c r="Q412" s="78">
        <f t="shared" si="189"/>
        <v>0</v>
      </c>
      <c r="R412" s="78">
        <f t="shared" si="189"/>
        <v>0</v>
      </c>
      <c r="S412" s="78">
        <f t="shared" si="189"/>
        <v>0</v>
      </c>
      <c r="T412" s="78">
        <f t="shared" si="189"/>
        <v>0</v>
      </c>
      <c r="U412" s="78">
        <f t="shared" si="189"/>
        <v>0</v>
      </c>
      <c r="V412" s="78">
        <f t="shared" si="189"/>
        <v>0</v>
      </c>
      <c r="W412" s="78">
        <f t="shared" si="189"/>
        <v>0</v>
      </c>
      <c r="X412" s="78">
        <f t="shared" si="189"/>
        <v>0</v>
      </c>
      <c r="Y412" s="78">
        <f t="shared" si="189"/>
        <v>0</v>
      </c>
      <c r="Z412" s="78">
        <f t="shared" si="189"/>
        <v>0</v>
      </c>
      <c r="AA412" s="78">
        <f t="shared" si="190"/>
        <v>0</v>
      </c>
      <c r="AB412" s="92" t="str">
        <f t="shared" si="191"/>
        <v>ok</v>
      </c>
    </row>
    <row r="413" spans="1:28" hidden="1">
      <c r="A413" s="68" t="s">
        <v>1255</v>
      </c>
      <c r="C413" s="60" t="s">
        <v>696</v>
      </c>
      <c r="D413" s="60" t="s">
        <v>698</v>
      </c>
      <c r="E413" s="60" t="s">
        <v>1406</v>
      </c>
      <c r="F413" s="78">
        <f>VLOOKUP(C413,'Functional Assignment'!$C$2:$AP$780,'Functional Assignment'!$J$2,)</f>
        <v>0</v>
      </c>
      <c r="G413" s="78">
        <f t="shared" si="188"/>
        <v>0</v>
      </c>
      <c r="H413" s="78">
        <f t="shared" si="188"/>
        <v>0</v>
      </c>
      <c r="I413" s="78">
        <f t="shared" si="188"/>
        <v>0</v>
      </c>
      <c r="J413" s="78">
        <f t="shared" si="188"/>
        <v>0</v>
      </c>
      <c r="K413" s="78">
        <f t="shared" si="188"/>
        <v>0</v>
      </c>
      <c r="L413" s="78">
        <f t="shared" si="188"/>
        <v>0</v>
      </c>
      <c r="M413" s="78">
        <f t="shared" si="188"/>
        <v>0</v>
      </c>
      <c r="N413" s="78">
        <f t="shared" si="188"/>
        <v>0</v>
      </c>
      <c r="O413" s="78">
        <f t="shared" si="188"/>
        <v>0</v>
      </c>
      <c r="P413" s="78">
        <f t="shared" si="188"/>
        <v>0</v>
      </c>
      <c r="Q413" s="78">
        <f t="shared" si="189"/>
        <v>0</v>
      </c>
      <c r="R413" s="78">
        <f t="shared" si="189"/>
        <v>0</v>
      </c>
      <c r="S413" s="78">
        <f t="shared" si="189"/>
        <v>0</v>
      </c>
      <c r="T413" s="78">
        <f t="shared" si="189"/>
        <v>0</v>
      </c>
      <c r="U413" s="78">
        <f t="shared" si="189"/>
        <v>0</v>
      </c>
      <c r="V413" s="78">
        <f t="shared" si="189"/>
        <v>0</v>
      </c>
      <c r="W413" s="78">
        <f t="shared" si="189"/>
        <v>0</v>
      </c>
      <c r="X413" s="78">
        <f t="shared" si="189"/>
        <v>0</v>
      </c>
      <c r="Y413" s="78">
        <f t="shared" si="189"/>
        <v>0</v>
      </c>
      <c r="Z413" s="78">
        <f t="shared" si="189"/>
        <v>0</v>
      </c>
      <c r="AA413" s="78">
        <f t="shared" si="190"/>
        <v>0</v>
      </c>
      <c r="AB413" s="92" t="str">
        <f t="shared" si="191"/>
        <v>ok</v>
      </c>
    </row>
    <row r="414" spans="1:28">
      <c r="A414" s="68" t="s">
        <v>1162</v>
      </c>
      <c r="C414" s="60" t="s">
        <v>696</v>
      </c>
      <c r="D414" s="60" t="s">
        <v>699</v>
      </c>
      <c r="E414" s="60" t="s">
        <v>1017</v>
      </c>
      <c r="F414" s="78">
        <f>VLOOKUP(C414,'Functional Assignment'!$C$2:$AP$780,'Functional Assignment'!$K$2,)</f>
        <v>0</v>
      </c>
      <c r="G414" s="78">
        <f t="shared" si="188"/>
        <v>0</v>
      </c>
      <c r="H414" s="78">
        <f t="shared" si="188"/>
        <v>0</v>
      </c>
      <c r="I414" s="78">
        <f t="shared" si="188"/>
        <v>0</v>
      </c>
      <c r="J414" s="78">
        <f t="shared" si="188"/>
        <v>0</v>
      </c>
      <c r="K414" s="78">
        <f t="shared" si="188"/>
        <v>0</v>
      </c>
      <c r="L414" s="78">
        <f t="shared" si="188"/>
        <v>0</v>
      </c>
      <c r="M414" s="78">
        <f t="shared" si="188"/>
        <v>0</v>
      </c>
      <c r="N414" s="78">
        <f t="shared" si="188"/>
        <v>0</v>
      </c>
      <c r="O414" s="78">
        <f t="shared" si="188"/>
        <v>0</v>
      </c>
      <c r="P414" s="78">
        <f t="shared" si="188"/>
        <v>0</v>
      </c>
      <c r="Q414" s="78">
        <f t="shared" si="189"/>
        <v>0</v>
      </c>
      <c r="R414" s="78">
        <f t="shared" si="189"/>
        <v>0</v>
      </c>
      <c r="S414" s="78">
        <f t="shared" si="189"/>
        <v>0</v>
      </c>
      <c r="T414" s="78">
        <f t="shared" si="189"/>
        <v>0</v>
      </c>
      <c r="U414" s="78">
        <f t="shared" si="189"/>
        <v>0</v>
      </c>
      <c r="V414" s="78">
        <f t="shared" si="189"/>
        <v>0</v>
      </c>
      <c r="W414" s="78">
        <f t="shared" si="189"/>
        <v>0</v>
      </c>
      <c r="X414" s="78">
        <f t="shared" si="189"/>
        <v>0</v>
      </c>
      <c r="Y414" s="78">
        <f t="shared" si="189"/>
        <v>0</v>
      </c>
      <c r="Z414" s="78">
        <f t="shared" si="189"/>
        <v>0</v>
      </c>
      <c r="AA414" s="78">
        <f t="shared" si="190"/>
        <v>0</v>
      </c>
      <c r="AB414" s="92" t="str">
        <f t="shared" si="191"/>
        <v>ok</v>
      </c>
    </row>
    <row r="415" spans="1:28" hidden="1">
      <c r="A415" s="68" t="s">
        <v>1163</v>
      </c>
      <c r="C415" s="60" t="s">
        <v>696</v>
      </c>
      <c r="D415" s="60" t="s">
        <v>700</v>
      </c>
      <c r="E415" s="60" t="s">
        <v>1017</v>
      </c>
      <c r="F415" s="78">
        <f>VLOOKUP(C415,'Functional Assignment'!$C$2:$AP$780,'Functional Assignment'!$L$2,)</f>
        <v>0</v>
      </c>
      <c r="G415" s="78">
        <f t="shared" si="188"/>
        <v>0</v>
      </c>
      <c r="H415" s="78">
        <f t="shared" si="188"/>
        <v>0</v>
      </c>
      <c r="I415" s="78">
        <f t="shared" si="188"/>
        <v>0</v>
      </c>
      <c r="J415" s="78">
        <f t="shared" si="188"/>
        <v>0</v>
      </c>
      <c r="K415" s="78">
        <f t="shared" si="188"/>
        <v>0</v>
      </c>
      <c r="L415" s="78">
        <f t="shared" si="188"/>
        <v>0</v>
      </c>
      <c r="M415" s="78">
        <f t="shared" si="188"/>
        <v>0</v>
      </c>
      <c r="N415" s="78">
        <f t="shared" si="188"/>
        <v>0</v>
      </c>
      <c r="O415" s="78">
        <f t="shared" si="188"/>
        <v>0</v>
      </c>
      <c r="P415" s="78">
        <f t="shared" si="188"/>
        <v>0</v>
      </c>
      <c r="Q415" s="78">
        <f t="shared" si="189"/>
        <v>0</v>
      </c>
      <c r="R415" s="78">
        <f t="shared" si="189"/>
        <v>0</v>
      </c>
      <c r="S415" s="78">
        <f t="shared" si="189"/>
        <v>0</v>
      </c>
      <c r="T415" s="78">
        <f t="shared" si="189"/>
        <v>0</v>
      </c>
      <c r="U415" s="78">
        <f t="shared" si="189"/>
        <v>0</v>
      </c>
      <c r="V415" s="78">
        <f t="shared" si="189"/>
        <v>0</v>
      </c>
      <c r="W415" s="78">
        <f t="shared" si="189"/>
        <v>0</v>
      </c>
      <c r="X415" s="78">
        <f t="shared" si="189"/>
        <v>0</v>
      </c>
      <c r="Y415" s="78">
        <f t="shared" si="189"/>
        <v>0</v>
      </c>
      <c r="Z415" s="78">
        <f t="shared" si="189"/>
        <v>0</v>
      </c>
      <c r="AA415" s="78">
        <f t="shared" si="190"/>
        <v>0</v>
      </c>
      <c r="AB415" s="92" t="str">
        <f t="shared" si="191"/>
        <v>ok</v>
      </c>
    </row>
    <row r="416" spans="1:28" hidden="1">
      <c r="A416" s="68" t="s">
        <v>1163</v>
      </c>
      <c r="C416" s="60" t="s">
        <v>696</v>
      </c>
      <c r="D416" s="60" t="s">
        <v>701</v>
      </c>
      <c r="E416" s="60" t="s">
        <v>1017</v>
      </c>
      <c r="F416" s="78">
        <f>VLOOKUP(C416,'Functional Assignment'!$C$2:$AP$780,'Functional Assignment'!$M$2,)</f>
        <v>0</v>
      </c>
      <c r="G416" s="78">
        <f t="shared" si="188"/>
        <v>0</v>
      </c>
      <c r="H416" s="78">
        <f t="shared" si="188"/>
        <v>0</v>
      </c>
      <c r="I416" s="78">
        <f t="shared" si="188"/>
        <v>0</v>
      </c>
      <c r="J416" s="78">
        <f t="shared" si="188"/>
        <v>0</v>
      </c>
      <c r="K416" s="78">
        <f t="shared" si="188"/>
        <v>0</v>
      </c>
      <c r="L416" s="78">
        <f t="shared" si="188"/>
        <v>0</v>
      </c>
      <c r="M416" s="78">
        <f t="shared" si="188"/>
        <v>0</v>
      </c>
      <c r="N416" s="78">
        <f t="shared" si="188"/>
        <v>0</v>
      </c>
      <c r="O416" s="78">
        <f t="shared" si="188"/>
        <v>0</v>
      </c>
      <c r="P416" s="78">
        <f t="shared" si="188"/>
        <v>0</v>
      </c>
      <c r="Q416" s="78">
        <f t="shared" si="189"/>
        <v>0</v>
      </c>
      <c r="R416" s="78">
        <f t="shared" si="189"/>
        <v>0</v>
      </c>
      <c r="S416" s="78">
        <f t="shared" si="189"/>
        <v>0</v>
      </c>
      <c r="T416" s="78">
        <f t="shared" si="189"/>
        <v>0</v>
      </c>
      <c r="U416" s="78">
        <f t="shared" si="189"/>
        <v>0</v>
      </c>
      <c r="V416" s="78">
        <f t="shared" si="189"/>
        <v>0</v>
      </c>
      <c r="W416" s="78">
        <f t="shared" si="189"/>
        <v>0</v>
      </c>
      <c r="X416" s="78">
        <f t="shared" si="189"/>
        <v>0</v>
      </c>
      <c r="Y416" s="78">
        <f t="shared" si="189"/>
        <v>0</v>
      </c>
      <c r="Z416" s="78">
        <f t="shared" si="189"/>
        <v>0</v>
      </c>
      <c r="AA416" s="78">
        <f t="shared" si="190"/>
        <v>0</v>
      </c>
      <c r="AB416" s="92" t="str">
        <f t="shared" si="191"/>
        <v>ok</v>
      </c>
    </row>
    <row r="417" spans="1:28">
      <c r="A417" s="60" t="s">
        <v>374</v>
      </c>
      <c r="D417" s="60" t="s">
        <v>702</v>
      </c>
      <c r="F417" s="75">
        <f>SUM(F411:F416)</f>
        <v>0</v>
      </c>
      <c r="G417" s="75">
        <f t="shared" ref="G417:W417" si="192">SUM(G411:G416)</f>
        <v>0</v>
      </c>
      <c r="H417" s="75">
        <f t="shared" si="192"/>
        <v>0</v>
      </c>
      <c r="I417" s="75">
        <f t="shared" si="192"/>
        <v>0</v>
      </c>
      <c r="J417" s="75">
        <f t="shared" si="192"/>
        <v>0</v>
      </c>
      <c r="K417" s="75">
        <f t="shared" si="192"/>
        <v>0</v>
      </c>
      <c r="L417" s="75">
        <f t="shared" si="192"/>
        <v>0</v>
      </c>
      <c r="M417" s="75">
        <f t="shared" si="192"/>
        <v>0</v>
      </c>
      <c r="N417" s="75">
        <f t="shared" si="192"/>
        <v>0</v>
      </c>
      <c r="O417" s="75">
        <f>SUM(O411:O416)</f>
        <v>0</v>
      </c>
      <c r="P417" s="75">
        <f t="shared" si="192"/>
        <v>0</v>
      </c>
      <c r="Q417" s="75">
        <f t="shared" si="192"/>
        <v>0</v>
      </c>
      <c r="R417" s="75">
        <f t="shared" si="192"/>
        <v>0</v>
      </c>
      <c r="S417" s="75">
        <f t="shared" si="192"/>
        <v>0</v>
      </c>
      <c r="T417" s="75">
        <f t="shared" si="192"/>
        <v>0</v>
      </c>
      <c r="U417" s="75">
        <f t="shared" si="192"/>
        <v>0</v>
      </c>
      <c r="V417" s="75">
        <f t="shared" si="192"/>
        <v>0</v>
      </c>
      <c r="W417" s="75">
        <f t="shared" si="192"/>
        <v>0</v>
      </c>
      <c r="X417" s="75">
        <f>SUM(X411:X416)</f>
        <v>0</v>
      </c>
      <c r="Y417" s="75">
        <f>SUM(Y411:Y416)</f>
        <v>0</v>
      </c>
      <c r="Z417" s="75">
        <f>SUM(Z411:Z416)</f>
        <v>0</v>
      </c>
      <c r="AA417" s="79">
        <f t="shared" si="190"/>
        <v>0</v>
      </c>
      <c r="AB417" s="92" t="str">
        <f t="shared" si="191"/>
        <v>ok</v>
      </c>
    </row>
    <row r="418" spans="1:28">
      <c r="F418" s="78"/>
      <c r="G418" s="78"/>
    </row>
    <row r="419" spans="1:28" ht="15">
      <c r="A419" s="65" t="s">
        <v>1057</v>
      </c>
      <c r="F419" s="78"/>
      <c r="G419" s="78"/>
    </row>
    <row r="420" spans="1:28">
      <c r="A420" s="68" t="s">
        <v>1228</v>
      </c>
      <c r="C420" s="60" t="s">
        <v>696</v>
      </c>
      <c r="D420" s="60" t="s">
        <v>703</v>
      </c>
      <c r="E420" s="60" t="s">
        <v>1232</v>
      </c>
      <c r="F420" s="75">
        <f>VLOOKUP(C420,'Functional Assignment'!$C$2:$AP$780,'Functional Assignment'!$N$2,)</f>
        <v>0</v>
      </c>
      <c r="G420" s="75">
        <f t="shared" ref="G420:P422" si="193">IF(VLOOKUP($E420,$D$6:$AN$1148,3,)=0,0,(VLOOKUP($E420,$D$6:$AN$1148,G$2,)/VLOOKUP($E420,$D$6:$AN$1148,3,))*$F420)</f>
        <v>0</v>
      </c>
      <c r="H420" s="75">
        <f t="shared" si="193"/>
        <v>0</v>
      </c>
      <c r="I420" s="75">
        <f t="shared" si="193"/>
        <v>0</v>
      </c>
      <c r="J420" s="75">
        <f t="shared" si="193"/>
        <v>0</v>
      </c>
      <c r="K420" s="75">
        <f t="shared" si="193"/>
        <v>0</v>
      </c>
      <c r="L420" s="75">
        <f t="shared" si="193"/>
        <v>0</v>
      </c>
      <c r="M420" s="75">
        <f t="shared" si="193"/>
        <v>0</v>
      </c>
      <c r="N420" s="75">
        <f t="shared" si="193"/>
        <v>0</v>
      </c>
      <c r="O420" s="75">
        <f t="shared" si="193"/>
        <v>0</v>
      </c>
      <c r="P420" s="75">
        <f t="shared" si="193"/>
        <v>0</v>
      </c>
      <c r="Q420" s="75">
        <f t="shared" ref="Q420:Z422" si="194">IF(VLOOKUP($E420,$D$6:$AN$1148,3,)=0,0,(VLOOKUP($E420,$D$6:$AN$1148,Q$2,)/VLOOKUP($E420,$D$6:$AN$1148,3,))*$F420)</f>
        <v>0</v>
      </c>
      <c r="R420" s="75">
        <f t="shared" si="194"/>
        <v>0</v>
      </c>
      <c r="S420" s="75">
        <f t="shared" si="194"/>
        <v>0</v>
      </c>
      <c r="T420" s="75">
        <f t="shared" si="194"/>
        <v>0</v>
      </c>
      <c r="U420" s="75">
        <f t="shared" si="194"/>
        <v>0</v>
      </c>
      <c r="V420" s="75">
        <f t="shared" si="194"/>
        <v>0</v>
      </c>
      <c r="W420" s="75">
        <f t="shared" si="194"/>
        <v>0</v>
      </c>
      <c r="X420" s="75">
        <f t="shared" si="194"/>
        <v>0</v>
      </c>
      <c r="Y420" s="75">
        <f t="shared" si="194"/>
        <v>0</v>
      </c>
      <c r="Z420" s="75">
        <f t="shared" si="194"/>
        <v>0</v>
      </c>
      <c r="AA420" s="79">
        <f>SUM(G420:Z420)</f>
        <v>0</v>
      </c>
      <c r="AB420" s="92" t="str">
        <f>IF(ABS(F420-AA420)&lt;0.01,"ok","err")</f>
        <v>ok</v>
      </c>
    </row>
    <row r="421" spans="1:28" hidden="1">
      <c r="A421" s="68" t="s">
        <v>1229</v>
      </c>
      <c r="C421" s="60" t="s">
        <v>696</v>
      </c>
      <c r="D421" s="60" t="s">
        <v>704</v>
      </c>
      <c r="E421" s="60" t="s">
        <v>1232</v>
      </c>
      <c r="F421" s="78">
        <f>VLOOKUP(C421,'Functional Assignment'!$C$2:$AP$780,'Functional Assignment'!$O$2,)</f>
        <v>0</v>
      </c>
      <c r="G421" s="78">
        <f t="shared" si="193"/>
        <v>0</v>
      </c>
      <c r="H421" s="78">
        <f t="shared" si="193"/>
        <v>0</v>
      </c>
      <c r="I421" s="78">
        <f t="shared" si="193"/>
        <v>0</v>
      </c>
      <c r="J421" s="78">
        <f t="shared" si="193"/>
        <v>0</v>
      </c>
      <c r="K421" s="78">
        <f t="shared" si="193"/>
        <v>0</v>
      </c>
      <c r="L421" s="78">
        <f t="shared" si="193"/>
        <v>0</v>
      </c>
      <c r="M421" s="78">
        <f t="shared" si="193"/>
        <v>0</v>
      </c>
      <c r="N421" s="78">
        <f t="shared" si="193"/>
        <v>0</v>
      </c>
      <c r="O421" s="78">
        <f t="shared" si="193"/>
        <v>0</v>
      </c>
      <c r="P421" s="78">
        <f t="shared" si="193"/>
        <v>0</v>
      </c>
      <c r="Q421" s="78">
        <f t="shared" si="194"/>
        <v>0</v>
      </c>
      <c r="R421" s="78">
        <f t="shared" si="194"/>
        <v>0</v>
      </c>
      <c r="S421" s="78">
        <f t="shared" si="194"/>
        <v>0</v>
      </c>
      <c r="T421" s="78">
        <f t="shared" si="194"/>
        <v>0</v>
      </c>
      <c r="U421" s="78">
        <f t="shared" si="194"/>
        <v>0</v>
      </c>
      <c r="V421" s="78">
        <f t="shared" si="194"/>
        <v>0</v>
      </c>
      <c r="W421" s="78">
        <f t="shared" si="194"/>
        <v>0</v>
      </c>
      <c r="X421" s="78">
        <f t="shared" si="194"/>
        <v>0</v>
      </c>
      <c r="Y421" s="78">
        <f t="shared" si="194"/>
        <v>0</v>
      </c>
      <c r="Z421" s="78">
        <f t="shared" si="194"/>
        <v>0</v>
      </c>
      <c r="AA421" s="78">
        <f>SUM(G421:Z421)</f>
        <v>0</v>
      </c>
      <c r="AB421" s="92" t="str">
        <f>IF(ABS(F421-AA421)&lt;0.01,"ok","err")</f>
        <v>ok</v>
      </c>
    </row>
    <row r="422" spans="1:28" hidden="1">
      <c r="A422" s="68" t="s">
        <v>1229</v>
      </c>
      <c r="C422" s="60" t="s">
        <v>696</v>
      </c>
      <c r="D422" s="60" t="s">
        <v>705</v>
      </c>
      <c r="E422" s="60" t="s">
        <v>1232</v>
      </c>
      <c r="F422" s="78">
        <f>VLOOKUP(C422,'Functional Assignment'!$C$2:$AP$780,'Functional Assignment'!$P$2,)</f>
        <v>0</v>
      </c>
      <c r="G422" s="78">
        <f t="shared" si="193"/>
        <v>0</v>
      </c>
      <c r="H422" s="78">
        <f t="shared" si="193"/>
        <v>0</v>
      </c>
      <c r="I422" s="78">
        <f t="shared" si="193"/>
        <v>0</v>
      </c>
      <c r="J422" s="78">
        <f t="shared" si="193"/>
        <v>0</v>
      </c>
      <c r="K422" s="78">
        <f t="shared" si="193"/>
        <v>0</v>
      </c>
      <c r="L422" s="78">
        <f t="shared" si="193"/>
        <v>0</v>
      </c>
      <c r="M422" s="78">
        <f t="shared" si="193"/>
        <v>0</v>
      </c>
      <c r="N422" s="78">
        <f t="shared" si="193"/>
        <v>0</v>
      </c>
      <c r="O422" s="78">
        <f t="shared" si="193"/>
        <v>0</v>
      </c>
      <c r="P422" s="78">
        <f t="shared" si="193"/>
        <v>0</v>
      </c>
      <c r="Q422" s="78">
        <f t="shared" si="194"/>
        <v>0</v>
      </c>
      <c r="R422" s="78">
        <f t="shared" si="194"/>
        <v>0</v>
      </c>
      <c r="S422" s="78">
        <f t="shared" si="194"/>
        <v>0</v>
      </c>
      <c r="T422" s="78">
        <f t="shared" si="194"/>
        <v>0</v>
      </c>
      <c r="U422" s="78">
        <f t="shared" si="194"/>
        <v>0</v>
      </c>
      <c r="V422" s="78">
        <f t="shared" si="194"/>
        <v>0</v>
      </c>
      <c r="W422" s="78">
        <f t="shared" si="194"/>
        <v>0</v>
      </c>
      <c r="X422" s="78">
        <f t="shared" si="194"/>
        <v>0</v>
      </c>
      <c r="Y422" s="78">
        <f t="shared" si="194"/>
        <v>0</v>
      </c>
      <c r="Z422" s="78">
        <f t="shared" si="194"/>
        <v>0</v>
      </c>
      <c r="AA422" s="78">
        <f>SUM(G422:Z422)</f>
        <v>0</v>
      </c>
      <c r="AB422" s="92" t="str">
        <f>IF(ABS(F422-AA422)&lt;0.01,"ok","err")</f>
        <v>ok</v>
      </c>
    </row>
    <row r="423" spans="1:28" hidden="1">
      <c r="A423" s="60" t="s">
        <v>1059</v>
      </c>
      <c r="D423" s="60" t="s">
        <v>706</v>
      </c>
      <c r="F423" s="75">
        <f>SUM(F420:F422)</f>
        <v>0</v>
      </c>
      <c r="G423" s="75">
        <f t="shared" ref="G423:W423" si="195">SUM(G420:G422)</f>
        <v>0</v>
      </c>
      <c r="H423" s="75">
        <f t="shared" si="195"/>
        <v>0</v>
      </c>
      <c r="I423" s="75">
        <f t="shared" si="195"/>
        <v>0</v>
      </c>
      <c r="J423" s="75">
        <f t="shared" si="195"/>
        <v>0</v>
      </c>
      <c r="K423" s="75">
        <f t="shared" si="195"/>
        <v>0</v>
      </c>
      <c r="L423" s="75">
        <f t="shared" si="195"/>
        <v>0</v>
      </c>
      <c r="M423" s="75">
        <f t="shared" si="195"/>
        <v>0</v>
      </c>
      <c r="N423" s="75">
        <f t="shared" si="195"/>
        <v>0</v>
      </c>
      <c r="O423" s="75">
        <f>SUM(O420:O422)</f>
        <v>0</v>
      </c>
      <c r="P423" s="75">
        <f t="shared" si="195"/>
        <v>0</v>
      </c>
      <c r="Q423" s="75">
        <f t="shared" si="195"/>
        <v>0</v>
      </c>
      <c r="R423" s="75">
        <f t="shared" si="195"/>
        <v>0</v>
      </c>
      <c r="S423" s="75">
        <f t="shared" si="195"/>
        <v>0</v>
      </c>
      <c r="T423" s="75">
        <f t="shared" si="195"/>
        <v>0</v>
      </c>
      <c r="U423" s="75">
        <f t="shared" si="195"/>
        <v>0</v>
      </c>
      <c r="V423" s="75">
        <f t="shared" si="195"/>
        <v>0</v>
      </c>
      <c r="W423" s="75">
        <f t="shared" si="195"/>
        <v>0</v>
      </c>
      <c r="X423" s="75">
        <f>SUM(X420:X422)</f>
        <v>0</v>
      </c>
      <c r="Y423" s="75">
        <f>SUM(Y420:Y422)</f>
        <v>0</v>
      </c>
      <c r="Z423" s="75">
        <f>SUM(Z420:Z422)</f>
        <v>0</v>
      </c>
      <c r="AA423" s="79">
        <f>SUM(G423:Z423)</f>
        <v>0</v>
      </c>
      <c r="AB423" s="92" t="str">
        <f>IF(ABS(F423-AA423)&lt;0.01,"ok","err")</f>
        <v>ok</v>
      </c>
    </row>
    <row r="424" spans="1:28">
      <c r="F424" s="78"/>
      <c r="G424" s="78"/>
    </row>
    <row r="425" spans="1:28" ht="15">
      <c r="A425" s="65" t="s">
        <v>337</v>
      </c>
      <c r="F425" s="78"/>
      <c r="G425" s="78"/>
    </row>
    <row r="426" spans="1:28">
      <c r="A426" s="68" t="s">
        <v>359</v>
      </c>
      <c r="C426" s="60" t="s">
        <v>696</v>
      </c>
      <c r="D426" s="60" t="s">
        <v>707</v>
      </c>
      <c r="E426" s="60" t="s">
        <v>1233</v>
      </c>
      <c r="F426" s="75">
        <f>VLOOKUP(C426,'Functional Assignment'!$C$2:$AP$780,'Functional Assignment'!$Q$2,)</f>
        <v>0</v>
      </c>
      <c r="G426" s="75">
        <f t="shared" ref="G426:Z426" si="196">IF(VLOOKUP($E426,$D$6:$AN$1148,3,)=0,0,(VLOOKUP($E426,$D$6:$AN$1148,G$2,)/VLOOKUP($E426,$D$6:$AN$1148,3,))*$F426)</f>
        <v>0</v>
      </c>
      <c r="H426" s="75">
        <f t="shared" si="196"/>
        <v>0</v>
      </c>
      <c r="I426" s="75">
        <f t="shared" si="196"/>
        <v>0</v>
      </c>
      <c r="J426" s="75">
        <f t="shared" si="196"/>
        <v>0</v>
      </c>
      <c r="K426" s="75">
        <f t="shared" si="196"/>
        <v>0</v>
      </c>
      <c r="L426" s="75">
        <f t="shared" si="196"/>
        <v>0</v>
      </c>
      <c r="M426" s="75">
        <f t="shared" si="196"/>
        <v>0</v>
      </c>
      <c r="N426" s="75">
        <f t="shared" si="196"/>
        <v>0</v>
      </c>
      <c r="O426" s="75">
        <f t="shared" si="196"/>
        <v>0</v>
      </c>
      <c r="P426" s="75">
        <f t="shared" si="196"/>
        <v>0</v>
      </c>
      <c r="Q426" s="75">
        <f t="shared" si="196"/>
        <v>0</v>
      </c>
      <c r="R426" s="75">
        <f t="shared" si="196"/>
        <v>0</v>
      </c>
      <c r="S426" s="75">
        <f t="shared" si="196"/>
        <v>0</v>
      </c>
      <c r="T426" s="75">
        <f t="shared" si="196"/>
        <v>0</v>
      </c>
      <c r="U426" s="75">
        <f t="shared" si="196"/>
        <v>0</v>
      </c>
      <c r="V426" s="75">
        <f t="shared" si="196"/>
        <v>0</v>
      </c>
      <c r="W426" s="75">
        <f t="shared" si="196"/>
        <v>0</v>
      </c>
      <c r="X426" s="75">
        <f t="shared" si="196"/>
        <v>0</v>
      </c>
      <c r="Y426" s="75">
        <f t="shared" si="196"/>
        <v>0</v>
      </c>
      <c r="Z426" s="75">
        <f t="shared" si="196"/>
        <v>0</v>
      </c>
      <c r="AA426" s="79">
        <f>SUM(G426:Z426)</f>
        <v>0</v>
      </c>
      <c r="AB426" s="92" t="str">
        <f>IF(ABS(F426-AA426)&lt;0.01,"ok","err")</f>
        <v>ok</v>
      </c>
    </row>
    <row r="427" spans="1:28">
      <c r="F427" s="78"/>
    </row>
    <row r="428" spans="1:28" ht="15">
      <c r="A428" s="65" t="s">
        <v>338</v>
      </c>
      <c r="F428" s="78"/>
      <c r="G428" s="78"/>
    </row>
    <row r="429" spans="1:28">
      <c r="A429" s="68" t="s">
        <v>361</v>
      </c>
      <c r="C429" s="60" t="s">
        <v>696</v>
      </c>
      <c r="D429" s="60" t="s">
        <v>708</v>
      </c>
      <c r="E429" s="60" t="s">
        <v>1233</v>
      </c>
      <c r="F429" s="75">
        <f>VLOOKUP(C429,'Functional Assignment'!$C$2:$AP$780,'Functional Assignment'!$R$2,)</f>
        <v>0</v>
      </c>
      <c r="G429" s="75">
        <f t="shared" ref="G429:Z429" si="197">IF(VLOOKUP($E429,$D$6:$AN$1148,3,)=0,0,(VLOOKUP($E429,$D$6:$AN$1148,G$2,)/VLOOKUP($E429,$D$6:$AN$1148,3,))*$F429)</f>
        <v>0</v>
      </c>
      <c r="H429" s="75">
        <f t="shared" si="197"/>
        <v>0</v>
      </c>
      <c r="I429" s="75">
        <f t="shared" si="197"/>
        <v>0</v>
      </c>
      <c r="J429" s="75">
        <f t="shared" si="197"/>
        <v>0</v>
      </c>
      <c r="K429" s="75">
        <f t="shared" si="197"/>
        <v>0</v>
      </c>
      <c r="L429" s="75">
        <f t="shared" si="197"/>
        <v>0</v>
      </c>
      <c r="M429" s="75">
        <f t="shared" si="197"/>
        <v>0</v>
      </c>
      <c r="N429" s="75">
        <f t="shared" si="197"/>
        <v>0</v>
      </c>
      <c r="O429" s="75">
        <f t="shared" si="197"/>
        <v>0</v>
      </c>
      <c r="P429" s="75">
        <f t="shared" si="197"/>
        <v>0</v>
      </c>
      <c r="Q429" s="75">
        <f t="shared" si="197"/>
        <v>0</v>
      </c>
      <c r="R429" s="75">
        <f t="shared" si="197"/>
        <v>0</v>
      </c>
      <c r="S429" s="75">
        <f t="shared" si="197"/>
        <v>0</v>
      </c>
      <c r="T429" s="75">
        <f t="shared" si="197"/>
        <v>0</v>
      </c>
      <c r="U429" s="75">
        <f t="shared" si="197"/>
        <v>0</v>
      </c>
      <c r="V429" s="75">
        <f t="shared" si="197"/>
        <v>0</v>
      </c>
      <c r="W429" s="75">
        <f t="shared" si="197"/>
        <v>0</v>
      </c>
      <c r="X429" s="75">
        <f t="shared" si="197"/>
        <v>0</v>
      </c>
      <c r="Y429" s="75">
        <f t="shared" si="197"/>
        <v>0</v>
      </c>
      <c r="Z429" s="75">
        <f t="shared" si="197"/>
        <v>0</v>
      </c>
      <c r="AA429" s="79">
        <f>SUM(G429:Z429)</f>
        <v>0</v>
      </c>
      <c r="AB429" s="92" t="str">
        <f>IF(ABS(F429-AA429)&lt;0.01,"ok","err")</f>
        <v>ok</v>
      </c>
    </row>
    <row r="430" spans="1:28">
      <c r="F430" s="78"/>
    </row>
    <row r="431" spans="1:28" ht="15">
      <c r="A431" s="65" t="s">
        <v>360</v>
      </c>
      <c r="F431" s="78"/>
    </row>
    <row r="432" spans="1:28">
      <c r="A432" s="68" t="s">
        <v>603</v>
      </c>
      <c r="C432" s="60" t="s">
        <v>696</v>
      </c>
      <c r="D432" s="60" t="s">
        <v>709</v>
      </c>
      <c r="E432" s="60" t="s">
        <v>1233</v>
      </c>
      <c r="F432" s="75">
        <f>VLOOKUP(C432,'Functional Assignment'!$C$2:$AP$780,'Functional Assignment'!$S$2,)</f>
        <v>0</v>
      </c>
      <c r="G432" s="75">
        <f t="shared" ref="G432:P436" si="198">IF(VLOOKUP($E432,$D$6:$AN$1148,3,)=0,0,(VLOOKUP($E432,$D$6:$AN$1148,G$2,)/VLOOKUP($E432,$D$6:$AN$1148,3,))*$F432)</f>
        <v>0</v>
      </c>
      <c r="H432" s="75">
        <f t="shared" si="198"/>
        <v>0</v>
      </c>
      <c r="I432" s="75">
        <f t="shared" si="198"/>
        <v>0</v>
      </c>
      <c r="J432" s="75">
        <f t="shared" si="198"/>
        <v>0</v>
      </c>
      <c r="K432" s="75">
        <f t="shared" si="198"/>
        <v>0</v>
      </c>
      <c r="L432" s="75">
        <f t="shared" si="198"/>
        <v>0</v>
      </c>
      <c r="M432" s="75">
        <f t="shared" si="198"/>
        <v>0</v>
      </c>
      <c r="N432" s="75">
        <f t="shared" si="198"/>
        <v>0</v>
      </c>
      <c r="O432" s="75">
        <f t="shared" si="198"/>
        <v>0</v>
      </c>
      <c r="P432" s="75">
        <f t="shared" si="198"/>
        <v>0</v>
      </c>
      <c r="Q432" s="75">
        <f t="shared" ref="Q432:Z436" si="199">IF(VLOOKUP($E432,$D$6:$AN$1148,3,)=0,0,(VLOOKUP($E432,$D$6:$AN$1148,Q$2,)/VLOOKUP($E432,$D$6:$AN$1148,3,))*$F432)</f>
        <v>0</v>
      </c>
      <c r="R432" s="75">
        <f t="shared" si="199"/>
        <v>0</v>
      </c>
      <c r="S432" s="75">
        <f t="shared" si="199"/>
        <v>0</v>
      </c>
      <c r="T432" s="75">
        <f t="shared" si="199"/>
        <v>0</v>
      </c>
      <c r="U432" s="75">
        <f t="shared" si="199"/>
        <v>0</v>
      </c>
      <c r="V432" s="75">
        <f t="shared" si="199"/>
        <v>0</v>
      </c>
      <c r="W432" s="75">
        <f t="shared" si="199"/>
        <v>0</v>
      </c>
      <c r="X432" s="75">
        <f t="shared" si="199"/>
        <v>0</v>
      </c>
      <c r="Y432" s="75">
        <f t="shared" si="199"/>
        <v>0</v>
      </c>
      <c r="Z432" s="75">
        <f t="shared" si="199"/>
        <v>0</v>
      </c>
      <c r="AA432" s="79">
        <f t="shared" ref="AA432:AA437" si="200">SUM(G432:Z432)</f>
        <v>0</v>
      </c>
      <c r="AB432" s="92" t="str">
        <f t="shared" ref="AB432:AB437" si="201">IF(ABS(F432-AA432)&lt;0.01,"ok","err")</f>
        <v>ok</v>
      </c>
    </row>
    <row r="433" spans="1:28">
      <c r="A433" s="68" t="s">
        <v>604</v>
      </c>
      <c r="C433" s="60" t="s">
        <v>696</v>
      </c>
      <c r="D433" s="60" t="s">
        <v>710</v>
      </c>
      <c r="E433" s="60" t="s">
        <v>1233</v>
      </c>
      <c r="F433" s="78">
        <f>VLOOKUP(C433,'Functional Assignment'!$C$2:$AP$780,'Functional Assignment'!$T$2,)</f>
        <v>0</v>
      </c>
      <c r="G433" s="78">
        <f t="shared" si="198"/>
        <v>0</v>
      </c>
      <c r="H433" s="78">
        <f t="shared" si="198"/>
        <v>0</v>
      </c>
      <c r="I433" s="78">
        <f t="shared" si="198"/>
        <v>0</v>
      </c>
      <c r="J433" s="78">
        <f t="shared" si="198"/>
        <v>0</v>
      </c>
      <c r="K433" s="78">
        <f t="shared" si="198"/>
        <v>0</v>
      </c>
      <c r="L433" s="78">
        <f t="shared" si="198"/>
        <v>0</v>
      </c>
      <c r="M433" s="78">
        <f t="shared" si="198"/>
        <v>0</v>
      </c>
      <c r="N433" s="78">
        <f t="shared" si="198"/>
        <v>0</v>
      </c>
      <c r="O433" s="78">
        <f t="shared" si="198"/>
        <v>0</v>
      </c>
      <c r="P433" s="78">
        <f t="shared" si="198"/>
        <v>0</v>
      </c>
      <c r="Q433" s="78">
        <f t="shared" si="199"/>
        <v>0</v>
      </c>
      <c r="R433" s="78">
        <f t="shared" si="199"/>
        <v>0</v>
      </c>
      <c r="S433" s="78">
        <f t="shared" si="199"/>
        <v>0</v>
      </c>
      <c r="T433" s="78">
        <f t="shared" si="199"/>
        <v>0</v>
      </c>
      <c r="U433" s="78">
        <f t="shared" si="199"/>
        <v>0</v>
      </c>
      <c r="V433" s="78">
        <f t="shared" si="199"/>
        <v>0</v>
      </c>
      <c r="W433" s="78">
        <f t="shared" si="199"/>
        <v>0</v>
      </c>
      <c r="X433" s="78">
        <f t="shared" si="199"/>
        <v>0</v>
      </c>
      <c r="Y433" s="78">
        <f t="shared" si="199"/>
        <v>0</v>
      </c>
      <c r="Z433" s="78">
        <f t="shared" si="199"/>
        <v>0</v>
      </c>
      <c r="AA433" s="78">
        <f t="shared" si="200"/>
        <v>0</v>
      </c>
      <c r="AB433" s="92" t="str">
        <f t="shared" si="201"/>
        <v>ok</v>
      </c>
    </row>
    <row r="434" spans="1:28">
      <c r="A434" s="68" t="s">
        <v>605</v>
      </c>
      <c r="C434" s="60" t="s">
        <v>696</v>
      </c>
      <c r="D434" s="60" t="s">
        <v>711</v>
      </c>
      <c r="E434" s="60" t="s">
        <v>660</v>
      </c>
      <c r="F434" s="78">
        <f>VLOOKUP(C434,'Functional Assignment'!$C$2:$AP$780,'Functional Assignment'!$U$2,)</f>
        <v>0</v>
      </c>
      <c r="G434" s="78">
        <f t="shared" si="198"/>
        <v>0</v>
      </c>
      <c r="H434" s="78">
        <f t="shared" si="198"/>
        <v>0</v>
      </c>
      <c r="I434" s="78">
        <f t="shared" si="198"/>
        <v>0</v>
      </c>
      <c r="J434" s="78">
        <f t="shared" si="198"/>
        <v>0</v>
      </c>
      <c r="K434" s="78">
        <f t="shared" si="198"/>
        <v>0</v>
      </c>
      <c r="L434" s="78">
        <f t="shared" si="198"/>
        <v>0</v>
      </c>
      <c r="M434" s="78">
        <f t="shared" si="198"/>
        <v>0</v>
      </c>
      <c r="N434" s="78">
        <f t="shared" si="198"/>
        <v>0</v>
      </c>
      <c r="O434" s="78">
        <f t="shared" si="198"/>
        <v>0</v>
      </c>
      <c r="P434" s="78">
        <f t="shared" si="198"/>
        <v>0</v>
      </c>
      <c r="Q434" s="78">
        <f t="shared" si="199"/>
        <v>0</v>
      </c>
      <c r="R434" s="78">
        <f t="shared" si="199"/>
        <v>0</v>
      </c>
      <c r="S434" s="78">
        <f t="shared" si="199"/>
        <v>0</v>
      </c>
      <c r="T434" s="78">
        <f t="shared" si="199"/>
        <v>0</v>
      </c>
      <c r="U434" s="78">
        <f t="shared" si="199"/>
        <v>0</v>
      </c>
      <c r="V434" s="78">
        <f t="shared" si="199"/>
        <v>0</v>
      </c>
      <c r="W434" s="78">
        <f t="shared" si="199"/>
        <v>0</v>
      </c>
      <c r="X434" s="78">
        <f t="shared" si="199"/>
        <v>0</v>
      </c>
      <c r="Y434" s="78">
        <f t="shared" si="199"/>
        <v>0</v>
      </c>
      <c r="Z434" s="78">
        <f t="shared" si="199"/>
        <v>0</v>
      </c>
      <c r="AA434" s="78">
        <f t="shared" si="200"/>
        <v>0</v>
      </c>
      <c r="AB434" s="92" t="str">
        <f t="shared" si="201"/>
        <v>ok</v>
      </c>
    </row>
    <row r="435" spans="1:28">
      <c r="A435" s="68" t="s">
        <v>606</v>
      </c>
      <c r="C435" s="60" t="s">
        <v>696</v>
      </c>
      <c r="D435" s="60" t="s">
        <v>712</v>
      </c>
      <c r="E435" s="60" t="s">
        <v>646</v>
      </c>
      <c r="F435" s="78">
        <f>VLOOKUP(C435,'Functional Assignment'!$C$2:$AP$780,'Functional Assignment'!$V$2,)</f>
        <v>0</v>
      </c>
      <c r="G435" s="78">
        <f t="shared" si="198"/>
        <v>0</v>
      </c>
      <c r="H435" s="78">
        <f t="shared" si="198"/>
        <v>0</v>
      </c>
      <c r="I435" s="78">
        <f t="shared" si="198"/>
        <v>0</v>
      </c>
      <c r="J435" s="78">
        <f t="shared" si="198"/>
        <v>0</v>
      </c>
      <c r="K435" s="78">
        <f t="shared" si="198"/>
        <v>0</v>
      </c>
      <c r="L435" s="78">
        <f t="shared" si="198"/>
        <v>0</v>
      </c>
      <c r="M435" s="78">
        <f t="shared" si="198"/>
        <v>0</v>
      </c>
      <c r="N435" s="78">
        <f t="shared" si="198"/>
        <v>0</v>
      </c>
      <c r="O435" s="78">
        <f t="shared" si="198"/>
        <v>0</v>
      </c>
      <c r="P435" s="78">
        <f t="shared" si="198"/>
        <v>0</v>
      </c>
      <c r="Q435" s="78">
        <f t="shared" si="199"/>
        <v>0</v>
      </c>
      <c r="R435" s="78">
        <f t="shared" si="199"/>
        <v>0</v>
      </c>
      <c r="S435" s="78">
        <f t="shared" si="199"/>
        <v>0</v>
      </c>
      <c r="T435" s="78">
        <f t="shared" si="199"/>
        <v>0</v>
      </c>
      <c r="U435" s="78">
        <f t="shared" si="199"/>
        <v>0</v>
      </c>
      <c r="V435" s="78">
        <f t="shared" si="199"/>
        <v>0</v>
      </c>
      <c r="W435" s="78">
        <f t="shared" si="199"/>
        <v>0</v>
      </c>
      <c r="X435" s="78">
        <f t="shared" si="199"/>
        <v>0</v>
      </c>
      <c r="Y435" s="78">
        <f t="shared" si="199"/>
        <v>0</v>
      </c>
      <c r="Z435" s="78">
        <f t="shared" si="199"/>
        <v>0</v>
      </c>
      <c r="AA435" s="78">
        <f t="shared" si="200"/>
        <v>0</v>
      </c>
      <c r="AB435" s="92" t="str">
        <f t="shared" si="201"/>
        <v>ok</v>
      </c>
    </row>
    <row r="436" spans="1:28">
      <c r="A436" s="68" t="s">
        <v>607</v>
      </c>
      <c r="C436" s="60" t="s">
        <v>696</v>
      </c>
      <c r="D436" s="60" t="s">
        <v>713</v>
      </c>
      <c r="E436" s="60" t="s">
        <v>659</v>
      </c>
      <c r="F436" s="78">
        <f>VLOOKUP(C436,'Functional Assignment'!$C$2:$AP$780,'Functional Assignment'!$W$2,)</f>
        <v>0</v>
      </c>
      <c r="G436" s="78">
        <f t="shared" si="198"/>
        <v>0</v>
      </c>
      <c r="H436" s="78">
        <f t="shared" si="198"/>
        <v>0</v>
      </c>
      <c r="I436" s="78">
        <f t="shared" si="198"/>
        <v>0</v>
      </c>
      <c r="J436" s="78">
        <f t="shared" si="198"/>
        <v>0</v>
      </c>
      <c r="K436" s="78">
        <f t="shared" si="198"/>
        <v>0</v>
      </c>
      <c r="L436" s="78">
        <f t="shared" si="198"/>
        <v>0</v>
      </c>
      <c r="M436" s="78">
        <f t="shared" si="198"/>
        <v>0</v>
      </c>
      <c r="N436" s="78">
        <f t="shared" si="198"/>
        <v>0</v>
      </c>
      <c r="O436" s="78">
        <f t="shared" si="198"/>
        <v>0</v>
      </c>
      <c r="P436" s="78">
        <f t="shared" si="198"/>
        <v>0</v>
      </c>
      <c r="Q436" s="78">
        <f t="shared" si="199"/>
        <v>0</v>
      </c>
      <c r="R436" s="78">
        <f t="shared" si="199"/>
        <v>0</v>
      </c>
      <c r="S436" s="78">
        <f t="shared" si="199"/>
        <v>0</v>
      </c>
      <c r="T436" s="78">
        <f t="shared" si="199"/>
        <v>0</v>
      </c>
      <c r="U436" s="78">
        <f t="shared" si="199"/>
        <v>0</v>
      </c>
      <c r="V436" s="78">
        <f t="shared" si="199"/>
        <v>0</v>
      </c>
      <c r="W436" s="78">
        <f t="shared" si="199"/>
        <v>0</v>
      </c>
      <c r="X436" s="78">
        <f t="shared" si="199"/>
        <v>0</v>
      </c>
      <c r="Y436" s="78">
        <f t="shared" si="199"/>
        <v>0</v>
      </c>
      <c r="Z436" s="78">
        <f t="shared" si="199"/>
        <v>0</v>
      </c>
      <c r="AA436" s="78">
        <f t="shared" si="200"/>
        <v>0</v>
      </c>
      <c r="AB436" s="92" t="str">
        <f t="shared" si="201"/>
        <v>ok</v>
      </c>
    </row>
    <row r="437" spans="1:28">
      <c r="A437" s="60" t="s">
        <v>365</v>
      </c>
      <c r="D437" s="60" t="s">
        <v>714</v>
      </c>
      <c r="F437" s="75">
        <f>SUM(F432:F436)</f>
        <v>0</v>
      </c>
      <c r="G437" s="75">
        <f t="shared" ref="G437:W437" si="202">SUM(G432:G436)</f>
        <v>0</v>
      </c>
      <c r="H437" s="75">
        <f t="shared" si="202"/>
        <v>0</v>
      </c>
      <c r="I437" s="75">
        <f t="shared" si="202"/>
        <v>0</v>
      </c>
      <c r="J437" s="75">
        <f t="shared" si="202"/>
        <v>0</v>
      </c>
      <c r="K437" s="75">
        <f t="shared" si="202"/>
        <v>0</v>
      </c>
      <c r="L437" s="75">
        <f t="shared" si="202"/>
        <v>0</v>
      </c>
      <c r="M437" s="75">
        <f t="shared" si="202"/>
        <v>0</v>
      </c>
      <c r="N437" s="75">
        <f t="shared" si="202"/>
        <v>0</v>
      </c>
      <c r="O437" s="75">
        <f>SUM(O432:O436)</f>
        <v>0</v>
      </c>
      <c r="P437" s="75">
        <f t="shared" si="202"/>
        <v>0</v>
      </c>
      <c r="Q437" s="75">
        <f t="shared" si="202"/>
        <v>0</v>
      </c>
      <c r="R437" s="75">
        <f t="shared" si="202"/>
        <v>0</v>
      </c>
      <c r="S437" s="75">
        <f t="shared" si="202"/>
        <v>0</v>
      </c>
      <c r="T437" s="75">
        <f t="shared" si="202"/>
        <v>0</v>
      </c>
      <c r="U437" s="75">
        <f t="shared" si="202"/>
        <v>0</v>
      </c>
      <c r="V437" s="75">
        <f t="shared" si="202"/>
        <v>0</v>
      </c>
      <c r="W437" s="75">
        <f t="shared" si="202"/>
        <v>0</v>
      </c>
      <c r="X437" s="75">
        <f>SUM(X432:X436)</f>
        <v>0</v>
      </c>
      <c r="Y437" s="75">
        <f>SUM(Y432:Y436)</f>
        <v>0</v>
      </c>
      <c r="Z437" s="75">
        <f>SUM(Z432:Z436)</f>
        <v>0</v>
      </c>
      <c r="AA437" s="79">
        <f t="shared" si="200"/>
        <v>0</v>
      </c>
      <c r="AB437" s="92" t="str">
        <f t="shared" si="201"/>
        <v>ok</v>
      </c>
    </row>
    <row r="438" spans="1:28">
      <c r="F438" s="78"/>
    </row>
    <row r="439" spans="1:28" ht="15">
      <c r="A439" s="65" t="s">
        <v>613</v>
      </c>
      <c r="F439" s="78"/>
    </row>
    <row r="440" spans="1:28">
      <c r="A440" s="68" t="s">
        <v>1016</v>
      </c>
      <c r="C440" s="60" t="s">
        <v>696</v>
      </c>
      <c r="D440" s="60" t="s">
        <v>715</v>
      </c>
      <c r="E440" s="60" t="s">
        <v>1209</v>
      </c>
      <c r="F440" s="75">
        <f>VLOOKUP(C440,'Functional Assignment'!$C$2:$AP$780,'Functional Assignment'!$X$2,)</f>
        <v>0</v>
      </c>
      <c r="G440" s="75">
        <f t="shared" ref="G440:P441" si="203">IF(VLOOKUP($E440,$D$6:$AN$1148,3,)=0,0,(VLOOKUP($E440,$D$6:$AN$1148,G$2,)/VLOOKUP($E440,$D$6:$AN$1148,3,))*$F440)</f>
        <v>0</v>
      </c>
      <c r="H440" s="75">
        <f t="shared" si="203"/>
        <v>0</v>
      </c>
      <c r="I440" s="75">
        <f t="shared" si="203"/>
        <v>0</v>
      </c>
      <c r="J440" s="75">
        <f t="shared" si="203"/>
        <v>0</v>
      </c>
      <c r="K440" s="75">
        <f t="shared" si="203"/>
        <v>0</v>
      </c>
      <c r="L440" s="75">
        <f t="shared" si="203"/>
        <v>0</v>
      </c>
      <c r="M440" s="75">
        <f t="shared" si="203"/>
        <v>0</v>
      </c>
      <c r="N440" s="75">
        <f t="shared" si="203"/>
        <v>0</v>
      </c>
      <c r="O440" s="75">
        <f t="shared" si="203"/>
        <v>0</v>
      </c>
      <c r="P440" s="75">
        <f t="shared" si="203"/>
        <v>0</v>
      </c>
      <c r="Q440" s="75">
        <f t="shared" ref="Q440:Z441" si="204">IF(VLOOKUP($E440,$D$6:$AN$1148,3,)=0,0,(VLOOKUP($E440,$D$6:$AN$1148,Q$2,)/VLOOKUP($E440,$D$6:$AN$1148,3,))*$F440)</f>
        <v>0</v>
      </c>
      <c r="R440" s="75">
        <f t="shared" si="204"/>
        <v>0</v>
      </c>
      <c r="S440" s="75">
        <f t="shared" si="204"/>
        <v>0</v>
      </c>
      <c r="T440" s="75">
        <f t="shared" si="204"/>
        <v>0</v>
      </c>
      <c r="U440" s="75">
        <f t="shared" si="204"/>
        <v>0</v>
      </c>
      <c r="V440" s="75">
        <f t="shared" si="204"/>
        <v>0</v>
      </c>
      <c r="W440" s="75">
        <f t="shared" si="204"/>
        <v>0</v>
      </c>
      <c r="X440" s="75">
        <f t="shared" si="204"/>
        <v>0</v>
      </c>
      <c r="Y440" s="75">
        <f t="shared" si="204"/>
        <v>0</v>
      </c>
      <c r="Z440" s="75">
        <f t="shared" si="204"/>
        <v>0</v>
      </c>
      <c r="AA440" s="79">
        <f>SUM(G440:Z440)</f>
        <v>0</v>
      </c>
      <c r="AB440" s="92" t="str">
        <f>IF(ABS(F440-AA440)&lt;0.01,"ok","err")</f>
        <v>ok</v>
      </c>
    </row>
    <row r="441" spans="1:28">
      <c r="A441" s="68" t="s">
        <v>1019</v>
      </c>
      <c r="C441" s="60" t="s">
        <v>696</v>
      </c>
      <c r="D441" s="60" t="s">
        <v>755</v>
      </c>
      <c r="E441" s="60" t="s">
        <v>1207</v>
      </c>
      <c r="F441" s="78">
        <f>VLOOKUP(C441,'Functional Assignment'!$C$2:$AP$780,'Functional Assignment'!$Y$2,)</f>
        <v>0</v>
      </c>
      <c r="G441" s="78">
        <f t="shared" si="203"/>
        <v>0</v>
      </c>
      <c r="H441" s="78">
        <f t="shared" si="203"/>
        <v>0</v>
      </c>
      <c r="I441" s="78">
        <f t="shared" si="203"/>
        <v>0</v>
      </c>
      <c r="J441" s="78">
        <f t="shared" si="203"/>
        <v>0</v>
      </c>
      <c r="K441" s="78">
        <f t="shared" si="203"/>
        <v>0</v>
      </c>
      <c r="L441" s="78">
        <f t="shared" si="203"/>
        <v>0</v>
      </c>
      <c r="M441" s="78">
        <f t="shared" si="203"/>
        <v>0</v>
      </c>
      <c r="N441" s="78">
        <f t="shared" si="203"/>
        <v>0</v>
      </c>
      <c r="O441" s="78">
        <f t="shared" si="203"/>
        <v>0</v>
      </c>
      <c r="P441" s="78">
        <f t="shared" si="203"/>
        <v>0</v>
      </c>
      <c r="Q441" s="78">
        <f t="shared" si="204"/>
        <v>0</v>
      </c>
      <c r="R441" s="78">
        <f t="shared" si="204"/>
        <v>0</v>
      </c>
      <c r="S441" s="78">
        <f t="shared" si="204"/>
        <v>0</v>
      </c>
      <c r="T441" s="78">
        <f t="shared" si="204"/>
        <v>0</v>
      </c>
      <c r="U441" s="78">
        <f t="shared" si="204"/>
        <v>0</v>
      </c>
      <c r="V441" s="78">
        <f t="shared" si="204"/>
        <v>0</v>
      </c>
      <c r="W441" s="78">
        <f t="shared" si="204"/>
        <v>0</v>
      </c>
      <c r="X441" s="78">
        <f t="shared" si="204"/>
        <v>0</v>
      </c>
      <c r="Y441" s="78">
        <f t="shared" si="204"/>
        <v>0</v>
      </c>
      <c r="Z441" s="78">
        <f t="shared" si="204"/>
        <v>0</v>
      </c>
      <c r="AA441" s="78">
        <f>SUM(G441:Z441)</f>
        <v>0</v>
      </c>
      <c r="AB441" s="92" t="str">
        <f>IF(ABS(F441-AA441)&lt;0.01,"ok","err")</f>
        <v>ok</v>
      </c>
    </row>
    <row r="442" spans="1:28">
      <c r="A442" s="60" t="s">
        <v>674</v>
      </c>
      <c r="D442" s="60" t="s">
        <v>756</v>
      </c>
      <c r="F442" s="75">
        <f>F440+F441</f>
        <v>0</v>
      </c>
      <c r="G442" s="75">
        <f t="shared" ref="G442:W442" si="205">G440+G441</f>
        <v>0</v>
      </c>
      <c r="H442" s="75">
        <f t="shared" si="205"/>
        <v>0</v>
      </c>
      <c r="I442" s="75">
        <f t="shared" si="205"/>
        <v>0</v>
      </c>
      <c r="J442" s="75">
        <f t="shared" si="205"/>
        <v>0</v>
      </c>
      <c r="K442" s="75">
        <f t="shared" si="205"/>
        <v>0</v>
      </c>
      <c r="L442" s="75">
        <f t="shared" si="205"/>
        <v>0</v>
      </c>
      <c r="M442" s="75">
        <f t="shared" si="205"/>
        <v>0</v>
      </c>
      <c r="N442" s="75">
        <f t="shared" si="205"/>
        <v>0</v>
      </c>
      <c r="O442" s="75">
        <f>O440+O441</f>
        <v>0</v>
      </c>
      <c r="P442" s="75">
        <f t="shared" si="205"/>
        <v>0</v>
      </c>
      <c r="Q442" s="75">
        <f t="shared" si="205"/>
        <v>0</v>
      </c>
      <c r="R442" s="75">
        <f t="shared" si="205"/>
        <v>0</v>
      </c>
      <c r="S442" s="75">
        <f t="shared" si="205"/>
        <v>0</v>
      </c>
      <c r="T442" s="75">
        <f t="shared" si="205"/>
        <v>0</v>
      </c>
      <c r="U442" s="75">
        <f t="shared" si="205"/>
        <v>0</v>
      </c>
      <c r="V442" s="75">
        <f t="shared" si="205"/>
        <v>0</v>
      </c>
      <c r="W442" s="75">
        <f t="shared" si="205"/>
        <v>0</v>
      </c>
      <c r="X442" s="75">
        <f>X440+X441</f>
        <v>0</v>
      </c>
      <c r="Y442" s="75">
        <f>Y440+Y441</f>
        <v>0</v>
      </c>
      <c r="Z442" s="75">
        <f>Z440+Z441</f>
        <v>0</v>
      </c>
      <c r="AA442" s="79">
        <f>SUM(G442:Z442)</f>
        <v>0</v>
      </c>
      <c r="AB442" s="92" t="str">
        <f>IF(ABS(F442-AA442)&lt;0.01,"ok","err")</f>
        <v>ok</v>
      </c>
    </row>
    <row r="443" spans="1:28">
      <c r="F443" s="78"/>
    </row>
    <row r="444" spans="1:28" ht="15">
      <c r="A444" s="65" t="s">
        <v>343</v>
      </c>
      <c r="F444" s="78"/>
    </row>
    <row r="445" spans="1:28">
      <c r="A445" s="68" t="s">
        <v>1019</v>
      </c>
      <c r="C445" s="60" t="s">
        <v>696</v>
      </c>
      <c r="D445" s="60" t="s">
        <v>757</v>
      </c>
      <c r="E445" s="60" t="s">
        <v>1021</v>
      </c>
      <c r="F445" s="75">
        <f>VLOOKUP(C445,'Functional Assignment'!$C$2:$AP$780,'Functional Assignment'!$Z$2,)</f>
        <v>0</v>
      </c>
      <c r="G445" s="75">
        <f t="shared" ref="G445:Z445" si="206">IF(VLOOKUP($E445,$D$6:$AN$1148,3,)=0,0,(VLOOKUP($E445,$D$6:$AN$1148,G$2,)/VLOOKUP($E445,$D$6:$AN$1148,3,))*$F445)</f>
        <v>0</v>
      </c>
      <c r="H445" s="75">
        <f t="shared" si="206"/>
        <v>0</v>
      </c>
      <c r="I445" s="75">
        <f t="shared" si="206"/>
        <v>0</v>
      </c>
      <c r="J445" s="75">
        <f t="shared" si="206"/>
        <v>0</v>
      </c>
      <c r="K445" s="75">
        <f t="shared" si="206"/>
        <v>0</v>
      </c>
      <c r="L445" s="75">
        <f t="shared" si="206"/>
        <v>0</v>
      </c>
      <c r="M445" s="75">
        <f t="shared" si="206"/>
        <v>0</v>
      </c>
      <c r="N445" s="75">
        <f t="shared" si="206"/>
        <v>0</v>
      </c>
      <c r="O445" s="75">
        <f t="shared" si="206"/>
        <v>0</v>
      </c>
      <c r="P445" s="75">
        <f t="shared" si="206"/>
        <v>0</v>
      </c>
      <c r="Q445" s="75">
        <f t="shared" si="206"/>
        <v>0</v>
      </c>
      <c r="R445" s="75">
        <f t="shared" si="206"/>
        <v>0</v>
      </c>
      <c r="S445" s="75">
        <f t="shared" si="206"/>
        <v>0</v>
      </c>
      <c r="T445" s="75">
        <f t="shared" si="206"/>
        <v>0</v>
      </c>
      <c r="U445" s="75">
        <f t="shared" si="206"/>
        <v>0</v>
      </c>
      <c r="V445" s="75">
        <f t="shared" si="206"/>
        <v>0</v>
      </c>
      <c r="W445" s="75">
        <f t="shared" si="206"/>
        <v>0</v>
      </c>
      <c r="X445" s="75">
        <f t="shared" si="206"/>
        <v>0</v>
      </c>
      <c r="Y445" s="75">
        <f t="shared" si="206"/>
        <v>0</v>
      </c>
      <c r="Z445" s="75">
        <f t="shared" si="206"/>
        <v>0</v>
      </c>
      <c r="AA445" s="79">
        <f>SUM(G445:Z445)</f>
        <v>0</v>
      </c>
      <c r="AB445" s="92" t="str">
        <f>IF(ABS(F445-AA445)&lt;0.01,"ok","err")</f>
        <v>ok</v>
      </c>
    </row>
    <row r="446" spans="1:28">
      <c r="F446" s="78"/>
    </row>
    <row r="447" spans="1:28" ht="15">
      <c r="A447" s="65" t="s">
        <v>342</v>
      </c>
      <c r="F447" s="78"/>
    </row>
    <row r="448" spans="1:28">
      <c r="A448" s="68" t="s">
        <v>1019</v>
      </c>
      <c r="C448" s="60" t="s">
        <v>696</v>
      </c>
      <c r="D448" s="60" t="s">
        <v>758</v>
      </c>
      <c r="E448" s="60" t="s">
        <v>1022</v>
      </c>
      <c r="F448" s="75">
        <f>VLOOKUP(C448,'Functional Assignment'!$C$2:$AP$780,'Functional Assignment'!$AA$2,)</f>
        <v>0</v>
      </c>
      <c r="G448" s="75">
        <f t="shared" ref="G448:Z448" si="207">IF(VLOOKUP($E448,$D$6:$AN$1148,3,)=0,0,(VLOOKUP($E448,$D$6:$AN$1148,G$2,)/VLOOKUP($E448,$D$6:$AN$1148,3,))*$F448)</f>
        <v>0</v>
      </c>
      <c r="H448" s="75">
        <f t="shared" si="207"/>
        <v>0</v>
      </c>
      <c r="I448" s="75">
        <f t="shared" si="207"/>
        <v>0</v>
      </c>
      <c r="J448" s="75">
        <f t="shared" si="207"/>
        <v>0</v>
      </c>
      <c r="K448" s="75">
        <f t="shared" si="207"/>
        <v>0</v>
      </c>
      <c r="L448" s="75">
        <f t="shared" si="207"/>
        <v>0</v>
      </c>
      <c r="M448" s="75">
        <f t="shared" si="207"/>
        <v>0</v>
      </c>
      <c r="N448" s="75">
        <f t="shared" si="207"/>
        <v>0</v>
      </c>
      <c r="O448" s="75">
        <f t="shared" si="207"/>
        <v>0</v>
      </c>
      <c r="P448" s="75">
        <f t="shared" si="207"/>
        <v>0</v>
      </c>
      <c r="Q448" s="75">
        <f t="shared" si="207"/>
        <v>0</v>
      </c>
      <c r="R448" s="75">
        <f t="shared" si="207"/>
        <v>0</v>
      </c>
      <c r="S448" s="75">
        <f t="shared" si="207"/>
        <v>0</v>
      </c>
      <c r="T448" s="75">
        <f t="shared" si="207"/>
        <v>0</v>
      </c>
      <c r="U448" s="75">
        <f t="shared" si="207"/>
        <v>0</v>
      </c>
      <c r="V448" s="75">
        <f t="shared" si="207"/>
        <v>0</v>
      </c>
      <c r="W448" s="75">
        <f t="shared" si="207"/>
        <v>0</v>
      </c>
      <c r="X448" s="75">
        <f t="shared" si="207"/>
        <v>0</v>
      </c>
      <c r="Y448" s="75">
        <f t="shared" si="207"/>
        <v>0</v>
      </c>
      <c r="Z448" s="75">
        <f t="shared" si="207"/>
        <v>0</v>
      </c>
      <c r="AA448" s="79">
        <f>SUM(G448:Z448)</f>
        <v>0</v>
      </c>
      <c r="AB448" s="92" t="str">
        <f>IF(ABS(F448-AA448)&lt;0.01,"ok","err")</f>
        <v>ok</v>
      </c>
    </row>
    <row r="449" spans="1:28"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9"/>
    </row>
    <row r="450" spans="1:28" ht="15">
      <c r="A450" s="65" t="s">
        <v>358</v>
      </c>
      <c r="F450" s="78"/>
    </row>
    <row r="451" spans="1:28">
      <c r="A451" s="68" t="s">
        <v>1019</v>
      </c>
      <c r="C451" s="60" t="s">
        <v>696</v>
      </c>
      <c r="D451" s="60" t="s">
        <v>759</v>
      </c>
      <c r="E451" s="60" t="s">
        <v>1023</v>
      </c>
      <c r="F451" s="75">
        <f>VLOOKUP(C451,'Functional Assignment'!$C$2:$AP$780,'Functional Assignment'!$AB$2,)</f>
        <v>0</v>
      </c>
      <c r="G451" s="75">
        <f t="shared" ref="G451:Z451" si="208">IF(VLOOKUP($E451,$D$6:$AN$1148,3,)=0,0,(VLOOKUP($E451,$D$6:$AN$1148,G$2,)/VLOOKUP($E451,$D$6:$AN$1148,3,))*$F451)</f>
        <v>0</v>
      </c>
      <c r="H451" s="75">
        <f t="shared" si="208"/>
        <v>0</v>
      </c>
      <c r="I451" s="75">
        <f t="shared" si="208"/>
        <v>0</v>
      </c>
      <c r="J451" s="75">
        <f t="shared" si="208"/>
        <v>0</v>
      </c>
      <c r="K451" s="75">
        <f t="shared" si="208"/>
        <v>0</v>
      </c>
      <c r="L451" s="75">
        <f t="shared" si="208"/>
        <v>0</v>
      </c>
      <c r="M451" s="75">
        <f t="shared" si="208"/>
        <v>0</v>
      </c>
      <c r="N451" s="75">
        <f t="shared" si="208"/>
        <v>0</v>
      </c>
      <c r="O451" s="75">
        <f t="shared" si="208"/>
        <v>0</v>
      </c>
      <c r="P451" s="75">
        <f t="shared" si="208"/>
        <v>0</v>
      </c>
      <c r="Q451" s="75">
        <f t="shared" si="208"/>
        <v>0</v>
      </c>
      <c r="R451" s="75">
        <f t="shared" si="208"/>
        <v>0</v>
      </c>
      <c r="S451" s="75">
        <f t="shared" si="208"/>
        <v>0</v>
      </c>
      <c r="T451" s="75">
        <f t="shared" si="208"/>
        <v>0</v>
      </c>
      <c r="U451" s="75">
        <f t="shared" si="208"/>
        <v>0</v>
      </c>
      <c r="V451" s="75">
        <f t="shared" si="208"/>
        <v>0</v>
      </c>
      <c r="W451" s="75">
        <f t="shared" si="208"/>
        <v>0</v>
      </c>
      <c r="X451" s="75">
        <f t="shared" si="208"/>
        <v>0</v>
      </c>
      <c r="Y451" s="75">
        <f t="shared" si="208"/>
        <v>0</v>
      </c>
      <c r="Z451" s="75">
        <f t="shared" si="208"/>
        <v>0</v>
      </c>
      <c r="AA451" s="79">
        <f>SUM(G451:Z451)</f>
        <v>0</v>
      </c>
      <c r="AB451" s="92" t="str">
        <f>IF(ABS(F451-AA451)&lt;0.01,"ok","err")</f>
        <v>ok</v>
      </c>
    </row>
    <row r="452" spans="1:28"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9"/>
    </row>
    <row r="453" spans="1:28" ht="15">
      <c r="A453" s="65" t="s">
        <v>951</v>
      </c>
      <c r="F453" s="78"/>
    </row>
    <row r="454" spans="1:28">
      <c r="A454" s="68" t="s">
        <v>1019</v>
      </c>
      <c r="C454" s="60" t="s">
        <v>696</v>
      </c>
      <c r="D454" s="60" t="s">
        <v>760</v>
      </c>
      <c r="E454" s="60" t="s">
        <v>1024</v>
      </c>
      <c r="F454" s="75">
        <f>VLOOKUP(C454,'Functional Assignment'!$C$2:$AP$780,'Functional Assignment'!$AC$2,)</f>
        <v>0</v>
      </c>
      <c r="G454" s="75">
        <f t="shared" ref="G454:Z454" si="209">IF(VLOOKUP($E454,$D$6:$AN$1148,3,)=0,0,(VLOOKUP($E454,$D$6:$AN$1148,G$2,)/VLOOKUP($E454,$D$6:$AN$1148,3,))*$F454)</f>
        <v>0</v>
      </c>
      <c r="H454" s="75">
        <f t="shared" si="209"/>
        <v>0</v>
      </c>
      <c r="I454" s="75">
        <f t="shared" si="209"/>
        <v>0</v>
      </c>
      <c r="J454" s="75">
        <f t="shared" si="209"/>
        <v>0</v>
      </c>
      <c r="K454" s="75">
        <f t="shared" si="209"/>
        <v>0</v>
      </c>
      <c r="L454" s="75">
        <f t="shared" si="209"/>
        <v>0</v>
      </c>
      <c r="M454" s="75">
        <f t="shared" si="209"/>
        <v>0</v>
      </c>
      <c r="N454" s="75">
        <f t="shared" si="209"/>
        <v>0</v>
      </c>
      <c r="O454" s="75">
        <f t="shared" si="209"/>
        <v>0</v>
      </c>
      <c r="P454" s="75">
        <f t="shared" si="209"/>
        <v>0</v>
      </c>
      <c r="Q454" s="75">
        <f t="shared" si="209"/>
        <v>0</v>
      </c>
      <c r="R454" s="75">
        <f t="shared" si="209"/>
        <v>0</v>
      </c>
      <c r="S454" s="75">
        <f t="shared" si="209"/>
        <v>0</v>
      </c>
      <c r="T454" s="75">
        <f t="shared" si="209"/>
        <v>0</v>
      </c>
      <c r="U454" s="75">
        <f t="shared" si="209"/>
        <v>0</v>
      </c>
      <c r="V454" s="75">
        <f t="shared" si="209"/>
        <v>0</v>
      </c>
      <c r="W454" s="75">
        <f t="shared" si="209"/>
        <v>0</v>
      </c>
      <c r="X454" s="75">
        <f t="shared" si="209"/>
        <v>0</v>
      </c>
      <c r="Y454" s="75">
        <f t="shared" si="209"/>
        <v>0</v>
      </c>
      <c r="Z454" s="75">
        <f t="shared" si="209"/>
        <v>0</v>
      </c>
      <c r="AA454" s="79">
        <f>SUM(G454:Z454)</f>
        <v>0</v>
      </c>
      <c r="AB454" s="92" t="str">
        <f>IF(ABS(F454-AA454)&lt;0.01,"ok","err")</f>
        <v>ok</v>
      </c>
    </row>
    <row r="455" spans="1:28"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9"/>
    </row>
    <row r="456" spans="1:28" ht="15">
      <c r="A456" s="65" t="s">
        <v>340</v>
      </c>
      <c r="F456" s="78"/>
    </row>
    <row r="457" spans="1:28">
      <c r="A457" s="68" t="s">
        <v>1019</v>
      </c>
      <c r="C457" s="60" t="s">
        <v>696</v>
      </c>
      <c r="D457" s="60" t="s">
        <v>761</v>
      </c>
      <c r="E457" s="60" t="s">
        <v>1024</v>
      </c>
      <c r="F457" s="75">
        <f>VLOOKUP(C457,'Functional Assignment'!$C$2:$AP$780,'Functional Assignment'!$AD$2,)</f>
        <v>0</v>
      </c>
      <c r="G457" s="75">
        <f t="shared" ref="G457:Z457" si="210">IF(VLOOKUP($E457,$D$6:$AN$1148,3,)=0,0,(VLOOKUP($E457,$D$6:$AN$1148,G$2,)/VLOOKUP($E457,$D$6:$AN$1148,3,))*$F457)</f>
        <v>0</v>
      </c>
      <c r="H457" s="75">
        <f t="shared" si="210"/>
        <v>0</v>
      </c>
      <c r="I457" s="75">
        <f t="shared" si="210"/>
        <v>0</v>
      </c>
      <c r="J457" s="75">
        <f t="shared" si="210"/>
        <v>0</v>
      </c>
      <c r="K457" s="75">
        <f t="shared" si="210"/>
        <v>0</v>
      </c>
      <c r="L457" s="75">
        <f t="shared" si="210"/>
        <v>0</v>
      </c>
      <c r="M457" s="75">
        <f t="shared" si="210"/>
        <v>0</v>
      </c>
      <c r="N457" s="75">
        <f t="shared" si="210"/>
        <v>0</v>
      </c>
      <c r="O457" s="75">
        <f t="shared" si="210"/>
        <v>0</v>
      </c>
      <c r="P457" s="75">
        <f t="shared" si="210"/>
        <v>0</v>
      </c>
      <c r="Q457" s="75">
        <f t="shared" si="210"/>
        <v>0</v>
      </c>
      <c r="R457" s="75">
        <f t="shared" si="210"/>
        <v>0</v>
      </c>
      <c r="S457" s="75">
        <f t="shared" si="210"/>
        <v>0</v>
      </c>
      <c r="T457" s="75">
        <f t="shared" si="210"/>
        <v>0</v>
      </c>
      <c r="U457" s="75">
        <f t="shared" si="210"/>
        <v>0</v>
      </c>
      <c r="V457" s="75">
        <f t="shared" si="210"/>
        <v>0</v>
      </c>
      <c r="W457" s="75">
        <f t="shared" si="210"/>
        <v>0</v>
      </c>
      <c r="X457" s="75">
        <f t="shared" si="210"/>
        <v>0</v>
      </c>
      <c r="Y457" s="75">
        <f t="shared" si="210"/>
        <v>0</v>
      </c>
      <c r="Z457" s="75">
        <f t="shared" si="210"/>
        <v>0</v>
      </c>
      <c r="AA457" s="79">
        <f>SUM(G457:Z457)</f>
        <v>0</v>
      </c>
      <c r="AB457" s="92" t="str">
        <f>IF(ABS(F457-AA457)&lt;0.01,"ok","err")</f>
        <v>ok</v>
      </c>
    </row>
    <row r="458" spans="1:28"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9"/>
    </row>
    <row r="459" spans="1:28" ht="15">
      <c r="A459" s="65" t="s">
        <v>339</v>
      </c>
      <c r="F459" s="78"/>
    </row>
    <row r="460" spans="1:28">
      <c r="A460" s="68" t="s">
        <v>1019</v>
      </c>
      <c r="C460" s="60" t="s">
        <v>696</v>
      </c>
      <c r="D460" s="60" t="s">
        <v>762</v>
      </c>
      <c r="E460" s="60" t="s">
        <v>1025</v>
      </c>
      <c r="F460" s="75">
        <f>VLOOKUP(C460,'Functional Assignment'!$C$2:$AP$780,'Functional Assignment'!$AE$2,)</f>
        <v>0</v>
      </c>
      <c r="G460" s="75">
        <f t="shared" ref="G460:Z460" si="211">IF(VLOOKUP($E460,$D$6:$AN$1148,3,)=0,0,(VLOOKUP($E460,$D$6:$AN$1148,G$2,)/VLOOKUP($E460,$D$6:$AN$1148,3,))*$F460)</f>
        <v>0</v>
      </c>
      <c r="H460" s="75">
        <f t="shared" si="211"/>
        <v>0</v>
      </c>
      <c r="I460" s="75">
        <f t="shared" si="211"/>
        <v>0</v>
      </c>
      <c r="J460" s="75">
        <f t="shared" si="211"/>
        <v>0</v>
      </c>
      <c r="K460" s="75">
        <f t="shared" si="211"/>
        <v>0</v>
      </c>
      <c r="L460" s="75">
        <f t="shared" si="211"/>
        <v>0</v>
      </c>
      <c r="M460" s="75">
        <f t="shared" si="211"/>
        <v>0</v>
      </c>
      <c r="N460" s="75">
        <f t="shared" si="211"/>
        <v>0</v>
      </c>
      <c r="O460" s="75">
        <f t="shared" si="211"/>
        <v>0</v>
      </c>
      <c r="P460" s="75">
        <f t="shared" si="211"/>
        <v>0</v>
      </c>
      <c r="Q460" s="75">
        <f t="shared" si="211"/>
        <v>0</v>
      </c>
      <c r="R460" s="75">
        <f t="shared" si="211"/>
        <v>0</v>
      </c>
      <c r="S460" s="75">
        <f t="shared" si="211"/>
        <v>0</v>
      </c>
      <c r="T460" s="75">
        <f t="shared" si="211"/>
        <v>0</v>
      </c>
      <c r="U460" s="75">
        <f t="shared" si="211"/>
        <v>0</v>
      </c>
      <c r="V460" s="75">
        <f t="shared" si="211"/>
        <v>0</v>
      </c>
      <c r="W460" s="75">
        <f t="shared" si="211"/>
        <v>0</v>
      </c>
      <c r="X460" s="75">
        <f t="shared" si="211"/>
        <v>0</v>
      </c>
      <c r="Y460" s="75">
        <f t="shared" si="211"/>
        <v>0</v>
      </c>
      <c r="Z460" s="75">
        <f t="shared" si="211"/>
        <v>0</v>
      </c>
      <c r="AA460" s="79">
        <f>SUM(G460:Z460)</f>
        <v>0</v>
      </c>
      <c r="AB460" s="92" t="str">
        <f>IF(ABS(F460-AA460)&lt;0.01,"ok","err")</f>
        <v>ok</v>
      </c>
    </row>
    <row r="461" spans="1:28"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9"/>
    </row>
    <row r="462" spans="1:28">
      <c r="A462" s="60" t="s">
        <v>848</v>
      </c>
      <c r="D462" s="60" t="s">
        <v>763</v>
      </c>
      <c r="F462" s="75">
        <f>F417+F423+F426+F429+F437+F442+F445+F448+F451+F454+F457+F460</f>
        <v>0</v>
      </c>
      <c r="G462" s="75">
        <f t="shared" ref="G462:Z462" si="212">G417+G423+G426+G429+G437+G442+G445+G448+G451+G454+G457+G460</f>
        <v>0</v>
      </c>
      <c r="H462" s="75">
        <f t="shared" si="212"/>
        <v>0</v>
      </c>
      <c r="I462" s="75">
        <f t="shared" si="212"/>
        <v>0</v>
      </c>
      <c r="J462" s="75">
        <f t="shared" si="212"/>
        <v>0</v>
      </c>
      <c r="K462" s="75">
        <f t="shared" si="212"/>
        <v>0</v>
      </c>
      <c r="L462" s="75">
        <f t="shared" si="212"/>
        <v>0</v>
      </c>
      <c r="M462" s="75">
        <f t="shared" si="212"/>
        <v>0</v>
      </c>
      <c r="N462" s="75">
        <f t="shared" si="212"/>
        <v>0</v>
      </c>
      <c r="O462" s="75">
        <f>O417+O423+O426+O429+O437+O442+O445+O448+O451+O454+O457+O460</f>
        <v>0</v>
      </c>
      <c r="P462" s="75">
        <f t="shared" si="212"/>
        <v>0</v>
      </c>
      <c r="Q462" s="75">
        <f t="shared" si="212"/>
        <v>0</v>
      </c>
      <c r="R462" s="75">
        <f t="shared" si="212"/>
        <v>0</v>
      </c>
      <c r="S462" s="75">
        <f t="shared" si="212"/>
        <v>0</v>
      </c>
      <c r="T462" s="75">
        <f t="shared" si="212"/>
        <v>0</v>
      </c>
      <c r="U462" s="75">
        <f t="shared" si="212"/>
        <v>0</v>
      </c>
      <c r="V462" s="75">
        <f t="shared" si="212"/>
        <v>0</v>
      </c>
      <c r="W462" s="75">
        <f t="shared" si="212"/>
        <v>0</v>
      </c>
      <c r="X462" s="75">
        <f t="shared" si="212"/>
        <v>0</v>
      </c>
      <c r="Y462" s="75">
        <f t="shared" si="212"/>
        <v>0</v>
      </c>
      <c r="Z462" s="75">
        <f t="shared" si="212"/>
        <v>0</v>
      </c>
      <c r="AA462" s="79">
        <f>SUM(G462:Z462)</f>
        <v>0</v>
      </c>
      <c r="AB462" s="92" t="str">
        <f>IF(ABS(F462-AA462)&lt;0.01,"ok","err")</f>
        <v>ok</v>
      </c>
    </row>
    <row r="463" spans="1:28"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9"/>
    </row>
    <row r="465" spans="1:28" ht="15">
      <c r="A465" s="65" t="s">
        <v>765</v>
      </c>
    </row>
    <row r="467" spans="1:28" ht="15">
      <c r="A467" s="65" t="s">
        <v>352</v>
      </c>
    </row>
    <row r="468" spans="1:28">
      <c r="A468" s="68" t="s">
        <v>1254</v>
      </c>
      <c r="C468" s="60" t="s">
        <v>1000</v>
      </c>
      <c r="D468" s="60" t="s">
        <v>1433</v>
      </c>
      <c r="E468" s="60" t="s">
        <v>1421</v>
      </c>
      <c r="F468" s="75">
        <f>VLOOKUP(C468,'Functional Assignment'!$C$2:$AP$780,'Functional Assignment'!$H$2,)</f>
        <v>25721710.883164674</v>
      </c>
      <c r="G468" s="75">
        <f t="shared" ref="G468:P473" si="213">IF(VLOOKUP($E468,$D$6:$AN$1148,3,)=0,0,(VLOOKUP($E468,$D$6:$AN$1148,G$2,)/VLOOKUP($E468,$D$6:$AN$1148,3,))*$F468)</f>
        <v>10717769.800507359</v>
      </c>
      <c r="H468" s="75">
        <f t="shared" si="213"/>
        <v>3085184.1530167917</v>
      </c>
      <c r="I468" s="75">
        <f t="shared" si="213"/>
        <v>223364.38764677584</v>
      </c>
      <c r="J468" s="75">
        <f t="shared" si="213"/>
        <v>3596790.458389252</v>
      </c>
      <c r="K468" s="75">
        <f t="shared" si="213"/>
        <v>3371239.6881377543</v>
      </c>
      <c r="L468" s="75">
        <f t="shared" si="213"/>
        <v>2787930.6194448085</v>
      </c>
      <c r="M468" s="75">
        <f t="shared" si="213"/>
        <v>1724688.6322817414</v>
      </c>
      <c r="N468" s="75">
        <f t="shared" si="213"/>
        <v>96835.319250809203</v>
      </c>
      <c r="O468" s="75">
        <f t="shared" si="213"/>
        <v>105798.08979905602</v>
      </c>
      <c r="P468" s="75">
        <f t="shared" si="213"/>
        <v>3684.9496260751116</v>
      </c>
      <c r="Q468" s="75">
        <f t="shared" ref="Q468:Z473" si="214">IF(VLOOKUP($E468,$D$6:$AN$1148,3,)=0,0,(VLOOKUP($E468,$D$6:$AN$1148,Q$2,)/VLOOKUP($E468,$D$6:$AN$1148,3,))*$F468)</f>
        <v>5074.690018899093</v>
      </c>
      <c r="R468" s="75">
        <f t="shared" si="214"/>
        <v>4.9274086608157184</v>
      </c>
      <c r="S468" s="75">
        <f t="shared" si="214"/>
        <v>43.776263965179986</v>
      </c>
      <c r="T468" s="75">
        <f t="shared" si="214"/>
        <v>3190.2719496980626</v>
      </c>
      <c r="U468" s="75">
        <f t="shared" si="214"/>
        <v>111.11942302474998</v>
      </c>
      <c r="V468" s="75">
        <f t="shared" si="214"/>
        <v>0</v>
      </c>
      <c r="W468" s="75">
        <f t="shared" si="214"/>
        <v>0</v>
      </c>
      <c r="X468" s="75">
        <f t="shared" si="214"/>
        <v>0</v>
      </c>
      <c r="Y468" s="75">
        <f t="shared" si="214"/>
        <v>0</v>
      </c>
      <c r="Z468" s="75">
        <f t="shared" si="214"/>
        <v>0</v>
      </c>
      <c r="AA468" s="79">
        <f t="shared" ref="AA468:AA474" si="215">SUM(G468:Z468)</f>
        <v>25721710.883164678</v>
      </c>
      <c r="AB468" s="92" t="str">
        <f t="shared" ref="AB468:AB474" si="216">IF(ABS(F468-AA468)&lt;0.01,"ok","err")</f>
        <v>ok</v>
      </c>
    </row>
    <row r="469" spans="1:28" hidden="1">
      <c r="A469" s="68" t="s">
        <v>1255</v>
      </c>
      <c r="C469" s="60" t="s">
        <v>1000</v>
      </c>
      <c r="D469" s="60" t="s">
        <v>516</v>
      </c>
      <c r="E469" s="60" t="s">
        <v>1406</v>
      </c>
      <c r="F469" s="78">
        <f>VLOOKUP(C469,'Functional Assignment'!$C$2:$AP$780,'Functional Assignment'!$I$2,)</f>
        <v>0</v>
      </c>
      <c r="G469" s="78">
        <f t="shared" si="213"/>
        <v>0</v>
      </c>
      <c r="H469" s="78">
        <f t="shared" si="213"/>
        <v>0</v>
      </c>
      <c r="I469" s="78">
        <f t="shared" si="213"/>
        <v>0</v>
      </c>
      <c r="J469" s="78">
        <f t="shared" si="213"/>
        <v>0</v>
      </c>
      <c r="K469" s="78">
        <f t="shared" si="213"/>
        <v>0</v>
      </c>
      <c r="L469" s="78">
        <f t="shared" si="213"/>
        <v>0</v>
      </c>
      <c r="M469" s="78">
        <f t="shared" si="213"/>
        <v>0</v>
      </c>
      <c r="N469" s="78">
        <f t="shared" si="213"/>
        <v>0</v>
      </c>
      <c r="O469" s="78">
        <f t="shared" si="213"/>
        <v>0</v>
      </c>
      <c r="P469" s="78">
        <f t="shared" si="213"/>
        <v>0</v>
      </c>
      <c r="Q469" s="78">
        <f t="shared" si="214"/>
        <v>0</v>
      </c>
      <c r="R469" s="78">
        <f t="shared" si="214"/>
        <v>0</v>
      </c>
      <c r="S469" s="78">
        <f t="shared" si="214"/>
        <v>0</v>
      </c>
      <c r="T469" s="78">
        <f t="shared" si="214"/>
        <v>0</v>
      </c>
      <c r="U469" s="78">
        <f t="shared" si="214"/>
        <v>0</v>
      </c>
      <c r="V469" s="78">
        <f t="shared" si="214"/>
        <v>0</v>
      </c>
      <c r="W469" s="78">
        <f t="shared" si="214"/>
        <v>0</v>
      </c>
      <c r="X469" s="78">
        <f t="shared" si="214"/>
        <v>0</v>
      </c>
      <c r="Y469" s="78">
        <f t="shared" si="214"/>
        <v>0</v>
      </c>
      <c r="Z469" s="78">
        <f t="shared" si="214"/>
        <v>0</v>
      </c>
      <c r="AA469" s="78">
        <f t="shared" si="215"/>
        <v>0</v>
      </c>
      <c r="AB469" s="92" t="str">
        <f t="shared" si="216"/>
        <v>ok</v>
      </c>
    </row>
    <row r="470" spans="1:28" hidden="1">
      <c r="A470" s="68" t="s">
        <v>1255</v>
      </c>
      <c r="C470" s="60" t="s">
        <v>1000</v>
      </c>
      <c r="D470" s="60" t="s">
        <v>517</v>
      </c>
      <c r="E470" s="60" t="s">
        <v>1406</v>
      </c>
      <c r="F470" s="78">
        <f>VLOOKUP(C470,'Functional Assignment'!$C$2:$AP$780,'Functional Assignment'!$J$2,)</f>
        <v>0</v>
      </c>
      <c r="G470" s="78">
        <f t="shared" si="213"/>
        <v>0</v>
      </c>
      <c r="H470" s="78">
        <f t="shared" si="213"/>
        <v>0</v>
      </c>
      <c r="I470" s="78">
        <f t="shared" si="213"/>
        <v>0</v>
      </c>
      <c r="J470" s="78">
        <f t="shared" si="213"/>
        <v>0</v>
      </c>
      <c r="K470" s="78">
        <f t="shared" si="213"/>
        <v>0</v>
      </c>
      <c r="L470" s="78">
        <f t="shared" si="213"/>
        <v>0</v>
      </c>
      <c r="M470" s="78">
        <f t="shared" si="213"/>
        <v>0</v>
      </c>
      <c r="N470" s="78">
        <f t="shared" si="213"/>
        <v>0</v>
      </c>
      <c r="O470" s="78">
        <f t="shared" si="213"/>
        <v>0</v>
      </c>
      <c r="P470" s="78">
        <f t="shared" si="213"/>
        <v>0</v>
      </c>
      <c r="Q470" s="78">
        <f t="shared" si="214"/>
        <v>0</v>
      </c>
      <c r="R470" s="78">
        <f t="shared" si="214"/>
        <v>0</v>
      </c>
      <c r="S470" s="78">
        <f t="shared" si="214"/>
        <v>0</v>
      </c>
      <c r="T470" s="78">
        <f t="shared" si="214"/>
        <v>0</v>
      </c>
      <c r="U470" s="78">
        <f t="shared" si="214"/>
        <v>0</v>
      </c>
      <c r="V470" s="78">
        <f t="shared" si="214"/>
        <v>0</v>
      </c>
      <c r="W470" s="78">
        <f t="shared" si="214"/>
        <v>0</v>
      </c>
      <c r="X470" s="78">
        <f t="shared" si="214"/>
        <v>0</v>
      </c>
      <c r="Y470" s="78">
        <f t="shared" si="214"/>
        <v>0</v>
      </c>
      <c r="Z470" s="78">
        <f t="shared" si="214"/>
        <v>0</v>
      </c>
      <c r="AA470" s="78">
        <f t="shared" si="215"/>
        <v>0</v>
      </c>
      <c r="AB470" s="92" t="str">
        <f t="shared" si="216"/>
        <v>ok</v>
      </c>
    </row>
    <row r="471" spans="1:28">
      <c r="A471" s="68" t="s">
        <v>1162</v>
      </c>
      <c r="C471" s="60" t="s">
        <v>1000</v>
      </c>
      <c r="D471" s="60" t="s">
        <v>518</v>
      </c>
      <c r="E471" s="60" t="s">
        <v>1017</v>
      </c>
      <c r="F471" s="78">
        <f>VLOOKUP(C471,'Functional Assignment'!$C$2:$AP$780,'Functional Assignment'!$K$2,)</f>
        <v>0</v>
      </c>
      <c r="G471" s="78">
        <f t="shared" si="213"/>
        <v>0</v>
      </c>
      <c r="H471" s="78">
        <f t="shared" si="213"/>
        <v>0</v>
      </c>
      <c r="I471" s="78">
        <f t="shared" si="213"/>
        <v>0</v>
      </c>
      <c r="J471" s="78">
        <f t="shared" si="213"/>
        <v>0</v>
      </c>
      <c r="K471" s="78">
        <f t="shared" si="213"/>
        <v>0</v>
      </c>
      <c r="L471" s="78">
        <f t="shared" si="213"/>
        <v>0</v>
      </c>
      <c r="M471" s="78">
        <f t="shared" si="213"/>
        <v>0</v>
      </c>
      <c r="N471" s="78">
        <f t="shared" si="213"/>
        <v>0</v>
      </c>
      <c r="O471" s="78">
        <f t="shared" si="213"/>
        <v>0</v>
      </c>
      <c r="P471" s="78">
        <f t="shared" si="213"/>
        <v>0</v>
      </c>
      <c r="Q471" s="78">
        <f t="shared" si="214"/>
        <v>0</v>
      </c>
      <c r="R471" s="78">
        <f t="shared" si="214"/>
        <v>0</v>
      </c>
      <c r="S471" s="78">
        <f t="shared" si="214"/>
        <v>0</v>
      </c>
      <c r="T471" s="78">
        <f t="shared" si="214"/>
        <v>0</v>
      </c>
      <c r="U471" s="78">
        <f t="shared" si="214"/>
        <v>0</v>
      </c>
      <c r="V471" s="78">
        <f t="shared" si="214"/>
        <v>0</v>
      </c>
      <c r="W471" s="78">
        <f t="shared" si="214"/>
        <v>0</v>
      </c>
      <c r="X471" s="78">
        <f t="shared" si="214"/>
        <v>0</v>
      </c>
      <c r="Y471" s="78">
        <f t="shared" si="214"/>
        <v>0</v>
      </c>
      <c r="Z471" s="78">
        <f t="shared" si="214"/>
        <v>0</v>
      </c>
      <c r="AA471" s="78">
        <f t="shared" si="215"/>
        <v>0</v>
      </c>
      <c r="AB471" s="92" t="str">
        <f t="shared" si="216"/>
        <v>ok</v>
      </c>
    </row>
    <row r="472" spans="1:28" hidden="1">
      <c r="A472" s="68" t="s">
        <v>1163</v>
      </c>
      <c r="C472" s="60" t="s">
        <v>1000</v>
      </c>
      <c r="D472" s="60" t="s">
        <v>519</v>
      </c>
      <c r="E472" s="60" t="s">
        <v>1017</v>
      </c>
      <c r="F472" s="78">
        <f>VLOOKUP(C472,'Functional Assignment'!$C$2:$AP$780,'Functional Assignment'!$L$2,)</f>
        <v>0</v>
      </c>
      <c r="G472" s="78">
        <f t="shared" si="213"/>
        <v>0</v>
      </c>
      <c r="H472" s="78">
        <f t="shared" si="213"/>
        <v>0</v>
      </c>
      <c r="I472" s="78">
        <f t="shared" si="213"/>
        <v>0</v>
      </c>
      <c r="J472" s="78">
        <f t="shared" si="213"/>
        <v>0</v>
      </c>
      <c r="K472" s="78">
        <f t="shared" si="213"/>
        <v>0</v>
      </c>
      <c r="L472" s="78">
        <f t="shared" si="213"/>
        <v>0</v>
      </c>
      <c r="M472" s="78">
        <f t="shared" si="213"/>
        <v>0</v>
      </c>
      <c r="N472" s="78">
        <f t="shared" si="213"/>
        <v>0</v>
      </c>
      <c r="O472" s="78">
        <f t="shared" si="213"/>
        <v>0</v>
      </c>
      <c r="P472" s="78">
        <f t="shared" si="213"/>
        <v>0</v>
      </c>
      <c r="Q472" s="78">
        <f t="shared" si="214"/>
        <v>0</v>
      </c>
      <c r="R472" s="78">
        <f t="shared" si="214"/>
        <v>0</v>
      </c>
      <c r="S472" s="78">
        <f t="shared" si="214"/>
        <v>0</v>
      </c>
      <c r="T472" s="78">
        <f t="shared" si="214"/>
        <v>0</v>
      </c>
      <c r="U472" s="78">
        <f t="shared" si="214"/>
        <v>0</v>
      </c>
      <c r="V472" s="78">
        <f t="shared" si="214"/>
        <v>0</v>
      </c>
      <c r="W472" s="78">
        <f t="shared" si="214"/>
        <v>0</v>
      </c>
      <c r="X472" s="78">
        <f t="shared" si="214"/>
        <v>0</v>
      </c>
      <c r="Y472" s="78">
        <f t="shared" si="214"/>
        <v>0</v>
      </c>
      <c r="Z472" s="78">
        <f t="shared" si="214"/>
        <v>0</v>
      </c>
      <c r="AA472" s="78">
        <f t="shared" si="215"/>
        <v>0</v>
      </c>
      <c r="AB472" s="92" t="str">
        <f t="shared" si="216"/>
        <v>ok</v>
      </c>
    </row>
    <row r="473" spans="1:28" hidden="1">
      <c r="A473" s="68" t="s">
        <v>1163</v>
      </c>
      <c r="C473" s="60" t="s">
        <v>1000</v>
      </c>
      <c r="D473" s="60" t="s">
        <v>520</v>
      </c>
      <c r="E473" s="60" t="s">
        <v>1017</v>
      </c>
      <c r="F473" s="78">
        <f>VLOOKUP(C473,'Functional Assignment'!$C$2:$AP$780,'Functional Assignment'!$M$2,)</f>
        <v>0</v>
      </c>
      <c r="G473" s="78">
        <f t="shared" si="213"/>
        <v>0</v>
      </c>
      <c r="H473" s="78">
        <f t="shared" si="213"/>
        <v>0</v>
      </c>
      <c r="I473" s="78">
        <f t="shared" si="213"/>
        <v>0</v>
      </c>
      <c r="J473" s="78">
        <f t="shared" si="213"/>
        <v>0</v>
      </c>
      <c r="K473" s="78">
        <f t="shared" si="213"/>
        <v>0</v>
      </c>
      <c r="L473" s="78">
        <f t="shared" si="213"/>
        <v>0</v>
      </c>
      <c r="M473" s="78">
        <f t="shared" si="213"/>
        <v>0</v>
      </c>
      <c r="N473" s="78">
        <f t="shared" si="213"/>
        <v>0</v>
      </c>
      <c r="O473" s="78">
        <f t="shared" si="213"/>
        <v>0</v>
      </c>
      <c r="P473" s="78">
        <f t="shared" si="213"/>
        <v>0</v>
      </c>
      <c r="Q473" s="78">
        <f t="shared" si="214"/>
        <v>0</v>
      </c>
      <c r="R473" s="78">
        <f t="shared" si="214"/>
        <v>0</v>
      </c>
      <c r="S473" s="78">
        <f t="shared" si="214"/>
        <v>0</v>
      </c>
      <c r="T473" s="78">
        <f t="shared" si="214"/>
        <v>0</v>
      </c>
      <c r="U473" s="78">
        <f t="shared" si="214"/>
        <v>0</v>
      </c>
      <c r="V473" s="78">
        <f t="shared" si="214"/>
        <v>0</v>
      </c>
      <c r="W473" s="78">
        <f t="shared" si="214"/>
        <v>0</v>
      </c>
      <c r="X473" s="78">
        <f t="shared" si="214"/>
        <v>0</v>
      </c>
      <c r="Y473" s="78">
        <f t="shared" si="214"/>
        <v>0</v>
      </c>
      <c r="Z473" s="78">
        <f t="shared" si="214"/>
        <v>0</v>
      </c>
      <c r="AA473" s="78">
        <f t="shared" si="215"/>
        <v>0</v>
      </c>
      <c r="AB473" s="92" t="str">
        <f t="shared" si="216"/>
        <v>ok</v>
      </c>
    </row>
    <row r="474" spans="1:28">
      <c r="A474" s="60" t="s">
        <v>374</v>
      </c>
      <c r="D474" s="60" t="s">
        <v>521</v>
      </c>
      <c r="F474" s="75">
        <f>SUM(F468:F473)</f>
        <v>25721710.883164674</v>
      </c>
      <c r="G474" s="75">
        <f t="shared" ref="G474:P474" si="217">SUM(G468:G473)</f>
        <v>10717769.800507359</v>
      </c>
      <c r="H474" s="75">
        <f t="shared" si="217"/>
        <v>3085184.1530167917</v>
      </c>
      <c r="I474" s="75">
        <f t="shared" si="217"/>
        <v>223364.38764677584</v>
      </c>
      <c r="J474" s="75">
        <f t="shared" si="217"/>
        <v>3596790.458389252</v>
      </c>
      <c r="K474" s="75">
        <f t="shared" si="217"/>
        <v>3371239.6881377543</v>
      </c>
      <c r="L474" s="75">
        <f t="shared" si="217"/>
        <v>2787930.6194448085</v>
      </c>
      <c r="M474" s="75">
        <f t="shared" si="217"/>
        <v>1724688.6322817414</v>
      </c>
      <c r="N474" s="75">
        <f t="shared" si="217"/>
        <v>96835.319250809203</v>
      </c>
      <c r="O474" s="75">
        <f>SUM(O468:O473)</f>
        <v>105798.08979905602</v>
      </c>
      <c r="P474" s="75">
        <f t="shared" si="217"/>
        <v>3684.9496260751116</v>
      </c>
      <c r="Q474" s="75">
        <f t="shared" ref="Q474:W474" si="218">SUM(Q468:Q473)</f>
        <v>5074.690018899093</v>
      </c>
      <c r="R474" s="75">
        <f t="shared" si="218"/>
        <v>4.9274086608157184</v>
      </c>
      <c r="S474" s="75">
        <f t="shared" si="218"/>
        <v>43.776263965179986</v>
      </c>
      <c r="T474" s="75">
        <f t="shared" si="218"/>
        <v>3190.2719496980626</v>
      </c>
      <c r="U474" s="75">
        <f t="shared" si="218"/>
        <v>111.11942302474998</v>
      </c>
      <c r="V474" s="75">
        <f t="shared" si="218"/>
        <v>0</v>
      </c>
      <c r="W474" s="75">
        <f t="shared" si="218"/>
        <v>0</v>
      </c>
      <c r="X474" s="75">
        <f>SUM(X468:X473)</f>
        <v>0</v>
      </c>
      <c r="Y474" s="75">
        <f>SUM(Y468:Y473)</f>
        <v>0</v>
      </c>
      <c r="Z474" s="75">
        <f>SUM(Z468:Z473)</f>
        <v>0</v>
      </c>
      <c r="AA474" s="79">
        <f t="shared" si="215"/>
        <v>25721710.883164678</v>
      </c>
      <c r="AB474" s="92" t="str">
        <f t="shared" si="216"/>
        <v>ok</v>
      </c>
    </row>
    <row r="475" spans="1:28">
      <c r="F475" s="78"/>
      <c r="G475" s="78"/>
    </row>
    <row r="476" spans="1:28" ht="15">
      <c r="A476" s="65" t="s">
        <v>1057</v>
      </c>
      <c r="F476" s="78"/>
      <c r="G476" s="78"/>
    </row>
    <row r="477" spans="1:28">
      <c r="A477" s="68" t="s">
        <v>1228</v>
      </c>
      <c r="C477" s="60" t="s">
        <v>1000</v>
      </c>
      <c r="D477" s="60" t="s">
        <v>522</v>
      </c>
      <c r="E477" s="60" t="s">
        <v>1232</v>
      </c>
      <c r="F477" s="75">
        <f>VLOOKUP(C477,'Functional Assignment'!$C$2:$AP$780,'Functional Assignment'!$N$2,)</f>
        <v>4076188.9791705641</v>
      </c>
      <c r="G477" s="75">
        <f t="shared" ref="G477:P479" si="219">IF(VLOOKUP($E477,$D$6:$AN$1148,3,)=0,0,(VLOOKUP($E477,$D$6:$AN$1148,G$2,)/VLOOKUP($E477,$D$6:$AN$1148,3,))*$F477)</f>
        <v>1928524.81414285</v>
      </c>
      <c r="H477" s="75">
        <f t="shared" si="219"/>
        <v>471077.28115022474</v>
      </c>
      <c r="I477" s="75">
        <f t="shared" si="219"/>
        <v>30922.991121388113</v>
      </c>
      <c r="J477" s="75">
        <f t="shared" si="219"/>
        <v>524163.75591054163</v>
      </c>
      <c r="K477" s="75">
        <f t="shared" si="219"/>
        <v>439576.37169859861</v>
      </c>
      <c r="L477" s="75">
        <f t="shared" si="219"/>
        <v>416164.34731965268</v>
      </c>
      <c r="M477" s="75">
        <f t="shared" si="219"/>
        <v>217022.39058650105</v>
      </c>
      <c r="N477" s="75">
        <f t="shared" si="219"/>
        <v>13946.010348481499</v>
      </c>
      <c r="O477" s="75">
        <f t="shared" si="219"/>
        <v>33048.287020834403</v>
      </c>
      <c r="P477" s="75">
        <f t="shared" si="219"/>
        <v>1151.072511149755</v>
      </c>
      <c r="Q477" s="75">
        <f t="shared" ref="Q477:Z479" si="220">IF(VLOOKUP($E477,$D$6:$AN$1148,3,)=0,0,(VLOOKUP($E477,$D$6:$AN$1148,Q$2,)/VLOOKUP($E477,$D$6:$AN$1148,3,))*$F477)</f>
        <v>528.3958421961263</v>
      </c>
      <c r="R477" s="75">
        <f t="shared" si="220"/>
        <v>57.503855596558303</v>
      </c>
      <c r="S477" s="75">
        <f t="shared" si="220"/>
        <v>5.7576625496592087</v>
      </c>
      <c r="T477" s="75">
        <f t="shared" si="220"/>
        <v>0</v>
      </c>
      <c r="U477" s="75">
        <f t="shared" si="220"/>
        <v>0</v>
      </c>
      <c r="V477" s="75">
        <f t="shared" si="220"/>
        <v>0</v>
      </c>
      <c r="W477" s="75">
        <f t="shared" si="220"/>
        <v>0</v>
      </c>
      <c r="X477" s="75">
        <f t="shared" si="220"/>
        <v>0</v>
      </c>
      <c r="Y477" s="75">
        <f t="shared" si="220"/>
        <v>0</v>
      </c>
      <c r="Z477" s="75">
        <f t="shared" si="220"/>
        <v>0</v>
      </c>
      <c r="AA477" s="79">
        <f>SUM(G477:Z477)</f>
        <v>4076188.979170565</v>
      </c>
      <c r="AB477" s="92" t="str">
        <f>IF(ABS(F477-AA477)&lt;0.01,"ok","err")</f>
        <v>ok</v>
      </c>
    </row>
    <row r="478" spans="1:28" hidden="1">
      <c r="A478" s="68" t="s">
        <v>1229</v>
      </c>
      <c r="C478" s="60" t="s">
        <v>1000</v>
      </c>
      <c r="D478" s="60" t="s">
        <v>523</v>
      </c>
      <c r="E478" s="60" t="s">
        <v>1232</v>
      </c>
      <c r="F478" s="78">
        <f>VLOOKUP(C478,'Functional Assignment'!$C$2:$AP$780,'Functional Assignment'!$O$2,)</f>
        <v>0</v>
      </c>
      <c r="G478" s="78">
        <f t="shared" si="219"/>
        <v>0</v>
      </c>
      <c r="H478" s="78">
        <f t="shared" si="219"/>
        <v>0</v>
      </c>
      <c r="I478" s="78">
        <f t="shared" si="219"/>
        <v>0</v>
      </c>
      <c r="J478" s="78">
        <f t="shared" si="219"/>
        <v>0</v>
      </c>
      <c r="K478" s="78">
        <f t="shared" si="219"/>
        <v>0</v>
      </c>
      <c r="L478" s="78">
        <f t="shared" si="219"/>
        <v>0</v>
      </c>
      <c r="M478" s="78">
        <f t="shared" si="219"/>
        <v>0</v>
      </c>
      <c r="N478" s="78">
        <f t="shared" si="219"/>
        <v>0</v>
      </c>
      <c r="O478" s="78">
        <f t="shared" si="219"/>
        <v>0</v>
      </c>
      <c r="P478" s="78">
        <f t="shared" si="219"/>
        <v>0</v>
      </c>
      <c r="Q478" s="78">
        <f t="shared" si="220"/>
        <v>0</v>
      </c>
      <c r="R478" s="78">
        <f t="shared" si="220"/>
        <v>0</v>
      </c>
      <c r="S478" s="78">
        <f t="shared" si="220"/>
        <v>0</v>
      </c>
      <c r="T478" s="78">
        <f t="shared" si="220"/>
        <v>0</v>
      </c>
      <c r="U478" s="78">
        <f t="shared" si="220"/>
        <v>0</v>
      </c>
      <c r="V478" s="78">
        <f t="shared" si="220"/>
        <v>0</v>
      </c>
      <c r="W478" s="78">
        <f t="shared" si="220"/>
        <v>0</v>
      </c>
      <c r="X478" s="78">
        <f t="shared" si="220"/>
        <v>0</v>
      </c>
      <c r="Y478" s="78">
        <f t="shared" si="220"/>
        <v>0</v>
      </c>
      <c r="Z478" s="78">
        <f t="shared" si="220"/>
        <v>0</v>
      </c>
      <c r="AA478" s="78">
        <f>SUM(G478:Z478)</f>
        <v>0</v>
      </c>
      <c r="AB478" s="92" t="str">
        <f>IF(ABS(F478-AA478)&lt;0.01,"ok","err")</f>
        <v>ok</v>
      </c>
    </row>
    <row r="479" spans="1:28" hidden="1">
      <c r="A479" s="68" t="s">
        <v>1229</v>
      </c>
      <c r="C479" s="60" t="s">
        <v>1000</v>
      </c>
      <c r="D479" s="60" t="s">
        <v>524</v>
      </c>
      <c r="E479" s="60" t="s">
        <v>1232</v>
      </c>
      <c r="F479" s="78">
        <f>VLOOKUP(C479,'Functional Assignment'!$C$2:$AP$780,'Functional Assignment'!$P$2,)</f>
        <v>0</v>
      </c>
      <c r="G479" s="78">
        <f t="shared" si="219"/>
        <v>0</v>
      </c>
      <c r="H479" s="78">
        <f t="shared" si="219"/>
        <v>0</v>
      </c>
      <c r="I479" s="78">
        <f t="shared" si="219"/>
        <v>0</v>
      </c>
      <c r="J479" s="78">
        <f t="shared" si="219"/>
        <v>0</v>
      </c>
      <c r="K479" s="78">
        <f t="shared" si="219"/>
        <v>0</v>
      </c>
      <c r="L479" s="78">
        <f t="shared" si="219"/>
        <v>0</v>
      </c>
      <c r="M479" s="78">
        <f t="shared" si="219"/>
        <v>0</v>
      </c>
      <c r="N479" s="78">
        <f t="shared" si="219"/>
        <v>0</v>
      </c>
      <c r="O479" s="78">
        <f t="shared" si="219"/>
        <v>0</v>
      </c>
      <c r="P479" s="78">
        <f t="shared" si="219"/>
        <v>0</v>
      </c>
      <c r="Q479" s="78">
        <f t="shared" si="220"/>
        <v>0</v>
      </c>
      <c r="R479" s="78">
        <f t="shared" si="220"/>
        <v>0</v>
      </c>
      <c r="S479" s="78">
        <f t="shared" si="220"/>
        <v>0</v>
      </c>
      <c r="T479" s="78">
        <f t="shared" si="220"/>
        <v>0</v>
      </c>
      <c r="U479" s="78">
        <f t="shared" si="220"/>
        <v>0</v>
      </c>
      <c r="V479" s="78">
        <f t="shared" si="220"/>
        <v>0</v>
      </c>
      <c r="W479" s="78">
        <f t="shared" si="220"/>
        <v>0</v>
      </c>
      <c r="X479" s="78">
        <f t="shared" si="220"/>
        <v>0</v>
      </c>
      <c r="Y479" s="78">
        <f t="shared" si="220"/>
        <v>0</v>
      </c>
      <c r="Z479" s="78">
        <f t="shared" si="220"/>
        <v>0</v>
      </c>
      <c r="AA479" s="78">
        <f>SUM(G479:Z479)</f>
        <v>0</v>
      </c>
      <c r="AB479" s="92" t="str">
        <f>IF(ABS(F479-AA479)&lt;0.01,"ok","err")</f>
        <v>ok</v>
      </c>
    </row>
    <row r="480" spans="1:28" hidden="1">
      <c r="A480" s="60" t="s">
        <v>1059</v>
      </c>
      <c r="D480" s="60" t="s">
        <v>525</v>
      </c>
      <c r="F480" s="75">
        <f>SUM(F477:F479)</f>
        <v>4076188.9791705641</v>
      </c>
      <c r="G480" s="75">
        <f t="shared" ref="G480:W480" si="221">SUM(G477:G479)</f>
        <v>1928524.81414285</v>
      </c>
      <c r="H480" s="75">
        <f t="shared" si="221"/>
        <v>471077.28115022474</v>
      </c>
      <c r="I480" s="75">
        <f t="shared" si="221"/>
        <v>30922.991121388113</v>
      </c>
      <c r="J480" s="75">
        <f t="shared" si="221"/>
        <v>524163.75591054163</v>
      </c>
      <c r="K480" s="75">
        <f t="shared" si="221"/>
        <v>439576.37169859861</v>
      </c>
      <c r="L480" s="75">
        <f t="shared" si="221"/>
        <v>416164.34731965268</v>
      </c>
      <c r="M480" s="75">
        <f t="shared" si="221"/>
        <v>217022.39058650105</v>
      </c>
      <c r="N480" s="75">
        <f t="shared" si="221"/>
        <v>13946.010348481499</v>
      </c>
      <c r="O480" s="75">
        <f>SUM(O477:O479)</f>
        <v>33048.287020834403</v>
      </c>
      <c r="P480" s="75">
        <f t="shared" si="221"/>
        <v>1151.072511149755</v>
      </c>
      <c r="Q480" s="75">
        <f t="shared" si="221"/>
        <v>528.3958421961263</v>
      </c>
      <c r="R480" s="75">
        <f t="shared" si="221"/>
        <v>57.503855596558303</v>
      </c>
      <c r="S480" s="75">
        <f t="shared" si="221"/>
        <v>5.7576625496592087</v>
      </c>
      <c r="T480" s="75">
        <f t="shared" si="221"/>
        <v>0</v>
      </c>
      <c r="U480" s="75">
        <f t="shared" si="221"/>
        <v>0</v>
      </c>
      <c r="V480" s="75">
        <f t="shared" si="221"/>
        <v>0</v>
      </c>
      <c r="W480" s="75">
        <f t="shared" si="221"/>
        <v>0</v>
      </c>
      <c r="X480" s="75">
        <f>SUM(X477:X479)</f>
        <v>0</v>
      </c>
      <c r="Y480" s="75">
        <f>SUM(Y477:Y479)</f>
        <v>0</v>
      </c>
      <c r="Z480" s="75">
        <f>SUM(Z477:Z479)</f>
        <v>0</v>
      </c>
      <c r="AA480" s="79">
        <f>SUM(G480:Z480)</f>
        <v>4076188.979170565</v>
      </c>
      <c r="AB480" s="92" t="str">
        <f>IF(ABS(F480-AA480)&lt;0.01,"ok","err")</f>
        <v>ok</v>
      </c>
    </row>
    <row r="481" spans="1:28">
      <c r="F481" s="78"/>
      <c r="G481" s="78"/>
    </row>
    <row r="482" spans="1:28" ht="15">
      <c r="A482" s="65" t="s">
        <v>337</v>
      </c>
      <c r="F482" s="78"/>
      <c r="G482" s="78"/>
    </row>
    <row r="483" spans="1:28">
      <c r="A483" s="68" t="s">
        <v>359</v>
      </c>
      <c r="C483" s="60" t="s">
        <v>1000</v>
      </c>
      <c r="D483" s="60" t="s">
        <v>526</v>
      </c>
      <c r="E483" s="60" t="s">
        <v>1233</v>
      </c>
      <c r="F483" s="75">
        <f>VLOOKUP(C483,'Functional Assignment'!$C$2:$AP$780,'Functional Assignment'!$Q$2,)</f>
        <v>0</v>
      </c>
      <c r="G483" s="75">
        <f t="shared" ref="G483:Z483" si="222">IF(VLOOKUP($E483,$D$6:$AN$1148,3,)=0,0,(VLOOKUP($E483,$D$6:$AN$1148,G$2,)/VLOOKUP($E483,$D$6:$AN$1148,3,))*$F483)</f>
        <v>0</v>
      </c>
      <c r="H483" s="75">
        <f t="shared" si="222"/>
        <v>0</v>
      </c>
      <c r="I483" s="75">
        <f t="shared" si="222"/>
        <v>0</v>
      </c>
      <c r="J483" s="75">
        <f t="shared" si="222"/>
        <v>0</v>
      </c>
      <c r="K483" s="75">
        <f t="shared" si="222"/>
        <v>0</v>
      </c>
      <c r="L483" s="75">
        <f t="shared" si="222"/>
        <v>0</v>
      </c>
      <c r="M483" s="75">
        <f t="shared" si="222"/>
        <v>0</v>
      </c>
      <c r="N483" s="75">
        <f t="shared" si="222"/>
        <v>0</v>
      </c>
      <c r="O483" s="75">
        <f t="shared" si="222"/>
        <v>0</v>
      </c>
      <c r="P483" s="75">
        <f t="shared" si="222"/>
        <v>0</v>
      </c>
      <c r="Q483" s="75">
        <f t="shared" si="222"/>
        <v>0</v>
      </c>
      <c r="R483" s="75">
        <f t="shared" si="222"/>
        <v>0</v>
      </c>
      <c r="S483" s="75">
        <f t="shared" si="222"/>
        <v>0</v>
      </c>
      <c r="T483" s="75">
        <f t="shared" si="222"/>
        <v>0</v>
      </c>
      <c r="U483" s="75">
        <f t="shared" si="222"/>
        <v>0</v>
      </c>
      <c r="V483" s="75">
        <f t="shared" si="222"/>
        <v>0</v>
      </c>
      <c r="W483" s="75">
        <f t="shared" si="222"/>
        <v>0</v>
      </c>
      <c r="X483" s="75">
        <f t="shared" si="222"/>
        <v>0</v>
      </c>
      <c r="Y483" s="75">
        <f t="shared" si="222"/>
        <v>0</v>
      </c>
      <c r="Z483" s="75">
        <f t="shared" si="222"/>
        <v>0</v>
      </c>
      <c r="AA483" s="79">
        <f>SUM(G483:Z483)</f>
        <v>0</v>
      </c>
      <c r="AB483" s="92" t="str">
        <f>IF(ABS(F483-AA483)&lt;0.01,"ok","err")</f>
        <v>ok</v>
      </c>
    </row>
    <row r="484" spans="1:28">
      <c r="F484" s="78"/>
    </row>
    <row r="485" spans="1:28" ht="15">
      <c r="A485" s="65" t="s">
        <v>338</v>
      </c>
      <c r="F485" s="78"/>
      <c r="G485" s="78"/>
    </row>
    <row r="486" spans="1:28">
      <c r="A486" s="68" t="s">
        <v>361</v>
      </c>
      <c r="C486" s="60" t="s">
        <v>1000</v>
      </c>
      <c r="D486" s="60" t="s">
        <v>527</v>
      </c>
      <c r="E486" s="60" t="s">
        <v>1233</v>
      </c>
      <c r="F486" s="75">
        <f>VLOOKUP(C486,'Functional Assignment'!$C$2:$AP$780,'Functional Assignment'!$R$2,)</f>
        <v>1563612.3741103811</v>
      </c>
      <c r="G486" s="75">
        <f t="shared" ref="G486:Z486" si="223">IF(VLOOKUP($E486,$D$6:$AN$1148,3,)=0,0,(VLOOKUP($E486,$D$6:$AN$1148,G$2,)/VLOOKUP($E486,$D$6:$AN$1148,3,))*$F486)</f>
        <v>781377.32434065873</v>
      </c>
      <c r="H486" s="75">
        <f t="shared" si="223"/>
        <v>190865.63097526718</v>
      </c>
      <c r="I486" s="75">
        <f t="shared" si="223"/>
        <v>12529.019012793695</v>
      </c>
      <c r="J486" s="75">
        <f t="shared" si="223"/>
        <v>212374.59331928074</v>
      </c>
      <c r="K486" s="75">
        <f t="shared" si="223"/>
        <v>178102.45771397368</v>
      </c>
      <c r="L486" s="75">
        <f t="shared" si="223"/>
        <v>168616.64512164268</v>
      </c>
      <c r="M486" s="75">
        <f t="shared" si="223"/>
        <v>0</v>
      </c>
      <c r="N486" s="75">
        <f t="shared" si="223"/>
        <v>5650.4827790701383</v>
      </c>
      <c r="O486" s="75">
        <f t="shared" si="223"/>
        <v>13390.121764058842</v>
      </c>
      <c r="P486" s="75">
        <f t="shared" si="223"/>
        <v>466.37821421241853</v>
      </c>
      <c r="Q486" s="75">
        <f t="shared" si="223"/>
        <v>214.089300972487</v>
      </c>
      <c r="R486" s="75">
        <f t="shared" si="223"/>
        <v>23.29874549489832</v>
      </c>
      <c r="S486" s="75">
        <f t="shared" si="223"/>
        <v>2.3328229559279525</v>
      </c>
      <c r="T486" s="75">
        <f t="shared" si="223"/>
        <v>0</v>
      </c>
      <c r="U486" s="75">
        <f t="shared" si="223"/>
        <v>0</v>
      </c>
      <c r="V486" s="75">
        <f t="shared" si="223"/>
        <v>0</v>
      </c>
      <c r="W486" s="75">
        <f t="shared" si="223"/>
        <v>0</v>
      </c>
      <c r="X486" s="75">
        <f t="shared" si="223"/>
        <v>0</v>
      </c>
      <c r="Y486" s="75">
        <f t="shared" si="223"/>
        <v>0</v>
      </c>
      <c r="Z486" s="75">
        <f t="shared" si="223"/>
        <v>0</v>
      </c>
      <c r="AA486" s="79">
        <f>SUM(G486:Z486)</f>
        <v>1563612.3741103811</v>
      </c>
      <c r="AB486" s="92" t="str">
        <f>IF(ABS(F486-AA486)&lt;0.01,"ok","err")</f>
        <v>ok</v>
      </c>
    </row>
    <row r="487" spans="1:28">
      <c r="F487" s="78"/>
    </row>
    <row r="488" spans="1:28" ht="15">
      <c r="A488" s="65" t="s">
        <v>360</v>
      </c>
      <c r="F488" s="78"/>
    </row>
    <row r="489" spans="1:28">
      <c r="A489" s="68" t="s">
        <v>603</v>
      </c>
      <c r="C489" s="60" t="s">
        <v>1000</v>
      </c>
      <c r="D489" s="60" t="s">
        <v>528</v>
      </c>
      <c r="E489" s="60" t="s">
        <v>1233</v>
      </c>
      <c r="F489" s="75">
        <f>VLOOKUP(C489,'Functional Assignment'!$C$2:$AP$780,'Functional Assignment'!$S$2,)</f>
        <v>0</v>
      </c>
      <c r="G489" s="75">
        <f t="shared" ref="G489:P493" si="224">IF(VLOOKUP($E489,$D$6:$AN$1148,3,)=0,0,(VLOOKUP($E489,$D$6:$AN$1148,G$2,)/VLOOKUP($E489,$D$6:$AN$1148,3,))*$F489)</f>
        <v>0</v>
      </c>
      <c r="H489" s="75">
        <f t="shared" si="224"/>
        <v>0</v>
      </c>
      <c r="I489" s="75">
        <f t="shared" si="224"/>
        <v>0</v>
      </c>
      <c r="J489" s="75">
        <f t="shared" si="224"/>
        <v>0</v>
      </c>
      <c r="K489" s="75">
        <f t="shared" si="224"/>
        <v>0</v>
      </c>
      <c r="L489" s="75">
        <f t="shared" si="224"/>
        <v>0</v>
      </c>
      <c r="M489" s="75">
        <f t="shared" si="224"/>
        <v>0</v>
      </c>
      <c r="N489" s="75">
        <f t="shared" si="224"/>
        <v>0</v>
      </c>
      <c r="O489" s="75">
        <f t="shared" si="224"/>
        <v>0</v>
      </c>
      <c r="P489" s="75">
        <f t="shared" si="224"/>
        <v>0</v>
      </c>
      <c r="Q489" s="75">
        <f t="shared" ref="Q489:Z493" si="225">IF(VLOOKUP($E489,$D$6:$AN$1148,3,)=0,0,(VLOOKUP($E489,$D$6:$AN$1148,Q$2,)/VLOOKUP($E489,$D$6:$AN$1148,3,))*$F489)</f>
        <v>0</v>
      </c>
      <c r="R489" s="75">
        <f t="shared" si="225"/>
        <v>0</v>
      </c>
      <c r="S489" s="75">
        <f t="shared" si="225"/>
        <v>0</v>
      </c>
      <c r="T489" s="75">
        <f t="shared" si="225"/>
        <v>0</v>
      </c>
      <c r="U489" s="75">
        <f t="shared" si="225"/>
        <v>0</v>
      </c>
      <c r="V489" s="75">
        <f t="shared" si="225"/>
        <v>0</v>
      </c>
      <c r="W489" s="75">
        <f t="shared" si="225"/>
        <v>0</v>
      </c>
      <c r="X489" s="75">
        <f t="shared" si="225"/>
        <v>0</v>
      </c>
      <c r="Y489" s="75">
        <f t="shared" si="225"/>
        <v>0</v>
      </c>
      <c r="Z489" s="75">
        <f t="shared" si="225"/>
        <v>0</v>
      </c>
      <c r="AA489" s="79">
        <f t="shared" ref="AA489:AA494" si="226">SUM(G489:Z489)</f>
        <v>0</v>
      </c>
      <c r="AB489" s="92" t="str">
        <f t="shared" ref="AB489:AB494" si="227">IF(ABS(F489-AA489)&lt;0.01,"ok","err")</f>
        <v>ok</v>
      </c>
    </row>
    <row r="490" spans="1:28">
      <c r="A490" s="68" t="s">
        <v>604</v>
      </c>
      <c r="C490" s="60" t="s">
        <v>1000</v>
      </c>
      <c r="D490" s="60" t="s">
        <v>529</v>
      </c>
      <c r="E490" s="60" t="s">
        <v>1233</v>
      </c>
      <c r="F490" s="78">
        <f>VLOOKUP(C490,'Functional Assignment'!$C$2:$AP$780,'Functional Assignment'!$T$2,)</f>
        <v>2400424.3789285575</v>
      </c>
      <c r="G490" s="78">
        <f t="shared" si="224"/>
        <v>1199553.8085687186</v>
      </c>
      <c r="H490" s="78">
        <f t="shared" si="224"/>
        <v>293012.84722390526</v>
      </c>
      <c r="I490" s="78">
        <f t="shared" si="224"/>
        <v>19234.282857016002</v>
      </c>
      <c r="J490" s="78">
        <f t="shared" si="224"/>
        <v>326032.94762148737</v>
      </c>
      <c r="K490" s="78">
        <f t="shared" si="224"/>
        <v>273419.09575699904</v>
      </c>
      <c r="L490" s="78">
        <f t="shared" si="224"/>
        <v>258856.67851242216</v>
      </c>
      <c r="M490" s="78">
        <f t="shared" si="224"/>
        <v>0</v>
      </c>
      <c r="N490" s="78">
        <f t="shared" si="224"/>
        <v>8674.5006883902061</v>
      </c>
      <c r="O490" s="78">
        <f t="shared" si="224"/>
        <v>20556.229441172029</v>
      </c>
      <c r="P490" s="78">
        <f t="shared" si="224"/>
        <v>715.97389080116375</v>
      </c>
      <c r="Q490" s="78">
        <f t="shared" si="225"/>
        <v>328.66533025137898</v>
      </c>
      <c r="R490" s="78">
        <f t="shared" si="225"/>
        <v>35.767737330823749</v>
      </c>
      <c r="S490" s="78">
        <f t="shared" si="225"/>
        <v>3.581300063783154</v>
      </c>
      <c r="T490" s="78">
        <f t="shared" si="225"/>
        <v>0</v>
      </c>
      <c r="U490" s="78">
        <f t="shared" si="225"/>
        <v>0</v>
      </c>
      <c r="V490" s="78">
        <f t="shared" si="225"/>
        <v>0</v>
      </c>
      <c r="W490" s="78">
        <f t="shared" si="225"/>
        <v>0</v>
      </c>
      <c r="X490" s="78">
        <f t="shared" si="225"/>
        <v>0</v>
      </c>
      <c r="Y490" s="78">
        <f t="shared" si="225"/>
        <v>0</v>
      </c>
      <c r="Z490" s="78">
        <f t="shared" si="225"/>
        <v>0</v>
      </c>
      <c r="AA490" s="78">
        <f t="shared" si="226"/>
        <v>2400424.378928558</v>
      </c>
      <c r="AB490" s="92" t="str">
        <f t="shared" si="227"/>
        <v>ok</v>
      </c>
    </row>
    <row r="491" spans="1:28">
      <c r="A491" s="68" t="s">
        <v>605</v>
      </c>
      <c r="C491" s="60" t="s">
        <v>1000</v>
      </c>
      <c r="D491" s="60" t="s">
        <v>530</v>
      </c>
      <c r="E491" s="60" t="s">
        <v>660</v>
      </c>
      <c r="F491" s="78">
        <f>VLOOKUP(C491,'Functional Assignment'!$C$2:$AP$780,'Functional Assignment'!$U$2,)</f>
        <v>3928123.6616180972</v>
      </c>
      <c r="G491" s="78">
        <f t="shared" si="224"/>
        <v>3396497.8223215155</v>
      </c>
      <c r="H491" s="78">
        <f t="shared" si="224"/>
        <v>408006.70354547293</v>
      </c>
      <c r="I491" s="78">
        <f t="shared" si="224"/>
        <v>629.64936815858334</v>
      </c>
      <c r="J491" s="78">
        <f t="shared" si="224"/>
        <v>25027.638241395434</v>
      </c>
      <c r="K491" s="78">
        <f t="shared" si="224"/>
        <v>1183.691524516363</v>
      </c>
      <c r="L491" s="78">
        <f t="shared" si="224"/>
        <v>4542.5197293372676</v>
      </c>
      <c r="M491" s="78">
        <f t="shared" si="224"/>
        <v>0</v>
      </c>
      <c r="N491" s="78">
        <f t="shared" si="224"/>
        <v>17.989981947388095</v>
      </c>
      <c r="O491" s="78">
        <f t="shared" si="224"/>
        <v>90958.348169435732</v>
      </c>
      <c r="P491" s="78">
        <f t="shared" si="224"/>
        <v>160.9103940849713</v>
      </c>
      <c r="Q491" s="78">
        <f t="shared" si="225"/>
        <v>999.443441521561</v>
      </c>
      <c r="R491" s="78">
        <f t="shared" si="225"/>
        <v>8.9949909736940477</v>
      </c>
      <c r="S491" s="78">
        <f t="shared" si="225"/>
        <v>89.949909736940484</v>
      </c>
      <c r="T491" s="78">
        <f t="shared" si="225"/>
        <v>0</v>
      </c>
      <c r="U491" s="78">
        <f t="shared" si="225"/>
        <v>0</v>
      </c>
      <c r="V491" s="78">
        <f t="shared" si="225"/>
        <v>0</v>
      </c>
      <c r="W491" s="78">
        <f t="shared" si="225"/>
        <v>0</v>
      </c>
      <c r="X491" s="78">
        <f t="shared" si="225"/>
        <v>0</v>
      </c>
      <c r="Y491" s="78">
        <f t="shared" si="225"/>
        <v>0</v>
      </c>
      <c r="Z491" s="78">
        <f t="shared" si="225"/>
        <v>0</v>
      </c>
      <c r="AA491" s="78">
        <f t="shared" si="226"/>
        <v>3928123.6616180963</v>
      </c>
      <c r="AB491" s="92" t="str">
        <f t="shared" si="227"/>
        <v>ok</v>
      </c>
    </row>
    <row r="492" spans="1:28">
      <c r="A492" s="68" t="s">
        <v>606</v>
      </c>
      <c r="C492" s="60" t="s">
        <v>1000</v>
      </c>
      <c r="D492" s="60" t="s">
        <v>531</v>
      </c>
      <c r="E492" s="60" t="s">
        <v>646</v>
      </c>
      <c r="F492" s="78">
        <f>VLOOKUP(C492,'Functional Assignment'!$C$2:$AP$780,'Functional Assignment'!$V$2,)</f>
        <v>669740.30657974328</v>
      </c>
      <c r="G492" s="78">
        <f t="shared" si="224"/>
        <v>507664.30708702531</v>
      </c>
      <c r="H492" s="78">
        <f t="shared" si="224"/>
        <v>81134.102088864282</v>
      </c>
      <c r="I492" s="78">
        <f t="shared" si="224"/>
        <v>0</v>
      </c>
      <c r="J492" s="78">
        <f t="shared" si="224"/>
        <v>76845.311236952286</v>
      </c>
      <c r="K492" s="78">
        <f t="shared" si="224"/>
        <v>0</v>
      </c>
      <c r="L492" s="78">
        <f t="shared" si="224"/>
        <v>0</v>
      </c>
      <c r="M492" s="78">
        <f t="shared" si="224"/>
        <v>0</v>
      </c>
      <c r="N492" s="78">
        <f t="shared" si="224"/>
        <v>0</v>
      </c>
      <c r="O492" s="78">
        <f t="shared" si="224"/>
        <v>3891.3825332652973</v>
      </c>
      <c r="P492" s="78">
        <f t="shared" si="224"/>
        <v>135.53693302125311</v>
      </c>
      <c r="Q492" s="78">
        <f t="shared" si="225"/>
        <v>62.217758810789256</v>
      </c>
      <c r="R492" s="78">
        <f t="shared" si="225"/>
        <v>6.7709863183767256</v>
      </c>
      <c r="S492" s="78">
        <f t="shared" si="225"/>
        <v>0.67795548568235275</v>
      </c>
      <c r="T492" s="78">
        <f t="shared" si="225"/>
        <v>0</v>
      </c>
      <c r="U492" s="78">
        <f t="shared" si="225"/>
        <v>0</v>
      </c>
      <c r="V492" s="78">
        <f t="shared" si="225"/>
        <v>0</v>
      </c>
      <c r="W492" s="78">
        <f t="shared" si="225"/>
        <v>0</v>
      </c>
      <c r="X492" s="78">
        <f t="shared" si="225"/>
        <v>0</v>
      </c>
      <c r="Y492" s="78">
        <f t="shared" si="225"/>
        <v>0</v>
      </c>
      <c r="Z492" s="78">
        <f t="shared" si="225"/>
        <v>0</v>
      </c>
      <c r="AA492" s="78">
        <f t="shared" si="226"/>
        <v>669740.30657974328</v>
      </c>
      <c r="AB492" s="92" t="str">
        <f t="shared" si="227"/>
        <v>ok</v>
      </c>
    </row>
    <row r="493" spans="1:28">
      <c r="A493" s="68" t="s">
        <v>607</v>
      </c>
      <c r="C493" s="60" t="s">
        <v>1000</v>
      </c>
      <c r="D493" s="60" t="s">
        <v>532</v>
      </c>
      <c r="E493" s="60" t="s">
        <v>659</v>
      </c>
      <c r="F493" s="78">
        <f>VLOOKUP(C493,'Functional Assignment'!$C$2:$AP$780,'Functional Assignment'!$W$2,)</f>
        <v>1144422.2507474481</v>
      </c>
      <c r="G493" s="78">
        <f t="shared" si="224"/>
        <v>997514.44490269443</v>
      </c>
      <c r="H493" s="78">
        <f t="shared" si="224"/>
        <v>119827.12832289116</v>
      </c>
      <c r="I493" s="78">
        <f t="shared" si="224"/>
        <v>0</v>
      </c>
      <c r="J493" s="78">
        <f t="shared" si="224"/>
        <v>0</v>
      </c>
      <c r="K493" s="78">
        <f t="shared" si="224"/>
        <v>0</v>
      </c>
      <c r="L493" s="78">
        <f t="shared" si="224"/>
        <v>0</v>
      </c>
      <c r="M493" s="78">
        <f t="shared" si="224"/>
        <v>0</v>
      </c>
      <c r="N493" s="78">
        <f t="shared" si="224"/>
        <v>0</v>
      </c>
      <c r="O493" s="78">
        <f t="shared" si="224"/>
        <v>26713.476919436078</v>
      </c>
      <c r="P493" s="78">
        <f t="shared" si="224"/>
        <v>47.257631487316729</v>
      </c>
      <c r="Q493" s="78">
        <f t="shared" si="225"/>
        <v>293.52566141190516</v>
      </c>
      <c r="R493" s="78">
        <f t="shared" si="225"/>
        <v>0</v>
      </c>
      <c r="S493" s="78">
        <f t="shared" si="225"/>
        <v>26.417309527071463</v>
      </c>
      <c r="T493" s="78">
        <f t="shared" si="225"/>
        <v>0</v>
      </c>
      <c r="U493" s="78">
        <f t="shared" si="225"/>
        <v>0</v>
      </c>
      <c r="V493" s="78">
        <f t="shared" si="225"/>
        <v>0</v>
      </c>
      <c r="W493" s="78">
        <f t="shared" si="225"/>
        <v>0</v>
      </c>
      <c r="X493" s="78">
        <f t="shared" si="225"/>
        <v>0</v>
      </c>
      <c r="Y493" s="78">
        <f t="shared" si="225"/>
        <v>0</v>
      </c>
      <c r="Z493" s="78">
        <f t="shared" si="225"/>
        <v>0</v>
      </c>
      <c r="AA493" s="78">
        <f t="shared" si="226"/>
        <v>1144422.2507474478</v>
      </c>
      <c r="AB493" s="92" t="str">
        <f t="shared" si="227"/>
        <v>ok</v>
      </c>
    </row>
    <row r="494" spans="1:28">
      <c r="A494" s="60" t="s">
        <v>365</v>
      </c>
      <c r="D494" s="60" t="s">
        <v>533</v>
      </c>
      <c r="F494" s="75">
        <f>SUM(F489:F493)</f>
        <v>8142710.5978738461</v>
      </c>
      <c r="G494" s="75">
        <f t="shared" ref="G494:W494" si="228">SUM(G489:G493)</f>
        <v>6101230.3828799548</v>
      </c>
      <c r="H494" s="75">
        <f t="shared" si="228"/>
        <v>901980.7811811337</v>
      </c>
      <c r="I494" s="75">
        <f t="shared" si="228"/>
        <v>19863.932225174583</v>
      </c>
      <c r="J494" s="75">
        <f t="shared" si="228"/>
        <v>427905.8970998351</v>
      </c>
      <c r="K494" s="75">
        <f t="shared" si="228"/>
        <v>274602.78728151543</v>
      </c>
      <c r="L494" s="75">
        <f t="shared" si="228"/>
        <v>263399.19824175944</v>
      </c>
      <c r="M494" s="75">
        <f t="shared" si="228"/>
        <v>0</v>
      </c>
      <c r="N494" s="75">
        <f t="shared" si="228"/>
        <v>8692.4906703375946</v>
      </c>
      <c r="O494" s="75">
        <f>SUM(O489:O493)</f>
        <v>142119.43706330913</v>
      </c>
      <c r="P494" s="75">
        <f t="shared" si="228"/>
        <v>1059.6788493947049</v>
      </c>
      <c r="Q494" s="75">
        <f t="shared" si="228"/>
        <v>1683.8521919956343</v>
      </c>
      <c r="R494" s="75">
        <f t="shared" si="228"/>
        <v>51.533714622894522</v>
      </c>
      <c r="S494" s="75">
        <f t="shared" si="228"/>
        <v>120.62647481347746</v>
      </c>
      <c r="T494" s="75">
        <f t="shared" si="228"/>
        <v>0</v>
      </c>
      <c r="U494" s="75">
        <f t="shared" si="228"/>
        <v>0</v>
      </c>
      <c r="V494" s="75">
        <f t="shared" si="228"/>
        <v>0</v>
      </c>
      <c r="W494" s="75">
        <f t="shared" si="228"/>
        <v>0</v>
      </c>
      <c r="X494" s="75">
        <f>SUM(X489:X493)</f>
        <v>0</v>
      </c>
      <c r="Y494" s="75">
        <f>SUM(Y489:Y493)</f>
        <v>0</v>
      </c>
      <c r="Z494" s="75">
        <f>SUM(Z489:Z493)</f>
        <v>0</v>
      </c>
      <c r="AA494" s="79">
        <f t="shared" si="226"/>
        <v>8142710.5978738451</v>
      </c>
      <c r="AB494" s="92" t="str">
        <f t="shared" si="227"/>
        <v>ok</v>
      </c>
    </row>
    <row r="495" spans="1:28">
      <c r="F495" s="78"/>
    </row>
    <row r="496" spans="1:28" ht="15">
      <c r="A496" s="65" t="s">
        <v>613</v>
      </c>
      <c r="F496" s="78"/>
    </row>
    <row r="497" spans="1:28">
      <c r="A497" s="68" t="s">
        <v>1016</v>
      </c>
      <c r="C497" s="60" t="s">
        <v>1000</v>
      </c>
      <c r="D497" s="60" t="s">
        <v>534</v>
      </c>
      <c r="E497" s="60" t="s">
        <v>1209</v>
      </c>
      <c r="F497" s="75">
        <f>VLOOKUP(C497,'Functional Assignment'!$C$2:$AP$780,'Functional Assignment'!$X$2,)</f>
        <v>820469.59697328508</v>
      </c>
      <c r="G497" s="75">
        <f t="shared" ref="G497:P498" si="229">IF(VLOOKUP($E497,$D$6:$AN$1148,3,)=0,0,(VLOOKUP($E497,$D$6:$AN$1148,G$2,)/VLOOKUP($E497,$D$6:$AN$1148,3,))*$F497)</f>
        <v>567592.80114615953</v>
      </c>
      <c r="H497" s="75">
        <f t="shared" si="229"/>
        <v>90711.778689618848</v>
      </c>
      <c r="I497" s="75">
        <f t="shared" si="229"/>
        <v>0</v>
      </c>
      <c r="J497" s="75">
        <f t="shared" si="229"/>
        <v>85916.70686915805</v>
      </c>
      <c r="K497" s="75">
        <f t="shared" si="229"/>
        <v>0</v>
      </c>
      <c r="L497" s="75">
        <f t="shared" si="229"/>
        <v>71668.13241233569</v>
      </c>
      <c r="M497" s="75">
        <f t="shared" si="229"/>
        <v>0</v>
      </c>
      <c r="N497" s="75">
        <f t="shared" si="229"/>
        <v>0</v>
      </c>
      <c r="O497" s="75">
        <f t="shared" si="229"/>
        <v>4350.7504497625878</v>
      </c>
      <c r="P497" s="75">
        <f t="shared" si="229"/>
        <v>151.53672692436285</v>
      </c>
      <c r="Q497" s="75">
        <f t="shared" ref="Q497:Z498" si="230">IF(VLOOKUP($E497,$D$6:$AN$1148,3,)=0,0,(VLOOKUP($E497,$D$6:$AN$1148,Q$2,)/VLOOKUP($E497,$D$6:$AN$1148,3,))*$F497)</f>
        <v>69.562408685151709</v>
      </c>
      <c r="R497" s="75">
        <f t="shared" si="230"/>
        <v>7.5702842160044961</v>
      </c>
      <c r="S497" s="75">
        <f t="shared" si="230"/>
        <v>0.75798642488546586</v>
      </c>
      <c r="T497" s="75">
        <f t="shared" si="230"/>
        <v>0</v>
      </c>
      <c r="U497" s="75">
        <f t="shared" si="230"/>
        <v>0</v>
      </c>
      <c r="V497" s="75">
        <f t="shared" si="230"/>
        <v>0</v>
      </c>
      <c r="W497" s="75">
        <f t="shared" si="230"/>
        <v>0</v>
      </c>
      <c r="X497" s="75">
        <f t="shared" si="230"/>
        <v>0</v>
      </c>
      <c r="Y497" s="75">
        <f t="shared" si="230"/>
        <v>0</v>
      </c>
      <c r="Z497" s="75">
        <f t="shared" si="230"/>
        <v>0</v>
      </c>
      <c r="AA497" s="79">
        <f>SUM(G497:Z497)</f>
        <v>820469.59697328496</v>
      </c>
      <c r="AB497" s="92" t="str">
        <f>IF(ABS(F497-AA497)&lt;0.01,"ok","err")</f>
        <v>ok</v>
      </c>
    </row>
    <row r="498" spans="1:28">
      <c r="A498" s="68" t="s">
        <v>1019</v>
      </c>
      <c r="C498" s="60" t="s">
        <v>1000</v>
      </c>
      <c r="D498" s="60" t="s">
        <v>535</v>
      </c>
      <c r="E498" s="60" t="s">
        <v>1207</v>
      </c>
      <c r="F498" s="78">
        <f>VLOOKUP(C498,'Functional Assignment'!$C$2:$AP$780,'Functional Assignment'!$Y$2,)</f>
        <v>457336.24001704424</v>
      </c>
      <c r="G498" s="78">
        <f t="shared" si="229"/>
        <v>395625.54502722499</v>
      </c>
      <c r="H498" s="78">
        <f t="shared" si="229"/>
        <v>47524.79845684387</v>
      </c>
      <c r="I498" s="78">
        <f t="shared" si="229"/>
        <v>0</v>
      </c>
      <c r="J498" s="78">
        <f t="shared" si="229"/>
        <v>2915.2301982718582</v>
      </c>
      <c r="K498" s="78">
        <f t="shared" si="229"/>
        <v>0</v>
      </c>
      <c r="L498" s="78">
        <f t="shared" si="229"/>
        <v>529.11467568309263</v>
      </c>
      <c r="M498" s="78">
        <f t="shared" si="229"/>
        <v>0</v>
      </c>
      <c r="N498" s="78">
        <f t="shared" si="229"/>
        <v>0</v>
      </c>
      <c r="O498" s="78">
        <f t="shared" si="229"/>
        <v>10594.867993971789</v>
      </c>
      <c r="P498" s="78">
        <f t="shared" si="229"/>
        <v>18.742912756204969</v>
      </c>
      <c r="Q498" s="78">
        <f t="shared" si="230"/>
        <v>116.41560718139732</v>
      </c>
      <c r="R498" s="78">
        <f t="shared" si="230"/>
        <v>1.0477404646325759</v>
      </c>
      <c r="S498" s="78">
        <f t="shared" si="230"/>
        <v>10.477404646325759</v>
      </c>
      <c r="T498" s="78">
        <f t="shared" si="230"/>
        <v>0</v>
      </c>
      <c r="U498" s="78">
        <f t="shared" si="230"/>
        <v>0</v>
      </c>
      <c r="V498" s="78">
        <f t="shared" si="230"/>
        <v>0</v>
      </c>
      <c r="W498" s="78">
        <f t="shared" si="230"/>
        <v>0</v>
      </c>
      <c r="X498" s="78">
        <f t="shared" si="230"/>
        <v>0</v>
      </c>
      <c r="Y498" s="78">
        <f t="shared" si="230"/>
        <v>0</v>
      </c>
      <c r="Z498" s="78">
        <f t="shared" si="230"/>
        <v>0</v>
      </c>
      <c r="AA498" s="78">
        <f>SUM(G498:Z498)</f>
        <v>457336.24001704418</v>
      </c>
      <c r="AB498" s="92" t="str">
        <f>IF(ABS(F498-AA498)&lt;0.01,"ok","err")</f>
        <v>ok</v>
      </c>
    </row>
    <row r="499" spans="1:28">
      <c r="A499" s="60" t="s">
        <v>674</v>
      </c>
      <c r="D499" s="60" t="s">
        <v>536</v>
      </c>
      <c r="F499" s="75">
        <f>F497+F498</f>
        <v>1277805.8369903294</v>
      </c>
      <c r="G499" s="75">
        <f t="shared" ref="G499:W499" si="231">G497+G498</f>
        <v>963218.34617338446</v>
      </c>
      <c r="H499" s="75">
        <f t="shared" si="231"/>
        <v>138236.57714646272</v>
      </c>
      <c r="I499" s="75">
        <f t="shared" si="231"/>
        <v>0</v>
      </c>
      <c r="J499" s="75">
        <f t="shared" si="231"/>
        <v>88831.937067429913</v>
      </c>
      <c r="K499" s="75">
        <f t="shared" si="231"/>
        <v>0</v>
      </c>
      <c r="L499" s="75">
        <f t="shared" si="231"/>
        <v>72197.247088018776</v>
      </c>
      <c r="M499" s="75">
        <f t="shared" si="231"/>
        <v>0</v>
      </c>
      <c r="N499" s="75">
        <f t="shared" si="231"/>
        <v>0</v>
      </c>
      <c r="O499" s="75">
        <f>O497+O498</f>
        <v>14945.618443734376</v>
      </c>
      <c r="P499" s="75">
        <f t="shared" si="231"/>
        <v>170.27963968056781</v>
      </c>
      <c r="Q499" s="75">
        <f t="shared" si="231"/>
        <v>185.97801586654901</v>
      </c>
      <c r="R499" s="75">
        <f t="shared" si="231"/>
        <v>8.6180246806370722</v>
      </c>
      <c r="S499" s="75">
        <f t="shared" si="231"/>
        <v>11.235391071211225</v>
      </c>
      <c r="T499" s="75">
        <f t="shared" si="231"/>
        <v>0</v>
      </c>
      <c r="U499" s="75">
        <f t="shared" si="231"/>
        <v>0</v>
      </c>
      <c r="V499" s="75">
        <f t="shared" si="231"/>
        <v>0</v>
      </c>
      <c r="W499" s="75">
        <f t="shared" si="231"/>
        <v>0</v>
      </c>
      <c r="X499" s="75">
        <f>X497+X498</f>
        <v>0</v>
      </c>
      <c r="Y499" s="75">
        <f>Y497+Y498</f>
        <v>0</v>
      </c>
      <c r="Z499" s="75">
        <f>Z497+Z498</f>
        <v>0</v>
      </c>
      <c r="AA499" s="79">
        <f>SUM(G499:Z499)</f>
        <v>1277805.8369903294</v>
      </c>
      <c r="AB499" s="92" t="str">
        <f>IF(ABS(F499-AA499)&lt;0.01,"ok","err")</f>
        <v>ok</v>
      </c>
    </row>
    <row r="500" spans="1:28">
      <c r="F500" s="78"/>
    </row>
    <row r="501" spans="1:28" ht="15">
      <c r="A501" s="65" t="s">
        <v>343</v>
      </c>
      <c r="F501" s="78"/>
    </row>
    <row r="502" spans="1:28">
      <c r="A502" s="68" t="s">
        <v>1019</v>
      </c>
      <c r="C502" s="60" t="s">
        <v>1000</v>
      </c>
      <c r="D502" s="60" t="s">
        <v>537</v>
      </c>
      <c r="E502" s="60" t="s">
        <v>1021</v>
      </c>
      <c r="F502" s="75">
        <f>VLOOKUP(C502,'Functional Assignment'!$C$2:$AP$780,'Functional Assignment'!$Z$2,)</f>
        <v>292407.51605855033</v>
      </c>
      <c r="G502" s="75">
        <f t="shared" ref="G502:Z502" si="232">IF(VLOOKUP($E502,$D$6:$AN$1148,3,)=0,0,(VLOOKUP($E502,$D$6:$AN$1148,G$2,)/VLOOKUP($E502,$D$6:$AN$1148,3,))*$F502)</f>
        <v>251856.94452490273</v>
      </c>
      <c r="H502" s="75">
        <f t="shared" si="232"/>
        <v>35870.507913368412</v>
      </c>
      <c r="I502" s="75">
        <f t="shared" si="232"/>
        <v>0</v>
      </c>
      <c r="J502" s="75">
        <f t="shared" si="232"/>
        <v>3689.5987808474083</v>
      </c>
      <c r="K502" s="75">
        <f t="shared" si="232"/>
        <v>0</v>
      </c>
      <c r="L502" s="75">
        <f t="shared" si="232"/>
        <v>989.13878911051779</v>
      </c>
      <c r="M502" s="75">
        <f t="shared" si="232"/>
        <v>0</v>
      </c>
      <c r="N502" s="75">
        <f t="shared" si="232"/>
        <v>0</v>
      </c>
      <c r="O502" s="75">
        <f t="shared" si="232"/>
        <v>0</v>
      </c>
      <c r="P502" s="75">
        <f t="shared" si="232"/>
        <v>0</v>
      </c>
      <c r="Q502" s="75">
        <f t="shared" si="232"/>
        <v>0</v>
      </c>
      <c r="R502" s="75">
        <f t="shared" si="232"/>
        <v>1.3260503212557455</v>
      </c>
      <c r="S502" s="75">
        <f t="shared" si="232"/>
        <v>0</v>
      </c>
      <c r="T502" s="75">
        <f t="shared" si="232"/>
        <v>0</v>
      </c>
      <c r="U502" s="75">
        <f t="shared" si="232"/>
        <v>0</v>
      </c>
      <c r="V502" s="75">
        <f t="shared" si="232"/>
        <v>0</v>
      </c>
      <c r="W502" s="75">
        <f t="shared" si="232"/>
        <v>0</v>
      </c>
      <c r="X502" s="75">
        <f t="shared" si="232"/>
        <v>0</v>
      </c>
      <c r="Y502" s="75">
        <f t="shared" si="232"/>
        <v>0</v>
      </c>
      <c r="Z502" s="75">
        <f t="shared" si="232"/>
        <v>0</v>
      </c>
      <c r="AA502" s="79">
        <f>SUM(G502:Z502)</f>
        <v>292407.51605855033</v>
      </c>
      <c r="AB502" s="92" t="str">
        <f>IF(ABS(F502-AA502)&lt;0.01,"ok","err")</f>
        <v>ok</v>
      </c>
    </row>
    <row r="503" spans="1:28">
      <c r="F503" s="78"/>
    </row>
    <row r="504" spans="1:28" ht="15">
      <c r="A504" s="65" t="s">
        <v>342</v>
      </c>
      <c r="F504" s="78"/>
    </row>
    <row r="505" spans="1:28">
      <c r="A505" s="68" t="s">
        <v>1019</v>
      </c>
      <c r="C505" s="60" t="s">
        <v>1000</v>
      </c>
      <c r="D505" s="60" t="s">
        <v>538</v>
      </c>
      <c r="E505" s="60" t="s">
        <v>1300</v>
      </c>
      <c r="F505" s="75">
        <f>VLOOKUP(C505,'Functional Assignment'!$C$2:$AP$780,'Functional Assignment'!$AA$2,)</f>
        <v>298205.21889810968</v>
      </c>
      <c r="G505" s="75">
        <f t="shared" ref="G505:Z505" si="233">IF(VLOOKUP($E505,$D$6:$AN$1148,3,)=0,0,(VLOOKUP($E505,$D$6:$AN$1148,G$2,)/VLOOKUP($E505,$D$6:$AN$1148,3,))*$F505)</f>
        <v>201998.68652825069</v>
      </c>
      <c r="H505" s="75">
        <f t="shared" si="233"/>
        <v>62761.759334219118</v>
      </c>
      <c r="I505" s="75">
        <f t="shared" si="233"/>
        <v>2051.4457332756024</v>
      </c>
      <c r="J505" s="75">
        <f t="shared" si="233"/>
        <v>17551.171822355442</v>
      </c>
      <c r="K505" s="75">
        <f t="shared" si="233"/>
        <v>4097.5513422750273</v>
      </c>
      <c r="L505" s="75">
        <f t="shared" si="233"/>
        <v>3469.7579900663882</v>
      </c>
      <c r="M505" s="75">
        <f t="shared" si="233"/>
        <v>2895.7166065678412</v>
      </c>
      <c r="N505" s="75">
        <f t="shared" si="233"/>
        <v>62.275409723950077</v>
      </c>
      <c r="O505" s="75">
        <f t="shared" si="233"/>
        <v>0</v>
      </c>
      <c r="P505" s="75">
        <f t="shared" si="233"/>
        <v>86.127891018407738</v>
      </c>
      <c r="Q505" s="75">
        <f t="shared" si="233"/>
        <v>534.95584483483071</v>
      </c>
      <c r="R505" s="75">
        <f t="shared" si="233"/>
        <v>6.3079316792553337</v>
      </c>
      <c r="S505" s="75">
        <f t="shared" si="233"/>
        <v>2689.4624638430373</v>
      </c>
      <c r="T505" s="75">
        <f t="shared" si="233"/>
        <v>0</v>
      </c>
      <c r="U505" s="75">
        <f t="shared" si="233"/>
        <v>0</v>
      </c>
      <c r="V505" s="75">
        <f t="shared" si="233"/>
        <v>0</v>
      </c>
      <c r="W505" s="75">
        <f t="shared" si="233"/>
        <v>0</v>
      </c>
      <c r="X505" s="75">
        <f t="shared" si="233"/>
        <v>0</v>
      </c>
      <c r="Y505" s="75">
        <f t="shared" si="233"/>
        <v>0</v>
      </c>
      <c r="Z505" s="75">
        <f t="shared" si="233"/>
        <v>0</v>
      </c>
      <c r="AA505" s="79">
        <f>SUM(G505:Z505)</f>
        <v>298205.21889810957</v>
      </c>
      <c r="AB505" s="92" t="str">
        <f>IF(ABS(F505-AA505)&lt;0.01,"ok","err")</f>
        <v>ok</v>
      </c>
    </row>
    <row r="506" spans="1:28"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9"/>
    </row>
    <row r="507" spans="1:28" ht="15">
      <c r="A507" s="65" t="s">
        <v>358</v>
      </c>
      <c r="F507" s="78"/>
    </row>
    <row r="508" spans="1:28">
      <c r="A508" s="68" t="s">
        <v>1019</v>
      </c>
      <c r="C508" s="60" t="s">
        <v>1000</v>
      </c>
      <c r="D508" s="60" t="s">
        <v>539</v>
      </c>
      <c r="E508" s="60" t="s">
        <v>1023</v>
      </c>
      <c r="F508" s="75">
        <f>VLOOKUP(C508,'Functional Assignment'!$C$2:$AP$780,'Functional Assignment'!$AB$2,)</f>
        <v>964080.7074885543</v>
      </c>
      <c r="G508" s="75">
        <f t="shared" ref="G508:Z508" si="234">IF(VLOOKUP($E508,$D$6:$AN$1148,3,)=0,0,(VLOOKUP($E508,$D$6:$AN$1148,G$2,)/VLOOKUP($E508,$D$6:$AN$1148,3,))*$F508)</f>
        <v>0</v>
      </c>
      <c r="H508" s="75">
        <f t="shared" si="234"/>
        <v>0</v>
      </c>
      <c r="I508" s="75">
        <f t="shared" si="234"/>
        <v>0</v>
      </c>
      <c r="J508" s="75">
        <f t="shared" si="234"/>
        <v>0</v>
      </c>
      <c r="K508" s="75">
        <f t="shared" si="234"/>
        <v>0</v>
      </c>
      <c r="L508" s="75">
        <f t="shared" si="234"/>
        <v>0</v>
      </c>
      <c r="M508" s="75">
        <f t="shared" si="234"/>
        <v>0</v>
      </c>
      <c r="N508" s="75">
        <f t="shared" si="234"/>
        <v>0</v>
      </c>
      <c r="O508" s="75">
        <f t="shared" si="234"/>
        <v>964080.7074885543</v>
      </c>
      <c r="P508" s="75">
        <f t="shared" si="234"/>
        <v>0</v>
      </c>
      <c r="Q508" s="75">
        <f t="shared" si="234"/>
        <v>0</v>
      </c>
      <c r="R508" s="75">
        <f t="shared" si="234"/>
        <v>0</v>
      </c>
      <c r="S508" s="75">
        <f t="shared" si="234"/>
        <v>0</v>
      </c>
      <c r="T508" s="75">
        <f t="shared" si="234"/>
        <v>0</v>
      </c>
      <c r="U508" s="75">
        <f t="shared" si="234"/>
        <v>0</v>
      </c>
      <c r="V508" s="75">
        <f t="shared" si="234"/>
        <v>0</v>
      </c>
      <c r="W508" s="75">
        <f t="shared" si="234"/>
        <v>0</v>
      </c>
      <c r="X508" s="75">
        <f t="shared" si="234"/>
        <v>0</v>
      </c>
      <c r="Y508" s="75">
        <f t="shared" si="234"/>
        <v>0</v>
      </c>
      <c r="Z508" s="75">
        <f t="shared" si="234"/>
        <v>0</v>
      </c>
      <c r="AA508" s="79">
        <f>SUM(G508:Z508)</f>
        <v>964080.7074885543</v>
      </c>
      <c r="AB508" s="92" t="str">
        <f>IF(ABS(F508-AA508)&lt;0.01,"ok","err")</f>
        <v>ok</v>
      </c>
    </row>
    <row r="509" spans="1:28"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9"/>
    </row>
    <row r="510" spans="1:28" ht="15">
      <c r="A510" s="65" t="s">
        <v>951</v>
      </c>
      <c r="F510" s="78"/>
    </row>
    <row r="511" spans="1:28">
      <c r="A511" s="68" t="s">
        <v>1019</v>
      </c>
      <c r="C511" s="60" t="s">
        <v>1000</v>
      </c>
      <c r="D511" s="60" t="s">
        <v>540</v>
      </c>
      <c r="E511" s="60" t="s">
        <v>1024</v>
      </c>
      <c r="F511" s="75">
        <f>VLOOKUP(C511,'Functional Assignment'!$C$2:$AP$780,'Functional Assignment'!$AC$2,)</f>
        <v>0</v>
      </c>
      <c r="G511" s="75">
        <f t="shared" ref="G511:Z511" si="235">IF(VLOOKUP($E511,$D$6:$AN$1148,3,)=0,0,(VLOOKUP($E511,$D$6:$AN$1148,G$2,)/VLOOKUP($E511,$D$6:$AN$1148,3,))*$F511)</f>
        <v>0</v>
      </c>
      <c r="H511" s="75">
        <f t="shared" si="235"/>
        <v>0</v>
      </c>
      <c r="I511" s="75">
        <f t="shared" si="235"/>
        <v>0</v>
      </c>
      <c r="J511" s="75">
        <f t="shared" si="235"/>
        <v>0</v>
      </c>
      <c r="K511" s="75">
        <f t="shared" si="235"/>
        <v>0</v>
      </c>
      <c r="L511" s="75">
        <f t="shared" si="235"/>
        <v>0</v>
      </c>
      <c r="M511" s="75">
        <f t="shared" si="235"/>
        <v>0</v>
      </c>
      <c r="N511" s="75">
        <f t="shared" si="235"/>
        <v>0</v>
      </c>
      <c r="O511" s="75">
        <f t="shared" si="235"/>
        <v>0</v>
      </c>
      <c r="P511" s="75">
        <f t="shared" si="235"/>
        <v>0</v>
      </c>
      <c r="Q511" s="75">
        <f t="shared" si="235"/>
        <v>0</v>
      </c>
      <c r="R511" s="75">
        <f t="shared" si="235"/>
        <v>0</v>
      </c>
      <c r="S511" s="75">
        <f t="shared" si="235"/>
        <v>0</v>
      </c>
      <c r="T511" s="75">
        <f t="shared" si="235"/>
        <v>0</v>
      </c>
      <c r="U511" s="75">
        <f t="shared" si="235"/>
        <v>0</v>
      </c>
      <c r="V511" s="75">
        <f t="shared" si="235"/>
        <v>0</v>
      </c>
      <c r="W511" s="75">
        <f t="shared" si="235"/>
        <v>0</v>
      </c>
      <c r="X511" s="75">
        <f t="shared" si="235"/>
        <v>0</v>
      </c>
      <c r="Y511" s="75">
        <f t="shared" si="235"/>
        <v>0</v>
      </c>
      <c r="Z511" s="75">
        <f t="shared" si="235"/>
        <v>0</v>
      </c>
      <c r="AA511" s="79">
        <f>SUM(G511:Z511)</f>
        <v>0</v>
      </c>
      <c r="AB511" s="92" t="str">
        <f>IF(ABS(F511-AA511)&lt;0.01,"ok","err")</f>
        <v>ok</v>
      </c>
    </row>
    <row r="512" spans="1:28"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9"/>
    </row>
    <row r="513" spans="1:28" ht="15">
      <c r="A513" s="65" t="s">
        <v>340</v>
      </c>
      <c r="F513" s="78"/>
    </row>
    <row r="514" spans="1:28">
      <c r="A514" s="68" t="s">
        <v>1019</v>
      </c>
      <c r="C514" s="60" t="s">
        <v>1000</v>
      </c>
      <c r="D514" s="60" t="s">
        <v>541</v>
      </c>
      <c r="E514" s="60" t="s">
        <v>1024</v>
      </c>
      <c r="F514" s="75">
        <f>VLOOKUP(C514,'Functional Assignment'!$C$2:$AP$780,'Functional Assignment'!$AD$2,)</f>
        <v>0</v>
      </c>
      <c r="G514" s="75">
        <f t="shared" ref="G514:Z514" si="236">IF(VLOOKUP($E514,$D$6:$AN$1148,3,)=0,0,(VLOOKUP($E514,$D$6:$AN$1148,G$2,)/VLOOKUP($E514,$D$6:$AN$1148,3,))*$F514)</f>
        <v>0</v>
      </c>
      <c r="H514" s="75">
        <f t="shared" si="236"/>
        <v>0</v>
      </c>
      <c r="I514" s="75">
        <f t="shared" si="236"/>
        <v>0</v>
      </c>
      <c r="J514" s="75">
        <f t="shared" si="236"/>
        <v>0</v>
      </c>
      <c r="K514" s="75">
        <f t="shared" si="236"/>
        <v>0</v>
      </c>
      <c r="L514" s="75">
        <f t="shared" si="236"/>
        <v>0</v>
      </c>
      <c r="M514" s="75">
        <f t="shared" si="236"/>
        <v>0</v>
      </c>
      <c r="N514" s="75">
        <f t="shared" si="236"/>
        <v>0</v>
      </c>
      <c r="O514" s="75">
        <f t="shared" si="236"/>
        <v>0</v>
      </c>
      <c r="P514" s="75">
        <f t="shared" si="236"/>
        <v>0</v>
      </c>
      <c r="Q514" s="75">
        <f t="shared" si="236"/>
        <v>0</v>
      </c>
      <c r="R514" s="75">
        <f t="shared" si="236"/>
        <v>0</v>
      </c>
      <c r="S514" s="75">
        <f t="shared" si="236"/>
        <v>0</v>
      </c>
      <c r="T514" s="75">
        <f t="shared" si="236"/>
        <v>0</v>
      </c>
      <c r="U514" s="75">
        <f t="shared" si="236"/>
        <v>0</v>
      </c>
      <c r="V514" s="75">
        <f t="shared" si="236"/>
        <v>0</v>
      </c>
      <c r="W514" s="75">
        <f t="shared" si="236"/>
        <v>0</v>
      </c>
      <c r="X514" s="75">
        <f t="shared" si="236"/>
        <v>0</v>
      </c>
      <c r="Y514" s="75">
        <f t="shared" si="236"/>
        <v>0</v>
      </c>
      <c r="Z514" s="75">
        <f t="shared" si="236"/>
        <v>0</v>
      </c>
      <c r="AA514" s="79">
        <f>SUM(G514:Z514)</f>
        <v>0</v>
      </c>
      <c r="AB514" s="92" t="str">
        <f>IF(ABS(F514-AA514)&lt;0.01,"ok","err")</f>
        <v>ok</v>
      </c>
    </row>
    <row r="515" spans="1:28"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9"/>
    </row>
    <row r="516" spans="1:28" ht="15">
      <c r="A516" s="65" t="s">
        <v>339</v>
      </c>
      <c r="F516" s="78"/>
    </row>
    <row r="517" spans="1:28">
      <c r="A517" s="68" t="s">
        <v>1019</v>
      </c>
      <c r="C517" s="60" t="s">
        <v>1000</v>
      </c>
      <c r="D517" s="60" t="s">
        <v>542</v>
      </c>
      <c r="E517" s="60" t="s">
        <v>1025</v>
      </c>
      <c r="F517" s="75">
        <f>VLOOKUP(C517,'Functional Assignment'!$C$2:$AP$780,'Functional Assignment'!$AE$2,)</f>
        <v>0</v>
      </c>
      <c r="G517" s="75">
        <f t="shared" ref="G517:Z517" si="237">IF(VLOOKUP($E517,$D$6:$AN$1148,3,)=0,0,(VLOOKUP($E517,$D$6:$AN$1148,G$2,)/VLOOKUP($E517,$D$6:$AN$1148,3,))*$F517)</f>
        <v>0</v>
      </c>
      <c r="H517" s="75">
        <f t="shared" si="237"/>
        <v>0</v>
      </c>
      <c r="I517" s="75">
        <f t="shared" si="237"/>
        <v>0</v>
      </c>
      <c r="J517" s="75">
        <f t="shared" si="237"/>
        <v>0</v>
      </c>
      <c r="K517" s="75">
        <f t="shared" si="237"/>
        <v>0</v>
      </c>
      <c r="L517" s="75">
        <f t="shared" si="237"/>
        <v>0</v>
      </c>
      <c r="M517" s="75">
        <f t="shared" si="237"/>
        <v>0</v>
      </c>
      <c r="N517" s="75">
        <f t="shared" si="237"/>
        <v>0</v>
      </c>
      <c r="O517" s="75">
        <f t="shared" si="237"/>
        <v>0</v>
      </c>
      <c r="P517" s="75">
        <f t="shared" si="237"/>
        <v>0</v>
      </c>
      <c r="Q517" s="75">
        <f t="shared" si="237"/>
        <v>0</v>
      </c>
      <c r="R517" s="75">
        <f t="shared" si="237"/>
        <v>0</v>
      </c>
      <c r="S517" s="75">
        <f t="shared" si="237"/>
        <v>0</v>
      </c>
      <c r="T517" s="75">
        <f t="shared" si="237"/>
        <v>0</v>
      </c>
      <c r="U517" s="75">
        <f t="shared" si="237"/>
        <v>0</v>
      </c>
      <c r="V517" s="75">
        <f t="shared" si="237"/>
        <v>0</v>
      </c>
      <c r="W517" s="75">
        <f t="shared" si="237"/>
        <v>0</v>
      </c>
      <c r="X517" s="75">
        <f t="shared" si="237"/>
        <v>0</v>
      </c>
      <c r="Y517" s="75">
        <f t="shared" si="237"/>
        <v>0</v>
      </c>
      <c r="Z517" s="75">
        <f t="shared" si="237"/>
        <v>0</v>
      </c>
      <c r="AA517" s="79">
        <f>SUM(G517:Z517)</f>
        <v>0</v>
      </c>
      <c r="AB517" s="92" t="str">
        <f>IF(ABS(F517-AA517)&lt;0.01,"ok","err")</f>
        <v>ok</v>
      </c>
    </row>
    <row r="518" spans="1:28"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9"/>
    </row>
    <row r="519" spans="1:28">
      <c r="A519" s="60" t="s">
        <v>848</v>
      </c>
      <c r="D519" s="60" t="s">
        <v>1035</v>
      </c>
      <c r="F519" s="75">
        <f>F474+F480+F483+F486+F494+F499+F502+F505+F508+F511+F514+F517</f>
        <v>42336722.113755003</v>
      </c>
      <c r="G519" s="75">
        <f t="shared" ref="G519:Z519" si="238">G474+G480+G483+G486+G494+G499+G502+G505+G508+G511+G514+G517</f>
        <v>20945976.299097359</v>
      </c>
      <c r="H519" s="75">
        <f t="shared" si="238"/>
        <v>4885976.690717468</v>
      </c>
      <c r="I519" s="75">
        <f t="shared" si="238"/>
        <v>288731.77573940781</v>
      </c>
      <c r="J519" s="75">
        <f t="shared" si="238"/>
        <v>4871307.412389541</v>
      </c>
      <c r="K519" s="75">
        <f t="shared" si="238"/>
        <v>4267618.856174117</v>
      </c>
      <c r="L519" s="75">
        <f t="shared" si="238"/>
        <v>3712766.9539950592</v>
      </c>
      <c r="M519" s="75">
        <f t="shared" si="238"/>
        <v>1944606.7394748102</v>
      </c>
      <c r="N519" s="75">
        <f t="shared" si="238"/>
        <v>125186.57845842239</v>
      </c>
      <c r="O519" s="75">
        <f>O474+O480+O483+O486+O494+O499+O502+O505+O508+O511+O514+O517</f>
        <v>1273382.2615795471</v>
      </c>
      <c r="P519" s="75">
        <f t="shared" si="238"/>
        <v>6618.4867315309657</v>
      </c>
      <c r="Q519" s="75">
        <f t="shared" si="238"/>
        <v>8221.9612147647204</v>
      </c>
      <c r="R519" s="75">
        <f t="shared" si="238"/>
        <v>153.51573105631502</v>
      </c>
      <c r="S519" s="75">
        <f t="shared" si="238"/>
        <v>2873.1910791984933</v>
      </c>
      <c r="T519" s="75">
        <f t="shared" si="238"/>
        <v>3190.2719496980626</v>
      </c>
      <c r="U519" s="75">
        <f t="shared" si="238"/>
        <v>111.11942302474998</v>
      </c>
      <c r="V519" s="75">
        <f t="shared" si="238"/>
        <v>0</v>
      </c>
      <c r="W519" s="75">
        <f t="shared" si="238"/>
        <v>0</v>
      </c>
      <c r="X519" s="75">
        <f t="shared" si="238"/>
        <v>0</v>
      </c>
      <c r="Y519" s="75">
        <f t="shared" si="238"/>
        <v>0</v>
      </c>
      <c r="Z519" s="75">
        <f t="shared" si="238"/>
        <v>0</v>
      </c>
      <c r="AA519" s="79">
        <f>SUM(G519:Z519)</f>
        <v>42336722.11375501</v>
      </c>
      <c r="AB519" s="92" t="str">
        <f>IF(ABS(F519-AA519)&lt;0.01,"ok","err")</f>
        <v>ok</v>
      </c>
    </row>
    <row r="520" spans="1:28"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9"/>
    </row>
    <row r="522" spans="1:28" ht="15">
      <c r="A522" s="65" t="s">
        <v>615</v>
      </c>
    </row>
    <row r="524" spans="1:28" ht="15">
      <c r="A524" s="65" t="s">
        <v>352</v>
      </c>
    </row>
    <row r="525" spans="1:28">
      <c r="A525" s="68" t="s">
        <v>1254</v>
      </c>
      <c r="C525" s="60" t="s">
        <v>515</v>
      </c>
      <c r="D525" s="60" t="s">
        <v>1434</v>
      </c>
      <c r="E525" s="60" t="s">
        <v>1424</v>
      </c>
      <c r="F525" s="75">
        <f>VLOOKUP(C525,'Functional Assignment'!$C$2:$AP$780,'Functional Assignment'!$H$2,)</f>
        <v>-557121.68574702344</v>
      </c>
      <c r="G525" s="75">
        <f t="shared" ref="G525:P530" si="239">IF(VLOOKUP($E525,$D$6:$AN$1148,3,)=0,0,(VLOOKUP($E525,$D$6:$AN$1148,G$2,)/VLOOKUP($E525,$D$6:$AN$1148,3,))*$F525)</f>
        <v>-226285.068156831</v>
      </c>
      <c r="H525" s="75">
        <f t="shared" si="239"/>
        <v>-65137.721684294018</v>
      </c>
      <c r="I525" s="75">
        <f t="shared" si="239"/>
        <v>-4715.9088712715993</v>
      </c>
      <c r="J525" s="75">
        <f t="shared" si="239"/>
        <v>-75939.303527859214</v>
      </c>
      <c r="K525" s="75">
        <f t="shared" si="239"/>
        <v>-71177.233398608078</v>
      </c>
      <c r="L525" s="75">
        <f t="shared" si="239"/>
        <v>-58861.785798732169</v>
      </c>
      <c r="M525" s="75">
        <f t="shared" si="239"/>
        <v>-36413.478920466347</v>
      </c>
      <c r="N525" s="75">
        <f t="shared" si="239"/>
        <v>-2044.4912723933069</v>
      </c>
      <c r="O525" s="75">
        <f t="shared" si="239"/>
        <v>-2233.7229112635559</v>
      </c>
      <c r="P525" s="75">
        <f t="shared" si="239"/>
        <v>-77.800614569219675</v>
      </c>
      <c r="Q525" s="75">
        <f t="shared" ref="Q525:Z530" si="240">IF(VLOOKUP($E525,$D$6:$AN$1148,3,)=0,0,(VLOOKUP($E525,$D$6:$AN$1148,Q$2,)/VLOOKUP($E525,$D$6:$AN$1148,3,))*$F525)</f>
        <v>-107.14230648497522</v>
      </c>
      <c r="R525" s="75">
        <f t="shared" si="240"/>
        <v>-0.10403274425584905</v>
      </c>
      <c r="S525" s="75">
        <f t="shared" si="240"/>
        <v>-0.92425150562043712</v>
      </c>
      <c r="T525" s="75">
        <f t="shared" si="240"/>
        <v>-13727.717595343111</v>
      </c>
      <c r="U525" s="75">
        <f t="shared" si="240"/>
        <v>-399.28240465688896</v>
      </c>
      <c r="V525" s="75">
        <f t="shared" si="240"/>
        <v>0</v>
      </c>
      <c r="W525" s="75">
        <f t="shared" si="240"/>
        <v>0</v>
      </c>
      <c r="X525" s="75">
        <f t="shared" si="240"/>
        <v>0</v>
      </c>
      <c r="Y525" s="75">
        <f t="shared" si="240"/>
        <v>0</v>
      </c>
      <c r="Z525" s="75">
        <f t="shared" si="240"/>
        <v>0</v>
      </c>
      <c r="AA525" s="79">
        <f t="shared" ref="AA525:AA531" si="241">SUM(G525:Z525)</f>
        <v>-557121.68574702344</v>
      </c>
      <c r="AB525" s="92" t="str">
        <f t="shared" ref="AB525:AB531" si="242">IF(ABS(F525-AA525)&lt;0.01,"ok","err")</f>
        <v>ok</v>
      </c>
    </row>
    <row r="526" spans="1:28" hidden="1">
      <c r="A526" s="68" t="s">
        <v>1255</v>
      </c>
      <c r="C526" s="60" t="s">
        <v>515</v>
      </c>
      <c r="D526" s="60" t="s">
        <v>543</v>
      </c>
      <c r="E526" s="60" t="s">
        <v>1406</v>
      </c>
      <c r="F526" s="78">
        <f>VLOOKUP(C526,'Functional Assignment'!$C$2:$AP$780,'Functional Assignment'!$I$2,)</f>
        <v>0</v>
      </c>
      <c r="G526" s="78">
        <f t="shared" si="239"/>
        <v>0</v>
      </c>
      <c r="H526" s="78">
        <f t="shared" si="239"/>
        <v>0</v>
      </c>
      <c r="I526" s="78">
        <f t="shared" si="239"/>
        <v>0</v>
      </c>
      <c r="J526" s="78">
        <f t="shared" si="239"/>
        <v>0</v>
      </c>
      <c r="K526" s="78">
        <f t="shared" si="239"/>
        <v>0</v>
      </c>
      <c r="L526" s="78">
        <f t="shared" si="239"/>
        <v>0</v>
      </c>
      <c r="M526" s="78">
        <f t="shared" si="239"/>
        <v>0</v>
      </c>
      <c r="N526" s="78">
        <f t="shared" si="239"/>
        <v>0</v>
      </c>
      <c r="O526" s="78">
        <f t="shared" si="239"/>
        <v>0</v>
      </c>
      <c r="P526" s="78">
        <f t="shared" si="239"/>
        <v>0</v>
      </c>
      <c r="Q526" s="78">
        <f t="shared" si="240"/>
        <v>0</v>
      </c>
      <c r="R526" s="78">
        <f t="shared" si="240"/>
        <v>0</v>
      </c>
      <c r="S526" s="78">
        <f t="shared" si="240"/>
        <v>0</v>
      </c>
      <c r="T526" s="78">
        <f t="shared" si="240"/>
        <v>0</v>
      </c>
      <c r="U526" s="78">
        <f t="shared" si="240"/>
        <v>0</v>
      </c>
      <c r="V526" s="78">
        <f t="shared" si="240"/>
        <v>0</v>
      </c>
      <c r="W526" s="78">
        <f t="shared" si="240"/>
        <v>0</v>
      </c>
      <c r="X526" s="78">
        <f t="shared" si="240"/>
        <v>0</v>
      </c>
      <c r="Y526" s="78">
        <f t="shared" si="240"/>
        <v>0</v>
      </c>
      <c r="Z526" s="78">
        <f t="shared" si="240"/>
        <v>0</v>
      </c>
      <c r="AA526" s="78">
        <f t="shared" si="241"/>
        <v>0</v>
      </c>
      <c r="AB526" s="92" t="str">
        <f t="shared" si="242"/>
        <v>ok</v>
      </c>
    </row>
    <row r="527" spans="1:28" hidden="1">
      <c r="A527" s="68" t="s">
        <v>1255</v>
      </c>
      <c r="C527" s="60" t="s">
        <v>515</v>
      </c>
      <c r="D527" s="60" t="s">
        <v>544</v>
      </c>
      <c r="E527" s="60" t="s">
        <v>1406</v>
      </c>
      <c r="F527" s="78">
        <f>VLOOKUP(C527,'Functional Assignment'!$C$2:$AP$780,'Functional Assignment'!$J$2,)</f>
        <v>0</v>
      </c>
      <c r="G527" s="78">
        <f t="shared" si="239"/>
        <v>0</v>
      </c>
      <c r="H527" s="78">
        <f t="shared" si="239"/>
        <v>0</v>
      </c>
      <c r="I527" s="78">
        <f t="shared" si="239"/>
        <v>0</v>
      </c>
      <c r="J527" s="78">
        <f t="shared" si="239"/>
        <v>0</v>
      </c>
      <c r="K527" s="78">
        <f t="shared" si="239"/>
        <v>0</v>
      </c>
      <c r="L527" s="78">
        <f t="shared" si="239"/>
        <v>0</v>
      </c>
      <c r="M527" s="78">
        <f t="shared" si="239"/>
        <v>0</v>
      </c>
      <c r="N527" s="78">
        <f t="shared" si="239"/>
        <v>0</v>
      </c>
      <c r="O527" s="78">
        <f t="shared" si="239"/>
        <v>0</v>
      </c>
      <c r="P527" s="78">
        <f t="shared" si="239"/>
        <v>0</v>
      </c>
      <c r="Q527" s="78">
        <f t="shared" si="240"/>
        <v>0</v>
      </c>
      <c r="R527" s="78">
        <f t="shared" si="240"/>
        <v>0</v>
      </c>
      <c r="S527" s="78">
        <f t="shared" si="240"/>
        <v>0</v>
      </c>
      <c r="T527" s="78">
        <f t="shared" si="240"/>
        <v>0</v>
      </c>
      <c r="U527" s="78">
        <f t="shared" si="240"/>
        <v>0</v>
      </c>
      <c r="V527" s="78">
        <f t="shared" si="240"/>
        <v>0</v>
      </c>
      <c r="W527" s="78">
        <f t="shared" si="240"/>
        <v>0</v>
      </c>
      <c r="X527" s="78">
        <f t="shared" si="240"/>
        <v>0</v>
      </c>
      <c r="Y527" s="78">
        <f t="shared" si="240"/>
        <v>0</v>
      </c>
      <c r="Z527" s="78">
        <f t="shared" si="240"/>
        <v>0</v>
      </c>
      <c r="AA527" s="78">
        <f t="shared" si="241"/>
        <v>0</v>
      </c>
      <c r="AB527" s="92" t="str">
        <f t="shared" si="242"/>
        <v>ok</v>
      </c>
    </row>
    <row r="528" spans="1:28">
      <c r="A528" s="68" t="s">
        <v>1162</v>
      </c>
      <c r="C528" s="60" t="s">
        <v>515</v>
      </c>
      <c r="D528" s="60" t="s">
        <v>545</v>
      </c>
      <c r="E528" s="60" t="s">
        <v>1017</v>
      </c>
      <c r="F528" s="78">
        <f>VLOOKUP(C528,'Functional Assignment'!$C$2:$AP$780,'Functional Assignment'!$K$2,)</f>
        <v>0</v>
      </c>
      <c r="G528" s="78">
        <f t="shared" si="239"/>
        <v>0</v>
      </c>
      <c r="H528" s="78">
        <f t="shared" si="239"/>
        <v>0</v>
      </c>
      <c r="I528" s="78">
        <f t="shared" si="239"/>
        <v>0</v>
      </c>
      <c r="J528" s="78">
        <f t="shared" si="239"/>
        <v>0</v>
      </c>
      <c r="K528" s="78">
        <f t="shared" si="239"/>
        <v>0</v>
      </c>
      <c r="L528" s="78">
        <f t="shared" si="239"/>
        <v>0</v>
      </c>
      <c r="M528" s="78">
        <f t="shared" si="239"/>
        <v>0</v>
      </c>
      <c r="N528" s="78">
        <f t="shared" si="239"/>
        <v>0</v>
      </c>
      <c r="O528" s="78">
        <f t="shared" si="239"/>
        <v>0</v>
      </c>
      <c r="P528" s="78">
        <f t="shared" si="239"/>
        <v>0</v>
      </c>
      <c r="Q528" s="78">
        <f t="shared" si="240"/>
        <v>0</v>
      </c>
      <c r="R528" s="78">
        <f t="shared" si="240"/>
        <v>0</v>
      </c>
      <c r="S528" s="78">
        <f t="shared" si="240"/>
        <v>0</v>
      </c>
      <c r="T528" s="78">
        <f t="shared" si="240"/>
        <v>0</v>
      </c>
      <c r="U528" s="78">
        <f t="shared" si="240"/>
        <v>0</v>
      </c>
      <c r="V528" s="78">
        <f t="shared" si="240"/>
        <v>0</v>
      </c>
      <c r="W528" s="78">
        <f t="shared" si="240"/>
        <v>0</v>
      </c>
      <c r="X528" s="78">
        <f t="shared" si="240"/>
        <v>0</v>
      </c>
      <c r="Y528" s="78">
        <f t="shared" si="240"/>
        <v>0</v>
      </c>
      <c r="Z528" s="78">
        <f t="shared" si="240"/>
        <v>0</v>
      </c>
      <c r="AA528" s="78">
        <f t="shared" si="241"/>
        <v>0</v>
      </c>
      <c r="AB528" s="92" t="str">
        <f t="shared" si="242"/>
        <v>ok</v>
      </c>
    </row>
    <row r="529" spans="1:28" hidden="1">
      <c r="A529" s="68" t="s">
        <v>1163</v>
      </c>
      <c r="C529" s="60" t="s">
        <v>515</v>
      </c>
      <c r="D529" s="60" t="s">
        <v>546</v>
      </c>
      <c r="E529" s="60" t="s">
        <v>1017</v>
      </c>
      <c r="F529" s="78">
        <f>VLOOKUP(C529,'Functional Assignment'!$C$2:$AP$780,'Functional Assignment'!$L$2,)</f>
        <v>0</v>
      </c>
      <c r="G529" s="78">
        <f t="shared" si="239"/>
        <v>0</v>
      </c>
      <c r="H529" s="78">
        <f t="shared" si="239"/>
        <v>0</v>
      </c>
      <c r="I529" s="78">
        <f t="shared" si="239"/>
        <v>0</v>
      </c>
      <c r="J529" s="78">
        <f t="shared" si="239"/>
        <v>0</v>
      </c>
      <c r="K529" s="78">
        <f t="shared" si="239"/>
        <v>0</v>
      </c>
      <c r="L529" s="78">
        <f t="shared" si="239"/>
        <v>0</v>
      </c>
      <c r="M529" s="78">
        <f t="shared" si="239"/>
        <v>0</v>
      </c>
      <c r="N529" s="78">
        <f t="shared" si="239"/>
        <v>0</v>
      </c>
      <c r="O529" s="78">
        <f t="shared" si="239"/>
        <v>0</v>
      </c>
      <c r="P529" s="78">
        <f t="shared" si="239"/>
        <v>0</v>
      </c>
      <c r="Q529" s="78">
        <f t="shared" si="240"/>
        <v>0</v>
      </c>
      <c r="R529" s="78">
        <f t="shared" si="240"/>
        <v>0</v>
      </c>
      <c r="S529" s="78">
        <f t="shared" si="240"/>
        <v>0</v>
      </c>
      <c r="T529" s="78">
        <f t="shared" si="240"/>
        <v>0</v>
      </c>
      <c r="U529" s="78">
        <f t="shared" si="240"/>
        <v>0</v>
      </c>
      <c r="V529" s="78">
        <f t="shared" si="240"/>
        <v>0</v>
      </c>
      <c r="W529" s="78">
        <f t="shared" si="240"/>
        <v>0</v>
      </c>
      <c r="X529" s="78">
        <f t="shared" si="240"/>
        <v>0</v>
      </c>
      <c r="Y529" s="78">
        <f t="shared" si="240"/>
        <v>0</v>
      </c>
      <c r="Z529" s="78">
        <f t="shared" si="240"/>
        <v>0</v>
      </c>
      <c r="AA529" s="78">
        <f t="shared" si="241"/>
        <v>0</v>
      </c>
      <c r="AB529" s="92" t="str">
        <f t="shared" si="242"/>
        <v>ok</v>
      </c>
    </row>
    <row r="530" spans="1:28" hidden="1">
      <c r="A530" s="68" t="s">
        <v>1163</v>
      </c>
      <c r="C530" s="60" t="s">
        <v>515</v>
      </c>
      <c r="D530" s="60" t="s">
        <v>547</v>
      </c>
      <c r="E530" s="60" t="s">
        <v>1017</v>
      </c>
      <c r="F530" s="78">
        <f>VLOOKUP(C530,'Functional Assignment'!$C$2:$AP$780,'Functional Assignment'!$M$2,)</f>
        <v>0</v>
      </c>
      <c r="G530" s="78">
        <f t="shared" si="239"/>
        <v>0</v>
      </c>
      <c r="H530" s="78">
        <f t="shared" si="239"/>
        <v>0</v>
      </c>
      <c r="I530" s="78">
        <f t="shared" si="239"/>
        <v>0</v>
      </c>
      <c r="J530" s="78">
        <f t="shared" si="239"/>
        <v>0</v>
      </c>
      <c r="K530" s="78">
        <f t="shared" si="239"/>
        <v>0</v>
      </c>
      <c r="L530" s="78">
        <f t="shared" si="239"/>
        <v>0</v>
      </c>
      <c r="M530" s="78">
        <f t="shared" si="239"/>
        <v>0</v>
      </c>
      <c r="N530" s="78">
        <f t="shared" si="239"/>
        <v>0</v>
      </c>
      <c r="O530" s="78">
        <f t="shared" si="239"/>
        <v>0</v>
      </c>
      <c r="P530" s="78">
        <f t="shared" si="239"/>
        <v>0</v>
      </c>
      <c r="Q530" s="78">
        <f t="shared" si="240"/>
        <v>0</v>
      </c>
      <c r="R530" s="78">
        <f t="shared" si="240"/>
        <v>0</v>
      </c>
      <c r="S530" s="78">
        <f t="shared" si="240"/>
        <v>0</v>
      </c>
      <c r="T530" s="78">
        <f t="shared" si="240"/>
        <v>0</v>
      </c>
      <c r="U530" s="78">
        <f t="shared" si="240"/>
        <v>0</v>
      </c>
      <c r="V530" s="78">
        <f t="shared" si="240"/>
        <v>0</v>
      </c>
      <c r="W530" s="78">
        <f t="shared" si="240"/>
        <v>0</v>
      </c>
      <c r="X530" s="78">
        <f t="shared" si="240"/>
        <v>0</v>
      </c>
      <c r="Y530" s="78">
        <f t="shared" si="240"/>
        <v>0</v>
      </c>
      <c r="Z530" s="78">
        <f t="shared" si="240"/>
        <v>0</v>
      </c>
      <c r="AA530" s="78">
        <f t="shared" si="241"/>
        <v>0</v>
      </c>
      <c r="AB530" s="92" t="str">
        <f t="shared" si="242"/>
        <v>ok</v>
      </c>
    </row>
    <row r="531" spans="1:28">
      <c r="A531" s="60" t="s">
        <v>374</v>
      </c>
      <c r="D531" s="60" t="s">
        <v>1036</v>
      </c>
      <c r="F531" s="75">
        <f>SUM(F525:F530)</f>
        <v>-557121.68574702344</v>
      </c>
      <c r="G531" s="75">
        <f t="shared" ref="G531:P531" si="243">SUM(G525:G530)</f>
        <v>-226285.068156831</v>
      </c>
      <c r="H531" s="75">
        <f t="shared" si="243"/>
        <v>-65137.721684294018</v>
      </c>
      <c r="I531" s="75">
        <f t="shared" si="243"/>
        <v>-4715.9088712715993</v>
      </c>
      <c r="J531" s="75">
        <f t="shared" si="243"/>
        <v>-75939.303527859214</v>
      </c>
      <c r="K531" s="75">
        <f t="shared" si="243"/>
        <v>-71177.233398608078</v>
      </c>
      <c r="L531" s="75">
        <f t="shared" si="243"/>
        <v>-58861.785798732169</v>
      </c>
      <c r="M531" s="75">
        <f t="shared" si="243"/>
        <v>-36413.478920466347</v>
      </c>
      <c r="N531" s="75">
        <f t="shared" si="243"/>
        <v>-2044.4912723933069</v>
      </c>
      <c r="O531" s="75">
        <f>SUM(O525:O530)</f>
        <v>-2233.7229112635559</v>
      </c>
      <c r="P531" s="75">
        <f t="shared" si="243"/>
        <v>-77.800614569219675</v>
      </c>
      <c r="Q531" s="75">
        <f t="shared" ref="Q531:W531" si="244">SUM(Q525:Q530)</f>
        <v>-107.14230648497522</v>
      </c>
      <c r="R531" s="75">
        <f t="shared" si="244"/>
        <v>-0.10403274425584905</v>
      </c>
      <c r="S531" s="75">
        <f t="shared" si="244"/>
        <v>-0.92425150562043712</v>
      </c>
      <c r="T531" s="75">
        <f t="shared" si="244"/>
        <v>-13727.717595343111</v>
      </c>
      <c r="U531" s="75">
        <f t="shared" si="244"/>
        <v>-399.28240465688896</v>
      </c>
      <c r="V531" s="75">
        <f t="shared" si="244"/>
        <v>0</v>
      </c>
      <c r="W531" s="75">
        <f t="shared" si="244"/>
        <v>0</v>
      </c>
      <c r="X531" s="75">
        <f>SUM(X525:X530)</f>
        <v>0</v>
      </c>
      <c r="Y531" s="75">
        <f>SUM(Y525:Y530)</f>
        <v>0</v>
      </c>
      <c r="Z531" s="75">
        <f>SUM(Z525:Z530)</f>
        <v>0</v>
      </c>
      <c r="AA531" s="79">
        <f t="shared" si="241"/>
        <v>-557121.68574702344</v>
      </c>
      <c r="AB531" s="92" t="str">
        <f t="shared" si="242"/>
        <v>ok</v>
      </c>
    </row>
    <row r="532" spans="1:28">
      <c r="F532" s="78"/>
      <c r="G532" s="78"/>
    </row>
    <row r="533" spans="1:28" ht="15">
      <c r="A533" s="65" t="s">
        <v>1057</v>
      </c>
      <c r="F533" s="78"/>
      <c r="G533" s="78"/>
    </row>
    <row r="534" spans="1:28">
      <c r="A534" s="68" t="s">
        <v>1228</v>
      </c>
      <c r="C534" s="60" t="s">
        <v>515</v>
      </c>
      <c r="D534" s="60" t="s">
        <v>548</v>
      </c>
      <c r="E534" s="60" t="s">
        <v>1232</v>
      </c>
      <c r="F534" s="75">
        <f>VLOOKUP(C534,'Functional Assignment'!$C$2:$AP$780,'Functional Assignment'!$N$2,)</f>
        <v>-88288.577918248455</v>
      </c>
      <c r="G534" s="75">
        <f t="shared" ref="G534:P536" si="245">IF(VLOOKUP($E534,$D$6:$AN$1148,3,)=0,0,(VLOOKUP($E534,$D$6:$AN$1148,G$2,)/VLOOKUP($E534,$D$6:$AN$1148,3,))*$F534)</f>
        <v>-41771.054823707673</v>
      </c>
      <c r="H534" s="75">
        <f t="shared" si="245"/>
        <v>-10203.340290373699</v>
      </c>
      <c r="I534" s="75">
        <f t="shared" si="245"/>
        <v>-669.77927790814022</v>
      </c>
      <c r="J534" s="75">
        <f t="shared" si="245"/>
        <v>-11353.171514399794</v>
      </c>
      <c r="K534" s="75">
        <f t="shared" si="245"/>
        <v>-9521.0435389651066</v>
      </c>
      <c r="L534" s="75">
        <f t="shared" si="245"/>
        <v>-9013.9487135860563</v>
      </c>
      <c r="M534" s="75">
        <f t="shared" si="245"/>
        <v>-4700.615780870814</v>
      </c>
      <c r="N534" s="75">
        <f t="shared" si="245"/>
        <v>-302.06485214312892</v>
      </c>
      <c r="O534" s="75">
        <f t="shared" si="245"/>
        <v>-715.81231356385683</v>
      </c>
      <c r="P534" s="75">
        <f t="shared" si="245"/>
        <v>-24.931757484629269</v>
      </c>
      <c r="Q534" s="75">
        <f t="shared" ref="Q534:Z536" si="246">IF(VLOOKUP($E534,$D$6:$AN$1148,3,)=0,0,(VLOOKUP($E534,$D$6:$AN$1148,Q$2,)/VLOOKUP($E534,$D$6:$AN$1148,3,))*$F534)</f>
        <v>-11.444836763899001</v>
      </c>
      <c r="R534" s="75">
        <f t="shared" si="246"/>
        <v>-1.2455098773338806</v>
      </c>
      <c r="S534" s="75">
        <f t="shared" si="246"/>
        <v>-0.12470860434591674</v>
      </c>
      <c r="T534" s="75">
        <f t="shared" si="246"/>
        <v>0</v>
      </c>
      <c r="U534" s="75">
        <f t="shared" si="246"/>
        <v>0</v>
      </c>
      <c r="V534" s="75">
        <f t="shared" si="246"/>
        <v>0</v>
      </c>
      <c r="W534" s="75">
        <f t="shared" si="246"/>
        <v>0</v>
      </c>
      <c r="X534" s="75">
        <f t="shared" si="246"/>
        <v>0</v>
      </c>
      <c r="Y534" s="75">
        <f t="shared" si="246"/>
        <v>0</v>
      </c>
      <c r="Z534" s="75">
        <f t="shared" si="246"/>
        <v>0</v>
      </c>
      <c r="AA534" s="79">
        <f>SUM(G534:Z534)</f>
        <v>-88288.577918248484</v>
      </c>
      <c r="AB534" s="92" t="str">
        <f>IF(ABS(F534-AA534)&lt;0.01,"ok","err")</f>
        <v>ok</v>
      </c>
    </row>
    <row r="535" spans="1:28" hidden="1">
      <c r="A535" s="68" t="s">
        <v>1229</v>
      </c>
      <c r="C535" s="60" t="s">
        <v>515</v>
      </c>
      <c r="D535" s="60" t="s">
        <v>549</v>
      </c>
      <c r="E535" s="60" t="s">
        <v>1232</v>
      </c>
      <c r="F535" s="78">
        <f>VLOOKUP(C535,'Functional Assignment'!$C$2:$AP$780,'Functional Assignment'!$O$2,)</f>
        <v>0</v>
      </c>
      <c r="G535" s="78">
        <f t="shared" si="245"/>
        <v>0</v>
      </c>
      <c r="H535" s="78">
        <f t="shared" si="245"/>
        <v>0</v>
      </c>
      <c r="I535" s="78">
        <f t="shared" si="245"/>
        <v>0</v>
      </c>
      <c r="J535" s="78">
        <f t="shared" si="245"/>
        <v>0</v>
      </c>
      <c r="K535" s="78">
        <f t="shared" si="245"/>
        <v>0</v>
      </c>
      <c r="L535" s="78">
        <f t="shared" si="245"/>
        <v>0</v>
      </c>
      <c r="M535" s="78">
        <f t="shared" si="245"/>
        <v>0</v>
      </c>
      <c r="N535" s="78">
        <f t="shared" si="245"/>
        <v>0</v>
      </c>
      <c r="O535" s="78">
        <f t="shared" si="245"/>
        <v>0</v>
      </c>
      <c r="P535" s="78">
        <f t="shared" si="245"/>
        <v>0</v>
      </c>
      <c r="Q535" s="78">
        <f t="shared" si="246"/>
        <v>0</v>
      </c>
      <c r="R535" s="78">
        <f t="shared" si="246"/>
        <v>0</v>
      </c>
      <c r="S535" s="78">
        <f t="shared" si="246"/>
        <v>0</v>
      </c>
      <c r="T535" s="78">
        <f t="shared" si="246"/>
        <v>0</v>
      </c>
      <c r="U535" s="78">
        <f t="shared" si="246"/>
        <v>0</v>
      </c>
      <c r="V535" s="78">
        <f t="shared" si="246"/>
        <v>0</v>
      </c>
      <c r="W535" s="78">
        <f t="shared" si="246"/>
        <v>0</v>
      </c>
      <c r="X535" s="78">
        <f t="shared" si="246"/>
        <v>0</v>
      </c>
      <c r="Y535" s="78">
        <f t="shared" si="246"/>
        <v>0</v>
      </c>
      <c r="Z535" s="78">
        <f t="shared" si="246"/>
        <v>0</v>
      </c>
      <c r="AA535" s="78">
        <f>SUM(G535:Z535)</f>
        <v>0</v>
      </c>
      <c r="AB535" s="92" t="str">
        <f>IF(ABS(F535-AA535)&lt;0.01,"ok","err")</f>
        <v>ok</v>
      </c>
    </row>
    <row r="536" spans="1:28" hidden="1">
      <c r="A536" s="68" t="s">
        <v>1229</v>
      </c>
      <c r="C536" s="60" t="s">
        <v>515</v>
      </c>
      <c r="D536" s="60" t="s">
        <v>550</v>
      </c>
      <c r="E536" s="60" t="s">
        <v>1232</v>
      </c>
      <c r="F536" s="78">
        <f>VLOOKUP(C536,'Functional Assignment'!$C$2:$AP$780,'Functional Assignment'!$P$2,)</f>
        <v>0</v>
      </c>
      <c r="G536" s="78">
        <f t="shared" si="245"/>
        <v>0</v>
      </c>
      <c r="H536" s="78">
        <f t="shared" si="245"/>
        <v>0</v>
      </c>
      <c r="I536" s="78">
        <f t="shared" si="245"/>
        <v>0</v>
      </c>
      <c r="J536" s="78">
        <f t="shared" si="245"/>
        <v>0</v>
      </c>
      <c r="K536" s="78">
        <f t="shared" si="245"/>
        <v>0</v>
      </c>
      <c r="L536" s="78">
        <f t="shared" si="245"/>
        <v>0</v>
      </c>
      <c r="M536" s="78">
        <f t="shared" si="245"/>
        <v>0</v>
      </c>
      <c r="N536" s="78">
        <f t="shared" si="245"/>
        <v>0</v>
      </c>
      <c r="O536" s="78">
        <f t="shared" si="245"/>
        <v>0</v>
      </c>
      <c r="P536" s="78">
        <f t="shared" si="245"/>
        <v>0</v>
      </c>
      <c r="Q536" s="78">
        <f t="shared" si="246"/>
        <v>0</v>
      </c>
      <c r="R536" s="78">
        <f t="shared" si="246"/>
        <v>0</v>
      </c>
      <c r="S536" s="78">
        <f t="shared" si="246"/>
        <v>0</v>
      </c>
      <c r="T536" s="78">
        <f t="shared" si="246"/>
        <v>0</v>
      </c>
      <c r="U536" s="78">
        <f t="shared" si="246"/>
        <v>0</v>
      </c>
      <c r="V536" s="78">
        <f t="shared" si="246"/>
        <v>0</v>
      </c>
      <c r="W536" s="78">
        <f t="shared" si="246"/>
        <v>0</v>
      </c>
      <c r="X536" s="78">
        <f t="shared" si="246"/>
        <v>0</v>
      </c>
      <c r="Y536" s="78">
        <f t="shared" si="246"/>
        <v>0</v>
      </c>
      <c r="Z536" s="78">
        <f t="shared" si="246"/>
        <v>0</v>
      </c>
      <c r="AA536" s="78">
        <f>SUM(G536:Z536)</f>
        <v>0</v>
      </c>
      <c r="AB536" s="92" t="str">
        <f>IF(ABS(F536-AA536)&lt;0.01,"ok","err")</f>
        <v>ok</v>
      </c>
    </row>
    <row r="537" spans="1:28" hidden="1">
      <c r="A537" s="60" t="s">
        <v>1059</v>
      </c>
      <c r="D537" s="60" t="s">
        <v>551</v>
      </c>
      <c r="F537" s="75">
        <f>SUM(F534:F536)</f>
        <v>-88288.577918248455</v>
      </c>
      <c r="G537" s="75">
        <f t="shared" ref="G537:W537" si="247">SUM(G534:G536)</f>
        <v>-41771.054823707673</v>
      </c>
      <c r="H537" s="75">
        <f t="shared" si="247"/>
        <v>-10203.340290373699</v>
      </c>
      <c r="I537" s="75">
        <f t="shared" si="247"/>
        <v>-669.77927790814022</v>
      </c>
      <c r="J537" s="75">
        <f t="shared" si="247"/>
        <v>-11353.171514399794</v>
      </c>
      <c r="K537" s="75">
        <f t="shared" si="247"/>
        <v>-9521.0435389651066</v>
      </c>
      <c r="L537" s="75">
        <f t="shared" si="247"/>
        <v>-9013.9487135860563</v>
      </c>
      <c r="M537" s="75">
        <f t="shared" si="247"/>
        <v>-4700.615780870814</v>
      </c>
      <c r="N537" s="75">
        <f t="shared" si="247"/>
        <v>-302.06485214312892</v>
      </c>
      <c r="O537" s="75">
        <f>SUM(O534:O536)</f>
        <v>-715.81231356385683</v>
      </c>
      <c r="P537" s="75">
        <f t="shared" si="247"/>
        <v>-24.931757484629269</v>
      </c>
      <c r="Q537" s="75">
        <f t="shared" si="247"/>
        <v>-11.444836763899001</v>
      </c>
      <c r="R537" s="75">
        <f t="shared" si="247"/>
        <v>-1.2455098773338806</v>
      </c>
      <c r="S537" s="75">
        <f t="shared" si="247"/>
        <v>-0.12470860434591674</v>
      </c>
      <c r="T537" s="75">
        <f t="shared" si="247"/>
        <v>0</v>
      </c>
      <c r="U537" s="75">
        <f t="shared" si="247"/>
        <v>0</v>
      </c>
      <c r="V537" s="75">
        <f t="shared" si="247"/>
        <v>0</v>
      </c>
      <c r="W537" s="75">
        <f t="shared" si="247"/>
        <v>0</v>
      </c>
      <c r="X537" s="75">
        <f>SUM(X534:X536)</f>
        <v>0</v>
      </c>
      <c r="Y537" s="75">
        <f>SUM(Y534:Y536)</f>
        <v>0</v>
      </c>
      <c r="Z537" s="75">
        <f>SUM(Z534:Z536)</f>
        <v>0</v>
      </c>
      <c r="AA537" s="79">
        <f>SUM(G537:Z537)</f>
        <v>-88288.577918248484</v>
      </c>
      <c r="AB537" s="92" t="str">
        <f>IF(ABS(F537-AA537)&lt;0.01,"ok","err")</f>
        <v>ok</v>
      </c>
    </row>
    <row r="538" spans="1:28">
      <c r="F538" s="78"/>
      <c r="G538" s="78"/>
    </row>
    <row r="539" spans="1:28" ht="15">
      <c r="A539" s="65" t="s">
        <v>337</v>
      </c>
      <c r="F539" s="78"/>
      <c r="G539" s="78"/>
    </row>
    <row r="540" spans="1:28">
      <c r="A540" s="68" t="s">
        <v>359</v>
      </c>
      <c r="C540" s="60" t="s">
        <v>515</v>
      </c>
      <c r="D540" s="60" t="s">
        <v>552</v>
      </c>
      <c r="E540" s="60" t="s">
        <v>1233</v>
      </c>
      <c r="F540" s="75">
        <f>VLOOKUP(C540,'Functional Assignment'!$C$2:$AP$780,'Functional Assignment'!$Q$2,)</f>
        <v>0</v>
      </c>
      <c r="G540" s="75">
        <f t="shared" ref="G540:Z540" si="248">IF(VLOOKUP($E540,$D$6:$AN$1148,3,)=0,0,(VLOOKUP($E540,$D$6:$AN$1148,G$2,)/VLOOKUP($E540,$D$6:$AN$1148,3,))*$F540)</f>
        <v>0</v>
      </c>
      <c r="H540" s="75">
        <f t="shared" si="248"/>
        <v>0</v>
      </c>
      <c r="I540" s="75">
        <f t="shared" si="248"/>
        <v>0</v>
      </c>
      <c r="J540" s="75">
        <f t="shared" si="248"/>
        <v>0</v>
      </c>
      <c r="K540" s="75">
        <f t="shared" si="248"/>
        <v>0</v>
      </c>
      <c r="L540" s="75">
        <f t="shared" si="248"/>
        <v>0</v>
      </c>
      <c r="M540" s="75">
        <f t="shared" si="248"/>
        <v>0</v>
      </c>
      <c r="N540" s="75">
        <f t="shared" si="248"/>
        <v>0</v>
      </c>
      <c r="O540" s="75">
        <f t="shared" si="248"/>
        <v>0</v>
      </c>
      <c r="P540" s="75">
        <f t="shared" si="248"/>
        <v>0</v>
      </c>
      <c r="Q540" s="75">
        <f t="shared" si="248"/>
        <v>0</v>
      </c>
      <c r="R540" s="75">
        <f t="shared" si="248"/>
        <v>0</v>
      </c>
      <c r="S540" s="75">
        <f t="shared" si="248"/>
        <v>0</v>
      </c>
      <c r="T540" s="75">
        <f t="shared" si="248"/>
        <v>0</v>
      </c>
      <c r="U540" s="75">
        <f t="shared" si="248"/>
        <v>0</v>
      </c>
      <c r="V540" s="75">
        <f t="shared" si="248"/>
        <v>0</v>
      </c>
      <c r="W540" s="75">
        <f t="shared" si="248"/>
        <v>0</v>
      </c>
      <c r="X540" s="75">
        <f t="shared" si="248"/>
        <v>0</v>
      </c>
      <c r="Y540" s="75">
        <f t="shared" si="248"/>
        <v>0</v>
      </c>
      <c r="Z540" s="75">
        <f t="shared" si="248"/>
        <v>0</v>
      </c>
      <c r="AA540" s="79">
        <f>SUM(G540:Z540)</f>
        <v>0</v>
      </c>
      <c r="AB540" s="92" t="str">
        <f>IF(ABS(F540-AA540)&lt;0.01,"ok","err")</f>
        <v>ok</v>
      </c>
    </row>
    <row r="541" spans="1:28">
      <c r="F541" s="78"/>
    </row>
    <row r="542" spans="1:28" ht="15">
      <c r="A542" s="65" t="s">
        <v>338</v>
      </c>
      <c r="F542" s="78"/>
      <c r="G542" s="78"/>
    </row>
    <row r="543" spans="1:28">
      <c r="A543" s="68" t="s">
        <v>361</v>
      </c>
      <c r="C543" s="60" t="s">
        <v>515</v>
      </c>
      <c r="D543" s="60" t="s">
        <v>553</v>
      </c>
      <c r="E543" s="60" t="s">
        <v>1233</v>
      </c>
      <c r="F543" s="75">
        <f>VLOOKUP(C543,'Functional Assignment'!$C$2:$AP$780,'Functional Assignment'!$R$2,)</f>
        <v>-33867.201356712489</v>
      </c>
      <c r="G543" s="75">
        <f t="shared" ref="G543:Z543" si="249">IF(VLOOKUP($E543,$D$6:$AN$1148,3,)=0,0,(VLOOKUP($E543,$D$6:$AN$1148,G$2,)/VLOOKUP($E543,$D$6:$AN$1148,3,))*$F543)</f>
        <v>-16924.311688228048</v>
      </c>
      <c r="H543" s="75">
        <f t="shared" si="249"/>
        <v>-4134.0711184849133</v>
      </c>
      <c r="I543" s="75">
        <f t="shared" si="249"/>
        <v>-271.37340221535538</v>
      </c>
      <c r="J543" s="75">
        <f t="shared" si="249"/>
        <v>-4599.9464023723949</v>
      </c>
      <c r="K543" s="75">
        <f t="shared" si="249"/>
        <v>-3857.6260314877177</v>
      </c>
      <c r="L543" s="75">
        <f t="shared" si="249"/>
        <v>-3652.1672295392532</v>
      </c>
      <c r="M543" s="75">
        <f t="shared" si="249"/>
        <v>0</v>
      </c>
      <c r="N543" s="75">
        <f t="shared" si="249"/>
        <v>-122.38713456733971</v>
      </c>
      <c r="O543" s="75">
        <f t="shared" si="249"/>
        <v>-290.02453388250416</v>
      </c>
      <c r="P543" s="75">
        <f t="shared" si="249"/>
        <v>-10.101560431882939</v>
      </c>
      <c r="Q543" s="75">
        <f t="shared" si="249"/>
        <v>-4.637086265372055</v>
      </c>
      <c r="R543" s="75">
        <f t="shared" si="249"/>
        <v>-0.50464125130978055</v>
      </c>
      <c r="S543" s="75">
        <f t="shared" si="249"/>
        <v>-5.0527986402591527E-2</v>
      </c>
      <c r="T543" s="75">
        <f t="shared" si="249"/>
        <v>0</v>
      </c>
      <c r="U543" s="75">
        <f t="shared" si="249"/>
        <v>0</v>
      </c>
      <c r="V543" s="75">
        <f t="shared" si="249"/>
        <v>0</v>
      </c>
      <c r="W543" s="75">
        <f t="shared" si="249"/>
        <v>0</v>
      </c>
      <c r="X543" s="75">
        <f t="shared" si="249"/>
        <v>0</v>
      </c>
      <c r="Y543" s="75">
        <f t="shared" si="249"/>
        <v>0</v>
      </c>
      <c r="Z543" s="75">
        <f t="shared" si="249"/>
        <v>0</v>
      </c>
      <c r="AA543" s="79">
        <f>SUM(G543:Z543)</f>
        <v>-33867.201356712496</v>
      </c>
      <c r="AB543" s="92" t="str">
        <f>IF(ABS(F543-AA543)&lt;0.01,"ok","err")</f>
        <v>ok</v>
      </c>
    </row>
    <row r="544" spans="1:28">
      <c r="F544" s="78"/>
    </row>
    <row r="545" spans="1:28" ht="15">
      <c r="A545" s="65" t="s">
        <v>360</v>
      </c>
      <c r="F545" s="78"/>
    </row>
    <row r="546" spans="1:28">
      <c r="A546" s="68" t="s">
        <v>603</v>
      </c>
      <c r="C546" s="60" t="s">
        <v>515</v>
      </c>
      <c r="D546" s="60" t="s">
        <v>554</v>
      </c>
      <c r="E546" s="60" t="s">
        <v>1233</v>
      </c>
      <c r="F546" s="75">
        <f>VLOOKUP(C546,'Functional Assignment'!$C$2:$AP$780,'Functional Assignment'!$S$2,)</f>
        <v>0</v>
      </c>
      <c r="G546" s="75">
        <f t="shared" ref="G546:P550" si="250">IF(VLOOKUP($E546,$D$6:$AN$1148,3,)=0,0,(VLOOKUP($E546,$D$6:$AN$1148,G$2,)/VLOOKUP($E546,$D$6:$AN$1148,3,))*$F546)</f>
        <v>0</v>
      </c>
      <c r="H546" s="75">
        <f t="shared" si="250"/>
        <v>0</v>
      </c>
      <c r="I546" s="75">
        <f t="shared" si="250"/>
        <v>0</v>
      </c>
      <c r="J546" s="75">
        <f t="shared" si="250"/>
        <v>0</v>
      </c>
      <c r="K546" s="75">
        <f t="shared" si="250"/>
        <v>0</v>
      </c>
      <c r="L546" s="75">
        <f t="shared" si="250"/>
        <v>0</v>
      </c>
      <c r="M546" s="75">
        <f t="shared" si="250"/>
        <v>0</v>
      </c>
      <c r="N546" s="75">
        <f t="shared" si="250"/>
        <v>0</v>
      </c>
      <c r="O546" s="75">
        <f t="shared" si="250"/>
        <v>0</v>
      </c>
      <c r="P546" s="75">
        <f t="shared" si="250"/>
        <v>0</v>
      </c>
      <c r="Q546" s="75">
        <f t="shared" ref="Q546:Z550" si="251">IF(VLOOKUP($E546,$D$6:$AN$1148,3,)=0,0,(VLOOKUP($E546,$D$6:$AN$1148,Q$2,)/VLOOKUP($E546,$D$6:$AN$1148,3,))*$F546)</f>
        <v>0</v>
      </c>
      <c r="R546" s="75">
        <f t="shared" si="251"/>
        <v>0</v>
      </c>
      <c r="S546" s="75">
        <f t="shared" si="251"/>
        <v>0</v>
      </c>
      <c r="T546" s="75">
        <f t="shared" si="251"/>
        <v>0</v>
      </c>
      <c r="U546" s="75">
        <f t="shared" si="251"/>
        <v>0</v>
      </c>
      <c r="V546" s="75">
        <f t="shared" si="251"/>
        <v>0</v>
      </c>
      <c r="W546" s="75">
        <f t="shared" si="251"/>
        <v>0</v>
      </c>
      <c r="X546" s="75">
        <f t="shared" si="251"/>
        <v>0</v>
      </c>
      <c r="Y546" s="75">
        <f t="shared" si="251"/>
        <v>0</v>
      </c>
      <c r="Z546" s="75">
        <f t="shared" si="251"/>
        <v>0</v>
      </c>
      <c r="AA546" s="79">
        <f t="shared" ref="AA546:AA551" si="252">SUM(G546:Z546)</f>
        <v>0</v>
      </c>
      <c r="AB546" s="92" t="str">
        <f t="shared" ref="AB546:AB551" si="253">IF(ABS(F546-AA546)&lt;0.01,"ok","err")</f>
        <v>ok</v>
      </c>
    </row>
    <row r="547" spans="1:28">
      <c r="A547" s="68" t="s">
        <v>604</v>
      </c>
      <c r="C547" s="60" t="s">
        <v>515</v>
      </c>
      <c r="D547" s="60" t="s">
        <v>555</v>
      </c>
      <c r="E547" s="60" t="s">
        <v>1233</v>
      </c>
      <c r="F547" s="78">
        <f>VLOOKUP(C547,'Functional Assignment'!$C$2:$AP$780,'Functional Assignment'!$T$2,)</f>
        <v>-51992.205439655867</v>
      </c>
      <c r="G547" s="78">
        <f t="shared" si="250"/>
        <v>-25981.842460233842</v>
      </c>
      <c r="H547" s="78">
        <f t="shared" si="250"/>
        <v>-6346.5378384982623</v>
      </c>
      <c r="I547" s="78">
        <f t="shared" si="250"/>
        <v>-416.60666112414549</v>
      </c>
      <c r="J547" s="78">
        <f t="shared" si="250"/>
        <v>-7061.7396413875704</v>
      </c>
      <c r="K547" s="78">
        <f t="shared" si="250"/>
        <v>-5922.1452350305126</v>
      </c>
      <c r="L547" s="78">
        <f t="shared" si="250"/>
        <v>-5606.7292628697987</v>
      </c>
      <c r="M547" s="78">
        <f t="shared" si="250"/>
        <v>0</v>
      </c>
      <c r="N547" s="78">
        <f t="shared" si="250"/>
        <v>-187.88611956962754</v>
      </c>
      <c r="O547" s="78">
        <f t="shared" si="250"/>
        <v>-445.23948079846065</v>
      </c>
      <c r="P547" s="78">
        <f t="shared" si="250"/>
        <v>-15.507700199486997</v>
      </c>
      <c r="Q547" s="78">
        <f t="shared" si="251"/>
        <v>-7.1187559672050051</v>
      </c>
      <c r="R547" s="78">
        <f t="shared" si="251"/>
        <v>-0.77471448954617717</v>
      </c>
      <c r="S547" s="78">
        <f t="shared" si="251"/>
        <v>-7.756948741721148E-2</v>
      </c>
      <c r="T547" s="78">
        <f t="shared" si="251"/>
        <v>0</v>
      </c>
      <c r="U547" s="78">
        <f t="shared" si="251"/>
        <v>0</v>
      </c>
      <c r="V547" s="78">
        <f t="shared" si="251"/>
        <v>0</v>
      </c>
      <c r="W547" s="78">
        <f t="shared" si="251"/>
        <v>0</v>
      </c>
      <c r="X547" s="78">
        <f t="shared" si="251"/>
        <v>0</v>
      </c>
      <c r="Y547" s="78">
        <f t="shared" si="251"/>
        <v>0</v>
      </c>
      <c r="Z547" s="78">
        <f t="shared" si="251"/>
        <v>0</v>
      </c>
      <c r="AA547" s="78">
        <f t="shared" si="252"/>
        <v>-51992.205439655874</v>
      </c>
      <c r="AB547" s="92" t="str">
        <f t="shared" si="253"/>
        <v>ok</v>
      </c>
    </row>
    <row r="548" spans="1:28">
      <c r="A548" s="68" t="s">
        <v>605</v>
      </c>
      <c r="C548" s="60" t="s">
        <v>515</v>
      </c>
      <c r="D548" s="60" t="s">
        <v>556</v>
      </c>
      <c r="E548" s="60" t="s">
        <v>660</v>
      </c>
      <c r="F548" s="78">
        <f>VLOOKUP(C548,'Functional Assignment'!$C$2:$AP$780,'Functional Assignment'!$U$2,)</f>
        <v>-85081.543996974957</v>
      </c>
      <c r="G548" s="78">
        <f t="shared" si="250"/>
        <v>-73566.746823453999</v>
      </c>
      <c r="H548" s="78">
        <f t="shared" si="250"/>
        <v>-8837.257502342818</v>
      </c>
      <c r="I548" s="78">
        <f t="shared" si="250"/>
        <v>-13.637946519632854</v>
      </c>
      <c r="J548" s="78">
        <f t="shared" si="250"/>
        <v>-542.08835759984879</v>
      </c>
      <c r="K548" s="78">
        <f t="shared" si="250"/>
        <v>-25.638271907280046</v>
      </c>
      <c r="L548" s="78">
        <f t="shared" si="250"/>
        <v>-98.389110298409591</v>
      </c>
      <c r="M548" s="78">
        <f t="shared" si="250"/>
        <v>0</v>
      </c>
      <c r="N548" s="78">
        <f t="shared" si="250"/>
        <v>-0.38965561484665295</v>
      </c>
      <c r="O548" s="78">
        <f t="shared" si="250"/>
        <v>-1970.1204361988357</v>
      </c>
      <c r="P548" s="78">
        <f t="shared" si="250"/>
        <v>-3.4852529994617294</v>
      </c>
      <c r="Q548" s="78">
        <f t="shared" si="251"/>
        <v>-21.647534158147391</v>
      </c>
      <c r="R548" s="78">
        <f t="shared" si="251"/>
        <v>-0.19482780742332648</v>
      </c>
      <c r="S548" s="78">
        <f t="shared" si="251"/>
        <v>-1.948278074233265</v>
      </c>
      <c r="T548" s="78">
        <f t="shared" si="251"/>
        <v>0</v>
      </c>
      <c r="U548" s="78">
        <f t="shared" si="251"/>
        <v>0</v>
      </c>
      <c r="V548" s="78">
        <f t="shared" si="251"/>
        <v>0</v>
      </c>
      <c r="W548" s="78">
        <f t="shared" si="251"/>
        <v>0</v>
      </c>
      <c r="X548" s="78">
        <f t="shared" si="251"/>
        <v>0</v>
      </c>
      <c r="Y548" s="78">
        <f t="shared" si="251"/>
        <v>0</v>
      </c>
      <c r="Z548" s="78">
        <f t="shared" si="251"/>
        <v>0</v>
      </c>
      <c r="AA548" s="78">
        <f t="shared" si="252"/>
        <v>-85081.543996974971</v>
      </c>
      <c r="AB548" s="92" t="str">
        <f t="shared" si="253"/>
        <v>ok</v>
      </c>
    </row>
    <row r="549" spans="1:28">
      <c r="A549" s="68" t="s">
        <v>606</v>
      </c>
      <c r="C549" s="60" t="s">
        <v>515</v>
      </c>
      <c r="D549" s="60" t="s">
        <v>557</v>
      </c>
      <c r="E549" s="60" t="s">
        <v>646</v>
      </c>
      <c r="F549" s="78">
        <f>VLOOKUP(C549,'Functional Assignment'!$C$2:$AP$780,'Functional Assignment'!$V$2,)</f>
        <v>-14506.2997678997</v>
      </c>
      <c r="G549" s="78">
        <f t="shared" si="250"/>
        <v>-10995.800234386275</v>
      </c>
      <c r="H549" s="78">
        <f t="shared" si="250"/>
        <v>-1757.3313039959723</v>
      </c>
      <c r="I549" s="78">
        <f t="shared" si="250"/>
        <v>0</v>
      </c>
      <c r="J549" s="78">
        <f t="shared" si="250"/>
        <v>-1664.4378568964828</v>
      </c>
      <c r="K549" s="78">
        <f t="shared" si="250"/>
        <v>0</v>
      </c>
      <c r="L549" s="78">
        <f t="shared" si="250"/>
        <v>0</v>
      </c>
      <c r="M549" s="78">
        <f t="shared" si="250"/>
        <v>0</v>
      </c>
      <c r="N549" s="78">
        <f t="shared" si="250"/>
        <v>0</v>
      </c>
      <c r="O549" s="78">
        <f t="shared" si="250"/>
        <v>-84.285746257970075</v>
      </c>
      <c r="P549" s="78">
        <f t="shared" si="250"/>
        <v>-2.9356742616683782</v>
      </c>
      <c r="Q549" s="78">
        <f t="shared" si="251"/>
        <v>-1.347611083474082</v>
      </c>
      <c r="R549" s="78">
        <f t="shared" si="251"/>
        <v>-0.14665678068612023</v>
      </c>
      <c r="S549" s="78">
        <f t="shared" si="251"/>
        <v>-1.4684237170708903E-2</v>
      </c>
      <c r="T549" s="78">
        <f t="shared" si="251"/>
        <v>0</v>
      </c>
      <c r="U549" s="78">
        <f t="shared" si="251"/>
        <v>0</v>
      </c>
      <c r="V549" s="78">
        <f t="shared" si="251"/>
        <v>0</v>
      </c>
      <c r="W549" s="78">
        <f t="shared" si="251"/>
        <v>0</v>
      </c>
      <c r="X549" s="78">
        <f t="shared" si="251"/>
        <v>0</v>
      </c>
      <c r="Y549" s="78">
        <f t="shared" si="251"/>
        <v>0</v>
      </c>
      <c r="Z549" s="78">
        <f t="shared" si="251"/>
        <v>0</v>
      </c>
      <c r="AA549" s="78">
        <f t="shared" si="252"/>
        <v>-14506.2997678997</v>
      </c>
      <c r="AB549" s="92" t="str">
        <f t="shared" si="253"/>
        <v>ok</v>
      </c>
    </row>
    <row r="550" spans="1:28">
      <c r="A550" s="68" t="s">
        <v>607</v>
      </c>
      <c r="C550" s="60" t="s">
        <v>515</v>
      </c>
      <c r="D550" s="60" t="s">
        <v>558</v>
      </c>
      <c r="E550" s="60" t="s">
        <v>659</v>
      </c>
      <c r="F550" s="78">
        <f>VLOOKUP(C550,'Functional Assignment'!$C$2:$AP$780,'Functional Assignment'!$W$2,)</f>
        <v>-24787.715577665182</v>
      </c>
      <c r="G550" s="78">
        <f t="shared" si="250"/>
        <v>-21605.752884227284</v>
      </c>
      <c r="H550" s="78">
        <f t="shared" si="250"/>
        <v>-2595.4063488509441</v>
      </c>
      <c r="I550" s="78">
        <f t="shared" si="250"/>
        <v>0</v>
      </c>
      <c r="J550" s="78">
        <f t="shared" si="250"/>
        <v>0</v>
      </c>
      <c r="K550" s="78">
        <f t="shared" si="250"/>
        <v>0</v>
      </c>
      <c r="L550" s="78">
        <f t="shared" si="250"/>
        <v>0</v>
      </c>
      <c r="M550" s="78">
        <f t="shared" si="250"/>
        <v>0</v>
      </c>
      <c r="N550" s="78">
        <f t="shared" si="250"/>
        <v>0</v>
      </c>
      <c r="O550" s="78">
        <f t="shared" si="250"/>
        <v>-578.60293046297318</v>
      </c>
      <c r="P550" s="78">
        <f t="shared" si="250"/>
        <v>-1.0235808744688841</v>
      </c>
      <c r="Q550" s="78">
        <f t="shared" si="251"/>
        <v>-6.3576451830365484</v>
      </c>
      <c r="R550" s="78">
        <f t="shared" si="251"/>
        <v>0</v>
      </c>
      <c r="S550" s="78">
        <f t="shared" si="251"/>
        <v>-0.57218806647328924</v>
      </c>
      <c r="T550" s="78">
        <f t="shared" si="251"/>
        <v>0</v>
      </c>
      <c r="U550" s="78">
        <f t="shared" si="251"/>
        <v>0</v>
      </c>
      <c r="V550" s="78">
        <f t="shared" si="251"/>
        <v>0</v>
      </c>
      <c r="W550" s="78">
        <f t="shared" si="251"/>
        <v>0</v>
      </c>
      <c r="X550" s="78">
        <f t="shared" si="251"/>
        <v>0</v>
      </c>
      <c r="Y550" s="78">
        <f t="shared" si="251"/>
        <v>0</v>
      </c>
      <c r="Z550" s="78">
        <f t="shared" si="251"/>
        <v>0</v>
      </c>
      <c r="AA550" s="78">
        <f t="shared" si="252"/>
        <v>-24787.715577665185</v>
      </c>
      <c r="AB550" s="92" t="str">
        <f t="shared" si="253"/>
        <v>ok</v>
      </c>
    </row>
    <row r="551" spans="1:28">
      <c r="A551" s="60" t="s">
        <v>365</v>
      </c>
      <c r="D551" s="60" t="s">
        <v>559</v>
      </c>
      <c r="F551" s="75">
        <f>SUM(F546:F550)</f>
        <v>-176367.76478219571</v>
      </c>
      <c r="G551" s="75">
        <f t="shared" ref="G551:W551" si="254">SUM(G546:G550)</f>
        <v>-132150.1424023014</v>
      </c>
      <c r="H551" s="75">
        <f t="shared" si="254"/>
        <v>-19536.532993687997</v>
      </c>
      <c r="I551" s="75">
        <f t="shared" si="254"/>
        <v>-430.24460764377835</v>
      </c>
      <c r="J551" s="75">
        <f t="shared" si="254"/>
        <v>-9268.2658558839012</v>
      </c>
      <c r="K551" s="75">
        <f t="shared" si="254"/>
        <v>-5947.7835069377925</v>
      </c>
      <c r="L551" s="75">
        <f t="shared" si="254"/>
        <v>-5705.1183731682086</v>
      </c>
      <c r="M551" s="75">
        <f t="shared" si="254"/>
        <v>0</v>
      </c>
      <c r="N551" s="75">
        <f t="shared" si="254"/>
        <v>-188.27577518447418</v>
      </c>
      <c r="O551" s="75">
        <f>SUM(O546:O550)</f>
        <v>-3078.2485937182396</v>
      </c>
      <c r="P551" s="75">
        <f t="shared" si="254"/>
        <v>-22.952208335085988</v>
      </c>
      <c r="Q551" s="75">
        <f t="shared" si="254"/>
        <v>-36.471546391863022</v>
      </c>
      <c r="R551" s="75">
        <f t="shared" si="254"/>
        <v>-1.1161990776556239</v>
      </c>
      <c r="S551" s="75">
        <f t="shared" si="254"/>
        <v>-2.6127198652944745</v>
      </c>
      <c r="T551" s="75">
        <f t="shared" si="254"/>
        <v>0</v>
      </c>
      <c r="U551" s="75">
        <f t="shared" si="254"/>
        <v>0</v>
      </c>
      <c r="V551" s="75">
        <f t="shared" si="254"/>
        <v>0</v>
      </c>
      <c r="W551" s="75">
        <f t="shared" si="254"/>
        <v>0</v>
      </c>
      <c r="X551" s="75">
        <f>SUM(X546:X550)</f>
        <v>0</v>
      </c>
      <c r="Y551" s="75">
        <f>SUM(Y546:Y550)</f>
        <v>0</v>
      </c>
      <c r="Z551" s="75">
        <f>SUM(Z546:Z550)</f>
        <v>0</v>
      </c>
      <c r="AA551" s="79">
        <f t="shared" si="252"/>
        <v>-176367.76478219565</v>
      </c>
      <c r="AB551" s="92" t="str">
        <f t="shared" si="253"/>
        <v>ok</v>
      </c>
    </row>
    <row r="552" spans="1:28">
      <c r="F552" s="78"/>
    </row>
    <row r="553" spans="1:28" ht="15">
      <c r="A553" s="65" t="s">
        <v>613</v>
      </c>
      <c r="F553" s="78"/>
    </row>
    <row r="554" spans="1:28">
      <c r="A554" s="68" t="s">
        <v>1016</v>
      </c>
      <c r="C554" s="60" t="s">
        <v>515</v>
      </c>
      <c r="D554" s="60" t="s">
        <v>560</v>
      </c>
      <c r="E554" s="60" t="s">
        <v>1209</v>
      </c>
      <c r="F554" s="75">
        <f>VLOOKUP(C554,'Functional Assignment'!$C$2:$AP$780,'Functional Assignment'!$X$2,)</f>
        <v>-17771.034245980842</v>
      </c>
      <c r="G554" s="75">
        <f t="shared" ref="G554:P555" si="255">IF(VLOOKUP($E554,$D$6:$AN$1148,3,)=0,0,(VLOOKUP($E554,$D$6:$AN$1148,G$2,)/VLOOKUP($E554,$D$6:$AN$1148,3,))*$F554)</f>
        <v>-12293.826784259287</v>
      </c>
      <c r="H554" s="75">
        <f t="shared" si="255"/>
        <v>-1964.7798426095007</v>
      </c>
      <c r="I554" s="75">
        <f t="shared" si="255"/>
        <v>0</v>
      </c>
      <c r="J554" s="75">
        <f t="shared" si="255"/>
        <v>-1860.9205578197914</v>
      </c>
      <c r="K554" s="75">
        <f t="shared" si="255"/>
        <v>0</v>
      </c>
      <c r="L554" s="75">
        <f t="shared" si="255"/>
        <v>-1552.3022914480725</v>
      </c>
      <c r="M554" s="75">
        <f t="shared" si="255"/>
        <v>0</v>
      </c>
      <c r="N554" s="75">
        <f t="shared" si="255"/>
        <v>0</v>
      </c>
      <c r="O554" s="75">
        <f t="shared" si="255"/>
        <v>-94.23546652267359</v>
      </c>
      <c r="P554" s="75">
        <f t="shared" si="255"/>
        <v>-3.2822232214710372</v>
      </c>
      <c r="Q554" s="75">
        <f t="shared" ref="Q554:Z555" si="256">IF(VLOOKUP($E554,$D$6:$AN$1148,3,)=0,0,(VLOOKUP($E554,$D$6:$AN$1148,Q$2,)/VLOOKUP($E554,$D$6:$AN$1148,3,))*$F554)</f>
        <v>-1.5066931809991215</v>
      </c>
      <c r="R554" s="75">
        <f t="shared" si="256"/>
        <v>-0.16396924462614129</v>
      </c>
      <c r="S554" s="75">
        <f t="shared" si="256"/>
        <v>-1.6417674420014853E-2</v>
      </c>
      <c r="T554" s="75">
        <f t="shared" si="256"/>
        <v>0</v>
      </c>
      <c r="U554" s="75">
        <f t="shared" si="256"/>
        <v>0</v>
      </c>
      <c r="V554" s="75">
        <f t="shared" si="256"/>
        <v>0</v>
      </c>
      <c r="W554" s="75">
        <f t="shared" si="256"/>
        <v>0</v>
      </c>
      <c r="X554" s="75">
        <f t="shared" si="256"/>
        <v>0</v>
      </c>
      <c r="Y554" s="75">
        <f t="shared" si="256"/>
        <v>0</v>
      </c>
      <c r="Z554" s="75">
        <f t="shared" si="256"/>
        <v>0</v>
      </c>
      <c r="AA554" s="79">
        <f>SUM(G554:Z554)</f>
        <v>-17771.034245980842</v>
      </c>
      <c r="AB554" s="92" t="str">
        <f>IF(ABS(F554-AA554)&lt;0.01,"ok","err")</f>
        <v>ok</v>
      </c>
    </row>
    <row r="555" spans="1:28">
      <c r="A555" s="68" t="s">
        <v>1019</v>
      </c>
      <c r="C555" s="60" t="s">
        <v>515</v>
      </c>
      <c r="D555" s="60" t="s">
        <v>561</v>
      </c>
      <c r="E555" s="60" t="s">
        <v>1207</v>
      </c>
      <c r="F555" s="78">
        <f>VLOOKUP(C555,'Functional Assignment'!$C$2:$AP$780,'Functional Assignment'!$Y$2,)</f>
        <v>-9905.7149871887777</v>
      </c>
      <c r="G555" s="78">
        <f t="shared" si="255"/>
        <v>-8569.0866976665966</v>
      </c>
      <c r="H555" s="78">
        <f t="shared" si="255"/>
        <v>-1029.3676012194871</v>
      </c>
      <c r="I555" s="78">
        <f t="shared" si="255"/>
        <v>0</v>
      </c>
      <c r="J555" s="78">
        <f t="shared" si="255"/>
        <v>-63.142687894251807</v>
      </c>
      <c r="K555" s="78">
        <f t="shared" si="255"/>
        <v>0</v>
      </c>
      <c r="L555" s="78">
        <f t="shared" si="255"/>
        <v>-11.46040640177609</v>
      </c>
      <c r="M555" s="78">
        <f t="shared" si="255"/>
        <v>0</v>
      </c>
      <c r="N555" s="78">
        <f t="shared" si="255"/>
        <v>0</v>
      </c>
      <c r="O555" s="78">
        <f t="shared" si="255"/>
        <v>-229.48048611074805</v>
      </c>
      <c r="P555" s="78">
        <f t="shared" si="255"/>
        <v>-0.40596378670055089</v>
      </c>
      <c r="Q555" s="78">
        <f t="shared" si="256"/>
        <v>-2.5215142031090116</v>
      </c>
      <c r="R555" s="78">
        <f t="shared" si="256"/>
        <v>-2.2693627827981101E-2</v>
      </c>
      <c r="S555" s="78">
        <f t="shared" si="256"/>
        <v>-0.22693627827981103</v>
      </c>
      <c r="T555" s="78">
        <f t="shared" si="256"/>
        <v>0</v>
      </c>
      <c r="U555" s="78">
        <f t="shared" si="256"/>
        <v>0</v>
      </c>
      <c r="V555" s="78">
        <f t="shared" si="256"/>
        <v>0</v>
      </c>
      <c r="W555" s="78">
        <f t="shared" si="256"/>
        <v>0</v>
      </c>
      <c r="X555" s="78">
        <f t="shared" si="256"/>
        <v>0</v>
      </c>
      <c r="Y555" s="78">
        <f t="shared" si="256"/>
        <v>0</v>
      </c>
      <c r="Z555" s="78">
        <f t="shared" si="256"/>
        <v>0</v>
      </c>
      <c r="AA555" s="78">
        <f>SUM(G555:Z555)</f>
        <v>-9905.7149871887759</v>
      </c>
      <c r="AB555" s="92" t="str">
        <f>IF(ABS(F555-AA555)&lt;0.01,"ok","err")</f>
        <v>ok</v>
      </c>
    </row>
    <row r="556" spans="1:28">
      <c r="A556" s="60" t="s">
        <v>674</v>
      </c>
      <c r="D556" s="60" t="s">
        <v>562</v>
      </c>
      <c r="F556" s="75">
        <f>F554+F555</f>
        <v>-27676.749233169619</v>
      </c>
      <c r="G556" s="75">
        <f t="shared" ref="G556:W556" si="257">G554+G555</f>
        <v>-20862.913481925883</v>
      </c>
      <c r="H556" s="75">
        <f t="shared" si="257"/>
        <v>-2994.1474438289879</v>
      </c>
      <c r="I556" s="75">
        <f t="shared" si="257"/>
        <v>0</v>
      </c>
      <c r="J556" s="75">
        <f t="shared" si="257"/>
        <v>-1924.0632457140432</v>
      </c>
      <c r="K556" s="75">
        <f t="shared" si="257"/>
        <v>0</v>
      </c>
      <c r="L556" s="75">
        <f t="shared" si="257"/>
        <v>-1563.7626978498486</v>
      </c>
      <c r="M556" s="75">
        <f t="shared" si="257"/>
        <v>0</v>
      </c>
      <c r="N556" s="75">
        <f t="shared" si="257"/>
        <v>0</v>
      </c>
      <c r="O556" s="75">
        <f>O554+O555</f>
        <v>-323.71595263342164</v>
      </c>
      <c r="P556" s="75">
        <f t="shared" si="257"/>
        <v>-3.688187008171588</v>
      </c>
      <c r="Q556" s="75">
        <f t="shared" si="257"/>
        <v>-4.0282073841081329</v>
      </c>
      <c r="R556" s="75">
        <f t="shared" si="257"/>
        <v>-0.18666287245412239</v>
      </c>
      <c r="S556" s="75">
        <f t="shared" si="257"/>
        <v>-0.24335395269982588</v>
      </c>
      <c r="T556" s="75">
        <f t="shared" si="257"/>
        <v>0</v>
      </c>
      <c r="U556" s="75">
        <f t="shared" si="257"/>
        <v>0</v>
      </c>
      <c r="V556" s="75">
        <f t="shared" si="257"/>
        <v>0</v>
      </c>
      <c r="W556" s="75">
        <f t="shared" si="257"/>
        <v>0</v>
      </c>
      <c r="X556" s="75">
        <f>X554+X555</f>
        <v>0</v>
      </c>
      <c r="Y556" s="75">
        <f>Y554+Y555</f>
        <v>0</v>
      </c>
      <c r="Z556" s="75">
        <f>Z554+Z555</f>
        <v>0</v>
      </c>
      <c r="AA556" s="79">
        <f>SUM(G556:Z556)</f>
        <v>-27676.749233169616</v>
      </c>
      <c r="AB556" s="92" t="str">
        <f>IF(ABS(F556-AA556)&lt;0.01,"ok","err")</f>
        <v>ok</v>
      </c>
    </row>
    <row r="557" spans="1:28">
      <c r="F557" s="78"/>
    </row>
    <row r="558" spans="1:28" ht="15">
      <c r="A558" s="65" t="s">
        <v>343</v>
      </c>
      <c r="F558" s="78"/>
    </row>
    <row r="559" spans="1:28">
      <c r="A559" s="68" t="s">
        <v>1019</v>
      </c>
      <c r="C559" s="60" t="s">
        <v>515</v>
      </c>
      <c r="D559" s="60" t="s">
        <v>563</v>
      </c>
      <c r="E559" s="60" t="s">
        <v>1021</v>
      </c>
      <c r="F559" s="75">
        <f>VLOOKUP(C559,'Functional Assignment'!$C$2:$AP$780,'Functional Assignment'!$Z$2,)</f>
        <v>-6333.4266142562346</v>
      </c>
      <c r="G559" s="75">
        <f t="shared" ref="G559:Z559" si="258">IF(VLOOKUP($E559,$D$6:$AN$1148,3,)=0,0,(VLOOKUP($E559,$D$6:$AN$1148,G$2,)/VLOOKUP($E559,$D$6:$AN$1148,3,))*$F559)</f>
        <v>-5455.1179016885326</v>
      </c>
      <c r="H559" s="75">
        <f t="shared" si="258"/>
        <v>-776.94045812395007</v>
      </c>
      <c r="I559" s="75">
        <f t="shared" si="258"/>
        <v>0</v>
      </c>
      <c r="J559" s="75">
        <f t="shared" si="258"/>
        <v>-79.915193116538333</v>
      </c>
      <c r="K559" s="75">
        <f t="shared" si="258"/>
        <v>0</v>
      </c>
      <c r="L559" s="75">
        <f t="shared" si="258"/>
        <v>-21.424339622280215</v>
      </c>
      <c r="M559" s="75">
        <f t="shared" si="258"/>
        <v>0</v>
      </c>
      <c r="N559" s="75">
        <f t="shared" si="258"/>
        <v>0</v>
      </c>
      <c r="O559" s="75">
        <f t="shared" si="258"/>
        <v>0</v>
      </c>
      <c r="P559" s="75">
        <f t="shared" si="258"/>
        <v>0</v>
      </c>
      <c r="Q559" s="75">
        <f t="shared" si="258"/>
        <v>0</v>
      </c>
      <c r="R559" s="75">
        <f t="shared" si="258"/>
        <v>-2.8721704933201867E-2</v>
      </c>
      <c r="S559" s="75">
        <f t="shared" si="258"/>
        <v>0</v>
      </c>
      <c r="T559" s="75">
        <f t="shared" si="258"/>
        <v>0</v>
      </c>
      <c r="U559" s="75">
        <f t="shared" si="258"/>
        <v>0</v>
      </c>
      <c r="V559" s="75">
        <f t="shared" si="258"/>
        <v>0</v>
      </c>
      <c r="W559" s="75">
        <f t="shared" si="258"/>
        <v>0</v>
      </c>
      <c r="X559" s="75">
        <f t="shared" si="258"/>
        <v>0</v>
      </c>
      <c r="Y559" s="75">
        <f t="shared" si="258"/>
        <v>0</v>
      </c>
      <c r="Z559" s="75">
        <f t="shared" si="258"/>
        <v>0</v>
      </c>
      <c r="AA559" s="79">
        <f>SUM(G559:Z559)</f>
        <v>-6333.4266142562346</v>
      </c>
      <c r="AB559" s="92" t="str">
        <f>IF(ABS(F559-AA559)&lt;0.01,"ok","err")</f>
        <v>ok</v>
      </c>
    </row>
    <row r="560" spans="1:28">
      <c r="F560" s="78"/>
    </row>
    <row r="561" spans="1:28" ht="15">
      <c r="A561" s="65" t="s">
        <v>342</v>
      </c>
      <c r="F561" s="78"/>
    </row>
    <row r="562" spans="1:28">
      <c r="A562" s="68" t="s">
        <v>1019</v>
      </c>
      <c r="C562" s="60" t="s">
        <v>515</v>
      </c>
      <c r="D562" s="60" t="s">
        <v>564</v>
      </c>
      <c r="E562" s="60" t="s">
        <v>1022</v>
      </c>
      <c r="F562" s="75">
        <f>VLOOKUP(C562,'Functional Assignment'!$C$2:$AP$780,'Functional Assignment'!$AA$2,)</f>
        <v>-6459.0024748242704</v>
      </c>
      <c r="G562" s="75">
        <f t="shared" ref="G562:Z562" si="259">IF(VLOOKUP($E562,$D$6:$AN$1148,3,)=0,0,(VLOOKUP($E562,$D$6:$AN$1148,G$2,)/VLOOKUP($E562,$D$6:$AN$1148,3,))*$F562)</f>
        <v>-4415.0269073298568</v>
      </c>
      <c r="H562" s="75">
        <f t="shared" si="259"/>
        <v>-1371.7656336007158</v>
      </c>
      <c r="I562" s="75">
        <f t="shared" si="259"/>
        <v>-44.837856458398861</v>
      </c>
      <c r="J562" s="75">
        <f t="shared" si="259"/>
        <v>-383.61088966799582</v>
      </c>
      <c r="K562" s="75">
        <f t="shared" si="259"/>
        <v>-89.558995363960989</v>
      </c>
      <c r="L562" s="75">
        <f t="shared" si="259"/>
        <v>-75.837497517209854</v>
      </c>
      <c r="M562" s="75">
        <f t="shared" si="259"/>
        <v>-63.290840914507186</v>
      </c>
      <c r="N562" s="75">
        <f t="shared" si="259"/>
        <v>-1.3611356307397471</v>
      </c>
      <c r="O562" s="75">
        <f t="shared" si="259"/>
        <v>0</v>
      </c>
      <c r="P562" s="75">
        <f t="shared" si="259"/>
        <v>-1.8824724202583489</v>
      </c>
      <c r="Q562" s="75">
        <f t="shared" si="259"/>
        <v>-11.692375281107758</v>
      </c>
      <c r="R562" s="75">
        <f t="shared" si="259"/>
        <v>-0.13787063951832063</v>
      </c>
      <c r="S562" s="75">
        <f t="shared" si="259"/>
        <v>0</v>
      </c>
      <c r="T562" s="75">
        <f t="shared" si="259"/>
        <v>0</v>
      </c>
      <c r="U562" s="75">
        <f t="shared" si="259"/>
        <v>0</v>
      </c>
      <c r="V562" s="75">
        <f t="shared" si="259"/>
        <v>0</v>
      </c>
      <c r="W562" s="75">
        <f t="shared" si="259"/>
        <v>0</v>
      </c>
      <c r="X562" s="75">
        <f t="shared" si="259"/>
        <v>0</v>
      </c>
      <c r="Y562" s="75">
        <f t="shared" si="259"/>
        <v>0</v>
      </c>
      <c r="Z562" s="75">
        <f t="shared" si="259"/>
        <v>0</v>
      </c>
      <c r="AA562" s="79">
        <f>SUM(G562:Z562)</f>
        <v>-6459.0024748242713</v>
      </c>
      <c r="AB562" s="92" t="str">
        <f>IF(ABS(F562-AA562)&lt;0.01,"ok","err")</f>
        <v>ok</v>
      </c>
    </row>
    <row r="563" spans="1:28"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9"/>
    </row>
    <row r="564" spans="1:28" ht="15">
      <c r="A564" s="65" t="s">
        <v>358</v>
      </c>
      <c r="F564" s="78"/>
    </row>
    <row r="565" spans="1:28">
      <c r="A565" s="68" t="s">
        <v>1019</v>
      </c>
      <c r="C565" s="60" t="s">
        <v>515</v>
      </c>
      <c r="D565" s="60" t="s">
        <v>565</v>
      </c>
      <c r="E565" s="60" t="s">
        <v>1023</v>
      </c>
      <c r="F565" s="75">
        <f>VLOOKUP(C565,'Functional Assignment'!$C$2:$AP$780,'Functional Assignment'!$AB$2,)</f>
        <v>-20881.59187356992</v>
      </c>
      <c r="G565" s="75">
        <f t="shared" ref="G565:Z565" si="260">IF(VLOOKUP($E565,$D$6:$AN$1148,3,)=0,0,(VLOOKUP($E565,$D$6:$AN$1148,G$2,)/VLOOKUP($E565,$D$6:$AN$1148,3,))*$F565)</f>
        <v>0</v>
      </c>
      <c r="H565" s="75">
        <f t="shared" si="260"/>
        <v>0</v>
      </c>
      <c r="I565" s="75">
        <f t="shared" si="260"/>
        <v>0</v>
      </c>
      <c r="J565" s="75">
        <f t="shared" si="260"/>
        <v>0</v>
      </c>
      <c r="K565" s="75">
        <f t="shared" si="260"/>
        <v>0</v>
      </c>
      <c r="L565" s="75">
        <f t="shared" si="260"/>
        <v>0</v>
      </c>
      <c r="M565" s="75">
        <f t="shared" si="260"/>
        <v>0</v>
      </c>
      <c r="N565" s="75">
        <f t="shared" si="260"/>
        <v>0</v>
      </c>
      <c r="O565" s="75">
        <f t="shared" si="260"/>
        <v>-20881.59187356992</v>
      </c>
      <c r="P565" s="75">
        <f t="shared" si="260"/>
        <v>0</v>
      </c>
      <c r="Q565" s="75">
        <f t="shared" si="260"/>
        <v>0</v>
      </c>
      <c r="R565" s="75">
        <f t="shared" si="260"/>
        <v>0</v>
      </c>
      <c r="S565" s="75">
        <f t="shared" si="260"/>
        <v>0</v>
      </c>
      <c r="T565" s="75">
        <f t="shared" si="260"/>
        <v>0</v>
      </c>
      <c r="U565" s="75">
        <f t="shared" si="260"/>
        <v>0</v>
      </c>
      <c r="V565" s="75">
        <f t="shared" si="260"/>
        <v>0</v>
      </c>
      <c r="W565" s="75">
        <f t="shared" si="260"/>
        <v>0</v>
      </c>
      <c r="X565" s="75">
        <f t="shared" si="260"/>
        <v>0</v>
      </c>
      <c r="Y565" s="75">
        <f t="shared" si="260"/>
        <v>0</v>
      </c>
      <c r="Z565" s="75">
        <f t="shared" si="260"/>
        <v>0</v>
      </c>
      <c r="AA565" s="79">
        <f>SUM(G565:Z565)</f>
        <v>-20881.59187356992</v>
      </c>
      <c r="AB565" s="92" t="str">
        <f>IF(ABS(F565-AA565)&lt;0.01,"ok","err")</f>
        <v>ok</v>
      </c>
    </row>
    <row r="566" spans="1:28"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9"/>
    </row>
    <row r="567" spans="1:28" ht="15">
      <c r="A567" s="65" t="s">
        <v>951</v>
      </c>
      <c r="F567" s="78"/>
    </row>
    <row r="568" spans="1:28">
      <c r="A568" s="68" t="s">
        <v>1019</v>
      </c>
      <c r="C568" s="60" t="s">
        <v>515</v>
      </c>
      <c r="D568" s="60" t="s">
        <v>566</v>
      </c>
      <c r="E568" s="60" t="s">
        <v>1024</v>
      </c>
      <c r="F568" s="75">
        <f>VLOOKUP(C568,'Functional Assignment'!$C$2:$AP$780,'Functional Assignment'!$AC$2,)</f>
        <v>0</v>
      </c>
      <c r="G568" s="75">
        <f t="shared" ref="G568:Z568" si="261">IF(VLOOKUP($E568,$D$6:$AN$1148,3,)=0,0,(VLOOKUP($E568,$D$6:$AN$1148,G$2,)/VLOOKUP($E568,$D$6:$AN$1148,3,))*$F568)</f>
        <v>0</v>
      </c>
      <c r="H568" s="75">
        <f t="shared" si="261"/>
        <v>0</v>
      </c>
      <c r="I568" s="75">
        <f t="shared" si="261"/>
        <v>0</v>
      </c>
      <c r="J568" s="75">
        <f t="shared" si="261"/>
        <v>0</v>
      </c>
      <c r="K568" s="75">
        <f t="shared" si="261"/>
        <v>0</v>
      </c>
      <c r="L568" s="75">
        <f t="shared" si="261"/>
        <v>0</v>
      </c>
      <c r="M568" s="75">
        <f t="shared" si="261"/>
        <v>0</v>
      </c>
      <c r="N568" s="75">
        <f t="shared" si="261"/>
        <v>0</v>
      </c>
      <c r="O568" s="75">
        <f t="shared" si="261"/>
        <v>0</v>
      </c>
      <c r="P568" s="75">
        <f t="shared" si="261"/>
        <v>0</v>
      </c>
      <c r="Q568" s="75">
        <f t="shared" si="261"/>
        <v>0</v>
      </c>
      <c r="R568" s="75">
        <f t="shared" si="261"/>
        <v>0</v>
      </c>
      <c r="S568" s="75">
        <f t="shared" si="261"/>
        <v>0</v>
      </c>
      <c r="T568" s="75">
        <f t="shared" si="261"/>
        <v>0</v>
      </c>
      <c r="U568" s="75">
        <f t="shared" si="261"/>
        <v>0</v>
      </c>
      <c r="V568" s="75">
        <f t="shared" si="261"/>
        <v>0</v>
      </c>
      <c r="W568" s="75">
        <f t="shared" si="261"/>
        <v>0</v>
      </c>
      <c r="X568" s="75">
        <f t="shared" si="261"/>
        <v>0</v>
      </c>
      <c r="Y568" s="75">
        <f t="shared" si="261"/>
        <v>0</v>
      </c>
      <c r="Z568" s="75">
        <f t="shared" si="261"/>
        <v>0</v>
      </c>
      <c r="AA568" s="79">
        <f>SUM(G568:Z568)</f>
        <v>0</v>
      </c>
      <c r="AB568" s="92" t="str">
        <f>IF(ABS(F568-AA568)&lt;0.01,"ok","err")</f>
        <v>ok</v>
      </c>
    </row>
    <row r="569" spans="1:28"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9"/>
    </row>
    <row r="570" spans="1:28" ht="15">
      <c r="A570" s="65" t="s">
        <v>340</v>
      </c>
      <c r="F570" s="78"/>
    </row>
    <row r="571" spans="1:28">
      <c r="A571" s="68" t="s">
        <v>1019</v>
      </c>
      <c r="C571" s="60" t="s">
        <v>515</v>
      </c>
      <c r="D571" s="60" t="s">
        <v>567</v>
      </c>
      <c r="E571" s="60" t="s">
        <v>1024</v>
      </c>
      <c r="F571" s="75">
        <f>VLOOKUP(C571,'Functional Assignment'!$C$2:$AP$780,'Functional Assignment'!$AD$2,)</f>
        <v>0</v>
      </c>
      <c r="G571" s="75">
        <f t="shared" ref="G571:Z571" si="262">IF(VLOOKUP($E571,$D$6:$AN$1148,3,)=0,0,(VLOOKUP($E571,$D$6:$AN$1148,G$2,)/VLOOKUP($E571,$D$6:$AN$1148,3,))*$F571)</f>
        <v>0</v>
      </c>
      <c r="H571" s="75">
        <f t="shared" si="262"/>
        <v>0</v>
      </c>
      <c r="I571" s="75">
        <f t="shared" si="262"/>
        <v>0</v>
      </c>
      <c r="J571" s="75">
        <f t="shared" si="262"/>
        <v>0</v>
      </c>
      <c r="K571" s="75">
        <f t="shared" si="262"/>
        <v>0</v>
      </c>
      <c r="L571" s="75">
        <f t="shared" si="262"/>
        <v>0</v>
      </c>
      <c r="M571" s="75">
        <f t="shared" si="262"/>
        <v>0</v>
      </c>
      <c r="N571" s="75">
        <f t="shared" si="262"/>
        <v>0</v>
      </c>
      <c r="O571" s="75">
        <f t="shared" si="262"/>
        <v>0</v>
      </c>
      <c r="P571" s="75">
        <f t="shared" si="262"/>
        <v>0</v>
      </c>
      <c r="Q571" s="75">
        <f t="shared" si="262"/>
        <v>0</v>
      </c>
      <c r="R571" s="75">
        <f t="shared" si="262"/>
        <v>0</v>
      </c>
      <c r="S571" s="75">
        <f t="shared" si="262"/>
        <v>0</v>
      </c>
      <c r="T571" s="75">
        <f t="shared" si="262"/>
        <v>0</v>
      </c>
      <c r="U571" s="75">
        <f t="shared" si="262"/>
        <v>0</v>
      </c>
      <c r="V571" s="75">
        <f t="shared" si="262"/>
        <v>0</v>
      </c>
      <c r="W571" s="75">
        <f t="shared" si="262"/>
        <v>0</v>
      </c>
      <c r="X571" s="75">
        <f t="shared" si="262"/>
        <v>0</v>
      </c>
      <c r="Y571" s="75">
        <f t="shared" si="262"/>
        <v>0</v>
      </c>
      <c r="Z571" s="75">
        <f t="shared" si="262"/>
        <v>0</v>
      </c>
      <c r="AA571" s="79">
        <f>SUM(G571:Z571)</f>
        <v>0</v>
      </c>
      <c r="AB571" s="92" t="str">
        <f>IF(ABS(F571-AA571)&lt;0.01,"ok","err")</f>
        <v>ok</v>
      </c>
    </row>
    <row r="572" spans="1:28"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9"/>
    </row>
    <row r="573" spans="1:28" ht="15">
      <c r="A573" s="65" t="s">
        <v>339</v>
      </c>
      <c r="F573" s="78"/>
    </row>
    <row r="574" spans="1:28">
      <c r="A574" s="68" t="s">
        <v>1019</v>
      </c>
      <c r="C574" s="60" t="s">
        <v>515</v>
      </c>
      <c r="D574" s="60" t="s">
        <v>568</v>
      </c>
      <c r="E574" s="60" t="s">
        <v>1025</v>
      </c>
      <c r="F574" s="75">
        <f>VLOOKUP(C574,'Functional Assignment'!$C$2:$AP$780,'Functional Assignment'!$AE$2,)</f>
        <v>0</v>
      </c>
      <c r="G574" s="75">
        <f t="shared" ref="G574:Z574" si="263">IF(VLOOKUP($E574,$D$6:$AN$1148,3,)=0,0,(VLOOKUP($E574,$D$6:$AN$1148,G$2,)/VLOOKUP($E574,$D$6:$AN$1148,3,))*$F574)</f>
        <v>0</v>
      </c>
      <c r="H574" s="75">
        <f t="shared" si="263"/>
        <v>0</v>
      </c>
      <c r="I574" s="75">
        <f t="shared" si="263"/>
        <v>0</v>
      </c>
      <c r="J574" s="75">
        <f t="shared" si="263"/>
        <v>0</v>
      </c>
      <c r="K574" s="75">
        <f t="shared" si="263"/>
        <v>0</v>
      </c>
      <c r="L574" s="75">
        <f t="shared" si="263"/>
        <v>0</v>
      </c>
      <c r="M574" s="75">
        <f t="shared" si="263"/>
        <v>0</v>
      </c>
      <c r="N574" s="75">
        <f t="shared" si="263"/>
        <v>0</v>
      </c>
      <c r="O574" s="75">
        <f t="shared" si="263"/>
        <v>0</v>
      </c>
      <c r="P574" s="75">
        <f t="shared" si="263"/>
        <v>0</v>
      </c>
      <c r="Q574" s="75">
        <f t="shared" si="263"/>
        <v>0</v>
      </c>
      <c r="R574" s="75">
        <f t="shared" si="263"/>
        <v>0</v>
      </c>
      <c r="S574" s="75">
        <f t="shared" si="263"/>
        <v>0</v>
      </c>
      <c r="T574" s="75">
        <f t="shared" si="263"/>
        <v>0</v>
      </c>
      <c r="U574" s="75">
        <f t="shared" si="263"/>
        <v>0</v>
      </c>
      <c r="V574" s="75">
        <f t="shared" si="263"/>
        <v>0</v>
      </c>
      <c r="W574" s="75">
        <f t="shared" si="263"/>
        <v>0</v>
      </c>
      <c r="X574" s="75">
        <f t="shared" si="263"/>
        <v>0</v>
      </c>
      <c r="Y574" s="75">
        <f t="shared" si="263"/>
        <v>0</v>
      </c>
      <c r="Z574" s="75">
        <f t="shared" si="263"/>
        <v>0</v>
      </c>
      <c r="AA574" s="79">
        <f>SUM(G574:Z574)</f>
        <v>0</v>
      </c>
      <c r="AB574" s="92" t="str">
        <f>IF(ABS(F574-AA574)&lt;0.01,"ok","err")</f>
        <v>ok</v>
      </c>
    </row>
    <row r="575" spans="1:28"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9"/>
    </row>
    <row r="576" spans="1:28">
      <c r="A576" s="60" t="s">
        <v>848</v>
      </c>
      <c r="D576" s="60" t="s">
        <v>1037</v>
      </c>
      <c r="F576" s="75">
        <f>F531+F537+F540+F543+F551+F556+F559+F562+F565+F568+F571+F574</f>
        <v>-916996.00000000012</v>
      </c>
      <c r="G576" s="75">
        <f t="shared" ref="G576:Z576" si="264">G531+G537+G540+G543+G551+G556+G559+G562+G565+G568+G571+G574</f>
        <v>-447863.63536201243</v>
      </c>
      <c r="H576" s="75">
        <f t="shared" si="264"/>
        <v>-104154.51962239429</v>
      </c>
      <c r="I576" s="75">
        <f t="shared" si="264"/>
        <v>-6132.1440154972724</v>
      </c>
      <c r="J576" s="75">
        <f t="shared" si="264"/>
        <v>-103548.27662901388</v>
      </c>
      <c r="K576" s="75">
        <f t="shared" si="264"/>
        <v>-90593.24547136265</v>
      </c>
      <c r="L576" s="75">
        <f t="shared" si="264"/>
        <v>-78894.044650015014</v>
      </c>
      <c r="M576" s="75">
        <f t="shared" si="264"/>
        <v>-41177.385542251672</v>
      </c>
      <c r="N576" s="75">
        <f t="shared" si="264"/>
        <v>-2658.5801699189892</v>
      </c>
      <c r="O576" s="75">
        <f>O531+O537+O540+O543+O551+O556+O559+O562+O565+O568+O571+O574</f>
        <v>-27523.116178631499</v>
      </c>
      <c r="P576" s="75">
        <f t="shared" si="264"/>
        <v>-141.35680024924781</v>
      </c>
      <c r="Q576" s="75">
        <f t="shared" si="264"/>
        <v>-175.41635857132519</v>
      </c>
      <c r="R576" s="75">
        <f t="shared" si="264"/>
        <v>-3.3236381674607789</v>
      </c>
      <c r="S576" s="75">
        <f t="shared" si="264"/>
        <v>-3.9555619143632463</v>
      </c>
      <c r="T576" s="75">
        <f t="shared" si="264"/>
        <v>-13727.717595343111</v>
      </c>
      <c r="U576" s="75">
        <f t="shared" si="264"/>
        <v>-399.28240465688896</v>
      </c>
      <c r="V576" s="75">
        <f t="shared" si="264"/>
        <v>0</v>
      </c>
      <c r="W576" s="75">
        <f t="shared" si="264"/>
        <v>0</v>
      </c>
      <c r="X576" s="75">
        <f t="shared" si="264"/>
        <v>0</v>
      </c>
      <c r="Y576" s="75">
        <f t="shared" si="264"/>
        <v>0</v>
      </c>
      <c r="Z576" s="75">
        <f t="shared" si="264"/>
        <v>0</v>
      </c>
      <c r="AA576" s="79">
        <f>SUM(G576:Z576)</f>
        <v>-916996.00000000012</v>
      </c>
      <c r="AB576" s="92" t="str">
        <f>IF(ABS(F576-AA576)&lt;0.01,"ok","err")</f>
        <v>ok</v>
      </c>
    </row>
    <row r="577" spans="1:28"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9"/>
      <c r="AB577" s="92"/>
    </row>
    <row r="578" spans="1:28"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9"/>
      <c r="AB578" s="92"/>
    </row>
    <row r="579" spans="1:28"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9"/>
      <c r="AB579" s="92"/>
    </row>
    <row r="580" spans="1:28" ht="15">
      <c r="A580" s="65" t="s">
        <v>996</v>
      </c>
    </row>
    <row r="582" spans="1:28" ht="15">
      <c r="A582" s="65" t="s">
        <v>352</v>
      </c>
    </row>
    <row r="583" spans="1:28">
      <c r="A583" s="68" t="s">
        <v>1254</v>
      </c>
      <c r="C583" s="60" t="s">
        <v>1001</v>
      </c>
      <c r="D583" s="60" t="s">
        <v>1434</v>
      </c>
      <c r="E583" s="60" t="s">
        <v>1368</v>
      </c>
      <c r="F583" s="75">
        <f>VLOOKUP(C583,'Functional Assignment'!$C$2:$AP$780,'Functional Assignment'!$H$2,)</f>
        <v>0</v>
      </c>
      <c r="G583" s="75">
        <f t="shared" ref="G583:P588" si="265">IF(VLOOKUP($E583,$D$6:$AN$1148,3,)=0,0,(VLOOKUP($E583,$D$6:$AN$1148,G$2,)/VLOOKUP($E583,$D$6:$AN$1148,3,))*$F583)</f>
        <v>0</v>
      </c>
      <c r="H583" s="75">
        <f t="shared" si="265"/>
        <v>0</v>
      </c>
      <c r="I583" s="75">
        <f t="shared" si="265"/>
        <v>0</v>
      </c>
      <c r="J583" s="75">
        <f t="shared" si="265"/>
        <v>0</v>
      </c>
      <c r="K583" s="75">
        <f t="shared" si="265"/>
        <v>0</v>
      </c>
      <c r="L583" s="75">
        <f t="shared" si="265"/>
        <v>0</v>
      </c>
      <c r="M583" s="75">
        <f t="shared" si="265"/>
        <v>0</v>
      </c>
      <c r="N583" s="75">
        <f t="shared" si="265"/>
        <v>0</v>
      </c>
      <c r="O583" s="75">
        <f t="shared" si="265"/>
        <v>0</v>
      </c>
      <c r="P583" s="75">
        <f t="shared" si="265"/>
        <v>0</v>
      </c>
      <c r="Q583" s="75">
        <f t="shared" ref="Q583:Z588" si="266">IF(VLOOKUP($E583,$D$6:$AN$1148,3,)=0,0,(VLOOKUP($E583,$D$6:$AN$1148,Q$2,)/VLOOKUP($E583,$D$6:$AN$1148,3,))*$F583)</f>
        <v>0</v>
      </c>
      <c r="R583" s="75">
        <f t="shared" si="266"/>
        <v>0</v>
      </c>
      <c r="S583" s="75">
        <f t="shared" si="266"/>
        <v>0</v>
      </c>
      <c r="T583" s="75">
        <f t="shared" si="266"/>
        <v>0</v>
      </c>
      <c r="U583" s="75">
        <f t="shared" si="266"/>
        <v>0</v>
      </c>
      <c r="V583" s="75">
        <f t="shared" si="266"/>
        <v>0</v>
      </c>
      <c r="W583" s="75">
        <f t="shared" si="266"/>
        <v>0</v>
      </c>
      <c r="X583" s="75">
        <f t="shared" si="266"/>
        <v>0</v>
      </c>
      <c r="Y583" s="75">
        <f t="shared" si="266"/>
        <v>0</v>
      </c>
      <c r="Z583" s="75">
        <f t="shared" si="266"/>
        <v>0</v>
      </c>
      <c r="AA583" s="79">
        <f t="shared" ref="AA583:AA589" si="267">SUM(G583:Z583)</f>
        <v>0</v>
      </c>
      <c r="AB583" s="92" t="str">
        <f t="shared" ref="AB583:AB589" si="268">IF(ABS(F583-AA583)&lt;0.01,"ok","err")</f>
        <v>ok</v>
      </c>
    </row>
    <row r="584" spans="1:28" hidden="1">
      <c r="A584" s="68" t="s">
        <v>1255</v>
      </c>
      <c r="C584" s="60" t="s">
        <v>1001</v>
      </c>
      <c r="D584" s="60" t="s">
        <v>543</v>
      </c>
      <c r="E584" s="60" t="s">
        <v>1406</v>
      </c>
      <c r="F584" s="78">
        <f>VLOOKUP(C584,'Functional Assignment'!$C$2:$AP$780,'Functional Assignment'!$I$2,)</f>
        <v>0</v>
      </c>
      <c r="G584" s="78">
        <f t="shared" si="265"/>
        <v>0</v>
      </c>
      <c r="H584" s="78">
        <f t="shared" si="265"/>
        <v>0</v>
      </c>
      <c r="I584" s="78">
        <f t="shared" si="265"/>
        <v>0</v>
      </c>
      <c r="J584" s="78">
        <f t="shared" si="265"/>
        <v>0</v>
      </c>
      <c r="K584" s="78">
        <f t="shared" si="265"/>
        <v>0</v>
      </c>
      <c r="L584" s="78">
        <f t="shared" si="265"/>
        <v>0</v>
      </c>
      <c r="M584" s="78">
        <f t="shared" si="265"/>
        <v>0</v>
      </c>
      <c r="N584" s="78">
        <f t="shared" si="265"/>
        <v>0</v>
      </c>
      <c r="O584" s="78">
        <f t="shared" si="265"/>
        <v>0</v>
      </c>
      <c r="P584" s="78">
        <f t="shared" si="265"/>
        <v>0</v>
      </c>
      <c r="Q584" s="78">
        <f t="shared" si="266"/>
        <v>0</v>
      </c>
      <c r="R584" s="78">
        <f t="shared" si="266"/>
        <v>0</v>
      </c>
      <c r="S584" s="78">
        <f t="shared" si="266"/>
        <v>0</v>
      </c>
      <c r="T584" s="78">
        <f t="shared" si="266"/>
        <v>0</v>
      </c>
      <c r="U584" s="78">
        <f t="shared" si="266"/>
        <v>0</v>
      </c>
      <c r="V584" s="78">
        <f t="shared" si="266"/>
        <v>0</v>
      </c>
      <c r="W584" s="78">
        <f t="shared" si="266"/>
        <v>0</v>
      </c>
      <c r="X584" s="78">
        <f t="shared" si="266"/>
        <v>0</v>
      </c>
      <c r="Y584" s="78">
        <f t="shared" si="266"/>
        <v>0</v>
      </c>
      <c r="Z584" s="78">
        <f t="shared" si="266"/>
        <v>0</v>
      </c>
      <c r="AA584" s="78">
        <f t="shared" si="267"/>
        <v>0</v>
      </c>
      <c r="AB584" s="92" t="str">
        <f t="shared" si="268"/>
        <v>ok</v>
      </c>
    </row>
    <row r="585" spans="1:28" hidden="1">
      <c r="A585" s="68" t="s">
        <v>1255</v>
      </c>
      <c r="C585" s="60" t="s">
        <v>1001</v>
      </c>
      <c r="D585" s="60" t="s">
        <v>544</v>
      </c>
      <c r="E585" s="60" t="s">
        <v>1406</v>
      </c>
      <c r="F585" s="78">
        <f>VLOOKUP(C585,'Functional Assignment'!$C$2:$AP$780,'Functional Assignment'!$J$2,)</f>
        <v>0</v>
      </c>
      <c r="G585" s="78">
        <f t="shared" si="265"/>
        <v>0</v>
      </c>
      <c r="H585" s="78">
        <f t="shared" si="265"/>
        <v>0</v>
      </c>
      <c r="I585" s="78">
        <f t="shared" si="265"/>
        <v>0</v>
      </c>
      <c r="J585" s="78">
        <f t="shared" si="265"/>
        <v>0</v>
      </c>
      <c r="K585" s="78">
        <f t="shared" si="265"/>
        <v>0</v>
      </c>
      <c r="L585" s="78">
        <f t="shared" si="265"/>
        <v>0</v>
      </c>
      <c r="M585" s="78">
        <f t="shared" si="265"/>
        <v>0</v>
      </c>
      <c r="N585" s="78">
        <f t="shared" si="265"/>
        <v>0</v>
      </c>
      <c r="O585" s="78">
        <f t="shared" si="265"/>
        <v>0</v>
      </c>
      <c r="P585" s="78">
        <f t="shared" si="265"/>
        <v>0</v>
      </c>
      <c r="Q585" s="78">
        <f t="shared" si="266"/>
        <v>0</v>
      </c>
      <c r="R585" s="78">
        <f t="shared" si="266"/>
        <v>0</v>
      </c>
      <c r="S585" s="78">
        <f t="shared" si="266"/>
        <v>0</v>
      </c>
      <c r="T585" s="78">
        <f t="shared" si="266"/>
        <v>0</v>
      </c>
      <c r="U585" s="78">
        <f t="shared" si="266"/>
        <v>0</v>
      </c>
      <c r="V585" s="78">
        <f t="shared" si="266"/>
        <v>0</v>
      </c>
      <c r="W585" s="78">
        <f t="shared" si="266"/>
        <v>0</v>
      </c>
      <c r="X585" s="78">
        <f t="shared" si="266"/>
        <v>0</v>
      </c>
      <c r="Y585" s="78">
        <f t="shared" si="266"/>
        <v>0</v>
      </c>
      <c r="Z585" s="78">
        <f t="shared" si="266"/>
        <v>0</v>
      </c>
      <c r="AA585" s="78">
        <f t="shared" si="267"/>
        <v>0</v>
      </c>
      <c r="AB585" s="92" t="str">
        <f t="shared" si="268"/>
        <v>ok</v>
      </c>
    </row>
    <row r="586" spans="1:28">
      <c r="A586" s="68" t="s">
        <v>1162</v>
      </c>
      <c r="C586" s="60" t="s">
        <v>1001</v>
      </c>
      <c r="D586" s="60" t="s">
        <v>545</v>
      </c>
      <c r="E586" s="60" t="s">
        <v>1017</v>
      </c>
      <c r="F586" s="78">
        <f>VLOOKUP(C586,'Functional Assignment'!$C$2:$AP$780,'Functional Assignment'!$K$2,)</f>
        <v>0</v>
      </c>
      <c r="G586" s="78">
        <f t="shared" si="265"/>
        <v>0</v>
      </c>
      <c r="H586" s="78">
        <f t="shared" si="265"/>
        <v>0</v>
      </c>
      <c r="I586" s="78">
        <f t="shared" si="265"/>
        <v>0</v>
      </c>
      <c r="J586" s="78">
        <f t="shared" si="265"/>
        <v>0</v>
      </c>
      <c r="K586" s="78">
        <f t="shared" si="265"/>
        <v>0</v>
      </c>
      <c r="L586" s="78">
        <f t="shared" si="265"/>
        <v>0</v>
      </c>
      <c r="M586" s="78">
        <f t="shared" si="265"/>
        <v>0</v>
      </c>
      <c r="N586" s="78">
        <f t="shared" si="265"/>
        <v>0</v>
      </c>
      <c r="O586" s="78">
        <f t="shared" si="265"/>
        <v>0</v>
      </c>
      <c r="P586" s="78">
        <f t="shared" si="265"/>
        <v>0</v>
      </c>
      <c r="Q586" s="78">
        <f t="shared" si="266"/>
        <v>0</v>
      </c>
      <c r="R586" s="78">
        <f t="shared" si="266"/>
        <v>0</v>
      </c>
      <c r="S586" s="78">
        <f t="shared" si="266"/>
        <v>0</v>
      </c>
      <c r="T586" s="78">
        <f t="shared" si="266"/>
        <v>0</v>
      </c>
      <c r="U586" s="78">
        <f t="shared" si="266"/>
        <v>0</v>
      </c>
      <c r="V586" s="78">
        <f t="shared" si="266"/>
        <v>0</v>
      </c>
      <c r="W586" s="78">
        <f t="shared" si="266"/>
        <v>0</v>
      </c>
      <c r="X586" s="78">
        <f t="shared" si="266"/>
        <v>0</v>
      </c>
      <c r="Y586" s="78">
        <f t="shared" si="266"/>
        <v>0</v>
      </c>
      <c r="Z586" s="78">
        <f t="shared" si="266"/>
        <v>0</v>
      </c>
      <c r="AA586" s="78">
        <f t="shared" si="267"/>
        <v>0</v>
      </c>
      <c r="AB586" s="92" t="str">
        <f t="shared" si="268"/>
        <v>ok</v>
      </c>
    </row>
    <row r="587" spans="1:28" hidden="1">
      <c r="A587" s="68" t="s">
        <v>1163</v>
      </c>
      <c r="C587" s="60" t="s">
        <v>1001</v>
      </c>
      <c r="D587" s="60" t="s">
        <v>546</v>
      </c>
      <c r="E587" s="60" t="s">
        <v>1017</v>
      </c>
      <c r="F587" s="78">
        <f>VLOOKUP(C587,'Functional Assignment'!$C$2:$AP$780,'Functional Assignment'!$L$2,)</f>
        <v>0</v>
      </c>
      <c r="G587" s="78">
        <f t="shared" si="265"/>
        <v>0</v>
      </c>
      <c r="H587" s="78">
        <f t="shared" si="265"/>
        <v>0</v>
      </c>
      <c r="I587" s="78">
        <f t="shared" si="265"/>
        <v>0</v>
      </c>
      <c r="J587" s="78">
        <f t="shared" si="265"/>
        <v>0</v>
      </c>
      <c r="K587" s="78">
        <f t="shared" si="265"/>
        <v>0</v>
      </c>
      <c r="L587" s="78">
        <f t="shared" si="265"/>
        <v>0</v>
      </c>
      <c r="M587" s="78">
        <f t="shared" si="265"/>
        <v>0</v>
      </c>
      <c r="N587" s="78">
        <f t="shared" si="265"/>
        <v>0</v>
      </c>
      <c r="O587" s="78">
        <f t="shared" si="265"/>
        <v>0</v>
      </c>
      <c r="P587" s="78">
        <f t="shared" si="265"/>
        <v>0</v>
      </c>
      <c r="Q587" s="78">
        <f t="shared" si="266"/>
        <v>0</v>
      </c>
      <c r="R587" s="78">
        <f t="shared" si="266"/>
        <v>0</v>
      </c>
      <c r="S587" s="78">
        <f t="shared" si="266"/>
        <v>0</v>
      </c>
      <c r="T587" s="78">
        <f t="shared" si="266"/>
        <v>0</v>
      </c>
      <c r="U587" s="78">
        <f t="shared" si="266"/>
        <v>0</v>
      </c>
      <c r="V587" s="78">
        <f t="shared" si="266"/>
        <v>0</v>
      </c>
      <c r="W587" s="78">
        <f t="shared" si="266"/>
        <v>0</v>
      </c>
      <c r="X587" s="78">
        <f t="shared" si="266"/>
        <v>0</v>
      </c>
      <c r="Y587" s="78">
        <f t="shared" si="266"/>
        <v>0</v>
      </c>
      <c r="Z587" s="78">
        <f t="shared" si="266"/>
        <v>0</v>
      </c>
      <c r="AA587" s="78">
        <f t="shared" si="267"/>
        <v>0</v>
      </c>
      <c r="AB587" s="92" t="str">
        <f t="shared" si="268"/>
        <v>ok</v>
      </c>
    </row>
    <row r="588" spans="1:28" hidden="1">
      <c r="A588" s="68" t="s">
        <v>1163</v>
      </c>
      <c r="C588" s="60" t="s">
        <v>1001</v>
      </c>
      <c r="D588" s="60" t="s">
        <v>547</v>
      </c>
      <c r="E588" s="60" t="s">
        <v>1017</v>
      </c>
      <c r="F588" s="78">
        <f>VLOOKUP(C588,'Functional Assignment'!$C$2:$AP$780,'Functional Assignment'!$M$2,)</f>
        <v>0</v>
      </c>
      <c r="G588" s="78">
        <f t="shared" si="265"/>
        <v>0</v>
      </c>
      <c r="H588" s="78">
        <f t="shared" si="265"/>
        <v>0</v>
      </c>
      <c r="I588" s="78">
        <f t="shared" si="265"/>
        <v>0</v>
      </c>
      <c r="J588" s="78">
        <f t="shared" si="265"/>
        <v>0</v>
      </c>
      <c r="K588" s="78">
        <f t="shared" si="265"/>
        <v>0</v>
      </c>
      <c r="L588" s="78">
        <f t="shared" si="265"/>
        <v>0</v>
      </c>
      <c r="M588" s="78">
        <f t="shared" si="265"/>
        <v>0</v>
      </c>
      <c r="N588" s="78">
        <f t="shared" si="265"/>
        <v>0</v>
      </c>
      <c r="O588" s="78">
        <f t="shared" si="265"/>
        <v>0</v>
      </c>
      <c r="P588" s="78">
        <f t="shared" si="265"/>
        <v>0</v>
      </c>
      <c r="Q588" s="78">
        <f t="shared" si="266"/>
        <v>0</v>
      </c>
      <c r="R588" s="78">
        <f t="shared" si="266"/>
        <v>0</v>
      </c>
      <c r="S588" s="78">
        <f t="shared" si="266"/>
        <v>0</v>
      </c>
      <c r="T588" s="78">
        <f t="shared" si="266"/>
        <v>0</v>
      </c>
      <c r="U588" s="78">
        <f t="shared" si="266"/>
        <v>0</v>
      </c>
      <c r="V588" s="78">
        <f t="shared" si="266"/>
        <v>0</v>
      </c>
      <c r="W588" s="78">
        <f t="shared" si="266"/>
        <v>0</v>
      </c>
      <c r="X588" s="78">
        <f t="shared" si="266"/>
        <v>0</v>
      </c>
      <c r="Y588" s="78">
        <f t="shared" si="266"/>
        <v>0</v>
      </c>
      <c r="Z588" s="78">
        <f t="shared" si="266"/>
        <v>0</v>
      </c>
      <c r="AA588" s="78">
        <f t="shared" si="267"/>
        <v>0</v>
      </c>
      <c r="AB588" s="92" t="str">
        <f t="shared" si="268"/>
        <v>ok</v>
      </c>
    </row>
    <row r="589" spans="1:28">
      <c r="A589" s="60" t="s">
        <v>374</v>
      </c>
      <c r="D589" s="60" t="s">
        <v>1036</v>
      </c>
      <c r="F589" s="75">
        <f>SUM(F583:F588)</f>
        <v>0</v>
      </c>
      <c r="G589" s="75">
        <f t="shared" ref="G589:P589" si="269">SUM(G583:G588)</f>
        <v>0</v>
      </c>
      <c r="H589" s="75">
        <f t="shared" si="269"/>
        <v>0</v>
      </c>
      <c r="I589" s="75">
        <f t="shared" si="269"/>
        <v>0</v>
      </c>
      <c r="J589" s="75">
        <f t="shared" si="269"/>
        <v>0</v>
      </c>
      <c r="K589" s="75">
        <f t="shared" si="269"/>
        <v>0</v>
      </c>
      <c r="L589" s="75">
        <f t="shared" si="269"/>
        <v>0</v>
      </c>
      <c r="M589" s="75">
        <f t="shared" si="269"/>
        <v>0</v>
      </c>
      <c r="N589" s="75">
        <f t="shared" si="269"/>
        <v>0</v>
      </c>
      <c r="O589" s="75">
        <f>SUM(O583:O588)</f>
        <v>0</v>
      </c>
      <c r="P589" s="75">
        <f t="shared" si="269"/>
        <v>0</v>
      </c>
      <c r="Q589" s="75">
        <f t="shared" ref="Q589:W589" si="270">SUM(Q583:Q588)</f>
        <v>0</v>
      </c>
      <c r="R589" s="75">
        <f t="shared" si="270"/>
        <v>0</v>
      </c>
      <c r="S589" s="75">
        <f t="shared" si="270"/>
        <v>0</v>
      </c>
      <c r="T589" s="75">
        <f t="shared" si="270"/>
        <v>0</v>
      </c>
      <c r="U589" s="75">
        <f t="shared" si="270"/>
        <v>0</v>
      </c>
      <c r="V589" s="75">
        <f t="shared" si="270"/>
        <v>0</v>
      </c>
      <c r="W589" s="75">
        <f t="shared" si="270"/>
        <v>0</v>
      </c>
      <c r="X589" s="75">
        <f>SUM(X583:X588)</f>
        <v>0</v>
      </c>
      <c r="Y589" s="75">
        <f>SUM(Y583:Y588)</f>
        <v>0</v>
      </c>
      <c r="Z589" s="75">
        <f>SUM(Z583:Z588)</f>
        <v>0</v>
      </c>
      <c r="AA589" s="79">
        <f t="shared" si="267"/>
        <v>0</v>
      </c>
      <c r="AB589" s="92" t="str">
        <f t="shared" si="268"/>
        <v>ok</v>
      </c>
    </row>
    <row r="590" spans="1:28">
      <c r="F590" s="78"/>
      <c r="G590" s="78"/>
    </row>
    <row r="591" spans="1:28" ht="15">
      <c r="A591" s="65" t="s">
        <v>1057</v>
      </c>
      <c r="F591" s="78"/>
      <c r="G591" s="78"/>
    </row>
    <row r="592" spans="1:28">
      <c r="A592" s="68" t="s">
        <v>1228</v>
      </c>
      <c r="C592" s="60" t="s">
        <v>1001</v>
      </c>
      <c r="D592" s="60" t="s">
        <v>548</v>
      </c>
      <c r="E592" s="60" t="s">
        <v>1232</v>
      </c>
      <c r="F592" s="75">
        <f>VLOOKUP(C592,'Functional Assignment'!$C$2:$AP$780,'Functional Assignment'!$N$2,)</f>
        <v>0</v>
      </c>
      <c r="G592" s="75">
        <f t="shared" ref="G592:P594" si="271">IF(VLOOKUP($E592,$D$6:$AN$1148,3,)=0,0,(VLOOKUP($E592,$D$6:$AN$1148,G$2,)/VLOOKUP($E592,$D$6:$AN$1148,3,))*$F592)</f>
        <v>0</v>
      </c>
      <c r="H592" s="75">
        <f t="shared" si="271"/>
        <v>0</v>
      </c>
      <c r="I592" s="75">
        <f t="shared" si="271"/>
        <v>0</v>
      </c>
      <c r="J592" s="75">
        <f t="shared" si="271"/>
        <v>0</v>
      </c>
      <c r="K592" s="75">
        <f t="shared" si="271"/>
        <v>0</v>
      </c>
      <c r="L592" s="75">
        <f t="shared" si="271"/>
        <v>0</v>
      </c>
      <c r="M592" s="75">
        <f t="shared" si="271"/>
        <v>0</v>
      </c>
      <c r="N592" s="75">
        <f t="shared" si="271"/>
        <v>0</v>
      </c>
      <c r="O592" s="75">
        <f t="shared" si="271"/>
        <v>0</v>
      </c>
      <c r="P592" s="75">
        <f t="shared" si="271"/>
        <v>0</v>
      </c>
      <c r="Q592" s="75">
        <f t="shared" ref="Q592:Z594" si="272">IF(VLOOKUP($E592,$D$6:$AN$1148,3,)=0,0,(VLOOKUP($E592,$D$6:$AN$1148,Q$2,)/VLOOKUP($E592,$D$6:$AN$1148,3,))*$F592)</f>
        <v>0</v>
      </c>
      <c r="R592" s="75">
        <f t="shared" si="272"/>
        <v>0</v>
      </c>
      <c r="S592" s="75">
        <f t="shared" si="272"/>
        <v>0</v>
      </c>
      <c r="T592" s="75">
        <f t="shared" si="272"/>
        <v>0</v>
      </c>
      <c r="U592" s="75">
        <f t="shared" si="272"/>
        <v>0</v>
      </c>
      <c r="V592" s="75">
        <f t="shared" si="272"/>
        <v>0</v>
      </c>
      <c r="W592" s="75">
        <f t="shared" si="272"/>
        <v>0</v>
      </c>
      <c r="X592" s="75">
        <f t="shared" si="272"/>
        <v>0</v>
      </c>
      <c r="Y592" s="75">
        <f t="shared" si="272"/>
        <v>0</v>
      </c>
      <c r="Z592" s="75">
        <f t="shared" si="272"/>
        <v>0</v>
      </c>
      <c r="AA592" s="79">
        <f>SUM(G592:Z592)</f>
        <v>0</v>
      </c>
      <c r="AB592" s="92" t="str">
        <f>IF(ABS(F592-AA592)&lt;0.01,"ok","err")</f>
        <v>ok</v>
      </c>
    </row>
    <row r="593" spans="1:28" hidden="1">
      <c r="A593" s="68" t="s">
        <v>1229</v>
      </c>
      <c r="C593" s="60" t="s">
        <v>1001</v>
      </c>
      <c r="D593" s="60" t="s">
        <v>549</v>
      </c>
      <c r="E593" s="60" t="s">
        <v>1232</v>
      </c>
      <c r="F593" s="78">
        <f>VLOOKUP(C593,'Functional Assignment'!$C$2:$AP$780,'Functional Assignment'!$O$2,)</f>
        <v>0</v>
      </c>
      <c r="G593" s="78">
        <f t="shared" si="271"/>
        <v>0</v>
      </c>
      <c r="H593" s="78">
        <f t="shared" si="271"/>
        <v>0</v>
      </c>
      <c r="I593" s="78">
        <f t="shared" si="271"/>
        <v>0</v>
      </c>
      <c r="J593" s="78">
        <f t="shared" si="271"/>
        <v>0</v>
      </c>
      <c r="K593" s="78">
        <f t="shared" si="271"/>
        <v>0</v>
      </c>
      <c r="L593" s="78">
        <f t="shared" si="271"/>
        <v>0</v>
      </c>
      <c r="M593" s="78">
        <f t="shared" si="271"/>
        <v>0</v>
      </c>
      <c r="N593" s="78">
        <f t="shared" si="271"/>
        <v>0</v>
      </c>
      <c r="O593" s="78">
        <f t="shared" si="271"/>
        <v>0</v>
      </c>
      <c r="P593" s="78">
        <f t="shared" si="271"/>
        <v>0</v>
      </c>
      <c r="Q593" s="78">
        <f t="shared" si="272"/>
        <v>0</v>
      </c>
      <c r="R593" s="78">
        <f t="shared" si="272"/>
        <v>0</v>
      </c>
      <c r="S593" s="78">
        <f t="shared" si="272"/>
        <v>0</v>
      </c>
      <c r="T593" s="78">
        <f t="shared" si="272"/>
        <v>0</v>
      </c>
      <c r="U593" s="78">
        <f t="shared" si="272"/>
        <v>0</v>
      </c>
      <c r="V593" s="78">
        <f t="shared" si="272"/>
        <v>0</v>
      </c>
      <c r="W593" s="78">
        <f t="shared" si="272"/>
        <v>0</v>
      </c>
      <c r="X593" s="78">
        <f t="shared" si="272"/>
        <v>0</v>
      </c>
      <c r="Y593" s="78">
        <f t="shared" si="272"/>
        <v>0</v>
      </c>
      <c r="Z593" s="78">
        <f t="shared" si="272"/>
        <v>0</v>
      </c>
      <c r="AA593" s="78">
        <f>SUM(G593:Z593)</f>
        <v>0</v>
      </c>
      <c r="AB593" s="92" t="str">
        <f>IF(ABS(F593-AA593)&lt;0.01,"ok","err")</f>
        <v>ok</v>
      </c>
    </row>
    <row r="594" spans="1:28" hidden="1">
      <c r="A594" s="68" t="s">
        <v>1229</v>
      </c>
      <c r="C594" s="60" t="s">
        <v>1001</v>
      </c>
      <c r="D594" s="60" t="s">
        <v>550</v>
      </c>
      <c r="E594" s="60" t="s">
        <v>1232</v>
      </c>
      <c r="F594" s="78">
        <f>VLOOKUP(C594,'Functional Assignment'!$C$2:$AP$780,'Functional Assignment'!$P$2,)</f>
        <v>0</v>
      </c>
      <c r="G594" s="78">
        <f t="shared" si="271"/>
        <v>0</v>
      </c>
      <c r="H594" s="78">
        <f t="shared" si="271"/>
        <v>0</v>
      </c>
      <c r="I594" s="78">
        <f t="shared" si="271"/>
        <v>0</v>
      </c>
      <c r="J594" s="78">
        <f t="shared" si="271"/>
        <v>0</v>
      </c>
      <c r="K594" s="78">
        <f t="shared" si="271"/>
        <v>0</v>
      </c>
      <c r="L594" s="78">
        <f t="shared" si="271"/>
        <v>0</v>
      </c>
      <c r="M594" s="78">
        <f t="shared" si="271"/>
        <v>0</v>
      </c>
      <c r="N594" s="78">
        <f t="shared" si="271"/>
        <v>0</v>
      </c>
      <c r="O594" s="78">
        <f t="shared" si="271"/>
        <v>0</v>
      </c>
      <c r="P594" s="78">
        <f t="shared" si="271"/>
        <v>0</v>
      </c>
      <c r="Q594" s="78">
        <f t="shared" si="272"/>
        <v>0</v>
      </c>
      <c r="R594" s="78">
        <f t="shared" si="272"/>
        <v>0</v>
      </c>
      <c r="S594" s="78">
        <f t="shared" si="272"/>
        <v>0</v>
      </c>
      <c r="T594" s="78">
        <f t="shared" si="272"/>
        <v>0</v>
      </c>
      <c r="U594" s="78">
        <f t="shared" si="272"/>
        <v>0</v>
      </c>
      <c r="V594" s="78">
        <f t="shared" si="272"/>
        <v>0</v>
      </c>
      <c r="W594" s="78">
        <f t="shared" si="272"/>
        <v>0</v>
      </c>
      <c r="X594" s="78">
        <f t="shared" si="272"/>
        <v>0</v>
      </c>
      <c r="Y594" s="78">
        <f t="shared" si="272"/>
        <v>0</v>
      </c>
      <c r="Z594" s="78">
        <f t="shared" si="272"/>
        <v>0</v>
      </c>
      <c r="AA594" s="78">
        <f>SUM(G594:Z594)</f>
        <v>0</v>
      </c>
      <c r="AB594" s="92" t="str">
        <f>IF(ABS(F594-AA594)&lt;0.01,"ok","err")</f>
        <v>ok</v>
      </c>
    </row>
    <row r="595" spans="1:28" hidden="1">
      <c r="A595" s="60" t="s">
        <v>1059</v>
      </c>
      <c r="D595" s="60" t="s">
        <v>551</v>
      </c>
      <c r="F595" s="75">
        <f>SUM(F592:F594)</f>
        <v>0</v>
      </c>
      <c r="G595" s="75">
        <f t="shared" ref="G595:W595" si="273">SUM(G592:G594)</f>
        <v>0</v>
      </c>
      <c r="H595" s="75">
        <f t="shared" si="273"/>
        <v>0</v>
      </c>
      <c r="I595" s="75">
        <f t="shared" si="273"/>
        <v>0</v>
      </c>
      <c r="J595" s="75">
        <f t="shared" si="273"/>
        <v>0</v>
      </c>
      <c r="K595" s="75">
        <f t="shared" si="273"/>
        <v>0</v>
      </c>
      <c r="L595" s="75">
        <f t="shared" si="273"/>
        <v>0</v>
      </c>
      <c r="M595" s="75">
        <f t="shared" si="273"/>
        <v>0</v>
      </c>
      <c r="N595" s="75">
        <f t="shared" si="273"/>
        <v>0</v>
      </c>
      <c r="O595" s="75">
        <f>SUM(O592:O594)</f>
        <v>0</v>
      </c>
      <c r="P595" s="75">
        <f t="shared" si="273"/>
        <v>0</v>
      </c>
      <c r="Q595" s="75">
        <f t="shared" si="273"/>
        <v>0</v>
      </c>
      <c r="R595" s="75">
        <f t="shared" si="273"/>
        <v>0</v>
      </c>
      <c r="S595" s="75">
        <f t="shared" si="273"/>
        <v>0</v>
      </c>
      <c r="T595" s="75">
        <f t="shared" si="273"/>
        <v>0</v>
      </c>
      <c r="U595" s="75">
        <f t="shared" si="273"/>
        <v>0</v>
      </c>
      <c r="V595" s="75">
        <f t="shared" si="273"/>
        <v>0</v>
      </c>
      <c r="W595" s="75">
        <f t="shared" si="273"/>
        <v>0</v>
      </c>
      <c r="X595" s="75">
        <f>SUM(X592:X594)</f>
        <v>0</v>
      </c>
      <c r="Y595" s="75">
        <f>SUM(Y592:Y594)</f>
        <v>0</v>
      </c>
      <c r="Z595" s="75">
        <f>SUM(Z592:Z594)</f>
        <v>0</v>
      </c>
      <c r="AA595" s="79">
        <f>SUM(G595:Z595)</f>
        <v>0</v>
      </c>
      <c r="AB595" s="92" t="str">
        <f>IF(ABS(F595-AA595)&lt;0.01,"ok","err")</f>
        <v>ok</v>
      </c>
    </row>
    <row r="596" spans="1:28">
      <c r="F596" s="78"/>
      <c r="G596" s="78"/>
    </row>
    <row r="597" spans="1:28" ht="15">
      <c r="A597" s="65" t="s">
        <v>337</v>
      </c>
      <c r="F597" s="78"/>
      <c r="G597" s="78"/>
    </row>
    <row r="598" spans="1:28">
      <c r="A598" s="68" t="s">
        <v>359</v>
      </c>
      <c r="C598" s="60" t="s">
        <v>1001</v>
      </c>
      <c r="D598" s="60" t="s">
        <v>552</v>
      </c>
      <c r="E598" s="60" t="s">
        <v>1233</v>
      </c>
      <c r="F598" s="75">
        <f>VLOOKUP(C598,'Functional Assignment'!$C$2:$AP$780,'Functional Assignment'!$Q$2,)</f>
        <v>0</v>
      </c>
      <c r="G598" s="75">
        <f t="shared" ref="G598:Z598" si="274">IF(VLOOKUP($E598,$D$6:$AN$1148,3,)=0,0,(VLOOKUP($E598,$D$6:$AN$1148,G$2,)/VLOOKUP($E598,$D$6:$AN$1148,3,))*$F598)</f>
        <v>0</v>
      </c>
      <c r="H598" s="75">
        <f t="shared" si="274"/>
        <v>0</v>
      </c>
      <c r="I598" s="75">
        <f t="shared" si="274"/>
        <v>0</v>
      </c>
      <c r="J598" s="75">
        <f t="shared" si="274"/>
        <v>0</v>
      </c>
      <c r="K598" s="75">
        <f t="shared" si="274"/>
        <v>0</v>
      </c>
      <c r="L598" s="75">
        <f t="shared" si="274"/>
        <v>0</v>
      </c>
      <c r="M598" s="75">
        <f t="shared" si="274"/>
        <v>0</v>
      </c>
      <c r="N598" s="75">
        <f t="shared" si="274"/>
        <v>0</v>
      </c>
      <c r="O598" s="75">
        <f t="shared" si="274"/>
        <v>0</v>
      </c>
      <c r="P598" s="75">
        <f t="shared" si="274"/>
        <v>0</v>
      </c>
      <c r="Q598" s="75">
        <f t="shared" si="274"/>
        <v>0</v>
      </c>
      <c r="R598" s="75">
        <f t="shared" si="274"/>
        <v>0</v>
      </c>
      <c r="S598" s="75">
        <f t="shared" si="274"/>
        <v>0</v>
      </c>
      <c r="T598" s="75">
        <f t="shared" si="274"/>
        <v>0</v>
      </c>
      <c r="U598" s="75">
        <f t="shared" si="274"/>
        <v>0</v>
      </c>
      <c r="V598" s="75">
        <f t="shared" si="274"/>
        <v>0</v>
      </c>
      <c r="W598" s="75">
        <f t="shared" si="274"/>
        <v>0</v>
      </c>
      <c r="X598" s="75">
        <f t="shared" si="274"/>
        <v>0</v>
      </c>
      <c r="Y598" s="75">
        <f t="shared" si="274"/>
        <v>0</v>
      </c>
      <c r="Z598" s="75">
        <f t="shared" si="274"/>
        <v>0</v>
      </c>
      <c r="AA598" s="79">
        <f>SUM(G598:Z598)</f>
        <v>0</v>
      </c>
      <c r="AB598" s="92" t="str">
        <f>IF(ABS(F598-AA598)&lt;0.01,"ok","err")</f>
        <v>ok</v>
      </c>
    </row>
    <row r="599" spans="1:28">
      <c r="F599" s="78"/>
    </row>
    <row r="600" spans="1:28" ht="15">
      <c r="A600" s="65" t="s">
        <v>338</v>
      </c>
      <c r="F600" s="78"/>
      <c r="G600" s="78"/>
    </row>
    <row r="601" spans="1:28">
      <c r="A601" s="68" t="s">
        <v>361</v>
      </c>
      <c r="C601" s="60" t="s">
        <v>1001</v>
      </c>
      <c r="D601" s="60" t="s">
        <v>553</v>
      </c>
      <c r="E601" s="60" t="s">
        <v>1233</v>
      </c>
      <c r="F601" s="75">
        <f>VLOOKUP(C601,'Functional Assignment'!$C$2:$AP$780,'Functional Assignment'!$R$2,)</f>
        <v>0</v>
      </c>
      <c r="G601" s="75">
        <f t="shared" ref="G601:Z601" si="275">IF(VLOOKUP($E601,$D$6:$AN$1148,3,)=0,0,(VLOOKUP($E601,$D$6:$AN$1148,G$2,)/VLOOKUP($E601,$D$6:$AN$1148,3,))*$F601)</f>
        <v>0</v>
      </c>
      <c r="H601" s="75">
        <f t="shared" si="275"/>
        <v>0</v>
      </c>
      <c r="I601" s="75">
        <f t="shared" si="275"/>
        <v>0</v>
      </c>
      <c r="J601" s="75">
        <f t="shared" si="275"/>
        <v>0</v>
      </c>
      <c r="K601" s="75">
        <f t="shared" si="275"/>
        <v>0</v>
      </c>
      <c r="L601" s="75">
        <f t="shared" si="275"/>
        <v>0</v>
      </c>
      <c r="M601" s="75">
        <f t="shared" si="275"/>
        <v>0</v>
      </c>
      <c r="N601" s="75">
        <f t="shared" si="275"/>
        <v>0</v>
      </c>
      <c r="O601" s="75">
        <f t="shared" si="275"/>
        <v>0</v>
      </c>
      <c r="P601" s="75">
        <f t="shared" si="275"/>
        <v>0</v>
      </c>
      <c r="Q601" s="75">
        <f t="shared" si="275"/>
        <v>0</v>
      </c>
      <c r="R601" s="75">
        <f t="shared" si="275"/>
        <v>0</v>
      </c>
      <c r="S601" s="75">
        <f t="shared" si="275"/>
        <v>0</v>
      </c>
      <c r="T601" s="75">
        <f t="shared" si="275"/>
        <v>0</v>
      </c>
      <c r="U601" s="75">
        <f t="shared" si="275"/>
        <v>0</v>
      </c>
      <c r="V601" s="75">
        <f t="shared" si="275"/>
        <v>0</v>
      </c>
      <c r="W601" s="75">
        <f t="shared" si="275"/>
        <v>0</v>
      </c>
      <c r="X601" s="75">
        <f t="shared" si="275"/>
        <v>0</v>
      </c>
      <c r="Y601" s="75">
        <f t="shared" si="275"/>
        <v>0</v>
      </c>
      <c r="Z601" s="75">
        <f t="shared" si="275"/>
        <v>0</v>
      </c>
      <c r="AA601" s="79">
        <f>SUM(G601:Z601)</f>
        <v>0</v>
      </c>
      <c r="AB601" s="92" t="str">
        <f>IF(ABS(F601-AA601)&lt;0.01,"ok","err")</f>
        <v>ok</v>
      </c>
    </row>
    <row r="602" spans="1:28">
      <c r="F602" s="78"/>
    </row>
    <row r="603" spans="1:28" ht="15">
      <c r="A603" s="65" t="s">
        <v>360</v>
      </c>
      <c r="F603" s="78"/>
    </row>
    <row r="604" spans="1:28">
      <c r="A604" s="68" t="s">
        <v>603</v>
      </c>
      <c r="C604" s="60" t="s">
        <v>1001</v>
      </c>
      <c r="D604" s="60" t="s">
        <v>554</v>
      </c>
      <c r="E604" s="60" t="s">
        <v>1233</v>
      </c>
      <c r="F604" s="75">
        <f>VLOOKUP(C604,'Functional Assignment'!$C$2:$AP$780,'Functional Assignment'!$S$2,)</f>
        <v>0</v>
      </c>
      <c r="G604" s="75">
        <f t="shared" ref="G604:P608" si="276">IF(VLOOKUP($E604,$D$6:$AN$1148,3,)=0,0,(VLOOKUP($E604,$D$6:$AN$1148,G$2,)/VLOOKUP($E604,$D$6:$AN$1148,3,))*$F604)</f>
        <v>0</v>
      </c>
      <c r="H604" s="75">
        <f t="shared" si="276"/>
        <v>0</v>
      </c>
      <c r="I604" s="75">
        <f t="shared" si="276"/>
        <v>0</v>
      </c>
      <c r="J604" s="75">
        <f t="shared" si="276"/>
        <v>0</v>
      </c>
      <c r="K604" s="75">
        <f t="shared" si="276"/>
        <v>0</v>
      </c>
      <c r="L604" s="75">
        <f t="shared" si="276"/>
        <v>0</v>
      </c>
      <c r="M604" s="75">
        <f t="shared" si="276"/>
        <v>0</v>
      </c>
      <c r="N604" s="75">
        <f t="shared" si="276"/>
        <v>0</v>
      </c>
      <c r="O604" s="75">
        <f t="shared" si="276"/>
        <v>0</v>
      </c>
      <c r="P604" s="75">
        <f t="shared" si="276"/>
        <v>0</v>
      </c>
      <c r="Q604" s="75">
        <f t="shared" ref="Q604:Z608" si="277">IF(VLOOKUP($E604,$D$6:$AN$1148,3,)=0,0,(VLOOKUP($E604,$D$6:$AN$1148,Q$2,)/VLOOKUP($E604,$D$6:$AN$1148,3,))*$F604)</f>
        <v>0</v>
      </c>
      <c r="R604" s="75">
        <f t="shared" si="277"/>
        <v>0</v>
      </c>
      <c r="S604" s="75">
        <f t="shared" si="277"/>
        <v>0</v>
      </c>
      <c r="T604" s="75">
        <f t="shared" si="277"/>
        <v>0</v>
      </c>
      <c r="U604" s="75">
        <f t="shared" si="277"/>
        <v>0</v>
      </c>
      <c r="V604" s="75">
        <f t="shared" si="277"/>
        <v>0</v>
      </c>
      <c r="W604" s="75">
        <f t="shared" si="277"/>
        <v>0</v>
      </c>
      <c r="X604" s="75">
        <f t="shared" si="277"/>
        <v>0</v>
      </c>
      <c r="Y604" s="75">
        <f t="shared" si="277"/>
        <v>0</v>
      </c>
      <c r="Z604" s="75">
        <f t="shared" si="277"/>
        <v>0</v>
      </c>
      <c r="AA604" s="79">
        <f t="shared" ref="AA604:AA609" si="278">SUM(G604:Z604)</f>
        <v>0</v>
      </c>
      <c r="AB604" s="92" t="str">
        <f t="shared" ref="AB604:AB609" si="279">IF(ABS(F604-AA604)&lt;0.01,"ok","err")</f>
        <v>ok</v>
      </c>
    </row>
    <row r="605" spans="1:28">
      <c r="A605" s="68" t="s">
        <v>604</v>
      </c>
      <c r="C605" s="60" t="s">
        <v>1001</v>
      </c>
      <c r="D605" s="60" t="s">
        <v>555</v>
      </c>
      <c r="E605" s="60" t="s">
        <v>1233</v>
      </c>
      <c r="F605" s="78">
        <f>VLOOKUP(C605,'Functional Assignment'!$C$2:$AP$780,'Functional Assignment'!$T$2,)</f>
        <v>0</v>
      </c>
      <c r="G605" s="78">
        <f t="shared" si="276"/>
        <v>0</v>
      </c>
      <c r="H605" s="78">
        <f t="shared" si="276"/>
        <v>0</v>
      </c>
      <c r="I605" s="78">
        <f t="shared" si="276"/>
        <v>0</v>
      </c>
      <c r="J605" s="78">
        <f t="shared" si="276"/>
        <v>0</v>
      </c>
      <c r="K605" s="78">
        <f t="shared" si="276"/>
        <v>0</v>
      </c>
      <c r="L605" s="78">
        <f t="shared" si="276"/>
        <v>0</v>
      </c>
      <c r="M605" s="78">
        <f t="shared" si="276"/>
        <v>0</v>
      </c>
      <c r="N605" s="78">
        <f t="shared" si="276"/>
        <v>0</v>
      </c>
      <c r="O605" s="78">
        <f t="shared" si="276"/>
        <v>0</v>
      </c>
      <c r="P605" s="78">
        <f t="shared" si="276"/>
        <v>0</v>
      </c>
      <c r="Q605" s="78">
        <f t="shared" si="277"/>
        <v>0</v>
      </c>
      <c r="R605" s="78">
        <f t="shared" si="277"/>
        <v>0</v>
      </c>
      <c r="S605" s="78">
        <f t="shared" si="277"/>
        <v>0</v>
      </c>
      <c r="T605" s="78">
        <f t="shared" si="277"/>
        <v>0</v>
      </c>
      <c r="U605" s="78">
        <f t="shared" si="277"/>
        <v>0</v>
      </c>
      <c r="V605" s="78">
        <f t="shared" si="277"/>
        <v>0</v>
      </c>
      <c r="W605" s="78">
        <f t="shared" si="277"/>
        <v>0</v>
      </c>
      <c r="X605" s="78">
        <f t="shared" si="277"/>
        <v>0</v>
      </c>
      <c r="Y605" s="78">
        <f t="shared" si="277"/>
        <v>0</v>
      </c>
      <c r="Z605" s="78">
        <f t="shared" si="277"/>
        <v>0</v>
      </c>
      <c r="AA605" s="78">
        <f t="shared" si="278"/>
        <v>0</v>
      </c>
      <c r="AB605" s="92" t="str">
        <f t="shared" si="279"/>
        <v>ok</v>
      </c>
    </row>
    <row r="606" spans="1:28">
      <c r="A606" s="68" t="s">
        <v>605</v>
      </c>
      <c r="C606" s="60" t="s">
        <v>1001</v>
      </c>
      <c r="D606" s="60" t="s">
        <v>556</v>
      </c>
      <c r="E606" s="60" t="s">
        <v>660</v>
      </c>
      <c r="F606" s="78">
        <f>VLOOKUP(C606,'Functional Assignment'!$C$2:$AP$780,'Functional Assignment'!$U$2,)</f>
        <v>0</v>
      </c>
      <c r="G606" s="78">
        <f t="shared" si="276"/>
        <v>0</v>
      </c>
      <c r="H606" s="78">
        <f t="shared" si="276"/>
        <v>0</v>
      </c>
      <c r="I606" s="78">
        <f t="shared" si="276"/>
        <v>0</v>
      </c>
      <c r="J606" s="78">
        <f t="shared" si="276"/>
        <v>0</v>
      </c>
      <c r="K606" s="78">
        <f t="shared" si="276"/>
        <v>0</v>
      </c>
      <c r="L606" s="78">
        <f t="shared" si="276"/>
        <v>0</v>
      </c>
      <c r="M606" s="78">
        <f t="shared" si="276"/>
        <v>0</v>
      </c>
      <c r="N606" s="78">
        <f t="shared" si="276"/>
        <v>0</v>
      </c>
      <c r="O606" s="78">
        <f t="shared" si="276"/>
        <v>0</v>
      </c>
      <c r="P606" s="78">
        <f t="shared" si="276"/>
        <v>0</v>
      </c>
      <c r="Q606" s="78">
        <f t="shared" si="277"/>
        <v>0</v>
      </c>
      <c r="R606" s="78">
        <f t="shared" si="277"/>
        <v>0</v>
      </c>
      <c r="S606" s="78">
        <f t="shared" si="277"/>
        <v>0</v>
      </c>
      <c r="T606" s="78">
        <f t="shared" si="277"/>
        <v>0</v>
      </c>
      <c r="U606" s="78">
        <f t="shared" si="277"/>
        <v>0</v>
      </c>
      <c r="V606" s="78">
        <f t="shared" si="277"/>
        <v>0</v>
      </c>
      <c r="W606" s="78">
        <f t="shared" si="277"/>
        <v>0</v>
      </c>
      <c r="X606" s="78">
        <f t="shared" si="277"/>
        <v>0</v>
      </c>
      <c r="Y606" s="78">
        <f t="shared" si="277"/>
        <v>0</v>
      </c>
      <c r="Z606" s="78">
        <f t="shared" si="277"/>
        <v>0</v>
      </c>
      <c r="AA606" s="78">
        <f t="shared" si="278"/>
        <v>0</v>
      </c>
      <c r="AB606" s="92" t="str">
        <f t="shared" si="279"/>
        <v>ok</v>
      </c>
    </row>
    <row r="607" spans="1:28">
      <c r="A607" s="68" t="s">
        <v>606</v>
      </c>
      <c r="C607" s="60" t="s">
        <v>1001</v>
      </c>
      <c r="D607" s="60" t="s">
        <v>557</v>
      </c>
      <c r="E607" s="60" t="s">
        <v>646</v>
      </c>
      <c r="F607" s="78">
        <f>VLOOKUP(C607,'Functional Assignment'!$C$2:$AP$780,'Functional Assignment'!$V$2,)</f>
        <v>0</v>
      </c>
      <c r="G607" s="78">
        <f t="shared" si="276"/>
        <v>0</v>
      </c>
      <c r="H607" s="78">
        <f t="shared" si="276"/>
        <v>0</v>
      </c>
      <c r="I607" s="78">
        <f t="shared" si="276"/>
        <v>0</v>
      </c>
      <c r="J607" s="78">
        <f t="shared" si="276"/>
        <v>0</v>
      </c>
      <c r="K607" s="78">
        <f t="shared" si="276"/>
        <v>0</v>
      </c>
      <c r="L607" s="78">
        <f t="shared" si="276"/>
        <v>0</v>
      </c>
      <c r="M607" s="78">
        <f t="shared" si="276"/>
        <v>0</v>
      </c>
      <c r="N607" s="78">
        <f t="shared" si="276"/>
        <v>0</v>
      </c>
      <c r="O607" s="78">
        <f t="shared" si="276"/>
        <v>0</v>
      </c>
      <c r="P607" s="78">
        <f t="shared" si="276"/>
        <v>0</v>
      </c>
      <c r="Q607" s="78">
        <f t="shared" si="277"/>
        <v>0</v>
      </c>
      <c r="R607" s="78">
        <f t="shared" si="277"/>
        <v>0</v>
      </c>
      <c r="S607" s="78">
        <f t="shared" si="277"/>
        <v>0</v>
      </c>
      <c r="T607" s="78">
        <f t="shared" si="277"/>
        <v>0</v>
      </c>
      <c r="U607" s="78">
        <f t="shared" si="277"/>
        <v>0</v>
      </c>
      <c r="V607" s="78">
        <f t="shared" si="277"/>
        <v>0</v>
      </c>
      <c r="W607" s="78">
        <f t="shared" si="277"/>
        <v>0</v>
      </c>
      <c r="X607" s="78">
        <f t="shared" si="277"/>
        <v>0</v>
      </c>
      <c r="Y607" s="78">
        <f t="shared" si="277"/>
        <v>0</v>
      </c>
      <c r="Z607" s="78">
        <f t="shared" si="277"/>
        <v>0</v>
      </c>
      <c r="AA607" s="78">
        <f t="shared" si="278"/>
        <v>0</v>
      </c>
      <c r="AB607" s="92" t="str">
        <f t="shared" si="279"/>
        <v>ok</v>
      </c>
    </row>
    <row r="608" spans="1:28">
      <c r="A608" s="68" t="s">
        <v>607</v>
      </c>
      <c r="C608" s="60" t="s">
        <v>1001</v>
      </c>
      <c r="D608" s="60" t="s">
        <v>558</v>
      </c>
      <c r="E608" s="60" t="s">
        <v>659</v>
      </c>
      <c r="F608" s="78">
        <f>VLOOKUP(C608,'Functional Assignment'!$C$2:$AP$780,'Functional Assignment'!$W$2,)</f>
        <v>0</v>
      </c>
      <c r="G608" s="78">
        <f t="shared" si="276"/>
        <v>0</v>
      </c>
      <c r="H608" s="78">
        <f t="shared" si="276"/>
        <v>0</v>
      </c>
      <c r="I608" s="78">
        <f t="shared" si="276"/>
        <v>0</v>
      </c>
      <c r="J608" s="78">
        <f t="shared" si="276"/>
        <v>0</v>
      </c>
      <c r="K608" s="78">
        <f t="shared" si="276"/>
        <v>0</v>
      </c>
      <c r="L608" s="78">
        <f t="shared" si="276"/>
        <v>0</v>
      </c>
      <c r="M608" s="78">
        <f t="shared" si="276"/>
        <v>0</v>
      </c>
      <c r="N608" s="78">
        <f t="shared" si="276"/>
        <v>0</v>
      </c>
      <c r="O608" s="78">
        <f t="shared" si="276"/>
        <v>0</v>
      </c>
      <c r="P608" s="78">
        <f t="shared" si="276"/>
        <v>0</v>
      </c>
      <c r="Q608" s="78">
        <f t="shared" si="277"/>
        <v>0</v>
      </c>
      <c r="R608" s="78">
        <f t="shared" si="277"/>
        <v>0</v>
      </c>
      <c r="S608" s="78">
        <f t="shared" si="277"/>
        <v>0</v>
      </c>
      <c r="T608" s="78">
        <f t="shared" si="277"/>
        <v>0</v>
      </c>
      <c r="U608" s="78">
        <f t="shared" si="277"/>
        <v>0</v>
      </c>
      <c r="V608" s="78">
        <f t="shared" si="277"/>
        <v>0</v>
      </c>
      <c r="W608" s="78">
        <f t="shared" si="277"/>
        <v>0</v>
      </c>
      <c r="X608" s="78">
        <f t="shared" si="277"/>
        <v>0</v>
      </c>
      <c r="Y608" s="78">
        <f t="shared" si="277"/>
        <v>0</v>
      </c>
      <c r="Z608" s="78">
        <f t="shared" si="277"/>
        <v>0</v>
      </c>
      <c r="AA608" s="78">
        <f t="shared" si="278"/>
        <v>0</v>
      </c>
      <c r="AB608" s="92" t="str">
        <f t="shared" si="279"/>
        <v>ok</v>
      </c>
    </row>
    <row r="609" spans="1:28">
      <c r="A609" s="60" t="s">
        <v>365</v>
      </c>
      <c r="D609" s="60" t="s">
        <v>559</v>
      </c>
      <c r="F609" s="75">
        <f>SUM(F604:F608)</f>
        <v>0</v>
      </c>
      <c r="G609" s="75">
        <f t="shared" ref="G609:W609" si="280">SUM(G604:G608)</f>
        <v>0</v>
      </c>
      <c r="H609" s="75">
        <f t="shared" si="280"/>
        <v>0</v>
      </c>
      <c r="I609" s="75">
        <f t="shared" si="280"/>
        <v>0</v>
      </c>
      <c r="J609" s="75">
        <f t="shared" si="280"/>
        <v>0</v>
      </c>
      <c r="K609" s="75">
        <f t="shared" si="280"/>
        <v>0</v>
      </c>
      <c r="L609" s="75">
        <f t="shared" si="280"/>
        <v>0</v>
      </c>
      <c r="M609" s="75">
        <f t="shared" si="280"/>
        <v>0</v>
      </c>
      <c r="N609" s="75">
        <f t="shared" si="280"/>
        <v>0</v>
      </c>
      <c r="O609" s="75">
        <f>SUM(O604:O608)</f>
        <v>0</v>
      </c>
      <c r="P609" s="75">
        <f t="shared" si="280"/>
        <v>0</v>
      </c>
      <c r="Q609" s="75">
        <f t="shared" si="280"/>
        <v>0</v>
      </c>
      <c r="R609" s="75">
        <f t="shared" si="280"/>
        <v>0</v>
      </c>
      <c r="S609" s="75">
        <f t="shared" si="280"/>
        <v>0</v>
      </c>
      <c r="T609" s="75">
        <f t="shared" si="280"/>
        <v>0</v>
      </c>
      <c r="U609" s="75">
        <f t="shared" si="280"/>
        <v>0</v>
      </c>
      <c r="V609" s="75">
        <f t="shared" si="280"/>
        <v>0</v>
      </c>
      <c r="W609" s="75">
        <f t="shared" si="280"/>
        <v>0</v>
      </c>
      <c r="X609" s="75">
        <f>SUM(X604:X608)</f>
        <v>0</v>
      </c>
      <c r="Y609" s="75">
        <f>SUM(Y604:Y608)</f>
        <v>0</v>
      </c>
      <c r="Z609" s="75">
        <f>SUM(Z604:Z608)</f>
        <v>0</v>
      </c>
      <c r="AA609" s="79">
        <f t="shared" si="278"/>
        <v>0</v>
      </c>
      <c r="AB609" s="92" t="str">
        <f t="shared" si="279"/>
        <v>ok</v>
      </c>
    </row>
    <row r="610" spans="1:28">
      <c r="F610" s="78"/>
    </row>
    <row r="611" spans="1:28" ht="15">
      <c r="A611" s="65" t="s">
        <v>613</v>
      </c>
      <c r="F611" s="78"/>
    </row>
    <row r="612" spans="1:28">
      <c r="A612" s="68" t="s">
        <v>1016</v>
      </c>
      <c r="C612" s="60" t="s">
        <v>1001</v>
      </c>
      <c r="D612" s="60" t="s">
        <v>560</v>
      </c>
      <c r="E612" s="60" t="s">
        <v>1209</v>
      </c>
      <c r="F612" s="75">
        <f>VLOOKUP(C612,'Functional Assignment'!$C$2:$AP$780,'Functional Assignment'!$X$2,)</f>
        <v>0</v>
      </c>
      <c r="G612" s="75">
        <f t="shared" ref="G612:P613" si="281">IF(VLOOKUP($E612,$D$6:$AN$1148,3,)=0,0,(VLOOKUP($E612,$D$6:$AN$1148,G$2,)/VLOOKUP($E612,$D$6:$AN$1148,3,))*$F612)</f>
        <v>0</v>
      </c>
      <c r="H612" s="75">
        <f t="shared" si="281"/>
        <v>0</v>
      </c>
      <c r="I612" s="75">
        <f t="shared" si="281"/>
        <v>0</v>
      </c>
      <c r="J612" s="75">
        <f t="shared" si="281"/>
        <v>0</v>
      </c>
      <c r="K612" s="75">
        <f t="shared" si="281"/>
        <v>0</v>
      </c>
      <c r="L612" s="75">
        <f t="shared" si="281"/>
        <v>0</v>
      </c>
      <c r="M612" s="75">
        <f t="shared" si="281"/>
        <v>0</v>
      </c>
      <c r="N612" s="75">
        <f t="shared" si="281"/>
        <v>0</v>
      </c>
      <c r="O612" s="75">
        <f t="shared" si="281"/>
        <v>0</v>
      </c>
      <c r="P612" s="75">
        <f t="shared" si="281"/>
        <v>0</v>
      </c>
      <c r="Q612" s="75">
        <f t="shared" ref="Q612:Z613" si="282">IF(VLOOKUP($E612,$D$6:$AN$1148,3,)=0,0,(VLOOKUP($E612,$D$6:$AN$1148,Q$2,)/VLOOKUP($E612,$D$6:$AN$1148,3,))*$F612)</f>
        <v>0</v>
      </c>
      <c r="R612" s="75">
        <f t="shared" si="282"/>
        <v>0</v>
      </c>
      <c r="S612" s="75">
        <f t="shared" si="282"/>
        <v>0</v>
      </c>
      <c r="T612" s="75">
        <f t="shared" si="282"/>
        <v>0</v>
      </c>
      <c r="U612" s="75">
        <f t="shared" si="282"/>
        <v>0</v>
      </c>
      <c r="V612" s="75">
        <f t="shared" si="282"/>
        <v>0</v>
      </c>
      <c r="W612" s="75">
        <f t="shared" si="282"/>
        <v>0</v>
      </c>
      <c r="X612" s="75">
        <f t="shared" si="282"/>
        <v>0</v>
      </c>
      <c r="Y612" s="75">
        <f t="shared" si="282"/>
        <v>0</v>
      </c>
      <c r="Z612" s="75">
        <f t="shared" si="282"/>
        <v>0</v>
      </c>
      <c r="AA612" s="79">
        <f>SUM(G612:Z612)</f>
        <v>0</v>
      </c>
      <c r="AB612" s="92" t="str">
        <f>IF(ABS(F612-AA612)&lt;0.01,"ok","err")</f>
        <v>ok</v>
      </c>
    </row>
    <row r="613" spans="1:28">
      <c r="A613" s="68" t="s">
        <v>1019</v>
      </c>
      <c r="C613" s="60" t="s">
        <v>1001</v>
      </c>
      <c r="D613" s="60" t="s">
        <v>561</v>
      </c>
      <c r="E613" s="60" t="s">
        <v>1207</v>
      </c>
      <c r="F613" s="78">
        <f>VLOOKUP(C613,'Functional Assignment'!$C$2:$AP$780,'Functional Assignment'!$Y$2,)</f>
        <v>0</v>
      </c>
      <c r="G613" s="78">
        <f t="shared" si="281"/>
        <v>0</v>
      </c>
      <c r="H613" s="78">
        <f t="shared" si="281"/>
        <v>0</v>
      </c>
      <c r="I613" s="78">
        <f t="shared" si="281"/>
        <v>0</v>
      </c>
      <c r="J613" s="78">
        <f t="shared" si="281"/>
        <v>0</v>
      </c>
      <c r="K613" s="78">
        <f t="shared" si="281"/>
        <v>0</v>
      </c>
      <c r="L613" s="78">
        <f t="shared" si="281"/>
        <v>0</v>
      </c>
      <c r="M613" s="78">
        <f t="shared" si="281"/>
        <v>0</v>
      </c>
      <c r="N613" s="78">
        <f t="shared" si="281"/>
        <v>0</v>
      </c>
      <c r="O613" s="78">
        <f t="shared" si="281"/>
        <v>0</v>
      </c>
      <c r="P613" s="78">
        <f t="shared" si="281"/>
        <v>0</v>
      </c>
      <c r="Q613" s="78">
        <f t="shared" si="282"/>
        <v>0</v>
      </c>
      <c r="R613" s="78">
        <f t="shared" si="282"/>
        <v>0</v>
      </c>
      <c r="S613" s="78">
        <f t="shared" si="282"/>
        <v>0</v>
      </c>
      <c r="T613" s="78">
        <f t="shared" si="282"/>
        <v>0</v>
      </c>
      <c r="U613" s="78">
        <f t="shared" si="282"/>
        <v>0</v>
      </c>
      <c r="V613" s="78">
        <f t="shared" si="282"/>
        <v>0</v>
      </c>
      <c r="W613" s="78">
        <f t="shared" si="282"/>
        <v>0</v>
      </c>
      <c r="X613" s="78">
        <f t="shared" si="282"/>
        <v>0</v>
      </c>
      <c r="Y613" s="78">
        <f t="shared" si="282"/>
        <v>0</v>
      </c>
      <c r="Z613" s="78">
        <f t="shared" si="282"/>
        <v>0</v>
      </c>
      <c r="AA613" s="78">
        <f>SUM(G613:Z613)</f>
        <v>0</v>
      </c>
      <c r="AB613" s="92" t="str">
        <f>IF(ABS(F613-AA613)&lt;0.01,"ok","err")</f>
        <v>ok</v>
      </c>
    </row>
    <row r="614" spans="1:28">
      <c r="A614" s="60" t="s">
        <v>674</v>
      </c>
      <c r="D614" s="60" t="s">
        <v>562</v>
      </c>
      <c r="F614" s="75">
        <f>F612+F613</f>
        <v>0</v>
      </c>
      <c r="G614" s="75">
        <f t="shared" ref="G614:W614" si="283">G612+G613</f>
        <v>0</v>
      </c>
      <c r="H614" s="75">
        <f t="shared" si="283"/>
        <v>0</v>
      </c>
      <c r="I614" s="75">
        <f t="shared" si="283"/>
        <v>0</v>
      </c>
      <c r="J614" s="75">
        <f t="shared" si="283"/>
        <v>0</v>
      </c>
      <c r="K614" s="75">
        <f t="shared" si="283"/>
        <v>0</v>
      </c>
      <c r="L614" s="75">
        <f t="shared" si="283"/>
        <v>0</v>
      </c>
      <c r="M614" s="75">
        <f t="shared" si="283"/>
        <v>0</v>
      </c>
      <c r="N614" s="75">
        <f t="shared" si="283"/>
        <v>0</v>
      </c>
      <c r="O614" s="75">
        <f>O612+O613</f>
        <v>0</v>
      </c>
      <c r="P614" s="75">
        <f t="shared" si="283"/>
        <v>0</v>
      </c>
      <c r="Q614" s="75">
        <f t="shared" si="283"/>
        <v>0</v>
      </c>
      <c r="R614" s="75">
        <f t="shared" si="283"/>
        <v>0</v>
      </c>
      <c r="S614" s="75">
        <f t="shared" si="283"/>
        <v>0</v>
      </c>
      <c r="T614" s="75">
        <f t="shared" si="283"/>
        <v>0</v>
      </c>
      <c r="U614" s="75">
        <f t="shared" si="283"/>
        <v>0</v>
      </c>
      <c r="V614" s="75">
        <f t="shared" si="283"/>
        <v>0</v>
      </c>
      <c r="W614" s="75">
        <f t="shared" si="283"/>
        <v>0</v>
      </c>
      <c r="X614" s="75">
        <f>X612+X613</f>
        <v>0</v>
      </c>
      <c r="Y614" s="75">
        <f>Y612+Y613</f>
        <v>0</v>
      </c>
      <c r="Z614" s="75">
        <f>Z612+Z613</f>
        <v>0</v>
      </c>
      <c r="AA614" s="79">
        <f>SUM(G614:Z614)</f>
        <v>0</v>
      </c>
      <c r="AB614" s="92" t="str">
        <f>IF(ABS(F614-AA614)&lt;0.01,"ok","err")</f>
        <v>ok</v>
      </c>
    </row>
    <row r="615" spans="1:28">
      <c r="F615" s="78"/>
    </row>
    <row r="616" spans="1:28" ht="15">
      <c r="A616" s="65" t="s">
        <v>343</v>
      </c>
      <c r="F616" s="78"/>
    </row>
    <row r="617" spans="1:28">
      <c r="A617" s="68" t="s">
        <v>1019</v>
      </c>
      <c r="C617" s="60" t="s">
        <v>1001</v>
      </c>
      <c r="D617" s="60" t="s">
        <v>563</v>
      </c>
      <c r="E617" s="60" t="s">
        <v>1021</v>
      </c>
      <c r="F617" s="75">
        <f>VLOOKUP(C617,'Functional Assignment'!$C$2:$AP$780,'Functional Assignment'!$Z$2,)</f>
        <v>0</v>
      </c>
      <c r="G617" s="75">
        <f t="shared" ref="G617:Z617" si="284">IF(VLOOKUP($E617,$D$6:$AN$1148,3,)=0,0,(VLOOKUP($E617,$D$6:$AN$1148,G$2,)/VLOOKUP($E617,$D$6:$AN$1148,3,))*$F617)</f>
        <v>0</v>
      </c>
      <c r="H617" s="75">
        <f t="shared" si="284"/>
        <v>0</v>
      </c>
      <c r="I617" s="75">
        <f t="shared" si="284"/>
        <v>0</v>
      </c>
      <c r="J617" s="75">
        <f t="shared" si="284"/>
        <v>0</v>
      </c>
      <c r="K617" s="75">
        <f t="shared" si="284"/>
        <v>0</v>
      </c>
      <c r="L617" s="75">
        <f t="shared" si="284"/>
        <v>0</v>
      </c>
      <c r="M617" s="75">
        <f t="shared" si="284"/>
        <v>0</v>
      </c>
      <c r="N617" s="75">
        <f t="shared" si="284"/>
        <v>0</v>
      </c>
      <c r="O617" s="75">
        <f t="shared" si="284"/>
        <v>0</v>
      </c>
      <c r="P617" s="75">
        <f t="shared" si="284"/>
        <v>0</v>
      </c>
      <c r="Q617" s="75">
        <f t="shared" si="284"/>
        <v>0</v>
      </c>
      <c r="R617" s="75">
        <f t="shared" si="284"/>
        <v>0</v>
      </c>
      <c r="S617" s="75">
        <f t="shared" si="284"/>
        <v>0</v>
      </c>
      <c r="T617" s="75">
        <f t="shared" si="284"/>
        <v>0</v>
      </c>
      <c r="U617" s="75">
        <f t="shared" si="284"/>
        <v>0</v>
      </c>
      <c r="V617" s="75">
        <f t="shared" si="284"/>
        <v>0</v>
      </c>
      <c r="W617" s="75">
        <f t="shared" si="284"/>
        <v>0</v>
      </c>
      <c r="X617" s="75">
        <f t="shared" si="284"/>
        <v>0</v>
      </c>
      <c r="Y617" s="75">
        <f t="shared" si="284"/>
        <v>0</v>
      </c>
      <c r="Z617" s="75">
        <f t="shared" si="284"/>
        <v>0</v>
      </c>
      <c r="AA617" s="79">
        <f>SUM(G617:Z617)</f>
        <v>0</v>
      </c>
      <c r="AB617" s="92" t="str">
        <f>IF(ABS(F617-AA617)&lt;0.01,"ok","err")</f>
        <v>ok</v>
      </c>
    </row>
    <row r="618" spans="1:28">
      <c r="F618" s="78"/>
    </row>
    <row r="619" spans="1:28" ht="15">
      <c r="A619" s="65" t="s">
        <v>342</v>
      </c>
      <c r="F619" s="78"/>
    </row>
    <row r="620" spans="1:28">
      <c r="A620" s="68" t="s">
        <v>1019</v>
      </c>
      <c r="C620" s="60" t="s">
        <v>1001</v>
      </c>
      <c r="D620" s="60" t="s">
        <v>564</v>
      </c>
      <c r="E620" s="60" t="s">
        <v>1022</v>
      </c>
      <c r="F620" s="75">
        <f>VLOOKUP(C620,'Functional Assignment'!$C$2:$AP$780,'Functional Assignment'!$AA$2,)</f>
        <v>0</v>
      </c>
      <c r="G620" s="75">
        <f t="shared" ref="G620:Z620" si="285">IF(VLOOKUP($E620,$D$6:$AN$1148,3,)=0,0,(VLOOKUP($E620,$D$6:$AN$1148,G$2,)/VLOOKUP($E620,$D$6:$AN$1148,3,))*$F620)</f>
        <v>0</v>
      </c>
      <c r="H620" s="75">
        <f t="shared" si="285"/>
        <v>0</v>
      </c>
      <c r="I620" s="75">
        <f t="shared" si="285"/>
        <v>0</v>
      </c>
      <c r="J620" s="75">
        <f t="shared" si="285"/>
        <v>0</v>
      </c>
      <c r="K620" s="75">
        <f t="shared" si="285"/>
        <v>0</v>
      </c>
      <c r="L620" s="75">
        <f t="shared" si="285"/>
        <v>0</v>
      </c>
      <c r="M620" s="75">
        <f t="shared" si="285"/>
        <v>0</v>
      </c>
      <c r="N620" s="75">
        <f t="shared" si="285"/>
        <v>0</v>
      </c>
      <c r="O620" s="75">
        <f t="shared" si="285"/>
        <v>0</v>
      </c>
      <c r="P620" s="75">
        <f t="shared" si="285"/>
        <v>0</v>
      </c>
      <c r="Q620" s="75">
        <f t="shared" si="285"/>
        <v>0</v>
      </c>
      <c r="R620" s="75">
        <f t="shared" si="285"/>
        <v>0</v>
      </c>
      <c r="S620" s="75">
        <f t="shared" si="285"/>
        <v>0</v>
      </c>
      <c r="T620" s="75">
        <f t="shared" si="285"/>
        <v>0</v>
      </c>
      <c r="U620" s="75">
        <f t="shared" si="285"/>
        <v>0</v>
      </c>
      <c r="V620" s="75">
        <f t="shared" si="285"/>
        <v>0</v>
      </c>
      <c r="W620" s="75">
        <f t="shared" si="285"/>
        <v>0</v>
      </c>
      <c r="X620" s="75">
        <f t="shared" si="285"/>
        <v>0</v>
      </c>
      <c r="Y620" s="75">
        <f t="shared" si="285"/>
        <v>0</v>
      </c>
      <c r="Z620" s="75">
        <f t="shared" si="285"/>
        <v>0</v>
      </c>
      <c r="AA620" s="79">
        <f>SUM(G620:Z620)</f>
        <v>0</v>
      </c>
      <c r="AB620" s="92" t="str">
        <f>IF(ABS(F620-AA620)&lt;0.01,"ok","err")</f>
        <v>ok</v>
      </c>
    </row>
    <row r="621" spans="1:28"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9"/>
    </row>
    <row r="622" spans="1:28" ht="15">
      <c r="A622" s="65" t="s">
        <v>358</v>
      </c>
      <c r="F622" s="78"/>
    </row>
    <row r="623" spans="1:28">
      <c r="A623" s="68" t="s">
        <v>1019</v>
      </c>
      <c r="C623" s="60" t="s">
        <v>1001</v>
      </c>
      <c r="D623" s="60" t="s">
        <v>565</v>
      </c>
      <c r="E623" s="60" t="s">
        <v>1023</v>
      </c>
      <c r="F623" s="75">
        <f>VLOOKUP(C623,'Functional Assignment'!$C$2:$AP$780,'Functional Assignment'!$AB$2,)</f>
        <v>0</v>
      </c>
      <c r="G623" s="75">
        <f t="shared" ref="G623:Z623" si="286">IF(VLOOKUP($E623,$D$6:$AN$1148,3,)=0,0,(VLOOKUP($E623,$D$6:$AN$1148,G$2,)/VLOOKUP($E623,$D$6:$AN$1148,3,))*$F623)</f>
        <v>0</v>
      </c>
      <c r="H623" s="75">
        <f t="shared" si="286"/>
        <v>0</v>
      </c>
      <c r="I623" s="75">
        <f t="shared" si="286"/>
        <v>0</v>
      </c>
      <c r="J623" s="75">
        <f t="shared" si="286"/>
        <v>0</v>
      </c>
      <c r="K623" s="75">
        <f t="shared" si="286"/>
        <v>0</v>
      </c>
      <c r="L623" s="75">
        <f t="shared" si="286"/>
        <v>0</v>
      </c>
      <c r="M623" s="75">
        <f t="shared" si="286"/>
        <v>0</v>
      </c>
      <c r="N623" s="75">
        <f t="shared" si="286"/>
        <v>0</v>
      </c>
      <c r="O623" s="75">
        <f t="shared" si="286"/>
        <v>0</v>
      </c>
      <c r="P623" s="75">
        <f t="shared" si="286"/>
        <v>0</v>
      </c>
      <c r="Q623" s="75">
        <f t="shared" si="286"/>
        <v>0</v>
      </c>
      <c r="R623" s="75">
        <f t="shared" si="286"/>
        <v>0</v>
      </c>
      <c r="S623" s="75">
        <f t="shared" si="286"/>
        <v>0</v>
      </c>
      <c r="T623" s="75">
        <f t="shared" si="286"/>
        <v>0</v>
      </c>
      <c r="U623" s="75">
        <f t="shared" si="286"/>
        <v>0</v>
      </c>
      <c r="V623" s="75">
        <f t="shared" si="286"/>
        <v>0</v>
      </c>
      <c r="W623" s="75">
        <f t="shared" si="286"/>
        <v>0</v>
      </c>
      <c r="X623" s="75">
        <f t="shared" si="286"/>
        <v>0</v>
      </c>
      <c r="Y623" s="75">
        <f t="shared" si="286"/>
        <v>0</v>
      </c>
      <c r="Z623" s="75">
        <f t="shared" si="286"/>
        <v>0</v>
      </c>
      <c r="AA623" s="79">
        <f>SUM(G623:Z623)</f>
        <v>0</v>
      </c>
      <c r="AB623" s="92" t="str">
        <f>IF(ABS(F623-AA623)&lt;0.01,"ok","err")</f>
        <v>ok</v>
      </c>
    </row>
    <row r="624" spans="1:28"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9"/>
    </row>
    <row r="625" spans="1:28" ht="15">
      <c r="A625" s="65" t="s">
        <v>951</v>
      </c>
      <c r="F625" s="78"/>
    </row>
    <row r="626" spans="1:28">
      <c r="A626" s="68" t="s">
        <v>1019</v>
      </c>
      <c r="C626" s="60" t="s">
        <v>1001</v>
      </c>
      <c r="D626" s="60" t="s">
        <v>566</v>
      </c>
      <c r="E626" s="60" t="s">
        <v>1024</v>
      </c>
      <c r="F626" s="75">
        <f>VLOOKUP(C626,'Functional Assignment'!$C$2:$AP$780,'Functional Assignment'!$AC$2,)</f>
        <v>0</v>
      </c>
      <c r="G626" s="75">
        <f t="shared" ref="G626:Z626" si="287">IF(VLOOKUP($E626,$D$6:$AN$1148,3,)=0,0,(VLOOKUP($E626,$D$6:$AN$1148,G$2,)/VLOOKUP($E626,$D$6:$AN$1148,3,))*$F626)</f>
        <v>0</v>
      </c>
      <c r="H626" s="75">
        <f t="shared" si="287"/>
        <v>0</v>
      </c>
      <c r="I626" s="75">
        <f t="shared" si="287"/>
        <v>0</v>
      </c>
      <c r="J626" s="75">
        <f t="shared" si="287"/>
        <v>0</v>
      </c>
      <c r="K626" s="75">
        <f t="shared" si="287"/>
        <v>0</v>
      </c>
      <c r="L626" s="75">
        <f t="shared" si="287"/>
        <v>0</v>
      </c>
      <c r="M626" s="75">
        <f t="shared" si="287"/>
        <v>0</v>
      </c>
      <c r="N626" s="75">
        <f t="shared" si="287"/>
        <v>0</v>
      </c>
      <c r="O626" s="75">
        <f t="shared" si="287"/>
        <v>0</v>
      </c>
      <c r="P626" s="75">
        <f t="shared" si="287"/>
        <v>0</v>
      </c>
      <c r="Q626" s="75">
        <f t="shared" si="287"/>
        <v>0</v>
      </c>
      <c r="R626" s="75">
        <f t="shared" si="287"/>
        <v>0</v>
      </c>
      <c r="S626" s="75">
        <f t="shared" si="287"/>
        <v>0</v>
      </c>
      <c r="T626" s="75">
        <f t="shared" si="287"/>
        <v>0</v>
      </c>
      <c r="U626" s="75">
        <f t="shared" si="287"/>
        <v>0</v>
      </c>
      <c r="V626" s="75">
        <f t="shared" si="287"/>
        <v>0</v>
      </c>
      <c r="W626" s="75">
        <f t="shared" si="287"/>
        <v>0</v>
      </c>
      <c r="X626" s="75">
        <f t="shared" si="287"/>
        <v>0</v>
      </c>
      <c r="Y626" s="75">
        <f t="shared" si="287"/>
        <v>0</v>
      </c>
      <c r="Z626" s="75">
        <f t="shared" si="287"/>
        <v>0</v>
      </c>
      <c r="AA626" s="79">
        <f>SUM(G626:Z626)</f>
        <v>0</v>
      </c>
      <c r="AB626" s="92" t="str">
        <f>IF(ABS(F626-AA626)&lt;0.01,"ok","err")</f>
        <v>ok</v>
      </c>
    </row>
    <row r="627" spans="1:28"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9"/>
    </row>
    <row r="628" spans="1:28" ht="15">
      <c r="A628" s="65" t="s">
        <v>340</v>
      </c>
      <c r="F628" s="78"/>
    </row>
    <row r="629" spans="1:28">
      <c r="A629" s="68" t="s">
        <v>1019</v>
      </c>
      <c r="C629" s="60" t="s">
        <v>1001</v>
      </c>
      <c r="D629" s="60" t="s">
        <v>567</v>
      </c>
      <c r="E629" s="60" t="s">
        <v>1024</v>
      </c>
      <c r="F629" s="75">
        <f>VLOOKUP(C629,'Functional Assignment'!$C$2:$AP$780,'Functional Assignment'!$AD$2,)</f>
        <v>0</v>
      </c>
      <c r="G629" s="75">
        <f t="shared" ref="G629:Z629" si="288">IF(VLOOKUP($E629,$D$6:$AN$1148,3,)=0,0,(VLOOKUP($E629,$D$6:$AN$1148,G$2,)/VLOOKUP($E629,$D$6:$AN$1148,3,))*$F629)</f>
        <v>0</v>
      </c>
      <c r="H629" s="75">
        <f t="shared" si="288"/>
        <v>0</v>
      </c>
      <c r="I629" s="75">
        <f t="shared" si="288"/>
        <v>0</v>
      </c>
      <c r="J629" s="75">
        <f t="shared" si="288"/>
        <v>0</v>
      </c>
      <c r="K629" s="75">
        <f t="shared" si="288"/>
        <v>0</v>
      </c>
      <c r="L629" s="75">
        <f t="shared" si="288"/>
        <v>0</v>
      </c>
      <c r="M629" s="75">
        <f t="shared" si="288"/>
        <v>0</v>
      </c>
      <c r="N629" s="75">
        <f t="shared" si="288"/>
        <v>0</v>
      </c>
      <c r="O629" s="75">
        <f t="shared" si="288"/>
        <v>0</v>
      </c>
      <c r="P629" s="75">
        <f t="shared" si="288"/>
        <v>0</v>
      </c>
      <c r="Q629" s="75">
        <f t="shared" si="288"/>
        <v>0</v>
      </c>
      <c r="R629" s="75">
        <f t="shared" si="288"/>
        <v>0</v>
      </c>
      <c r="S629" s="75">
        <f t="shared" si="288"/>
        <v>0</v>
      </c>
      <c r="T629" s="75">
        <f t="shared" si="288"/>
        <v>0</v>
      </c>
      <c r="U629" s="75">
        <f t="shared" si="288"/>
        <v>0</v>
      </c>
      <c r="V629" s="75">
        <f t="shared" si="288"/>
        <v>0</v>
      </c>
      <c r="W629" s="75">
        <f t="shared" si="288"/>
        <v>0</v>
      </c>
      <c r="X629" s="75">
        <f t="shared" si="288"/>
        <v>0</v>
      </c>
      <c r="Y629" s="75">
        <f t="shared" si="288"/>
        <v>0</v>
      </c>
      <c r="Z629" s="75">
        <f t="shared" si="288"/>
        <v>0</v>
      </c>
      <c r="AA629" s="79">
        <f>SUM(G629:Z629)</f>
        <v>0</v>
      </c>
      <c r="AB629" s="92" t="str">
        <f>IF(ABS(F629-AA629)&lt;0.01,"ok","err")</f>
        <v>ok</v>
      </c>
    </row>
    <row r="630" spans="1:28"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9"/>
    </row>
    <row r="631" spans="1:28" ht="15">
      <c r="A631" s="65" t="s">
        <v>339</v>
      </c>
      <c r="F631" s="78"/>
    </row>
    <row r="632" spans="1:28">
      <c r="A632" s="68" t="s">
        <v>1019</v>
      </c>
      <c r="C632" s="60" t="s">
        <v>1001</v>
      </c>
      <c r="D632" s="60" t="s">
        <v>568</v>
      </c>
      <c r="E632" s="60" t="s">
        <v>1025</v>
      </c>
      <c r="F632" s="75">
        <f>VLOOKUP(C632,'Functional Assignment'!$C$2:$AP$780,'Functional Assignment'!$AE$2,)</f>
        <v>0</v>
      </c>
      <c r="G632" s="75">
        <f t="shared" ref="G632:Z632" si="289">IF(VLOOKUP($E632,$D$6:$AN$1148,3,)=0,0,(VLOOKUP($E632,$D$6:$AN$1148,G$2,)/VLOOKUP($E632,$D$6:$AN$1148,3,))*$F632)</f>
        <v>0</v>
      </c>
      <c r="H632" s="75">
        <f t="shared" si="289"/>
        <v>0</v>
      </c>
      <c r="I632" s="75">
        <f t="shared" si="289"/>
        <v>0</v>
      </c>
      <c r="J632" s="75">
        <f t="shared" si="289"/>
        <v>0</v>
      </c>
      <c r="K632" s="75">
        <f t="shared" si="289"/>
        <v>0</v>
      </c>
      <c r="L632" s="75">
        <f t="shared" si="289"/>
        <v>0</v>
      </c>
      <c r="M632" s="75">
        <f t="shared" si="289"/>
        <v>0</v>
      </c>
      <c r="N632" s="75">
        <f t="shared" si="289"/>
        <v>0</v>
      </c>
      <c r="O632" s="75">
        <f t="shared" si="289"/>
        <v>0</v>
      </c>
      <c r="P632" s="75">
        <f t="shared" si="289"/>
        <v>0</v>
      </c>
      <c r="Q632" s="75">
        <f t="shared" si="289"/>
        <v>0</v>
      </c>
      <c r="R632" s="75">
        <f t="shared" si="289"/>
        <v>0</v>
      </c>
      <c r="S632" s="75">
        <f t="shared" si="289"/>
        <v>0</v>
      </c>
      <c r="T632" s="75">
        <f t="shared" si="289"/>
        <v>0</v>
      </c>
      <c r="U632" s="75">
        <f t="shared" si="289"/>
        <v>0</v>
      </c>
      <c r="V632" s="75">
        <f t="shared" si="289"/>
        <v>0</v>
      </c>
      <c r="W632" s="75">
        <f t="shared" si="289"/>
        <v>0</v>
      </c>
      <c r="X632" s="75">
        <f t="shared" si="289"/>
        <v>0</v>
      </c>
      <c r="Y632" s="75">
        <f t="shared" si="289"/>
        <v>0</v>
      </c>
      <c r="Z632" s="75">
        <f t="shared" si="289"/>
        <v>0</v>
      </c>
      <c r="AA632" s="79">
        <f>SUM(G632:Z632)</f>
        <v>0</v>
      </c>
      <c r="AB632" s="92" t="str">
        <f>IF(ABS(F632-AA632)&lt;0.01,"ok","err")</f>
        <v>ok</v>
      </c>
    </row>
    <row r="633" spans="1:28"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9"/>
    </row>
    <row r="634" spans="1:28">
      <c r="A634" s="60" t="s">
        <v>848</v>
      </c>
      <c r="D634" s="60" t="s">
        <v>1037</v>
      </c>
      <c r="F634" s="75">
        <f>F589+F595+F598+F601+F609+F614+F617+F620+F623+F626+F629+F632</f>
        <v>0</v>
      </c>
      <c r="G634" s="75">
        <f t="shared" ref="G634:Z634" si="290">G589+G595+G598+G601+G609+G614+G617+G620+G623+G626+G629+G632</f>
        <v>0</v>
      </c>
      <c r="H634" s="75">
        <f t="shared" si="290"/>
        <v>0</v>
      </c>
      <c r="I634" s="75">
        <f t="shared" si="290"/>
        <v>0</v>
      </c>
      <c r="J634" s="75">
        <f t="shared" si="290"/>
        <v>0</v>
      </c>
      <c r="K634" s="75">
        <f t="shared" si="290"/>
        <v>0</v>
      </c>
      <c r="L634" s="75">
        <f t="shared" si="290"/>
        <v>0</v>
      </c>
      <c r="M634" s="75">
        <f t="shared" si="290"/>
        <v>0</v>
      </c>
      <c r="N634" s="75">
        <f t="shared" si="290"/>
        <v>0</v>
      </c>
      <c r="O634" s="75">
        <f>O589+O595+O598+O601+O609+O614+O617+O620+O623+O626+O629+O632</f>
        <v>0</v>
      </c>
      <c r="P634" s="75">
        <f t="shared" si="290"/>
        <v>0</v>
      </c>
      <c r="Q634" s="75">
        <f t="shared" si="290"/>
        <v>0</v>
      </c>
      <c r="R634" s="75">
        <f t="shared" si="290"/>
        <v>0</v>
      </c>
      <c r="S634" s="75">
        <f t="shared" si="290"/>
        <v>0</v>
      </c>
      <c r="T634" s="75">
        <f t="shared" si="290"/>
        <v>0</v>
      </c>
      <c r="U634" s="75">
        <f t="shared" si="290"/>
        <v>0</v>
      </c>
      <c r="V634" s="75">
        <f t="shared" si="290"/>
        <v>0</v>
      </c>
      <c r="W634" s="75">
        <f t="shared" si="290"/>
        <v>0</v>
      </c>
      <c r="X634" s="75">
        <f t="shared" si="290"/>
        <v>0</v>
      </c>
      <c r="Y634" s="75">
        <f t="shared" si="290"/>
        <v>0</v>
      </c>
      <c r="Z634" s="75">
        <f t="shared" si="290"/>
        <v>0</v>
      </c>
      <c r="AA634" s="79">
        <f>SUM(G634:Z634)</f>
        <v>0</v>
      </c>
      <c r="AB634" s="92" t="str">
        <f>IF(ABS(F634-AA634)&lt;0.01,"ok","err")</f>
        <v>ok</v>
      </c>
    </row>
    <row r="635" spans="1:28"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9"/>
      <c r="AB635" s="92"/>
    </row>
    <row r="636" spans="1:28"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9"/>
      <c r="AB636" s="92"/>
    </row>
    <row r="637" spans="1:28" ht="15">
      <c r="A637" s="65" t="s">
        <v>766</v>
      </c>
    </row>
    <row r="639" spans="1:28" ht="15">
      <c r="A639" s="65" t="s">
        <v>352</v>
      </c>
    </row>
    <row r="640" spans="1:28">
      <c r="A640" s="68" t="s">
        <v>1254</v>
      </c>
      <c r="C640" s="60" t="s">
        <v>1002</v>
      </c>
      <c r="D640" s="60" t="s">
        <v>1435</v>
      </c>
      <c r="E640" s="60" t="s">
        <v>1368</v>
      </c>
      <c r="F640" s="75">
        <f>VLOOKUP(C640,'Functional Assignment'!$C$2:$AP$780,'Functional Assignment'!$H$2,)</f>
        <v>45829810.507106677</v>
      </c>
      <c r="G640" s="75">
        <f t="shared" ref="G640:P645" si="291">IF(VLOOKUP($E640,$D$6:$AN$1148,3,)=0,0,(VLOOKUP($E640,$D$6:$AN$1148,G$2,)/VLOOKUP($E640,$D$6:$AN$1148,3,))*$F640)</f>
        <v>19098901.087674472</v>
      </c>
      <c r="H640" s="75">
        <f t="shared" si="291"/>
        <v>5497750.7515545925</v>
      </c>
      <c r="I640" s="75">
        <f t="shared" si="291"/>
        <v>398031.90641142568</v>
      </c>
      <c r="J640" s="75">
        <f t="shared" si="291"/>
        <v>6409425.3260240555</v>
      </c>
      <c r="K640" s="75">
        <f t="shared" si="291"/>
        <v>6007497.3194085164</v>
      </c>
      <c r="L640" s="75">
        <f t="shared" si="291"/>
        <v>4968049.5225373125</v>
      </c>
      <c r="M640" s="75">
        <f t="shared" si="291"/>
        <v>3073368.6399409557</v>
      </c>
      <c r="N640" s="75">
        <f t="shared" si="291"/>
        <v>172559.05086495096</v>
      </c>
      <c r="O640" s="75">
        <f t="shared" si="291"/>
        <v>188530.57025365668</v>
      </c>
      <c r="P640" s="75">
        <f t="shared" si="291"/>
        <v>6566.5236081241455</v>
      </c>
      <c r="Q640" s="75">
        <f t="shared" ref="Q640:Z645" si="292">IF(VLOOKUP($E640,$D$6:$AN$1148,3,)=0,0,(VLOOKUP($E640,$D$6:$AN$1148,Q$2,)/VLOOKUP($E640,$D$6:$AN$1148,3,))*$F640)</f>
        <v>9043.019632402873</v>
      </c>
      <c r="R640" s="75">
        <f t="shared" si="292"/>
        <v>8.7805665155277968</v>
      </c>
      <c r="S640" s="75">
        <f t="shared" si="292"/>
        <v>78.008629688923023</v>
      </c>
      <c r="T640" s="75">
        <f t="shared" si="292"/>
        <v>0</v>
      </c>
      <c r="U640" s="75">
        <f t="shared" si="292"/>
        <v>0</v>
      </c>
      <c r="V640" s="75">
        <f t="shared" si="292"/>
        <v>0</v>
      </c>
      <c r="W640" s="75">
        <f t="shared" si="292"/>
        <v>0</v>
      </c>
      <c r="X640" s="75">
        <f t="shared" si="292"/>
        <v>0</v>
      </c>
      <c r="Y640" s="75">
        <f t="shared" si="292"/>
        <v>0</v>
      </c>
      <c r="Z640" s="75">
        <f t="shared" si="292"/>
        <v>0</v>
      </c>
      <c r="AA640" s="79">
        <f t="shared" ref="AA640:AA646" si="293">SUM(G640:Z640)</f>
        <v>45829810.507106669</v>
      </c>
      <c r="AB640" s="92" t="str">
        <f t="shared" ref="AB640:AB646" si="294">IF(ABS(F640-AA640)&lt;0.01,"ok","err")</f>
        <v>ok</v>
      </c>
    </row>
    <row r="641" spans="1:28" hidden="1">
      <c r="A641" s="68" t="s">
        <v>1255</v>
      </c>
      <c r="C641" s="60" t="s">
        <v>1002</v>
      </c>
      <c r="D641" s="60" t="s">
        <v>767</v>
      </c>
      <c r="E641" s="60" t="s">
        <v>1406</v>
      </c>
      <c r="F641" s="78">
        <f>VLOOKUP(C641,'Functional Assignment'!$C$2:$AP$780,'Functional Assignment'!$I$2,)</f>
        <v>0</v>
      </c>
      <c r="G641" s="78">
        <f t="shared" si="291"/>
        <v>0</v>
      </c>
      <c r="H641" s="78">
        <f t="shared" si="291"/>
        <v>0</v>
      </c>
      <c r="I641" s="78">
        <f t="shared" si="291"/>
        <v>0</v>
      </c>
      <c r="J641" s="78">
        <f t="shared" si="291"/>
        <v>0</v>
      </c>
      <c r="K641" s="78">
        <f t="shared" si="291"/>
        <v>0</v>
      </c>
      <c r="L641" s="78">
        <f t="shared" si="291"/>
        <v>0</v>
      </c>
      <c r="M641" s="78">
        <f t="shared" si="291"/>
        <v>0</v>
      </c>
      <c r="N641" s="78">
        <f t="shared" si="291"/>
        <v>0</v>
      </c>
      <c r="O641" s="78">
        <f t="shared" si="291"/>
        <v>0</v>
      </c>
      <c r="P641" s="78">
        <f t="shared" si="291"/>
        <v>0</v>
      </c>
      <c r="Q641" s="78">
        <f t="shared" si="292"/>
        <v>0</v>
      </c>
      <c r="R641" s="78">
        <f t="shared" si="292"/>
        <v>0</v>
      </c>
      <c r="S641" s="78">
        <f t="shared" si="292"/>
        <v>0</v>
      </c>
      <c r="T641" s="78">
        <f t="shared" si="292"/>
        <v>0</v>
      </c>
      <c r="U641" s="78">
        <f t="shared" si="292"/>
        <v>0</v>
      </c>
      <c r="V641" s="78">
        <f t="shared" si="292"/>
        <v>0</v>
      </c>
      <c r="W641" s="78">
        <f t="shared" si="292"/>
        <v>0</v>
      </c>
      <c r="X641" s="78">
        <f t="shared" si="292"/>
        <v>0</v>
      </c>
      <c r="Y641" s="78">
        <f t="shared" si="292"/>
        <v>0</v>
      </c>
      <c r="Z641" s="78">
        <f t="shared" si="292"/>
        <v>0</v>
      </c>
      <c r="AA641" s="78">
        <f t="shared" si="293"/>
        <v>0</v>
      </c>
      <c r="AB641" s="92" t="str">
        <f t="shared" si="294"/>
        <v>ok</v>
      </c>
    </row>
    <row r="642" spans="1:28" hidden="1">
      <c r="A642" s="68" t="s">
        <v>1255</v>
      </c>
      <c r="C642" s="60" t="s">
        <v>1002</v>
      </c>
      <c r="D642" s="60" t="s">
        <v>768</v>
      </c>
      <c r="E642" s="60" t="s">
        <v>1406</v>
      </c>
      <c r="F642" s="78">
        <f>VLOOKUP(C642,'Functional Assignment'!$C$2:$AP$780,'Functional Assignment'!$J$2,)</f>
        <v>0</v>
      </c>
      <c r="G642" s="78">
        <f t="shared" si="291"/>
        <v>0</v>
      </c>
      <c r="H642" s="78">
        <f t="shared" si="291"/>
        <v>0</v>
      </c>
      <c r="I642" s="78">
        <f t="shared" si="291"/>
        <v>0</v>
      </c>
      <c r="J642" s="78">
        <f t="shared" si="291"/>
        <v>0</v>
      </c>
      <c r="K642" s="78">
        <f t="shared" si="291"/>
        <v>0</v>
      </c>
      <c r="L642" s="78">
        <f t="shared" si="291"/>
        <v>0</v>
      </c>
      <c r="M642" s="78">
        <f t="shared" si="291"/>
        <v>0</v>
      </c>
      <c r="N642" s="78">
        <f t="shared" si="291"/>
        <v>0</v>
      </c>
      <c r="O642" s="78">
        <f t="shared" si="291"/>
        <v>0</v>
      </c>
      <c r="P642" s="78">
        <f t="shared" si="291"/>
        <v>0</v>
      </c>
      <c r="Q642" s="78">
        <f t="shared" si="292"/>
        <v>0</v>
      </c>
      <c r="R642" s="78">
        <f t="shared" si="292"/>
        <v>0</v>
      </c>
      <c r="S642" s="78">
        <f t="shared" si="292"/>
        <v>0</v>
      </c>
      <c r="T642" s="78">
        <f t="shared" si="292"/>
        <v>0</v>
      </c>
      <c r="U642" s="78">
        <f t="shared" si="292"/>
        <v>0</v>
      </c>
      <c r="V642" s="78">
        <f t="shared" si="292"/>
        <v>0</v>
      </c>
      <c r="W642" s="78">
        <f t="shared" si="292"/>
        <v>0</v>
      </c>
      <c r="X642" s="78">
        <f t="shared" si="292"/>
        <v>0</v>
      </c>
      <c r="Y642" s="78">
        <f t="shared" si="292"/>
        <v>0</v>
      </c>
      <c r="Z642" s="78">
        <f t="shared" si="292"/>
        <v>0</v>
      </c>
      <c r="AA642" s="78">
        <f t="shared" si="293"/>
        <v>0</v>
      </c>
      <c r="AB642" s="92" t="str">
        <f t="shared" si="294"/>
        <v>ok</v>
      </c>
    </row>
    <row r="643" spans="1:28">
      <c r="A643" s="68" t="s">
        <v>1162</v>
      </c>
      <c r="C643" s="60" t="s">
        <v>1002</v>
      </c>
      <c r="D643" s="60" t="s">
        <v>769</v>
      </c>
      <c r="E643" s="60" t="s">
        <v>1017</v>
      </c>
      <c r="F643" s="78">
        <f>VLOOKUP(C643,'Functional Assignment'!$C$2:$AP$780,'Functional Assignment'!$K$2,)</f>
        <v>0</v>
      </c>
      <c r="G643" s="78">
        <f t="shared" si="291"/>
        <v>0</v>
      </c>
      <c r="H643" s="78">
        <f t="shared" si="291"/>
        <v>0</v>
      </c>
      <c r="I643" s="78">
        <f t="shared" si="291"/>
        <v>0</v>
      </c>
      <c r="J643" s="78">
        <f t="shared" si="291"/>
        <v>0</v>
      </c>
      <c r="K643" s="78">
        <f t="shared" si="291"/>
        <v>0</v>
      </c>
      <c r="L643" s="78">
        <f t="shared" si="291"/>
        <v>0</v>
      </c>
      <c r="M643" s="78">
        <f t="shared" si="291"/>
        <v>0</v>
      </c>
      <c r="N643" s="78">
        <f t="shared" si="291"/>
        <v>0</v>
      </c>
      <c r="O643" s="78">
        <f t="shared" si="291"/>
        <v>0</v>
      </c>
      <c r="P643" s="78">
        <f t="shared" si="291"/>
        <v>0</v>
      </c>
      <c r="Q643" s="78">
        <f t="shared" si="292"/>
        <v>0</v>
      </c>
      <c r="R643" s="78">
        <f t="shared" si="292"/>
        <v>0</v>
      </c>
      <c r="S643" s="78">
        <f t="shared" si="292"/>
        <v>0</v>
      </c>
      <c r="T643" s="78">
        <f t="shared" si="292"/>
        <v>0</v>
      </c>
      <c r="U643" s="78">
        <f t="shared" si="292"/>
        <v>0</v>
      </c>
      <c r="V643" s="78">
        <f t="shared" si="292"/>
        <v>0</v>
      </c>
      <c r="W643" s="78">
        <f t="shared" si="292"/>
        <v>0</v>
      </c>
      <c r="X643" s="78">
        <f t="shared" si="292"/>
        <v>0</v>
      </c>
      <c r="Y643" s="78">
        <f t="shared" si="292"/>
        <v>0</v>
      </c>
      <c r="Z643" s="78">
        <f t="shared" si="292"/>
        <v>0</v>
      </c>
      <c r="AA643" s="78">
        <f t="shared" si="293"/>
        <v>0</v>
      </c>
      <c r="AB643" s="92" t="str">
        <f t="shared" si="294"/>
        <v>ok</v>
      </c>
    </row>
    <row r="644" spans="1:28" hidden="1">
      <c r="A644" s="68" t="s">
        <v>1163</v>
      </c>
      <c r="C644" s="60" t="s">
        <v>1002</v>
      </c>
      <c r="D644" s="60" t="s">
        <v>770</v>
      </c>
      <c r="E644" s="60" t="s">
        <v>1017</v>
      </c>
      <c r="F644" s="78">
        <f>VLOOKUP(C644,'Functional Assignment'!$C$2:$AP$780,'Functional Assignment'!$L$2,)</f>
        <v>0</v>
      </c>
      <c r="G644" s="78">
        <f t="shared" si="291"/>
        <v>0</v>
      </c>
      <c r="H644" s="78">
        <f t="shared" si="291"/>
        <v>0</v>
      </c>
      <c r="I644" s="78">
        <f t="shared" si="291"/>
        <v>0</v>
      </c>
      <c r="J644" s="78">
        <f t="shared" si="291"/>
        <v>0</v>
      </c>
      <c r="K644" s="78">
        <f t="shared" si="291"/>
        <v>0</v>
      </c>
      <c r="L644" s="78">
        <f t="shared" si="291"/>
        <v>0</v>
      </c>
      <c r="M644" s="78">
        <f t="shared" si="291"/>
        <v>0</v>
      </c>
      <c r="N644" s="78">
        <f t="shared" si="291"/>
        <v>0</v>
      </c>
      <c r="O644" s="78">
        <f t="shared" si="291"/>
        <v>0</v>
      </c>
      <c r="P644" s="78">
        <f t="shared" si="291"/>
        <v>0</v>
      </c>
      <c r="Q644" s="78">
        <f t="shared" si="292"/>
        <v>0</v>
      </c>
      <c r="R644" s="78">
        <f t="shared" si="292"/>
        <v>0</v>
      </c>
      <c r="S644" s="78">
        <f t="shared" si="292"/>
        <v>0</v>
      </c>
      <c r="T644" s="78">
        <f t="shared" si="292"/>
        <v>0</v>
      </c>
      <c r="U644" s="78">
        <f t="shared" si="292"/>
        <v>0</v>
      </c>
      <c r="V644" s="78">
        <f t="shared" si="292"/>
        <v>0</v>
      </c>
      <c r="W644" s="78">
        <f t="shared" si="292"/>
        <v>0</v>
      </c>
      <c r="X644" s="78">
        <f t="shared" si="292"/>
        <v>0</v>
      </c>
      <c r="Y644" s="78">
        <f t="shared" si="292"/>
        <v>0</v>
      </c>
      <c r="Z644" s="78">
        <f t="shared" si="292"/>
        <v>0</v>
      </c>
      <c r="AA644" s="78">
        <f t="shared" si="293"/>
        <v>0</v>
      </c>
      <c r="AB644" s="92" t="str">
        <f t="shared" si="294"/>
        <v>ok</v>
      </c>
    </row>
    <row r="645" spans="1:28" hidden="1">
      <c r="A645" s="68" t="s">
        <v>1163</v>
      </c>
      <c r="C645" s="60" t="s">
        <v>1002</v>
      </c>
      <c r="D645" s="60" t="s">
        <v>771</v>
      </c>
      <c r="E645" s="60" t="s">
        <v>1017</v>
      </c>
      <c r="F645" s="78">
        <f>VLOOKUP(C645,'Functional Assignment'!$C$2:$AP$780,'Functional Assignment'!$M$2,)</f>
        <v>0</v>
      </c>
      <c r="G645" s="78">
        <f t="shared" si="291"/>
        <v>0</v>
      </c>
      <c r="H645" s="78">
        <f t="shared" si="291"/>
        <v>0</v>
      </c>
      <c r="I645" s="78">
        <f t="shared" si="291"/>
        <v>0</v>
      </c>
      <c r="J645" s="78">
        <f t="shared" si="291"/>
        <v>0</v>
      </c>
      <c r="K645" s="78">
        <f t="shared" si="291"/>
        <v>0</v>
      </c>
      <c r="L645" s="78">
        <f t="shared" si="291"/>
        <v>0</v>
      </c>
      <c r="M645" s="78">
        <f t="shared" si="291"/>
        <v>0</v>
      </c>
      <c r="N645" s="78">
        <f t="shared" si="291"/>
        <v>0</v>
      </c>
      <c r="O645" s="78">
        <f t="shared" si="291"/>
        <v>0</v>
      </c>
      <c r="P645" s="78">
        <f t="shared" si="291"/>
        <v>0</v>
      </c>
      <c r="Q645" s="78">
        <f t="shared" si="292"/>
        <v>0</v>
      </c>
      <c r="R645" s="78">
        <f t="shared" si="292"/>
        <v>0</v>
      </c>
      <c r="S645" s="78">
        <f t="shared" si="292"/>
        <v>0</v>
      </c>
      <c r="T645" s="78">
        <f t="shared" si="292"/>
        <v>0</v>
      </c>
      <c r="U645" s="78">
        <f t="shared" si="292"/>
        <v>0</v>
      </c>
      <c r="V645" s="78">
        <f t="shared" si="292"/>
        <v>0</v>
      </c>
      <c r="W645" s="78">
        <f t="shared" si="292"/>
        <v>0</v>
      </c>
      <c r="X645" s="78">
        <f t="shared" si="292"/>
        <v>0</v>
      </c>
      <c r="Y645" s="78">
        <f t="shared" si="292"/>
        <v>0</v>
      </c>
      <c r="Z645" s="78">
        <f t="shared" si="292"/>
        <v>0</v>
      </c>
      <c r="AA645" s="78">
        <f t="shared" si="293"/>
        <v>0</v>
      </c>
      <c r="AB645" s="92" t="str">
        <f t="shared" si="294"/>
        <v>ok</v>
      </c>
    </row>
    <row r="646" spans="1:28">
      <c r="A646" s="60" t="s">
        <v>374</v>
      </c>
      <c r="D646" s="60" t="s">
        <v>772</v>
      </c>
      <c r="F646" s="75">
        <f>SUM(F640:F645)</f>
        <v>45829810.507106677</v>
      </c>
      <c r="G646" s="75">
        <f t="shared" ref="G646:W646" si="295">SUM(G640:G645)</f>
        <v>19098901.087674472</v>
      </c>
      <c r="H646" s="75">
        <f t="shared" si="295"/>
        <v>5497750.7515545925</v>
      </c>
      <c r="I646" s="75">
        <f t="shared" si="295"/>
        <v>398031.90641142568</v>
      </c>
      <c r="J646" s="75">
        <f t="shared" si="295"/>
        <v>6409425.3260240555</v>
      </c>
      <c r="K646" s="75">
        <f t="shared" si="295"/>
        <v>6007497.3194085164</v>
      </c>
      <c r="L646" s="75">
        <f t="shared" si="295"/>
        <v>4968049.5225373125</v>
      </c>
      <c r="M646" s="75">
        <f t="shared" si="295"/>
        <v>3073368.6399409557</v>
      </c>
      <c r="N646" s="75">
        <f t="shared" si="295"/>
        <v>172559.05086495096</v>
      </c>
      <c r="O646" s="75">
        <f>SUM(O640:O645)</f>
        <v>188530.57025365668</v>
      </c>
      <c r="P646" s="75">
        <f t="shared" si="295"/>
        <v>6566.5236081241455</v>
      </c>
      <c r="Q646" s="75">
        <f t="shared" si="295"/>
        <v>9043.019632402873</v>
      </c>
      <c r="R646" s="75">
        <f t="shared" si="295"/>
        <v>8.7805665155277968</v>
      </c>
      <c r="S646" s="75">
        <f t="shared" si="295"/>
        <v>78.008629688923023</v>
      </c>
      <c r="T646" s="75">
        <f t="shared" si="295"/>
        <v>0</v>
      </c>
      <c r="U646" s="75">
        <f t="shared" si="295"/>
        <v>0</v>
      </c>
      <c r="V646" s="75">
        <f t="shared" si="295"/>
        <v>0</v>
      </c>
      <c r="W646" s="75">
        <f t="shared" si="295"/>
        <v>0</v>
      </c>
      <c r="X646" s="75">
        <f>SUM(X640:X645)</f>
        <v>0</v>
      </c>
      <c r="Y646" s="75">
        <f>SUM(Y640:Y645)</f>
        <v>0</v>
      </c>
      <c r="Z646" s="75">
        <f>SUM(Z640:Z645)</f>
        <v>0</v>
      </c>
      <c r="AA646" s="79">
        <f t="shared" si="293"/>
        <v>45829810.507106669</v>
      </c>
      <c r="AB646" s="92" t="str">
        <f t="shared" si="294"/>
        <v>ok</v>
      </c>
    </row>
    <row r="647" spans="1:28">
      <c r="F647" s="78"/>
      <c r="G647" s="78"/>
    </row>
    <row r="648" spans="1:28" ht="15">
      <c r="A648" s="65" t="s">
        <v>1057</v>
      </c>
      <c r="F648" s="78"/>
      <c r="G648" s="78"/>
    </row>
    <row r="649" spans="1:28">
      <c r="A649" s="68" t="s">
        <v>1228</v>
      </c>
      <c r="C649" s="60" t="s">
        <v>1002</v>
      </c>
      <c r="D649" s="60" t="s">
        <v>773</v>
      </c>
      <c r="E649" s="60" t="s">
        <v>1232</v>
      </c>
      <c r="F649" s="75">
        <f>VLOOKUP(C649,'Functional Assignment'!$C$2:$AP$780,'Functional Assignment'!$N$2,)</f>
        <v>7262773.8238366842</v>
      </c>
      <c r="G649" s="75">
        <f t="shared" ref="G649:P651" si="296">IF(VLOOKUP($E649,$D$6:$AN$1148,3,)=0,0,(VLOOKUP($E649,$D$6:$AN$1148,G$2,)/VLOOKUP($E649,$D$6:$AN$1148,3,))*$F649)</f>
        <v>3436160.4946064772</v>
      </c>
      <c r="H649" s="75">
        <f t="shared" si="296"/>
        <v>839344.73205856839</v>
      </c>
      <c r="I649" s="75">
        <f t="shared" si="296"/>
        <v>55097.22233654913</v>
      </c>
      <c r="J649" s="75">
        <f t="shared" si="296"/>
        <v>933931.87246329279</v>
      </c>
      <c r="K649" s="75">
        <f t="shared" si="296"/>
        <v>783217.80031879572</v>
      </c>
      <c r="L649" s="75">
        <f t="shared" si="296"/>
        <v>741503.28740211681</v>
      </c>
      <c r="M649" s="75">
        <f t="shared" si="296"/>
        <v>386680.928090539</v>
      </c>
      <c r="N649" s="75">
        <f t="shared" si="296"/>
        <v>24848.38642749019</v>
      </c>
      <c r="O649" s="75">
        <f t="shared" si="296"/>
        <v>58883.980876273854</v>
      </c>
      <c r="P649" s="75">
        <f t="shared" si="296"/>
        <v>2050.930255205566</v>
      </c>
      <c r="Q649" s="75">
        <f t="shared" ref="Q649:Z651" si="297">IF(VLOOKUP($E649,$D$6:$AN$1148,3,)=0,0,(VLOOKUP($E649,$D$6:$AN$1148,Q$2,)/VLOOKUP($E649,$D$6:$AN$1148,3,))*$F649)</f>
        <v>941.47241723494778</v>
      </c>
      <c r="R649" s="75">
        <f t="shared" si="297"/>
        <v>102.45783483800852</v>
      </c>
      <c r="S649" s="75">
        <f t="shared" si="297"/>
        <v>10.258749303781951</v>
      </c>
      <c r="T649" s="75">
        <f t="shared" si="297"/>
        <v>0</v>
      </c>
      <c r="U649" s="75">
        <f t="shared" si="297"/>
        <v>0</v>
      </c>
      <c r="V649" s="75">
        <f t="shared" si="297"/>
        <v>0</v>
      </c>
      <c r="W649" s="75">
        <f t="shared" si="297"/>
        <v>0</v>
      </c>
      <c r="X649" s="75">
        <f t="shared" si="297"/>
        <v>0</v>
      </c>
      <c r="Y649" s="75">
        <f t="shared" si="297"/>
        <v>0</v>
      </c>
      <c r="Z649" s="75">
        <f t="shared" si="297"/>
        <v>0</v>
      </c>
      <c r="AA649" s="79">
        <f>SUM(G649:Z649)</f>
        <v>7262773.8238366842</v>
      </c>
      <c r="AB649" s="92" t="str">
        <f>IF(ABS(F649-AA649)&lt;0.01,"ok","err")</f>
        <v>ok</v>
      </c>
    </row>
    <row r="650" spans="1:28" hidden="1">
      <c r="A650" s="68" t="s">
        <v>1229</v>
      </c>
      <c r="C650" s="60" t="s">
        <v>1002</v>
      </c>
      <c r="D650" s="60" t="s">
        <v>774</v>
      </c>
      <c r="E650" s="60" t="s">
        <v>1232</v>
      </c>
      <c r="F650" s="78">
        <f>VLOOKUP(C650,'Functional Assignment'!$C$2:$AP$780,'Functional Assignment'!$O$2,)</f>
        <v>0</v>
      </c>
      <c r="G650" s="78">
        <f t="shared" si="296"/>
        <v>0</v>
      </c>
      <c r="H650" s="78">
        <f t="shared" si="296"/>
        <v>0</v>
      </c>
      <c r="I650" s="78">
        <f t="shared" si="296"/>
        <v>0</v>
      </c>
      <c r="J650" s="78">
        <f t="shared" si="296"/>
        <v>0</v>
      </c>
      <c r="K650" s="78">
        <f t="shared" si="296"/>
        <v>0</v>
      </c>
      <c r="L650" s="78">
        <f t="shared" si="296"/>
        <v>0</v>
      </c>
      <c r="M650" s="78">
        <f t="shared" si="296"/>
        <v>0</v>
      </c>
      <c r="N650" s="78">
        <f t="shared" si="296"/>
        <v>0</v>
      </c>
      <c r="O650" s="78">
        <f t="shared" si="296"/>
        <v>0</v>
      </c>
      <c r="P650" s="78">
        <f t="shared" si="296"/>
        <v>0</v>
      </c>
      <c r="Q650" s="78">
        <f t="shared" si="297"/>
        <v>0</v>
      </c>
      <c r="R650" s="78">
        <f t="shared" si="297"/>
        <v>0</v>
      </c>
      <c r="S650" s="78">
        <f t="shared" si="297"/>
        <v>0</v>
      </c>
      <c r="T650" s="78">
        <f t="shared" si="297"/>
        <v>0</v>
      </c>
      <c r="U650" s="78">
        <f t="shared" si="297"/>
        <v>0</v>
      </c>
      <c r="V650" s="78">
        <f t="shared" si="297"/>
        <v>0</v>
      </c>
      <c r="W650" s="78">
        <f t="shared" si="297"/>
        <v>0</v>
      </c>
      <c r="X650" s="78">
        <f t="shared" si="297"/>
        <v>0</v>
      </c>
      <c r="Y650" s="78">
        <f t="shared" si="297"/>
        <v>0</v>
      </c>
      <c r="Z650" s="78">
        <f t="shared" si="297"/>
        <v>0</v>
      </c>
      <c r="AA650" s="78">
        <f>SUM(G650:Z650)</f>
        <v>0</v>
      </c>
      <c r="AB650" s="92" t="str">
        <f>IF(ABS(F650-AA650)&lt;0.01,"ok","err")</f>
        <v>ok</v>
      </c>
    </row>
    <row r="651" spans="1:28" hidden="1">
      <c r="A651" s="68" t="s">
        <v>1229</v>
      </c>
      <c r="C651" s="60" t="s">
        <v>1002</v>
      </c>
      <c r="D651" s="60" t="s">
        <v>775</v>
      </c>
      <c r="E651" s="60" t="s">
        <v>1232</v>
      </c>
      <c r="F651" s="78">
        <f>VLOOKUP(C651,'Functional Assignment'!$C$2:$AP$780,'Functional Assignment'!$P$2,)</f>
        <v>0</v>
      </c>
      <c r="G651" s="78">
        <f t="shared" si="296"/>
        <v>0</v>
      </c>
      <c r="H651" s="78">
        <f t="shared" si="296"/>
        <v>0</v>
      </c>
      <c r="I651" s="78">
        <f t="shared" si="296"/>
        <v>0</v>
      </c>
      <c r="J651" s="78">
        <f t="shared" si="296"/>
        <v>0</v>
      </c>
      <c r="K651" s="78">
        <f t="shared" si="296"/>
        <v>0</v>
      </c>
      <c r="L651" s="78">
        <f t="shared" si="296"/>
        <v>0</v>
      </c>
      <c r="M651" s="78">
        <f t="shared" si="296"/>
        <v>0</v>
      </c>
      <c r="N651" s="78">
        <f t="shared" si="296"/>
        <v>0</v>
      </c>
      <c r="O651" s="78">
        <f t="shared" si="296"/>
        <v>0</v>
      </c>
      <c r="P651" s="78">
        <f t="shared" si="296"/>
        <v>0</v>
      </c>
      <c r="Q651" s="78">
        <f t="shared" si="297"/>
        <v>0</v>
      </c>
      <c r="R651" s="78">
        <f t="shared" si="297"/>
        <v>0</v>
      </c>
      <c r="S651" s="78">
        <f t="shared" si="297"/>
        <v>0</v>
      </c>
      <c r="T651" s="78">
        <f t="shared" si="297"/>
        <v>0</v>
      </c>
      <c r="U651" s="78">
        <f t="shared" si="297"/>
        <v>0</v>
      </c>
      <c r="V651" s="78">
        <f t="shared" si="297"/>
        <v>0</v>
      </c>
      <c r="W651" s="78">
        <f t="shared" si="297"/>
        <v>0</v>
      </c>
      <c r="X651" s="78">
        <f t="shared" si="297"/>
        <v>0</v>
      </c>
      <c r="Y651" s="78">
        <f t="shared" si="297"/>
        <v>0</v>
      </c>
      <c r="Z651" s="78">
        <f t="shared" si="297"/>
        <v>0</v>
      </c>
      <c r="AA651" s="78">
        <f>SUM(G651:Z651)</f>
        <v>0</v>
      </c>
      <c r="AB651" s="92" t="str">
        <f>IF(ABS(F651-AA651)&lt;0.01,"ok","err")</f>
        <v>ok</v>
      </c>
    </row>
    <row r="652" spans="1:28" hidden="1">
      <c r="A652" s="60" t="s">
        <v>1059</v>
      </c>
      <c r="D652" s="60" t="s">
        <v>776</v>
      </c>
      <c r="F652" s="75">
        <f>SUM(F649:F651)</f>
        <v>7262773.8238366842</v>
      </c>
      <c r="G652" s="75">
        <f t="shared" ref="G652:W652" si="298">SUM(G649:G651)</f>
        <v>3436160.4946064772</v>
      </c>
      <c r="H652" s="75">
        <f t="shared" si="298"/>
        <v>839344.73205856839</v>
      </c>
      <c r="I652" s="75">
        <f t="shared" si="298"/>
        <v>55097.22233654913</v>
      </c>
      <c r="J652" s="75">
        <f t="shared" si="298"/>
        <v>933931.87246329279</v>
      </c>
      <c r="K652" s="75">
        <f t="shared" si="298"/>
        <v>783217.80031879572</v>
      </c>
      <c r="L652" s="75">
        <f t="shared" si="298"/>
        <v>741503.28740211681</v>
      </c>
      <c r="M652" s="75">
        <f t="shared" si="298"/>
        <v>386680.928090539</v>
      </c>
      <c r="N652" s="75">
        <f t="shared" si="298"/>
        <v>24848.38642749019</v>
      </c>
      <c r="O652" s="75">
        <f>SUM(O649:O651)</f>
        <v>58883.980876273854</v>
      </c>
      <c r="P652" s="75">
        <f t="shared" si="298"/>
        <v>2050.930255205566</v>
      </c>
      <c r="Q652" s="75">
        <f t="shared" si="298"/>
        <v>941.47241723494778</v>
      </c>
      <c r="R652" s="75">
        <f t="shared" si="298"/>
        <v>102.45783483800852</v>
      </c>
      <c r="S652" s="75">
        <f t="shared" si="298"/>
        <v>10.258749303781951</v>
      </c>
      <c r="T652" s="75">
        <f t="shared" si="298"/>
        <v>0</v>
      </c>
      <c r="U652" s="75">
        <f t="shared" si="298"/>
        <v>0</v>
      </c>
      <c r="V652" s="75">
        <f t="shared" si="298"/>
        <v>0</v>
      </c>
      <c r="W652" s="75">
        <f t="shared" si="298"/>
        <v>0</v>
      </c>
      <c r="X652" s="75">
        <f>SUM(X649:X651)</f>
        <v>0</v>
      </c>
      <c r="Y652" s="75">
        <f>SUM(Y649:Y651)</f>
        <v>0</v>
      </c>
      <c r="Z652" s="75">
        <f>SUM(Z649:Z651)</f>
        <v>0</v>
      </c>
      <c r="AA652" s="79">
        <f>SUM(G652:Z652)</f>
        <v>7262773.8238366842</v>
      </c>
      <c r="AB652" s="92" t="str">
        <f>IF(ABS(F652-AA652)&lt;0.01,"ok","err")</f>
        <v>ok</v>
      </c>
    </row>
    <row r="653" spans="1:28">
      <c r="F653" s="78"/>
      <c r="G653" s="78"/>
    </row>
    <row r="654" spans="1:28" ht="15">
      <c r="A654" s="65" t="s">
        <v>337</v>
      </c>
      <c r="F654" s="78"/>
      <c r="G654" s="78"/>
    </row>
    <row r="655" spans="1:28">
      <c r="A655" s="68" t="s">
        <v>359</v>
      </c>
      <c r="C655" s="60" t="s">
        <v>1002</v>
      </c>
      <c r="D655" s="60" t="s">
        <v>777</v>
      </c>
      <c r="E655" s="60" t="s">
        <v>1233</v>
      </c>
      <c r="F655" s="75">
        <f>VLOOKUP(C655,'Functional Assignment'!$C$2:$AP$780,'Functional Assignment'!$Q$2,)</f>
        <v>0</v>
      </c>
      <c r="G655" s="75">
        <f t="shared" ref="G655:Z655" si="299">IF(VLOOKUP($E655,$D$6:$AN$1148,3,)=0,0,(VLOOKUP($E655,$D$6:$AN$1148,G$2,)/VLOOKUP($E655,$D$6:$AN$1148,3,))*$F655)</f>
        <v>0</v>
      </c>
      <c r="H655" s="75">
        <f t="shared" si="299"/>
        <v>0</v>
      </c>
      <c r="I655" s="75">
        <f t="shared" si="299"/>
        <v>0</v>
      </c>
      <c r="J655" s="75">
        <f t="shared" si="299"/>
        <v>0</v>
      </c>
      <c r="K655" s="75">
        <f t="shared" si="299"/>
        <v>0</v>
      </c>
      <c r="L655" s="75">
        <f t="shared" si="299"/>
        <v>0</v>
      </c>
      <c r="M655" s="75">
        <f t="shared" si="299"/>
        <v>0</v>
      </c>
      <c r="N655" s="75">
        <f t="shared" si="299"/>
        <v>0</v>
      </c>
      <c r="O655" s="75">
        <f t="shared" si="299"/>
        <v>0</v>
      </c>
      <c r="P655" s="75">
        <f t="shared" si="299"/>
        <v>0</v>
      </c>
      <c r="Q655" s="75">
        <f t="shared" si="299"/>
        <v>0</v>
      </c>
      <c r="R655" s="75">
        <f t="shared" si="299"/>
        <v>0</v>
      </c>
      <c r="S655" s="75">
        <f t="shared" si="299"/>
        <v>0</v>
      </c>
      <c r="T655" s="75">
        <f t="shared" si="299"/>
        <v>0</v>
      </c>
      <c r="U655" s="75">
        <f t="shared" si="299"/>
        <v>0</v>
      </c>
      <c r="V655" s="75">
        <f t="shared" si="299"/>
        <v>0</v>
      </c>
      <c r="W655" s="75">
        <f t="shared" si="299"/>
        <v>0</v>
      </c>
      <c r="X655" s="75">
        <f t="shared" si="299"/>
        <v>0</v>
      </c>
      <c r="Y655" s="75">
        <f t="shared" si="299"/>
        <v>0</v>
      </c>
      <c r="Z655" s="75">
        <f t="shared" si="299"/>
        <v>0</v>
      </c>
      <c r="AA655" s="79">
        <f>SUM(G655:Z655)</f>
        <v>0</v>
      </c>
      <c r="AB655" s="92" t="str">
        <f>IF(ABS(F655-AA655)&lt;0.01,"ok","err")</f>
        <v>ok</v>
      </c>
    </row>
    <row r="656" spans="1:28">
      <c r="F656" s="78"/>
    </row>
    <row r="657" spans="1:28" ht="15">
      <c r="A657" s="65" t="s">
        <v>338</v>
      </c>
      <c r="F657" s="78"/>
      <c r="G657" s="78"/>
    </row>
    <row r="658" spans="1:28">
      <c r="A658" s="68" t="s">
        <v>361</v>
      </c>
      <c r="C658" s="60" t="s">
        <v>1002</v>
      </c>
      <c r="D658" s="60" t="s">
        <v>778</v>
      </c>
      <c r="E658" s="60" t="s">
        <v>1233</v>
      </c>
      <c r="F658" s="75">
        <f>VLOOKUP(C658,'Functional Assignment'!$C$2:$AP$780,'Functional Assignment'!$R$2,)</f>
        <v>2785975.5961625697</v>
      </c>
      <c r="G658" s="75">
        <f t="shared" ref="G658:Z658" si="300">IF(VLOOKUP($E658,$D$6:$AN$1148,3,)=0,0,(VLOOKUP($E658,$D$6:$AN$1148,G$2,)/VLOOKUP($E658,$D$6:$AN$1148,3,))*$F658)</f>
        <v>1392223.6694029931</v>
      </c>
      <c r="H658" s="75">
        <f t="shared" si="300"/>
        <v>340075.96693893074</v>
      </c>
      <c r="I658" s="75">
        <f t="shared" si="300"/>
        <v>22323.653733784005</v>
      </c>
      <c r="J658" s="75">
        <f t="shared" si="300"/>
        <v>378399.68781847093</v>
      </c>
      <c r="K658" s="75">
        <f t="shared" si="300"/>
        <v>317335.10748788615</v>
      </c>
      <c r="L658" s="75">
        <f t="shared" si="300"/>
        <v>300433.70479398541</v>
      </c>
      <c r="M658" s="75">
        <f t="shared" si="300"/>
        <v>0</v>
      </c>
      <c r="N658" s="75">
        <f t="shared" si="300"/>
        <v>10067.781113578581</v>
      </c>
      <c r="O658" s="75">
        <f t="shared" si="300"/>
        <v>23857.928654176645</v>
      </c>
      <c r="P658" s="75">
        <f t="shared" si="300"/>
        <v>830.97214174767953</v>
      </c>
      <c r="Q658" s="75">
        <f t="shared" si="300"/>
        <v>381.45487832187422</v>
      </c>
      <c r="R658" s="75">
        <f t="shared" si="300"/>
        <v>41.512677594995239</v>
      </c>
      <c r="S658" s="75">
        <f t="shared" si="300"/>
        <v>4.1565211001101376</v>
      </c>
      <c r="T658" s="75">
        <f t="shared" si="300"/>
        <v>0</v>
      </c>
      <c r="U658" s="75">
        <f t="shared" si="300"/>
        <v>0</v>
      </c>
      <c r="V658" s="75">
        <f t="shared" si="300"/>
        <v>0</v>
      </c>
      <c r="W658" s="75">
        <f t="shared" si="300"/>
        <v>0</v>
      </c>
      <c r="X658" s="75">
        <f t="shared" si="300"/>
        <v>0</v>
      </c>
      <c r="Y658" s="75">
        <f t="shared" si="300"/>
        <v>0</v>
      </c>
      <c r="Z658" s="75">
        <f t="shared" si="300"/>
        <v>0</v>
      </c>
      <c r="AA658" s="79">
        <f>SUM(G658:Z658)</f>
        <v>2785975.5961625706</v>
      </c>
      <c r="AB658" s="92" t="str">
        <f>IF(ABS(F658-AA658)&lt;0.01,"ok","err")</f>
        <v>ok</v>
      </c>
    </row>
    <row r="659" spans="1:28">
      <c r="F659" s="78"/>
    </row>
    <row r="660" spans="1:28" ht="15">
      <c r="A660" s="65" t="s">
        <v>360</v>
      </c>
      <c r="F660" s="78"/>
    </row>
    <row r="661" spans="1:28">
      <c r="A661" s="68" t="s">
        <v>603</v>
      </c>
      <c r="C661" s="60" t="s">
        <v>1002</v>
      </c>
      <c r="D661" s="60" t="s">
        <v>779</v>
      </c>
      <c r="E661" s="60" t="s">
        <v>1233</v>
      </c>
      <c r="F661" s="75">
        <f>VLOOKUP(C661,'Functional Assignment'!$C$2:$AP$780,'Functional Assignment'!$S$2,)</f>
        <v>0</v>
      </c>
      <c r="G661" s="75">
        <f t="shared" ref="G661:P665" si="301">IF(VLOOKUP($E661,$D$6:$AN$1148,3,)=0,0,(VLOOKUP($E661,$D$6:$AN$1148,G$2,)/VLOOKUP($E661,$D$6:$AN$1148,3,))*$F661)</f>
        <v>0</v>
      </c>
      <c r="H661" s="75">
        <f t="shared" si="301"/>
        <v>0</v>
      </c>
      <c r="I661" s="75">
        <f t="shared" si="301"/>
        <v>0</v>
      </c>
      <c r="J661" s="75">
        <f t="shared" si="301"/>
        <v>0</v>
      </c>
      <c r="K661" s="75">
        <f t="shared" si="301"/>
        <v>0</v>
      </c>
      <c r="L661" s="75">
        <f t="shared" si="301"/>
        <v>0</v>
      </c>
      <c r="M661" s="75">
        <f t="shared" si="301"/>
        <v>0</v>
      </c>
      <c r="N661" s="75">
        <f t="shared" si="301"/>
        <v>0</v>
      </c>
      <c r="O661" s="75">
        <f t="shared" si="301"/>
        <v>0</v>
      </c>
      <c r="P661" s="75">
        <f t="shared" si="301"/>
        <v>0</v>
      </c>
      <c r="Q661" s="75">
        <f t="shared" ref="Q661:Z665" si="302">IF(VLOOKUP($E661,$D$6:$AN$1148,3,)=0,0,(VLOOKUP($E661,$D$6:$AN$1148,Q$2,)/VLOOKUP($E661,$D$6:$AN$1148,3,))*$F661)</f>
        <v>0</v>
      </c>
      <c r="R661" s="75">
        <f t="shared" si="302"/>
        <v>0</v>
      </c>
      <c r="S661" s="75">
        <f t="shared" si="302"/>
        <v>0</v>
      </c>
      <c r="T661" s="75">
        <f t="shared" si="302"/>
        <v>0</v>
      </c>
      <c r="U661" s="75">
        <f t="shared" si="302"/>
        <v>0</v>
      </c>
      <c r="V661" s="75">
        <f t="shared" si="302"/>
        <v>0</v>
      </c>
      <c r="W661" s="75">
        <f t="shared" si="302"/>
        <v>0</v>
      </c>
      <c r="X661" s="75">
        <f t="shared" si="302"/>
        <v>0</v>
      </c>
      <c r="Y661" s="75">
        <f t="shared" si="302"/>
        <v>0</v>
      </c>
      <c r="Z661" s="75">
        <f t="shared" si="302"/>
        <v>0</v>
      </c>
      <c r="AA661" s="79">
        <f t="shared" ref="AA661:AA666" si="303">SUM(G661:Z661)</f>
        <v>0</v>
      </c>
      <c r="AB661" s="92" t="str">
        <f t="shared" ref="AB661:AB666" si="304">IF(ABS(F661-AA661)&lt;0.01,"ok","err")</f>
        <v>ok</v>
      </c>
    </row>
    <row r="662" spans="1:28">
      <c r="A662" s="68" t="s">
        <v>604</v>
      </c>
      <c r="C662" s="60" t="s">
        <v>1002</v>
      </c>
      <c r="D662" s="60" t="s">
        <v>780</v>
      </c>
      <c r="E662" s="60" t="s">
        <v>1233</v>
      </c>
      <c r="F662" s="78">
        <f>VLOOKUP(C662,'Functional Assignment'!$C$2:$AP$780,'Functional Assignment'!$T$2,)</f>
        <v>4276970.3353962824</v>
      </c>
      <c r="G662" s="78">
        <f t="shared" si="301"/>
        <v>2137312.0936432281</v>
      </c>
      <c r="H662" s="78">
        <f t="shared" si="301"/>
        <v>522077.37367924157</v>
      </c>
      <c r="I662" s="78">
        <f t="shared" si="301"/>
        <v>34270.797249108873</v>
      </c>
      <c r="J662" s="78">
        <f t="shared" si="301"/>
        <v>580911.13287281489</v>
      </c>
      <c r="K662" s="78">
        <f t="shared" si="301"/>
        <v>487166.09110824438</v>
      </c>
      <c r="L662" s="78">
        <f t="shared" si="301"/>
        <v>461219.41804765875</v>
      </c>
      <c r="M662" s="78">
        <f t="shared" si="301"/>
        <v>0</v>
      </c>
      <c r="N662" s="78">
        <f t="shared" si="301"/>
        <v>15455.84291023556</v>
      </c>
      <c r="O662" s="78">
        <f t="shared" si="301"/>
        <v>36626.1833945943</v>
      </c>
      <c r="P662" s="78">
        <f t="shared" si="301"/>
        <v>1275.6907148400417</v>
      </c>
      <c r="Q662" s="78">
        <f t="shared" si="302"/>
        <v>585.60139619387155</v>
      </c>
      <c r="R662" s="78">
        <f t="shared" si="302"/>
        <v>63.729377551340214</v>
      </c>
      <c r="S662" s="78">
        <f t="shared" si="302"/>
        <v>6.3810025716328722</v>
      </c>
      <c r="T662" s="78">
        <f t="shared" si="302"/>
        <v>0</v>
      </c>
      <c r="U662" s="78">
        <f t="shared" si="302"/>
        <v>0</v>
      </c>
      <c r="V662" s="78">
        <f t="shared" si="302"/>
        <v>0</v>
      </c>
      <c r="W662" s="78">
        <f t="shared" si="302"/>
        <v>0</v>
      </c>
      <c r="X662" s="78">
        <f t="shared" si="302"/>
        <v>0</v>
      </c>
      <c r="Y662" s="78">
        <f t="shared" si="302"/>
        <v>0</v>
      </c>
      <c r="Z662" s="78">
        <f t="shared" si="302"/>
        <v>0</v>
      </c>
      <c r="AA662" s="78">
        <f t="shared" si="303"/>
        <v>4276970.3353962824</v>
      </c>
      <c r="AB662" s="92" t="str">
        <f t="shared" si="304"/>
        <v>ok</v>
      </c>
    </row>
    <row r="663" spans="1:28">
      <c r="A663" s="68" t="s">
        <v>605</v>
      </c>
      <c r="C663" s="60" t="s">
        <v>1002</v>
      </c>
      <c r="D663" s="60" t="s">
        <v>781</v>
      </c>
      <c r="E663" s="60" t="s">
        <v>660</v>
      </c>
      <c r="F663" s="78">
        <f>VLOOKUP(C663,'Functional Assignment'!$C$2:$AP$780,'Functional Assignment'!$U$2,)</f>
        <v>6998957.5684978701</v>
      </c>
      <c r="G663" s="78">
        <f t="shared" si="301"/>
        <v>6051730.084824116</v>
      </c>
      <c r="H663" s="78">
        <f t="shared" si="301"/>
        <v>726968.3573559263</v>
      </c>
      <c r="I663" s="78">
        <f t="shared" si="301"/>
        <v>1121.8814860217781</v>
      </c>
      <c r="J663" s="78">
        <f t="shared" si="301"/>
        <v>44593.142472272688</v>
      </c>
      <c r="K663" s="78">
        <f t="shared" si="301"/>
        <v>2109.0493752093166</v>
      </c>
      <c r="L663" s="78">
        <f t="shared" si="301"/>
        <v>8093.6613962401671</v>
      </c>
      <c r="M663" s="78">
        <f t="shared" si="301"/>
        <v>0</v>
      </c>
      <c r="N663" s="78">
        <f t="shared" si="301"/>
        <v>32.053756743479369</v>
      </c>
      <c r="O663" s="78">
        <f t="shared" si="301"/>
        <v>162065.57485929524</v>
      </c>
      <c r="P663" s="78">
        <f t="shared" si="301"/>
        <v>286.70304642778774</v>
      </c>
      <c r="Q663" s="78">
        <f t="shared" si="302"/>
        <v>1780.764263526632</v>
      </c>
      <c r="R663" s="78">
        <f t="shared" si="302"/>
        <v>16.026878371739684</v>
      </c>
      <c r="S663" s="78">
        <f t="shared" si="302"/>
        <v>160.26878371739687</v>
      </c>
      <c r="T663" s="78">
        <f t="shared" si="302"/>
        <v>0</v>
      </c>
      <c r="U663" s="78">
        <f t="shared" si="302"/>
        <v>0</v>
      </c>
      <c r="V663" s="78">
        <f t="shared" si="302"/>
        <v>0</v>
      </c>
      <c r="W663" s="78">
        <f t="shared" si="302"/>
        <v>0</v>
      </c>
      <c r="X663" s="78">
        <f t="shared" si="302"/>
        <v>0</v>
      </c>
      <c r="Y663" s="78">
        <f t="shared" si="302"/>
        <v>0</v>
      </c>
      <c r="Z663" s="78">
        <f t="shared" si="302"/>
        <v>0</v>
      </c>
      <c r="AA663" s="78">
        <f t="shared" si="303"/>
        <v>6998957.5684978683</v>
      </c>
      <c r="AB663" s="92" t="str">
        <f t="shared" si="304"/>
        <v>ok</v>
      </c>
    </row>
    <row r="664" spans="1:28">
      <c r="A664" s="68" t="s">
        <v>606</v>
      </c>
      <c r="C664" s="60" t="s">
        <v>1002</v>
      </c>
      <c r="D664" s="60" t="s">
        <v>782</v>
      </c>
      <c r="E664" s="60" t="s">
        <v>646</v>
      </c>
      <c r="F664" s="78">
        <f>VLOOKUP(C664,'Functional Assignment'!$C$2:$AP$780,'Functional Assignment'!$V$2,)</f>
        <v>1193313.7526870731</v>
      </c>
      <c r="G664" s="78">
        <f t="shared" si="301"/>
        <v>904533.88192960783</v>
      </c>
      <c r="H664" s="78">
        <f t="shared" si="301"/>
        <v>144561.166295926</v>
      </c>
      <c r="I664" s="78">
        <f t="shared" si="301"/>
        <v>0</v>
      </c>
      <c r="J664" s="78">
        <f t="shared" si="301"/>
        <v>136919.58782781611</v>
      </c>
      <c r="K664" s="78">
        <f t="shared" si="301"/>
        <v>0</v>
      </c>
      <c r="L664" s="78">
        <f t="shared" si="301"/>
        <v>0</v>
      </c>
      <c r="M664" s="78">
        <f t="shared" si="301"/>
        <v>0</v>
      </c>
      <c r="N664" s="78">
        <f t="shared" si="301"/>
        <v>0</v>
      </c>
      <c r="O664" s="78">
        <f t="shared" si="301"/>
        <v>6933.4938457356247</v>
      </c>
      <c r="P664" s="78">
        <f t="shared" si="301"/>
        <v>241.49373209633831</v>
      </c>
      <c r="Q664" s="78">
        <f t="shared" si="302"/>
        <v>110.85685977217207</v>
      </c>
      <c r="R664" s="78">
        <f t="shared" si="302"/>
        <v>12.064244922390552</v>
      </c>
      <c r="S664" s="78">
        <f t="shared" si="302"/>
        <v>1.2079511966450083</v>
      </c>
      <c r="T664" s="78">
        <f t="shared" si="302"/>
        <v>0</v>
      </c>
      <c r="U664" s="78">
        <f t="shared" si="302"/>
        <v>0</v>
      </c>
      <c r="V664" s="78">
        <f t="shared" si="302"/>
        <v>0</v>
      </c>
      <c r="W664" s="78">
        <f t="shared" si="302"/>
        <v>0</v>
      </c>
      <c r="X664" s="78">
        <f t="shared" si="302"/>
        <v>0</v>
      </c>
      <c r="Y664" s="78">
        <f t="shared" si="302"/>
        <v>0</v>
      </c>
      <c r="Z664" s="78">
        <f t="shared" si="302"/>
        <v>0</v>
      </c>
      <c r="AA664" s="78">
        <f t="shared" si="303"/>
        <v>1193313.7526870735</v>
      </c>
      <c r="AB664" s="92" t="str">
        <f t="shared" si="304"/>
        <v>ok</v>
      </c>
    </row>
    <row r="665" spans="1:28">
      <c r="A665" s="68" t="s">
        <v>607</v>
      </c>
      <c r="C665" s="60" t="s">
        <v>1002</v>
      </c>
      <c r="D665" s="60" t="s">
        <v>783</v>
      </c>
      <c r="E665" s="60" t="s">
        <v>659</v>
      </c>
      <c r="F665" s="78">
        <f>VLOOKUP(C665,'Functional Assignment'!$C$2:$AP$780,'Functional Assignment'!$W$2,)</f>
        <v>2039081.1143982129</v>
      </c>
      <c r="G665" s="78">
        <f t="shared" si="301"/>
        <v>1777327.2623911682</v>
      </c>
      <c r="H665" s="78">
        <f t="shared" si="301"/>
        <v>213502.69465330336</v>
      </c>
      <c r="I665" s="78">
        <f t="shared" si="301"/>
        <v>0</v>
      </c>
      <c r="J665" s="78">
        <f t="shared" si="301"/>
        <v>0</v>
      </c>
      <c r="K665" s="78">
        <f t="shared" si="301"/>
        <v>0</v>
      </c>
      <c r="L665" s="78">
        <f t="shared" si="301"/>
        <v>0</v>
      </c>
      <c r="M665" s="78">
        <f t="shared" si="301"/>
        <v>0</v>
      </c>
      <c r="N665" s="78">
        <f t="shared" si="301"/>
        <v>0</v>
      </c>
      <c r="O665" s="78">
        <f t="shared" si="301"/>
        <v>47596.895508417852</v>
      </c>
      <c r="P665" s="78">
        <f t="shared" si="301"/>
        <v>84.201564426103715</v>
      </c>
      <c r="Q665" s="78">
        <f t="shared" si="302"/>
        <v>522.99108339194856</v>
      </c>
      <c r="R665" s="78">
        <f t="shared" si="302"/>
        <v>0</v>
      </c>
      <c r="S665" s="78">
        <f t="shared" si="302"/>
        <v>47.069197505275369</v>
      </c>
      <c r="T665" s="78">
        <f t="shared" si="302"/>
        <v>0</v>
      </c>
      <c r="U665" s="78">
        <f t="shared" si="302"/>
        <v>0</v>
      </c>
      <c r="V665" s="78">
        <f t="shared" si="302"/>
        <v>0</v>
      </c>
      <c r="W665" s="78">
        <f t="shared" si="302"/>
        <v>0</v>
      </c>
      <c r="X665" s="78">
        <f t="shared" si="302"/>
        <v>0</v>
      </c>
      <c r="Y665" s="78">
        <f t="shared" si="302"/>
        <v>0</v>
      </c>
      <c r="Z665" s="78">
        <f t="shared" si="302"/>
        <v>0</v>
      </c>
      <c r="AA665" s="78">
        <f t="shared" si="303"/>
        <v>2039081.1143982126</v>
      </c>
      <c r="AB665" s="92" t="str">
        <f t="shared" si="304"/>
        <v>ok</v>
      </c>
    </row>
    <row r="666" spans="1:28">
      <c r="A666" s="60" t="s">
        <v>365</v>
      </c>
      <c r="D666" s="60" t="s">
        <v>784</v>
      </c>
      <c r="F666" s="75">
        <f>SUM(F661:F665)</f>
        <v>14508322.770979438</v>
      </c>
      <c r="G666" s="75">
        <f t="shared" ref="G666:W666" si="305">SUM(G661:G665)</f>
        <v>10870903.322788121</v>
      </c>
      <c r="H666" s="75">
        <f t="shared" si="305"/>
        <v>1607109.5919843973</v>
      </c>
      <c r="I666" s="75">
        <f t="shared" si="305"/>
        <v>35392.678735130648</v>
      </c>
      <c r="J666" s="75">
        <f t="shared" si="305"/>
        <v>762423.86317290377</v>
      </c>
      <c r="K666" s="75">
        <f t="shared" si="305"/>
        <v>489275.1404834537</v>
      </c>
      <c r="L666" s="75">
        <f t="shared" si="305"/>
        <v>469313.07944389893</v>
      </c>
      <c r="M666" s="75">
        <f t="shared" si="305"/>
        <v>0</v>
      </c>
      <c r="N666" s="75">
        <f t="shared" si="305"/>
        <v>15487.896666979039</v>
      </c>
      <c r="O666" s="75">
        <f>SUM(O661:O665)</f>
        <v>253222.14760804301</v>
      </c>
      <c r="P666" s="75">
        <f t="shared" si="305"/>
        <v>1888.0890577902715</v>
      </c>
      <c r="Q666" s="75">
        <f t="shared" si="305"/>
        <v>3000.2136028846239</v>
      </c>
      <c r="R666" s="75">
        <f t="shared" si="305"/>
        <v>91.820500845470448</v>
      </c>
      <c r="S666" s="75">
        <f t="shared" si="305"/>
        <v>214.92693499095014</v>
      </c>
      <c r="T666" s="75">
        <f t="shared" si="305"/>
        <v>0</v>
      </c>
      <c r="U666" s="75">
        <f t="shared" si="305"/>
        <v>0</v>
      </c>
      <c r="V666" s="75">
        <f t="shared" si="305"/>
        <v>0</v>
      </c>
      <c r="W666" s="75">
        <f t="shared" si="305"/>
        <v>0</v>
      </c>
      <c r="X666" s="75">
        <f>SUM(X661:X665)</f>
        <v>0</v>
      </c>
      <c r="Y666" s="75">
        <f>SUM(Y661:Y665)</f>
        <v>0</v>
      </c>
      <c r="Z666" s="75">
        <f>SUM(Z661:Z665)</f>
        <v>0</v>
      </c>
      <c r="AA666" s="79">
        <f t="shared" si="303"/>
        <v>14508322.770979438</v>
      </c>
      <c r="AB666" s="92" t="str">
        <f t="shared" si="304"/>
        <v>ok</v>
      </c>
    </row>
    <row r="667" spans="1:28">
      <c r="F667" s="78"/>
    </row>
    <row r="668" spans="1:28" ht="15">
      <c r="A668" s="65" t="s">
        <v>613</v>
      </c>
      <c r="F668" s="78"/>
    </row>
    <row r="669" spans="1:28">
      <c r="A669" s="68" t="s">
        <v>1016</v>
      </c>
      <c r="C669" s="60" t="s">
        <v>1002</v>
      </c>
      <c r="D669" s="60" t="s">
        <v>785</v>
      </c>
      <c r="E669" s="60" t="s">
        <v>1209</v>
      </c>
      <c r="F669" s="75">
        <f>VLOOKUP(C669,'Functional Assignment'!$C$2:$AP$780,'Functional Assignment'!$X$2,)</f>
        <v>1461876.5573925725</v>
      </c>
      <c r="G669" s="75">
        <f t="shared" ref="G669:P670" si="306">IF(VLOOKUP($E669,$D$6:$AN$1148,3,)=0,0,(VLOOKUP($E669,$D$6:$AN$1148,G$2,)/VLOOKUP($E669,$D$6:$AN$1148,3,))*$F669)</f>
        <v>1011311.8306897747</v>
      </c>
      <c r="H669" s="75">
        <f t="shared" si="306"/>
        <v>161626.24823020073</v>
      </c>
      <c r="I669" s="75">
        <f t="shared" si="306"/>
        <v>0</v>
      </c>
      <c r="J669" s="75">
        <f t="shared" si="306"/>
        <v>153082.60065178399</v>
      </c>
      <c r="K669" s="75">
        <f t="shared" si="306"/>
        <v>0</v>
      </c>
      <c r="L669" s="75">
        <f t="shared" si="306"/>
        <v>127695.11883462478</v>
      </c>
      <c r="M669" s="75">
        <f t="shared" si="306"/>
        <v>0</v>
      </c>
      <c r="N669" s="75">
        <f t="shared" si="306"/>
        <v>0</v>
      </c>
      <c r="O669" s="75">
        <f t="shared" si="306"/>
        <v>7751.9753480642521</v>
      </c>
      <c r="P669" s="75">
        <f t="shared" si="306"/>
        <v>270.00145952018619</v>
      </c>
      <c r="Q669" s="75">
        <f t="shared" ref="Q669:Z670" si="307">IF(VLOOKUP($E669,$D$6:$AN$1148,3,)=0,0,(VLOOKUP($E669,$D$6:$AN$1148,Q$2,)/VLOOKUP($E669,$D$6:$AN$1148,3,))*$F669)</f>
        <v>123.94323312859562</v>
      </c>
      <c r="R669" s="75">
        <f t="shared" si="307"/>
        <v>13.488398679246032</v>
      </c>
      <c r="S669" s="75">
        <f t="shared" si="307"/>
        <v>1.3505467959441626</v>
      </c>
      <c r="T669" s="75">
        <f t="shared" si="307"/>
        <v>0</v>
      </c>
      <c r="U669" s="75">
        <f t="shared" si="307"/>
        <v>0</v>
      </c>
      <c r="V669" s="75">
        <f t="shared" si="307"/>
        <v>0</v>
      </c>
      <c r="W669" s="75">
        <f t="shared" si="307"/>
        <v>0</v>
      </c>
      <c r="X669" s="75">
        <f t="shared" si="307"/>
        <v>0</v>
      </c>
      <c r="Y669" s="75">
        <f t="shared" si="307"/>
        <v>0</v>
      </c>
      <c r="Z669" s="75">
        <f t="shared" si="307"/>
        <v>0</v>
      </c>
      <c r="AA669" s="79">
        <f>SUM(G669:Z669)</f>
        <v>1461876.5573925723</v>
      </c>
      <c r="AB669" s="92" t="str">
        <f>IF(ABS(F669-AA669)&lt;0.01,"ok","err")</f>
        <v>ok</v>
      </c>
    </row>
    <row r="670" spans="1:28">
      <c r="A670" s="68" t="s">
        <v>1019</v>
      </c>
      <c r="C670" s="60" t="s">
        <v>1002</v>
      </c>
      <c r="D670" s="60" t="s">
        <v>786</v>
      </c>
      <c r="E670" s="60" t="s">
        <v>1207</v>
      </c>
      <c r="F670" s="78">
        <f>VLOOKUP(C670,'Functional Assignment'!$C$2:$AP$780,'Functional Assignment'!$Y$2,)</f>
        <v>814861.55074281059</v>
      </c>
      <c r="G670" s="78">
        <f t="shared" si="306"/>
        <v>704908.15493287728</v>
      </c>
      <c r="H670" s="78">
        <f t="shared" si="306"/>
        <v>84677.590754321296</v>
      </c>
      <c r="I670" s="78">
        <f t="shared" si="306"/>
        <v>0</v>
      </c>
      <c r="J670" s="78">
        <f t="shared" si="306"/>
        <v>5194.2286490297511</v>
      </c>
      <c r="K670" s="78">
        <f t="shared" si="306"/>
        <v>0</v>
      </c>
      <c r="L670" s="78">
        <f t="shared" si="306"/>
        <v>942.75320305216928</v>
      </c>
      <c r="M670" s="78">
        <f t="shared" si="306"/>
        <v>0</v>
      </c>
      <c r="N670" s="78">
        <f t="shared" si="306"/>
        <v>0</v>
      </c>
      <c r="O670" s="78">
        <f t="shared" si="306"/>
        <v>18877.468715712253</v>
      </c>
      <c r="P670" s="78">
        <f t="shared" si="306"/>
        <v>33.39529566558992</v>
      </c>
      <c r="Q670" s="78">
        <f t="shared" si="307"/>
        <v>207.42419668068271</v>
      </c>
      <c r="R670" s="78">
        <f t="shared" si="307"/>
        <v>1.8668177701261441</v>
      </c>
      <c r="S670" s="78">
        <f t="shared" si="307"/>
        <v>18.668177701261445</v>
      </c>
      <c r="T670" s="78">
        <f t="shared" si="307"/>
        <v>0</v>
      </c>
      <c r="U670" s="78">
        <f t="shared" si="307"/>
        <v>0</v>
      </c>
      <c r="V670" s="78">
        <f t="shared" si="307"/>
        <v>0</v>
      </c>
      <c r="W670" s="78">
        <f t="shared" si="307"/>
        <v>0</v>
      </c>
      <c r="X670" s="78">
        <f t="shared" si="307"/>
        <v>0</v>
      </c>
      <c r="Y670" s="78">
        <f t="shared" si="307"/>
        <v>0</v>
      </c>
      <c r="Z670" s="78">
        <f t="shared" si="307"/>
        <v>0</v>
      </c>
      <c r="AA670" s="78">
        <f>SUM(G670:Z670)</f>
        <v>814861.55074281059</v>
      </c>
      <c r="AB670" s="92" t="str">
        <f>IF(ABS(F670-AA670)&lt;0.01,"ok","err")</f>
        <v>ok</v>
      </c>
    </row>
    <row r="671" spans="1:28">
      <c r="A671" s="60" t="s">
        <v>674</v>
      </c>
      <c r="D671" s="60" t="s">
        <v>787</v>
      </c>
      <c r="F671" s="75">
        <f>F669+F670</f>
        <v>2276738.1081353831</v>
      </c>
      <c r="G671" s="75">
        <f t="shared" ref="G671:W671" si="308">G669+G670</f>
        <v>1716219.9856226519</v>
      </c>
      <c r="H671" s="75">
        <f t="shared" si="308"/>
        <v>246303.83898452204</v>
      </c>
      <c r="I671" s="75">
        <f t="shared" si="308"/>
        <v>0</v>
      </c>
      <c r="J671" s="75">
        <f t="shared" si="308"/>
        <v>158276.82930081373</v>
      </c>
      <c r="K671" s="75">
        <f t="shared" si="308"/>
        <v>0</v>
      </c>
      <c r="L671" s="75">
        <f t="shared" si="308"/>
        <v>128637.87203767695</v>
      </c>
      <c r="M671" s="75">
        <f t="shared" si="308"/>
        <v>0</v>
      </c>
      <c r="N671" s="75">
        <f t="shared" si="308"/>
        <v>0</v>
      </c>
      <c r="O671" s="75">
        <f>O669+O670</f>
        <v>26629.444063776507</v>
      </c>
      <c r="P671" s="75">
        <f t="shared" si="308"/>
        <v>303.3967551857761</v>
      </c>
      <c r="Q671" s="75">
        <f t="shared" si="308"/>
        <v>331.36742980927835</v>
      </c>
      <c r="R671" s="75">
        <f t="shared" si="308"/>
        <v>15.355216449372175</v>
      </c>
      <c r="S671" s="75">
        <f t="shared" si="308"/>
        <v>20.018724497205607</v>
      </c>
      <c r="T671" s="75">
        <f t="shared" si="308"/>
        <v>0</v>
      </c>
      <c r="U671" s="75">
        <f t="shared" si="308"/>
        <v>0</v>
      </c>
      <c r="V671" s="75">
        <f t="shared" si="308"/>
        <v>0</v>
      </c>
      <c r="W671" s="75">
        <f t="shared" si="308"/>
        <v>0</v>
      </c>
      <c r="X671" s="75">
        <f>X669+X670</f>
        <v>0</v>
      </c>
      <c r="Y671" s="75">
        <f>Y669+Y670</f>
        <v>0</v>
      </c>
      <c r="Z671" s="75">
        <f>Z669+Z670</f>
        <v>0</v>
      </c>
      <c r="AA671" s="79">
        <f>SUM(G671:Z671)</f>
        <v>2276738.1081353836</v>
      </c>
      <c r="AB671" s="92" t="str">
        <f>IF(ABS(F671-AA671)&lt;0.01,"ok","err")</f>
        <v>ok</v>
      </c>
    </row>
    <row r="672" spans="1:28">
      <c r="F672" s="78"/>
    </row>
    <row r="673" spans="1:28" ht="15">
      <c r="A673" s="65" t="s">
        <v>343</v>
      </c>
      <c r="F673" s="78"/>
    </row>
    <row r="674" spans="1:28">
      <c r="A674" s="68" t="s">
        <v>1019</v>
      </c>
      <c r="C674" s="60" t="s">
        <v>1002</v>
      </c>
      <c r="D674" s="60" t="s">
        <v>788</v>
      </c>
      <c r="E674" s="60" t="s">
        <v>1021</v>
      </c>
      <c r="F674" s="75">
        <f>VLOOKUP(C674,'Functional Assignment'!$C$2:$AP$780,'Functional Assignment'!$Z$2,)</f>
        <v>520998.82129490451</v>
      </c>
      <c r="G674" s="75">
        <f t="shared" ref="G674:Z674" si="309">IF(VLOOKUP($E674,$D$6:$AN$1148,3,)=0,0,(VLOOKUP($E674,$D$6:$AN$1148,G$2,)/VLOOKUP($E674,$D$6:$AN$1148,3,))*$F674)</f>
        <v>448747.60061275633</v>
      </c>
      <c r="H674" s="75">
        <f t="shared" si="309"/>
        <v>63912.489644665606</v>
      </c>
      <c r="I674" s="75">
        <f t="shared" si="309"/>
        <v>0</v>
      </c>
      <c r="J674" s="75">
        <f t="shared" si="309"/>
        <v>6573.9644513368412</v>
      </c>
      <c r="K674" s="75">
        <f t="shared" si="309"/>
        <v>0</v>
      </c>
      <c r="L674" s="75">
        <f t="shared" si="309"/>
        <v>1762.4038881423949</v>
      </c>
      <c r="M674" s="75">
        <f t="shared" si="309"/>
        <v>0</v>
      </c>
      <c r="N674" s="75">
        <f t="shared" si="309"/>
        <v>0</v>
      </c>
      <c r="O674" s="75">
        <f t="shared" si="309"/>
        <v>0</v>
      </c>
      <c r="P674" s="75">
        <f t="shared" si="309"/>
        <v>0</v>
      </c>
      <c r="Q674" s="75">
        <f t="shared" si="309"/>
        <v>0</v>
      </c>
      <c r="R674" s="75">
        <f t="shared" si="309"/>
        <v>2.3626980033359888</v>
      </c>
      <c r="S674" s="75">
        <f t="shared" si="309"/>
        <v>0</v>
      </c>
      <c r="T674" s="75">
        <f t="shared" si="309"/>
        <v>0</v>
      </c>
      <c r="U674" s="75">
        <f t="shared" si="309"/>
        <v>0</v>
      </c>
      <c r="V674" s="75">
        <f t="shared" si="309"/>
        <v>0</v>
      </c>
      <c r="W674" s="75">
        <f t="shared" si="309"/>
        <v>0</v>
      </c>
      <c r="X674" s="75">
        <f t="shared" si="309"/>
        <v>0</v>
      </c>
      <c r="Y674" s="75">
        <f t="shared" si="309"/>
        <v>0</v>
      </c>
      <c r="Z674" s="75">
        <f t="shared" si="309"/>
        <v>0</v>
      </c>
      <c r="AA674" s="79">
        <f>SUM(G674:Z674)</f>
        <v>520998.82129490451</v>
      </c>
      <c r="AB674" s="92" t="str">
        <f>IF(ABS(F674-AA674)&lt;0.01,"ok","err")</f>
        <v>ok</v>
      </c>
    </row>
    <row r="675" spans="1:28">
      <c r="F675" s="78"/>
    </row>
    <row r="676" spans="1:28" ht="15">
      <c r="A676" s="65" t="s">
        <v>342</v>
      </c>
      <c r="F676" s="78"/>
    </row>
    <row r="677" spans="1:28">
      <c r="A677" s="68" t="s">
        <v>1019</v>
      </c>
      <c r="C677" s="60" t="s">
        <v>1002</v>
      </c>
      <c r="D677" s="60" t="s">
        <v>789</v>
      </c>
      <c r="E677" s="60" t="s">
        <v>1022</v>
      </c>
      <c r="F677" s="75">
        <f>VLOOKUP(C677,'Functional Assignment'!$C$2:$AP$780,'Functional Assignment'!$AA$2,)</f>
        <v>531328.91262204992</v>
      </c>
      <c r="G677" s="75">
        <f t="shared" ref="G677:Z677" si="310">IF(VLOOKUP($E677,$D$6:$AN$1148,3,)=0,0,(VLOOKUP($E677,$D$6:$AN$1148,G$2,)/VLOOKUP($E677,$D$6:$AN$1148,3,))*$F677)</f>
        <v>363187.88466364343</v>
      </c>
      <c r="H677" s="75">
        <f t="shared" si="310"/>
        <v>112843.85558207975</v>
      </c>
      <c r="I677" s="75">
        <f t="shared" si="310"/>
        <v>3688.4409952161836</v>
      </c>
      <c r="J677" s="75">
        <f t="shared" si="310"/>
        <v>31556.507010444955</v>
      </c>
      <c r="K677" s="75">
        <f t="shared" si="310"/>
        <v>7367.2805990914649</v>
      </c>
      <c r="L677" s="75">
        <f t="shared" si="310"/>
        <v>6238.5260338350954</v>
      </c>
      <c r="M677" s="75">
        <f t="shared" si="310"/>
        <v>5206.4159772527682</v>
      </c>
      <c r="N677" s="75">
        <f t="shared" si="310"/>
        <v>111.96941283595874</v>
      </c>
      <c r="O677" s="75">
        <f t="shared" si="310"/>
        <v>0</v>
      </c>
      <c r="P677" s="75">
        <f t="shared" si="310"/>
        <v>154.8554947912572</v>
      </c>
      <c r="Q677" s="75">
        <f t="shared" si="310"/>
        <v>961.83537137426833</v>
      </c>
      <c r="R677" s="75">
        <f t="shared" si="310"/>
        <v>11.341481484688385</v>
      </c>
      <c r="S677" s="75">
        <f t="shared" si="310"/>
        <v>0</v>
      </c>
      <c r="T677" s="75">
        <f t="shared" si="310"/>
        <v>0</v>
      </c>
      <c r="U677" s="75">
        <f t="shared" si="310"/>
        <v>0</v>
      </c>
      <c r="V677" s="75">
        <f t="shared" si="310"/>
        <v>0</v>
      </c>
      <c r="W677" s="75">
        <f t="shared" si="310"/>
        <v>0</v>
      </c>
      <c r="X677" s="75">
        <f t="shared" si="310"/>
        <v>0</v>
      </c>
      <c r="Y677" s="75">
        <f t="shared" si="310"/>
        <v>0</v>
      </c>
      <c r="Z677" s="75">
        <f t="shared" si="310"/>
        <v>0</v>
      </c>
      <c r="AA677" s="79">
        <f>SUM(G677:Z677)</f>
        <v>531328.91262204992</v>
      </c>
      <c r="AB677" s="92" t="str">
        <f>IF(ABS(F677-AA677)&lt;0.01,"ok","err")</f>
        <v>ok</v>
      </c>
    </row>
    <row r="678" spans="1:28"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9"/>
    </row>
    <row r="679" spans="1:28" ht="15">
      <c r="A679" s="65" t="s">
        <v>358</v>
      </c>
      <c r="F679" s="78"/>
    </row>
    <row r="680" spans="1:28">
      <c r="A680" s="68" t="s">
        <v>1019</v>
      </c>
      <c r="C680" s="60" t="s">
        <v>1002</v>
      </c>
      <c r="D680" s="60" t="s">
        <v>790</v>
      </c>
      <c r="E680" s="60" t="s">
        <v>1023</v>
      </c>
      <c r="F680" s="75">
        <f>VLOOKUP(C680,'Functional Assignment'!$C$2:$AP$780,'Functional Assignment'!$AB$2,)</f>
        <v>1717756.5029967262</v>
      </c>
      <c r="G680" s="75">
        <f t="shared" ref="G680:Z680" si="311">IF(VLOOKUP($E680,$D$6:$AN$1148,3,)=0,0,(VLOOKUP($E680,$D$6:$AN$1148,G$2,)/VLOOKUP($E680,$D$6:$AN$1148,3,))*$F680)</f>
        <v>0</v>
      </c>
      <c r="H680" s="75">
        <f t="shared" si="311"/>
        <v>0</v>
      </c>
      <c r="I680" s="75">
        <f t="shared" si="311"/>
        <v>0</v>
      </c>
      <c r="J680" s="75">
        <f t="shared" si="311"/>
        <v>0</v>
      </c>
      <c r="K680" s="75">
        <f t="shared" si="311"/>
        <v>0</v>
      </c>
      <c r="L680" s="75">
        <f t="shared" si="311"/>
        <v>0</v>
      </c>
      <c r="M680" s="75">
        <f t="shared" si="311"/>
        <v>0</v>
      </c>
      <c r="N680" s="75">
        <f t="shared" si="311"/>
        <v>0</v>
      </c>
      <c r="O680" s="75">
        <f t="shared" si="311"/>
        <v>1717756.5029967262</v>
      </c>
      <c r="P680" s="75">
        <f t="shared" si="311"/>
        <v>0</v>
      </c>
      <c r="Q680" s="75">
        <f t="shared" si="311"/>
        <v>0</v>
      </c>
      <c r="R680" s="75">
        <f t="shared" si="311"/>
        <v>0</v>
      </c>
      <c r="S680" s="75">
        <f t="shared" si="311"/>
        <v>0</v>
      </c>
      <c r="T680" s="75">
        <f t="shared" si="311"/>
        <v>0</v>
      </c>
      <c r="U680" s="75">
        <f t="shared" si="311"/>
        <v>0</v>
      </c>
      <c r="V680" s="75">
        <f t="shared" si="311"/>
        <v>0</v>
      </c>
      <c r="W680" s="75">
        <f t="shared" si="311"/>
        <v>0</v>
      </c>
      <c r="X680" s="75">
        <f t="shared" si="311"/>
        <v>0</v>
      </c>
      <c r="Y680" s="75">
        <f t="shared" si="311"/>
        <v>0</v>
      </c>
      <c r="Z680" s="75">
        <f t="shared" si="311"/>
        <v>0</v>
      </c>
      <c r="AA680" s="79">
        <f>SUM(G680:Z680)</f>
        <v>1717756.5029967262</v>
      </c>
      <c r="AB680" s="92" t="str">
        <f>IF(ABS(F680-AA680)&lt;0.01,"ok","err")</f>
        <v>ok</v>
      </c>
    </row>
    <row r="681" spans="1:28"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9"/>
    </row>
    <row r="682" spans="1:28" ht="15">
      <c r="A682" s="65" t="s">
        <v>951</v>
      </c>
      <c r="F682" s="78"/>
    </row>
    <row r="683" spans="1:28">
      <c r="A683" s="68" t="s">
        <v>1019</v>
      </c>
      <c r="C683" s="60" t="s">
        <v>1002</v>
      </c>
      <c r="D683" s="60" t="s">
        <v>791</v>
      </c>
      <c r="E683" s="60" t="s">
        <v>1024</v>
      </c>
      <c r="F683" s="75">
        <f>VLOOKUP(C683,'Functional Assignment'!$C$2:$AP$780,'Functional Assignment'!$AC$2,)</f>
        <v>0</v>
      </c>
      <c r="G683" s="75">
        <f t="shared" ref="G683:Z683" si="312">IF(VLOOKUP($E683,$D$6:$AN$1148,3,)=0,0,(VLOOKUP($E683,$D$6:$AN$1148,G$2,)/VLOOKUP($E683,$D$6:$AN$1148,3,))*$F683)</f>
        <v>0</v>
      </c>
      <c r="H683" s="75">
        <f t="shared" si="312"/>
        <v>0</v>
      </c>
      <c r="I683" s="75">
        <f t="shared" si="312"/>
        <v>0</v>
      </c>
      <c r="J683" s="75">
        <f t="shared" si="312"/>
        <v>0</v>
      </c>
      <c r="K683" s="75">
        <f t="shared" si="312"/>
        <v>0</v>
      </c>
      <c r="L683" s="75">
        <f t="shared" si="312"/>
        <v>0</v>
      </c>
      <c r="M683" s="75">
        <f t="shared" si="312"/>
        <v>0</v>
      </c>
      <c r="N683" s="75">
        <f t="shared" si="312"/>
        <v>0</v>
      </c>
      <c r="O683" s="75">
        <f t="shared" si="312"/>
        <v>0</v>
      </c>
      <c r="P683" s="75">
        <f t="shared" si="312"/>
        <v>0</v>
      </c>
      <c r="Q683" s="75">
        <f t="shared" si="312"/>
        <v>0</v>
      </c>
      <c r="R683" s="75">
        <f t="shared" si="312"/>
        <v>0</v>
      </c>
      <c r="S683" s="75">
        <f t="shared" si="312"/>
        <v>0</v>
      </c>
      <c r="T683" s="75">
        <f t="shared" si="312"/>
        <v>0</v>
      </c>
      <c r="U683" s="75">
        <f t="shared" si="312"/>
        <v>0</v>
      </c>
      <c r="V683" s="75">
        <f t="shared" si="312"/>
        <v>0</v>
      </c>
      <c r="W683" s="75">
        <f t="shared" si="312"/>
        <v>0</v>
      </c>
      <c r="X683" s="75">
        <f t="shared" si="312"/>
        <v>0</v>
      </c>
      <c r="Y683" s="75">
        <f t="shared" si="312"/>
        <v>0</v>
      </c>
      <c r="Z683" s="75">
        <f t="shared" si="312"/>
        <v>0</v>
      </c>
      <c r="AA683" s="79">
        <f>SUM(G683:Z683)</f>
        <v>0</v>
      </c>
      <c r="AB683" s="92" t="str">
        <f>IF(ABS(F683-AA683)&lt;0.01,"ok","err")</f>
        <v>ok</v>
      </c>
    </row>
    <row r="684" spans="1:28"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9"/>
    </row>
    <row r="685" spans="1:28" ht="15">
      <c r="A685" s="65" t="s">
        <v>340</v>
      </c>
      <c r="F685" s="78"/>
    </row>
    <row r="686" spans="1:28">
      <c r="A686" s="68" t="s">
        <v>1019</v>
      </c>
      <c r="C686" s="60" t="s">
        <v>1002</v>
      </c>
      <c r="D686" s="60" t="s">
        <v>792</v>
      </c>
      <c r="E686" s="60" t="s">
        <v>1024</v>
      </c>
      <c r="F686" s="75">
        <f>VLOOKUP(C686,'Functional Assignment'!$C$2:$AP$780,'Functional Assignment'!$AD$2,)</f>
        <v>0</v>
      </c>
      <c r="G686" s="75">
        <f t="shared" ref="G686:Z686" si="313">IF(VLOOKUP($E686,$D$6:$AN$1148,3,)=0,0,(VLOOKUP($E686,$D$6:$AN$1148,G$2,)/VLOOKUP($E686,$D$6:$AN$1148,3,))*$F686)</f>
        <v>0</v>
      </c>
      <c r="H686" s="75">
        <f t="shared" si="313"/>
        <v>0</v>
      </c>
      <c r="I686" s="75">
        <f t="shared" si="313"/>
        <v>0</v>
      </c>
      <c r="J686" s="75">
        <f t="shared" si="313"/>
        <v>0</v>
      </c>
      <c r="K686" s="75">
        <f t="shared" si="313"/>
        <v>0</v>
      </c>
      <c r="L686" s="75">
        <f t="shared" si="313"/>
        <v>0</v>
      </c>
      <c r="M686" s="75">
        <f t="shared" si="313"/>
        <v>0</v>
      </c>
      <c r="N686" s="75">
        <f t="shared" si="313"/>
        <v>0</v>
      </c>
      <c r="O686" s="75">
        <f t="shared" si="313"/>
        <v>0</v>
      </c>
      <c r="P686" s="75">
        <f t="shared" si="313"/>
        <v>0</v>
      </c>
      <c r="Q686" s="75">
        <f t="shared" si="313"/>
        <v>0</v>
      </c>
      <c r="R686" s="75">
        <f t="shared" si="313"/>
        <v>0</v>
      </c>
      <c r="S686" s="75">
        <f t="shared" si="313"/>
        <v>0</v>
      </c>
      <c r="T686" s="75">
        <f t="shared" si="313"/>
        <v>0</v>
      </c>
      <c r="U686" s="75">
        <f t="shared" si="313"/>
        <v>0</v>
      </c>
      <c r="V686" s="75">
        <f t="shared" si="313"/>
        <v>0</v>
      </c>
      <c r="W686" s="75">
        <f t="shared" si="313"/>
        <v>0</v>
      </c>
      <c r="X686" s="75">
        <f t="shared" si="313"/>
        <v>0</v>
      </c>
      <c r="Y686" s="75">
        <f t="shared" si="313"/>
        <v>0</v>
      </c>
      <c r="Z686" s="75">
        <f t="shared" si="313"/>
        <v>0</v>
      </c>
      <c r="AA686" s="79">
        <f>SUM(G686:Z686)</f>
        <v>0</v>
      </c>
      <c r="AB686" s="92" t="str">
        <f>IF(ABS(F686-AA686)&lt;0.01,"ok","err")</f>
        <v>ok</v>
      </c>
    </row>
    <row r="687" spans="1:28"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9"/>
    </row>
    <row r="688" spans="1:28" ht="15">
      <c r="A688" s="65" t="s">
        <v>339</v>
      </c>
      <c r="F688" s="78"/>
    </row>
    <row r="689" spans="1:29">
      <c r="A689" s="68" t="s">
        <v>1019</v>
      </c>
      <c r="C689" s="60" t="s">
        <v>1002</v>
      </c>
      <c r="D689" s="60" t="s">
        <v>793</v>
      </c>
      <c r="E689" s="60" t="s">
        <v>1025</v>
      </c>
      <c r="F689" s="75">
        <f>VLOOKUP(C689,'Functional Assignment'!$C$2:$AP$780,'Functional Assignment'!$AE$2,)</f>
        <v>0</v>
      </c>
      <c r="G689" s="75">
        <f t="shared" ref="G689:Z689" si="314">IF(VLOOKUP($E689,$D$6:$AN$1148,3,)=0,0,(VLOOKUP($E689,$D$6:$AN$1148,G$2,)/VLOOKUP($E689,$D$6:$AN$1148,3,))*$F689)</f>
        <v>0</v>
      </c>
      <c r="H689" s="75">
        <f t="shared" si="314"/>
        <v>0</v>
      </c>
      <c r="I689" s="75">
        <f t="shared" si="314"/>
        <v>0</v>
      </c>
      <c r="J689" s="75">
        <f t="shared" si="314"/>
        <v>0</v>
      </c>
      <c r="K689" s="75">
        <f t="shared" si="314"/>
        <v>0</v>
      </c>
      <c r="L689" s="75">
        <f t="shared" si="314"/>
        <v>0</v>
      </c>
      <c r="M689" s="75">
        <f t="shared" si="314"/>
        <v>0</v>
      </c>
      <c r="N689" s="75">
        <f t="shared" si="314"/>
        <v>0</v>
      </c>
      <c r="O689" s="75">
        <f t="shared" si="314"/>
        <v>0</v>
      </c>
      <c r="P689" s="75">
        <f t="shared" si="314"/>
        <v>0</v>
      </c>
      <c r="Q689" s="75">
        <f t="shared" si="314"/>
        <v>0</v>
      </c>
      <c r="R689" s="75">
        <f t="shared" si="314"/>
        <v>0</v>
      </c>
      <c r="S689" s="75">
        <f t="shared" si="314"/>
        <v>0</v>
      </c>
      <c r="T689" s="75">
        <f t="shared" si="314"/>
        <v>0</v>
      </c>
      <c r="U689" s="75">
        <f t="shared" si="314"/>
        <v>0</v>
      </c>
      <c r="V689" s="75">
        <f t="shared" si="314"/>
        <v>0</v>
      </c>
      <c r="W689" s="75">
        <f t="shared" si="314"/>
        <v>0</v>
      </c>
      <c r="X689" s="75">
        <f t="shared" si="314"/>
        <v>0</v>
      </c>
      <c r="Y689" s="75">
        <f t="shared" si="314"/>
        <v>0</v>
      </c>
      <c r="Z689" s="75">
        <f t="shared" si="314"/>
        <v>0</v>
      </c>
      <c r="AA689" s="79">
        <f>SUM(G689:Z689)</f>
        <v>0</v>
      </c>
      <c r="AB689" s="92" t="str">
        <f>IF(ABS(F689-AA689)&lt;0.01,"ok","err")</f>
        <v>ok</v>
      </c>
    </row>
    <row r="690" spans="1:29"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9"/>
    </row>
    <row r="691" spans="1:29">
      <c r="A691" s="60" t="s">
        <v>848</v>
      </c>
      <c r="D691" s="60" t="s">
        <v>794</v>
      </c>
      <c r="F691" s="75">
        <f>F646+F652+F655+F658+F666+F671+F674+F677+F680+F683+F686+F689</f>
        <v>75433705.043134436</v>
      </c>
      <c r="G691" s="75">
        <f t="shared" ref="G691:Z691" si="315">G646+G652+G655+G658+G666+G671+G674+G677+G680+G683+G686+G689</f>
        <v>37326344.045371115</v>
      </c>
      <c r="H691" s="75">
        <f t="shared" si="315"/>
        <v>8707341.2267477568</v>
      </c>
      <c r="I691" s="75">
        <f t="shared" si="315"/>
        <v>514533.90221210563</v>
      </c>
      <c r="J691" s="75">
        <f t="shared" si="315"/>
        <v>8680588.0502413195</v>
      </c>
      <c r="K691" s="75">
        <f t="shared" si="315"/>
        <v>7604692.6482977429</v>
      </c>
      <c r="L691" s="75">
        <f t="shared" si="315"/>
        <v>6615938.3961369684</v>
      </c>
      <c r="M691" s="75">
        <f t="shared" si="315"/>
        <v>3465255.9840087472</v>
      </c>
      <c r="N691" s="75">
        <f t="shared" si="315"/>
        <v>223075.08448583473</v>
      </c>
      <c r="O691" s="75">
        <f>O646+O652+O655+O658+O666+O671+O674+O677+O680+O683+O686+O689</f>
        <v>2268880.5744526531</v>
      </c>
      <c r="P691" s="75">
        <f t="shared" si="315"/>
        <v>11794.767312844699</v>
      </c>
      <c r="Q691" s="75">
        <f t="shared" si="315"/>
        <v>14659.363332027866</v>
      </c>
      <c r="R691" s="75">
        <f t="shared" si="315"/>
        <v>273.63097573139851</v>
      </c>
      <c r="S691" s="75">
        <f t="shared" si="315"/>
        <v>327.36955958097087</v>
      </c>
      <c r="T691" s="75">
        <f t="shared" si="315"/>
        <v>0</v>
      </c>
      <c r="U691" s="75">
        <f t="shared" si="315"/>
        <v>0</v>
      </c>
      <c r="V691" s="75">
        <f t="shared" si="315"/>
        <v>0</v>
      </c>
      <c r="W691" s="75">
        <f t="shared" si="315"/>
        <v>0</v>
      </c>
      <c r="X691" s="75">
        <f t="shared" si="315"/>
        <v>0</v>
      </c>
      <c r="Y691" s="75">
        <f t="shared" si="315"/>
        <v>0</v>
      </c>
      <c r="Z691" s="75">
        <f t="shared" si="315"/>
        <v>0</v>
      </c>
      <c r="AA691" s="79">
        <f>SUM(G691:Z691)</f>
        <v>75433705.043134436</v>
      </c>
      <c r="AB691" s="92" t="str">
        <f>IF(ABS(F691-AA691)&lt;0.01,"ok","err")</f>
        <v>ok</v>
      </c>
    </row>
    <row r="692" spans="1:29"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9"/>
      <c r="AB692" s="92"/>
    </row>
    <row r="693" spans="1:29"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9"/>
      <c r="AB693" s="92"/>
    </row>
    <row r="694" spans="1:29" ht="15">
      <c r="A694" s="65" t="s">
        <v>823</v>
      </c>
    </row>
    <row r="695" spans="1:29">
      <c r="F695" s="79"/>
    </row>
    <row r="696" spans="1:29" ht="15">
      <c r="A696" s="65" t="s">
        <v>1038</v>
      </c>
    </row>
    <row r="697" spans="1:29">
      <c r="A697" s="68" t="s">
        <v>182</v>
      </c>
      <c r="D697" s="60" t="s">
        <v>1039</v>
      </c>
      <c r="E697" s="60" t="s">
        <v>129</v>
      </c>
      <c r="F697" s="75">
        <f>'Billing Det'!D37</f>
        <v>1066653012.4400001</v>
      </c>
      <c r="G697" s="75">
        <f t="shared" ref="G697:P700" si="316">IF(VLOOKUP($E697,$D$6:$AN$1148,3,)=0,0,(VLOOKUP($E697,$D$6:$AN$1148,G$2,)/VLOOKUP($E697,$D$6:$AN$1148,3,))*$F697)</f>
        <v>431824736.44999999</v>
      </c>
      <c r="H697" s="75">
        <f t="shared" si="316"/>
        <v>148100588.18000001</v>
      </c>
      <c r="I697" s="75">
        <f t="shared" si="316"/>
        <v>10054861.74</v>
      </c>
      <c r="J697" s="75">
        <f t="shared" si="316"/>
        <v>147448878.13999999</v>
      </c>
      <c r="K697" s="75">
        <f t="shared" si="316"/>
        <v>136688084.54999998</v>
      </c>
      <c r="L697" s="75">
        <f t="shared" si="316"/>
        <v>101626163.23</v>
      </c>
      <c r="M697" s="75">
        <f t="shared" si="316"/>
        <v>64286866.589999996</v>
      </c>
      <c r="N697" s="75">
        <f t="shared" si="316"/>
        <v>3635159.88</v>
      </c>
      <c r="O697" s="75">
        <f t="shared" si="316"/>
        <v>22160939.829999998</v>
      </c>
      <c r="P697" s="75">
        <f t="shared" si="316"/>
        <v>243958.97</v>
      </c>
      <c r="Q697" s="75">
        <f t="shared" ref="Q697:Z700" si="317">IF(VLOOKUP($E697,$D$6:$AN$1148,3,)=0,0,(VLOOKUP($E697,$D$6:$AN$1148,Q$2,)/VLOOKUP($E697,$D$6:$AN$1148,3,))*$F697)</f>
        <v>318741.55000000005</v>
      </c>
      <c r="R697" s="75">
        <f t="shared" si="317"/>
        <v>15468.33</v>
      </c>
      <c r="S697" s="75">
        <f t="shared" si="317"/>
        <v>1533</v>
      </c>
      <c r="T697" s="75">
        <f t="shared" si="317"/>
        <v>237096</v>
      </c>
      <c r="U697" s="75">
        <f t="shared" si="317"/>
        <v>9936</v>
      </c>
      <c r="V697" s="75">
        <f t="shared" si="317"/>
        <v>0</v>
      </c>
      <c r="W697" s="75">
        <f t="shared" si="317"/>
        <v>0</v>
      </c>
      <c r="X697" s="75">
        <f t="shared" si="317"/>
        <v>0</v>
      </c>
      <c r="Y697" s="75">
        <f t="shared" si="317"/>
        <v>0</v>
      </c>
      <c r="Z697" s="75">
        <f t="shared" si="317"/>
        <v>0</v>
      </c>
      <c r="AA697" s="79">
        <f t="shared" ref="AA697:AA707" si="318">SUM(G697:Z697)</f>
        <v>1066653012.4400001</v>
      </c>
      <c r="AB697" s="92" t="str">
        <f t="shared" ref="AB697:AB707" si="319">IF(ABS(F697-AA697)&lt;0.01,"ok","err")</f>
        <v>ok</v>
      </c>
    </row>
    <row r="698" spans="1:29">
      <c r="A698" s="60" t="s">
        <v>1224</v>
      </c>
      <c r="E698" s="60" t="s">
        <v>856</v>
      </c>
      <c r="F698" s="78">
        <f>42910931-6102286-2402925</f>
        <v>34405720</v>
      </c>
      <c r="G698" s="78">
        <f t="shared" si="316"/>
        <v>12366966.991390636</v>
      </c>
      <c r="H698" s="78">
        <f t="shared" si="316"/>
        <v>3656201.1682057143</v>
      </c>
      <c r="I698" s="78">
        <f t="shared" si="316"/>
        <v>309759.26197993307</v>
      </c>
      <c r="J698" s="78">
        <f t="shared" si="316"/>
        <v>4608468.4725286756</v>
      </c>
      <c r="K698" s="78">
        <f t="shared" si="316"/>
        <v>5957247.5283633946</v>
      </c>
      <c r="L698" s="78">
        <f t="shared" si="316"/>
        <v>3934269.0712397015</v>
      </c>
      <c r="M698" s="78">
        <f t="shared" si="316"/>
        <v>3081523.8158901553</v>
      </c>
      <c r="N698" s="78">
        <f t="shared" si="316"/>
        <v>168464.88353543528</v>
      </c>
      <c r="O698" s="78">
        <f t="shared" si="316"/>
        <v>302374.50892361323</v>
      </c>
      <c r="P698" s="78">
        <f t="shared" si="316"/>
        <v>10531.710314302347</v>
      </c>
      <c r="Q698" s="78">
        <f t="shared" si="317"/>
        <v>9821.5711662230988</v>
      </c>
      <c r="R698" s="78">
        <f t="shared" si="317"/>
        <v>35.276514716915592</v>
      </c>
      <c r="S698" s="78">
        <f t="shared" si="317"/>
        <v>55.739947496425074</v>
      </c>
      <c r="T698" s="78">
        <f t="shared" si="317"/>
        <v>0</v>
      </c>
      <c r="U698" s="78">
        <f t="shared" si="317"/>
        <v>0</v>
      </c>
      <c r="V698" s="78">
        <f t="shared" si="317"/>
        <v>0</v>
      </c>
      <c r="W698" s="78">
        <f t="shared" si="317"/>
        <v>0</v>
      </c>
      <c r="X698" s="78">
        <f t="shared" si="317"/>
        <v>0</v>
      </c>
      <c r="Y698" s="78">
        <f t="shared" si="317"/>
        <v>0</v>
      </c>
      <c r="Z698" s="78">
        <f t="shared" si="317"/>
        <v>0</v>
      </c>
      <c r="AA698" s="78">
        <f>SUM(G698:Z698)</f>
        <v>34405720</v>
      </c>
      <c r="AB698" s="92" t="str">
        <f t="shared" ref="AB698" si="320">IF(ABS(F698-AA698)&lt;0.01,"ok","err")</f>
        <v>ok</v>
      </c>
    </row>
    <row r="699" spans="1:29">
      <c r="A699" s="60" t="s">
        <v>1302</v>
      </c>
      <c r="E699" s="60" t="s">
        <v>351</v>
      </c>
      <c r="F699" s="78">
        <v>12094529.038746925</v>
      </c>
      <c r="G699" s="78">
        <f t="shared" si="316"/>
        <v>5722158.4881819878</v>
      </c>
      <c r="H699" s="78">
        <f t="shared" si="316"/>
        <v>1397741.3425823746</v>
      </c>
      <c r="I699" s="78">
        <f t="shared" si="316"/>
        <v>91752.128273170587</v>
      </c>
      <c r="J699" s="78">
        <f t="shared" si="316"/>
        <v>1555255.1168048852</v>
      </c>
      <c r="K699" s="78">
        <f t="shared" si="316"/>
        <v>1304274.4630886875</v>
      </c>
      <c r="L699" s="78">
        <f t="shared" si="316"/>
        <v>1234808.2508610517</v>
      </c>
      <c r="M699" s="78">
        <f t="shared" si="316"/>
        <v>643930.79379278771</v>
      </c>
      <c r="N699" s="78">
        <f t="shared" si="316"/>
        <v>41379.442414540899</v>
      </c>
      <c r="O699" s="78">
        <f t="shared" si="316"/>
        <v>98058.129565832278</v>
      </c>
      <c r="P699" s="78">
        <f t="shared" si="316"/>
        <v>3415.3666532499392</v>
      </c>
      <c r="Q699" s="78">
        <f t="shared" si="317"/>
        <v>1567.8122113696963</v>
      </c>
      <c r="R699" s="78">
        <f t="shared" si="317"/>
        <v>170.62065937237364</v>
      </c>
      <c r="S699" s="78">
        <f t="shared" si="317"/>
        <v>17.083657616955914</v>
      </c>
      <c r="T699" s="78">
        <f t="shared" si="317"/>
        <v>0</v>
      </c>
      <c r="U699" s="78">
        <f t="shared" si="317"/>
        <v>0</v>
      </c>
      <c r="V699" s="78">
        <f t="shared" si="317"/>
        <v>0</v>
      </c>
      <c r="W699" s="78">
        <f t="shared" si="317"/>
        <v>0</v>
      </c>
      <c r="X699" s="78">
        <f t="shared" si="317"/>
        <v>0</v>
      </c>
      <c r="Y699" s="78">
        <f t="shared" si="317"/>
        <v>0</v>
      </c>
      <c r="Z699" s="78">
        <f t="shared" si="317"/>
        <v>0</v>
      </c>
      <c r="AA699" s="78">
        <f>SUM(G699:Z699)</f>
        <v>12094529.038746929</v>
      </c>
      <c r="AB699" s="92" t="str">
        <f t="shared" si="319"/>
        <v>ok</v>
      </c>
    </row>
    <row r="700" spans="1:29">
      <c r="A700" s="60" t="s">
        <v>1303</v>
      </c>
      <c r="E700" s="60" t="s">
        <v>1368</v>
      </c>
      <c r="F700" s="78">
        <v>665559.62476718472</v>
      </c>
      <c r="G700" s="78">
        <f t="shared" si="316"/>
        <v>277362.2081506768</v>
      </c>
      <c r="H700" s="78">
        <f t="shared" si="316"/>
        <v>79840.629642157932</v>
      </c>
      <c r="I700" s="78">
        <f t="shared" si="316"/>
        <v>5780.3853724308183</v>
      </c>
      <c r="J700" s="78">
        <f t="shared" si="316"/>
        <v>93080.3480913448</v>
      </c>
      <c r="K700" s="78">
        <f t="shared" si="316"/>
        <v>87243.381926604081</v>
      </c>
      <c r="L700" s="78">
        <f t="shared" si="316"/>
        <v>72148.087444786448</v>
      </c>
      <c r="M700" s="78">
        <f t="shared" si="316"/>
        <v>44632.741356265149</v>
      </c>
      <c r="N700" s="78">
        <f t="shared" si="316"/>
        <v>2505.9745146894979</v>
      </c>
      <c r="O700" s="78">
        <f t="shared" si="316"/>
        <v>2737.919581310719</v>
      </c>
      <c r="P700" s="78">
        <f t="shared" si="316"/>
        <v>95.361794873017445</v>
      </c>
      <c r="Q700" s="78">
        <f t="shared" si="317"/>
        <v>131.32650313644751</v>
      </c>
      <c r="R700" s="78">
        <f t="shared" si="317"/>
        <v>0.12751504949844333</v>
      </c>
      <c r="S700" s="78">
        <f t="shared" si="317"/>
        <v>1.1328738593913867</v>
      </c>
      <c r="T700" s="78">
        <f t="shared" si="317"/>
        <v>0</v>
      </c>
      <c r="U700" s="78">
        <f t="shared" si="317"/>
        <v>0</v>
      </c>
      <c r="V700" s="78">
        <f t="shared" si="317"/>
        <v>0</v>
      </c>
      <c r="W700" s="78">
        <f t="shared" si="317"/>
        <v>0</v>
      </c>
      <c r="X700" s="78">
        <f t="shared" si="317"/>
        <v>0</v>
      </c>
      <c r="Y700" s="78">
        <f t="shared" si="317"/>
        <v>0</v>
      </c>
      <c r="Z700" s="78">
        <f t="shared" si="317"/>
        <v>0</v>
      </c>
      <c r="AA700" s="78">
        <f>SUM(G700:Z700)</f>
        <v>665559.62476718461</v>
      </c>
      <c r="AB700" s="92" t="str">
        <f t="shared" ref="AB700" si="321">IF(ABS(F700-AA700)&lt;0.01,"ok","err")</f>
        <v>ok</v>
      </c>
    </row>
    <row r="701" spans="1:29">
      <c r="A701" s="60" t="s">
        <v>1222</v>
      </c>
      <c r="F701" s="78">
        <v>-2468360</v>
      </c>
      <c r="G701" s="78"/>
      <c r="H701" s="78"/>
      <c r="I701" s="78"/>
      <c r="J701" s="78"/>
      <c r="K701" s="78">
        <f>-K1119</f>
        <v>-142467</v>
      </c>
      <c r="L701" s="78">
        <f>-L1119</f>
        <v>0</v>
      </c>
      <c r="M701" s="78">
        <f>-M1119</f>
        <v>-2325893</v>
      </c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>
        <f>SUM(G701:Z701)</f>
        <v>-2468360</v>
      </c>
      <c r="AB701" s="92" t="str">
        <f t="shared" ref="AB701" si="322">IF(ABS(F701-AA701)&lt;0.01,"ok","err")</f>
        <v>ok</v>
      </c>
    </row>
    <row r="702" spans="1:29">
      <c r="A702" s="60" t="s">
        <v>647</v>
      </c>
      <c r="D702" s="60" t="s">
        <v>648</v>
      </c>
      <c r="E702" s="60" t="s">
        <v>686</v>
      </c>
      <c r="F702" s="78">
        <v>2706692.92</v>
      </c>
      <c r="G702" s="78">
        <f t="shared" ref="G702:P705" si="323">IF(VLOOKUP($E702,$D$6:$AN$1148,3,)=0,0,(VLOOKUP($E702,$D$6:$AN$1148,G$2,)/VLOOKUP($E702,$D$6:$AN$1148,3,))*$F702)</f>
        <v>2147239.8938503293</v>
      </c>
      <c r="H702" s="78">
        <f t="shared" si="323"/>
        <v>209025.46765031613</v>
      </c>
      <c r="I702" s="78">
        <f t="shared" si="323"/>
        <v>7004.5440583936861</v>
      </c>
      <c r="J702" s="78">
        <f t="shared" si="323"/>
        <v>278420.34567918465</v>
      </c>
      <c r="K702" s="78">
        <f t="shared" si="323"/>
        <v>13167.994528875361</v>
      </c>
      <c r="L702" s="78">
        <f t="shared" si="323"/>
        <v>50533.330436459211</v>
      </c>
      <c r="M702" s="78">
        <f t="shared" si="323"/>
        <v>1300.8438965588275</v>
      </c>
      <c r="N702" s="78">
        <f t="shared" si="323"/>
        <v>0</v>
      </c>
      <c r="O702" s="78">
        <f t="shared" si="323"/>
        <v>0.49989988309105043</v>
      </c>
      <c r="P702" s="78">
        <f t="shared" si="323"/>
        <v>0</v>
      </c>
      <c r="Q702" s="78">
        <f t="shared" ref="Q702:Z705" si="324">IF(VLOOKUP($E702,$D$6:$AN$1148,3,)=0,0,(VLOOKUP($E702,$D$6:$AN$1148,Q$2,)/VLOOKUP($E702,$D$6:$AN$1148,3,))*$F702)</f>
        <v>0</v>
      </c>
      <c r="R702" s="78">
        <f t="shared" si="324"/>
        <v>0</v>
      </c>
      <c r="S702" s="78">
        <f t="shared" si="324"/>
        <v>0</v>
      </c>
      <c r="T702" s="78">
        <f t="shared" si="324"/>
        <v>0</v>
      </c>
      <c r="U702" s="78">
        <f t="shared" si="324"/>
        <v>0</v>
      </c>
      <c r="V702" s="78">
        <f t="shared" si="324"/>
        <v>0</v>
      </c>
      <c r="W702" s="78">
        <f t="shared" si="324"/>
        <v>0</v>
      </c>
      <c r="X702" s="78">
        <f t="shared" si="324"/>
        <v>0</v>
      </c>
      <c r="Y702" s="78">
        <f t="shared" si="324"/>
        <v>0</v>
      </c>
      <c r="Z702" s="78">
        <f t="shared" si="324"/>
        <v>0</v>
      </c>
      <c r="AA702" s="78">
        <f t="shared" si="318"/>
        <v>2706692.9200000009</v>
      </c>
      <c r="AB702" s="92" t="str">
        <f t="shared" si="319"/>
        <v>ok</v>
      </c>
    </row>
    <row r="703" spans="1:29">
      <c r="A703" s="60" t="s">
        <v>649</v>
      </c>
      <c r="D703" s="60" t="s">
        <v>42</v>
      </c>
      <c r="E703" s="60" t="s">
        <v>179</v>
      </c>
      <c r="F703" s="78">
        <v>1545789.287142857</v>
      </c>
      <c r="G703" s="78">
        <f t="shared" si="323"/>
        <v>1474974.5383298295</v>
      </c>
      <c r="H703" s="78">
        <f t="shared" si="323"/>
        <v>58584.563643341877</v>
      </c>
      <c r="I703" s="78">
        <f t="shared" si="323"/>
        <v>244.46420092602602</v>
      </c>
      <c r="J703" s="78">
        <f t="shared" si="323"/>
        <v>9717.0931841662969</v>
      </c>
      <c r="K703" s="78">
        <f t="shared" si="323"/>
        <v>459.57356159995618</v>
      </c>
      <c r="L703" s="78">
        <f t="shared" si="323"/>
        <v>1763.6537285358747</v>
      </c>
      <c r="M703" s="78">
        <f t="shared" si="323"/>
        <v>45.400494457690549</v>
      </c>
      <c r="N703" s="78">
        <f t="shared" si="323"/>
        <v>0</v>
      </c>
      <c r="O703" s="78">
        <f t="shared" si="323"/>
        <v>0</v>
      </c>
      <c r="P703" s="78">
        <f t="shared" si="323"/>
        <v>0</v>
      </c>
      <c r="Q703" s="78">
        <f t="shared" si="324"/>
        <v>0</v>
      </c>
      <c r="R703" s="78">
        <f t="shared" si="324"/>
        <v>0</v>
      </c>
      <c r="S703" s="78">
        <f t="shared" si="324"/>
        <v>0</v>
      </c>
      <c r="T703" s="78">
        <f t="shared" si="324"/>
        <v>0</v>
      </c>
      <c r="U703" s="78">
        <f t="shared" si="324"/>
        <v>0</v>
      </c>
      <c r="V703" s="78">
        <f t="shared" si="324"/>
        <v>0</v>
      </c>
      <c r="W703" s="78">
        <f t="shared" si="324"/>
        <v>0</v>
      </c>
      <c r="X703" s="78">
        <f t="shared" si="324"/>
        <v>0</v>
      </c>
      <c r="Y703" s="78">
        <f t="shared" si="324"/>
        <v>0</v>
      </c>
      <c r="Z703" s="78">
        <f t="shared" si="324"/>
        <v>0</v>
      </c>
      <c r="AA703" s="78">
        <f t="shared" si="318"/>
        <v>1545789.2871428572</v>
      </c>
      <c r="AB703" s="92" t="str">
        <f t="shared" si="319"/>
        <v>ok</v>
      </c>
      <c r="AC703" s="150"/>
    </row>
    <row r="704" spans="1:29">
      <c r="A704" s="68" t="s">
        <v>650</v>
      </c>
      <c r="E704" s="60" t="s">
        <v>1307</v>
      </c>
      <c r="F704" s="78">
        <f>3799536.76</f>
        <v>3799536.76</v>
      </c>
      <c r="G704" s="78">
        <f t="shared" si="323"/>
        <v>1878258.4658533332</v>
      </c>
      <c r="H704" s="78">
        <f t="shared" si="323"/>
        <v>438128.66185093357</v>
      </c>
      <c r="I704" s="78">
        <f t="shared" si="323"/>
        <v>25940.099672905471</v>
      </c>
      <c r="J704" s="78">
        <f t="shared" si="323"/>
        <v>436287.77471521118</v>
      </c>
      <c r="K704" s="78">
        <f t="shared" si="323"/>
        <v>386040.38416457566</v>
      </c>
      <c r="L704" s="78">
        <f t="shared" si="323"/>
        <v>333395.17996280949</v>
      </c>
      <c r="M704" s="78">
        <f t="shared" si="323"/>
        <v>176226.32075652081</v>
      </c>
      <c r="N704" s="78">
        <f t="shared" si="323"/>
        <v>11317.699863909427</v>
      </c>
      <c r="O704" s="78">
        <f t="shared" si="323"/>
        <v>112582.65693124681</v>
      </c>
      <c r="P704" s="78">
        <f t="shared" si="323"/>
        <v>608.15318636631048</v>
      </c>
      <c r="Q704" s="78">
        <f t="shared" si="324"/>
        <v>737.23156463592625</v>
      </c>
      <c r="R704" s="78">
        <f t="shared" si="324"/>
        <v>14.131477552113918</v>
      </c>
      <c r="S704" s="78">
        <f t="shared" si="324"/>
        <v>0</v>
      </c>
      <c r="T704" s="78">
        <f t="shared" si="324"/>
        <v>0</v>
      </c>
      <c r="U704" s="78">
        <f t="shared" si="324"/>
        <v>0</v>
      </c>
      <c r="V704" s="78">
        <f t="shared" si="324"/>
        <v>0</v>
      </c>
      <c r="W704" s="78">
        <f t="shared" si="324"/>
        <v>0</v>
      </c>
      <c r="X704" s="78">
        <f t="shared" si="324"/>
        <v>0</v>
      </c>
      <c r="Y704" s="78">
        <f t="shared" si="324"/>
        <v>0</v>
      </c>
      <c r="Z704" s="78">
        <f t="shared" si="324"/>
        <v>0</v>
      </c>
      <c r="AA704" s="78">
        <f t="shared" si="318"/>
        <v>3799536.76</v>
      </c>
      <c r="AB704" s="92" t="str">
        <f t="shared" si="319"/>
        <v>ok</v>
      </c>
    </row>
    <row r="705" spans="1:28">
      <c r="A705" s="68" t="s">
        <v>651</v>
      </c>
      <c r="E705" s="60" t="s">
        <v>1308</v>
      </c>
      <c r="F705" s="78">
        <f>452568.176666668-F706+220887</f>
        <v>662366.82506666798</v>
      </c>
      <c r="G705" s="78">
        <f t="shared" si="323"/>
        <v>327433.62553540949</v>
      </c>
      <c r="H705" s="78">
        <f t="shared" si="323"/>
        <v>76378.229518934997</v>
      </c>
      <c r="I705" s="78">
        <f t="shared" si="323"/>
        <v>4522.0937570966707</v>
      </c>
      <c r="J705" s="78">
        <f t="shared" si="323"/>
        <v>76057.31077425243</v>
      </c>
      <c r="K705" s="78">
        <f t="shared" si="323"/>
        <v>67297.768059126975</v>
      </c>
      <c r="L705" s="78">
        <f t="shared" si="323"/>
        <v>58120.218540666661</v>
      </c>
      <c r="M705" s="78">
        <f t="shared" si="323"/>
        <v>30721.236810109702</v>
      </c>
      <c r="N705" s="78">
        <f t="shared" si="323"/>
        <v>1972.9954990395058</v>
      </c>
      <c r="O705" s="78">
        <f t="shared" si="323"/>
        <v>19626.344404447835</v>
      </c>
      <c r="P705" s="78">
        <f t="shared" si="323"/>
        <v>106.018317666607</v>
      </c>
      <c r="Q705" s="78">
        <f t="shared" si="324"/>
        <v>128.5203333068504</v>
      </c>
      <c r="R705" s="78">
        <f t="shared" si="324"/>
        <v>2.463516610297142</v>
      </c>
      <c r="S705" s="78">
        <f t="shared" si="324"/>
        <v>0</v>
      </c>
      <c r="T705" s="78">
        <f t="shared" si="324"/>
        <v>0</v>
      </c>
      <c r="U705" s="78">
        <f t="shared" si="324"/>
        <v>0</v>
      </c>
      <c r="V705" s="78">
        <f t="shared" si="324"/>
        <v>0</v>
      </c>
      <c r="W705" s="78">
        <f t="shared" si="324"/>
        <v>0</v>
      </c>
      <c r="X705" s="78">
        <f t="shared" si="324"/>
        <v>0</v>
      </c>
      <c r="Y705" s="78">
        <f t="shared" si="324"/>
        <v>0</v>
      </c>
      <c r="Z705" s="78">
        <f t="shared" si="324"/>
        <v>0</v>
      </c>
      <c r="AA705" s="78">
        <f t="shared" si="318"/>
        <v>662366.82506666798</v>
      </c>
      <c r="AB705" s="92" t="str">
        <f t="shared" si="319"/>
        <v>ok</v>
      </c>
    </row>
    <row r="706" spans="1:28">
      <c r="A706" s="68" t="s">
        <v>1304</v>
      </c>
      <c r="F706" s="78">
        <v>11088.351600000002</v>
      </c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>
        <f>F706</f>
        <v>11088.351600000002</v>
      </c>
      <c r="T706" s="78">
        <v>0</v>
      </c>
      <c r="U706" s="78">
        <v>0</v>
      </c>
      <c r="V706" s="78"/>
      <c r="W706" s="78"/>
      <c r="X706" s="78"/>
      <c r="Y706" s="78"/>
      <c r="Z706" s="78"/>
      <c r="AA706" s="78">
        <f t="shared" si="318"/>
        <v>11088.351600000002</v>
      </c>
      <c r="AB706" s="92" t="str">
        <f t="shared" ref="AB706" si="325">IF(ABS(F706-AA706)&lt;0.01,"ok","err")</f>
        <v>ok</v>
      </c>
    </row>
    <row r="707" spans="1:28" hidden="1">
      <c r="A707" s="68" t="s">
        <v>652</v>
      </c>
      <c r="D707" s="60" t="s">
        <v>653</v>
      </c>
      <c r="E707" s="60" t="s">
        <v>129</v>
      </c>
      <c r="F707" s="142">
        <v>0</v>
      </c>
      <c r="G707" s="142">
        <f t="shared" ref="G707:Z707" si="326">IF(VLOOKUP($E707,$D$6:$AN$1148,3,)=0,0,(VLOOKUP($E707,$D$6:$AN$1148,G$2,)/VLOOKUP($E707,$D$6:$AN$1148,3,))*$F707)</f>
        <v>0</v>
      </c>
      <c r="H707" s="142">
        <f t="shared" si="326"/>
        <v>0</v>
      </c>
      <c r="I707" s="142">
        <f t="shared" si="326"/>
        <v>0</v>
      </c>
      <c r="J707" s="142">
        <f t="shared" si="326"/>
        <v>0</v>
      </c>
      <c r="K707" s="142">
        <f t="shared" si="326"/>
        <v>0</v>
      </c>
      <c r="L707" s="142">
        <f t="shared" si="326"/>
        <v>0</v>
      </c>
      <c r="M707" s="142">
        <f t="shared" si="326"/>
        <v>0</v>
      </c>
      <c r="N707" s="142">
        <f t="shared" si="326"/>
        <v>0</v>
      </c>
      <c r="O707" s="142">
        <f t="shared" si="326"/>
        <v>0</v>
      </c>
      <c r="P707" s="142">
        <f t="shared" si="326"/>
        <v>0</v>
      </c>
      <c r="Q707" s="142">
        <f t="shared" si="326"/>
        <v>0</v>
      </c>
      <c r="R707" s="142">
        <f t="shared" si="326"/>
        <v>0</v>
      </c>
      <c r="S707" s="142">
        <f t="shared" si="326"/>
        <v>0</v>
      </c>
      <c r="T707" s="142">
        <f t="shared" si="326"/>
        <v>0</v>
      </c>
      <c r="U707" s="142">
        <f t="shared" si="326"/>
        <v>0</v>
      </c>
      <c r="V707" s="142">
        <f t="shared" si="326"/>
        <v>0</v>
      </c>
      <c r="W707" s="142">
        <f t="shared" si="326"/>
        <v>0</v>
      </c>
      <c r="X707" s="142">
        <f t="shared" si="326"/>
        <v>0</v>
      </c>
      <c r="Y707" s="142">
        <f t="shared" si="326"/>
        <v>0</v>
      </c>
      <c r="Z707" s="142">
        <f t="shared" si="326"/>
        <v>0</v>
      </c>
      <c r="AA707" s="142">
        <f t="shared" si="318"/>
        <v>0</v>
      </c>
      <c r="AB707" s="143" t="str">
        <f t="shared" si="319"/>
        <v>ok</v>
      </c>
    </row>
    <row r="708" spans="1:28">
      <c r="AA708" s="79"/>
    </row>
    <row r="709" spans="1:28">
      <c r="A709" s="60" t="s">
        <v>1040</v>
      </c>
      <c r="D709" s="60" t="s">
        <v>1041</v>
      </c>
      <c r="F709" s="79">
        <f t="shared" ref="F709:Z709" si="327">SUM(F697:F708)</f>
        <v>1120075935.2473235</v>
      </c>
      <c r="G709" s="79">
        <f t="shared" si="327"/>
        <v>456019130.66129225</v>
      </c>
      <c r="H709" s="79">
        <f t="shared" si="327"/>
        <v>154016488.24309376</v>
      </c>
      <c r="I709" s="79">
        <f t="shared" si="327"/>
        <v>10499864.717314858</v>
      </c>
      <c r="J709" s="79">
        <f t="shared" si="327"/>
        <v>154506164.60177773</v>
      </c>
      <c r="K709" s="79">
        <f t="shared" si="327"/>
        <v>144361348.64369288</v>
      </c>
      <c r="L709" s="79">
        <f t="shared" si="327"/>
        <v>107311201.022214</v>
      </c>
      <c r="M709" s="79">
        <f t="shared" si="327"/>
        <v>65939354.742996849</v>
      </c>
      <c r="N709" s="79">
        <f t="shared" si="327"/>
        <v>3860800.8758276142</v>
      </c>
      <c r="O709" s="79">
        <f t="shared" si="327"/>
        <v>22696319.889306329</v>
      </c>
      <c r="P709" s="79">
        <f t="shared" si="327"/>
        <v>258715.58026645824</v>
      </c>
      <c r="Q709" s="79">
        <f t="shared" si="327"/>
        <v>331128.01177867205</v>
      </c>
      <c r="R709" s="79">
        <f t="shared" si="327"/>
        <v>15690.949683301198</v>
      </c>
      <c r="S709" s="79">
        <f t="shared" si="327"/>
        <v>12695.308078972774</v>
      </c>
      <c r="T709" s="79">
        <f t="shared" si="327"/>
        <v>237096</v>
      </c>
      <c r="U709" s="79">
        <f t="shared" si="327"/>
        <v>9936</v>
      </c>
      <c r="V709" s="79">
        <f t="shared" si="327"/>
        <v>0</v>
      </c>
      <c r="W709" s="79">
        <f t="shared" si="327"/>
        <v>0</v>
      </c>
      <c r="X709" s="79">
        <f t="shared" si="327"/>
        <v>0</v>
      </c>
      <c r="Y709" s="79">
        <f t="shared" si="327"/>
        <v>0</v>
      </c>
      <c r="Z709" s="79">
        <f t="shared" si="327"/>
        <v>0</v>
      </c>
      <c r="AA709" s="79">
        <f>SUM(G709:Z709)</f>
        <v>1120075935.2473235</v>
      </c>
      <c r="AB709" s="92" t="str">
        <f>IF(ABS(F709-AA709)&lt;0.01,"ok","err")</f>
        <v>ok</v>
      </c>
    </row>
    <row r="710" spans="1:28">
      <c r="C710" s="79"/>
      <c r="D710" s="79"/>
      <c r="E710" s="79"/>
      <c r="F710" s="79"/>
      <c r="G710" s="79"/>
      <c r="H710" s="79"/>
      <c r="I710" s="79"/>
    </row>
    <row r="711" spans="1:28" ht="15">
      <c r="A711" s="65" t="s">
        <v>1042</v>
      </c>
      <c r="F711" s="79"/>
      <c r="G711" s="79"/>
    </row>
    <row r="712" spans="1:28">
      <c r="A712" s="68" t="s">
        <v>1043</v>
      </c>
      <c r="F712" s="79">
        <f t="shared" ref="F712:Z712" si="328">F233</f>
        <v>643436661.24131227</v>
      </c>
      <c r="G712" s="79">
        <f t="shared" si="328"/>
        <v>276779936.62699538</v>
      </c>
      <c r="H712" s="79">
        <f t="shared" si="328"/>
        <v>73444678.041281253</v>
      </c>
      <c r="I712" s="79">
        <f t="shared" si="328"/>
        <v>5098578.227045414</v>
      </c>
      <c r="J712" s="79">
        <f t="shared" si="328"/>
        <v>78420250.491795436</v>
      </c>
      <c r="K712" s="79">
        <f t="shared" si="328"/>
        <v>89976180.806202412</v>
      </c>
      <c r="L712" s="79">
        <f t="shared" si="328"/>
        <v>64239709.14260824</v>
      </c>
      <c r="M712" s="79">
        <f t="shared" si="328"/>
        <v>45090267.33885818</v>
      </c>
      <c r="N712" s="79">
        <f t="shared" si="328"/>
        <v>2565873.7866510917</v>
      </c>
      <c r="O712" s="79">
        <f t="shared" si="328"/>
        <v>7367410.9681501463</v>
      </c>
      <c r="P712" s="79">
        <f t="shared" si="328"/>
        <v>161098.64632498063</v>
      </c>
      <c r="Q712" s="79">
        <f t="shared" si="328"/>
        <v>182319.24997729261</v>
      </c>
      <c r="R712" s="79">
        <f t="shared" si="328"/>
        <v>1864.4747540326068</v>
      </c>
      <c r="S712" s="79">
        <f t="shared" si="328"/>
        <v>26590.440668559393</v>
      </c>
      <c r="T712" s="79">
        <f t="shared" si="328"/>
        <v>71903</v>
      </c>
      <c r="U712" s="79">
        <f t="shared" si="328"/>
        <v>10000</v>
      </c>
      <c r="V712" s="79">
        <f t="shared" si="328"/>
        <v>0</v>
      </c>
      <c r="W712" s="79">
        <f t="shared" si="328"/>
        <v>0</v>
      </c>
      <c r="X712" s="79">
        <f t="shared" si="328"/>
        <v>0</v>
      </c>
      <c r="Y712" s="79">
        <f t="shared" si="328"/>
        <v>0</v>
      </c>
      <c r="Z712" s="79">
        <f t="shared" si="328"/>
        <v>0</v>
      </c>
      <c r="AA712" s="79">
        <f t="shared" ref="AA712:AA718" si="329">SUM(G712:Z712)</f>
        <v>643436661.2413125</v>
      </c>
      <c r="AB712" s="92" t="str">
        <f t="shared" ref="AB712:AB721" si="330">IF(ABS(F712-AA712)&lt;0.01,"ok","err")</f>
        <v>ok</v>
      </c>
    </row>
    <row r="713" spans="1:28">
      <c r="A713" s="68" t="s">
        <v>1179</v>
      </c>
      <c r="F713" s="78">
        <f t="shared" ref="F713:Z713" si="331">F347</f>
        <v>277122835.61762834</v>
      </c>
      <c r="G713" s="78">
        <f t="shared" si="331"/>
        <v>128481160.77717872</v>
      </c>
      <c r="H713" s="78">
        <f t="shared" si="331"/>
        <v>32474567.583973918</v>
      </c>
      <c r="I713" s="78">
        <f t="shared" si="331"/>
        <v>2094183.7353012571</v>
      </c>
      <c r="J713" s="78">
        <f t="shared" si="331"/>
        <v>34593856.396411493</v>
      </c>
      <c r="K713" s="78">
        <f t="shared" si="331"/>
        <v>31260609.338087685</v>
      </c>
      <c r="L713" s="78">
        <f t="shared" si="331"/>
        <v>26560051.687097285</v>
      </c>
      <c r="M713" s="78">
        <f t="shared" si="331"/>
        <v>15047504.08467748</v>
      </c>
      <c r="N713" s="78">
        <f t="shared" si="331"/>
        <v>907749.3053380663</v>
      </c>
      <c r="O713" s="78">
        <f t="shared" si="331"/>
        <v>5500364.6063952968</v>
      </c>
      <c r="P713" s="78">
        <f t="shared" si="331"/>
        <v>41662.93377864339</v>
      </c>
      <c r="Q713" s="78">
        <f t="shared" si="331"/>
        <v>54238.742606475425</v>
      </c>
      <c r="R713" s="78">
        <f t="shared" si="331"/>
        <v>608.04692129702005</v>
      </c>
      <c r="S713" s="78">
        <f t="shared" si="331"/>
        <v>19254.445652421116</v>
      </c>
      <c r="T713" s="78">
        <f t="shared" si="331"/>
        <v>83869.534208333309</v>
      </c>
      <c r="U713" s="78">
        <f t="shared" si="331"/>
        <v>3154.4</v>
      </c>
      <c r="V713" s="78">
        <f t="shared" si="331"/>
        <v>0</v>
      </c>
      <c r="W713" s="78">
        <f t="shared" si="331"/>
        <v>0</v>
      </c>
      <c r="X713" s="78">
        <f t="shared" si="331"/>
        <v>0</v>
      </c>
      <c r="Y713" s="78">
        <f t="shared" si="331"/>
        <v>0</v>
      </c>
      <c r="Z713" s="78">
        <f t="shared" si="331"/>
        <v>0</v>
      </c>
      <c r="AA713" s="78">
        <f t="shared" si="329"/>
        <v>277122835.6176284</v>
      </c>
      <c r="AB713" s="92" t="str">
        <f t="shared" si="330"/>
        <v>ok</v>
      </c>
    </row>
    <row r="714" spans="1:28">
      <c r="A714" s="110" t="s">
        <v>270</v>
      </c>
      <c r="F714" s="78">
        <f t="shared" ref="F714:Z714" si="332">F405</f>
        <v>0</v>
      </c>
      <c r="G714" s="78">
        <f t="shared" si="332"/>
        <v>0</v>
      </c>
      <c r="H714" s="78">
        <f t="shared" si="332"/>
        <v>0</v>
      </c>
      <c r="I714" s="78">
        <f t="shared" si="332"/>
        <v>0</v>
      </c>
      <c r="J714" s="78">
        <f t="shared" si="332"/>
        <v>0</v>
      </c>
      <c r="K714" s="78">
        <f t="shared" si="332"/>
        <v>0</v>
      </c>
      <c r="L714" s="78">
        <f t="shared" si="332"/>
        <v>0</v>
      </c>
      <c r="M714" s="78">
        <f t="shared" si="332"/>
        <v>0</v>
      </c>
      <c r="N714" s="78">
        <f t="shared" si="332"/>
        <v>0</v>
      </c>
      <c r="O714" s="78">
        <f t="shared" si="332"/>
        <v>0</v>
      </c>
      <c r="P714" s="78">
        <f t="shared" si="332"/>
        <v>0</v>
      </c>
      <c r="Q714" s="78">
        <f t="shared" si="332"/>
        <v>0</v>
      </c>
      <c r="R714" s="78">
        <f t="shared" si="332"/>
        <v>0</v>
      </c>
      <c r="S714" s="78">
        <f t="shared" si="332"/>
        <v>0</v>
      </c>
      <c r="T714" s="78">
        <f t="shared" si="332"/>
        <v>0</v>
      </c>
      <c r="U714" s="78">
        <f t="shared" si="332"/>
        <v>0</v>
      </c>
      <c r="V714" s="78">
        <f t="shared" si="332"/>
        <v>0</v>
      </c>
      <c r="W714" s="78">
        <f t="shared" si="332"/>
        <v>0</v>
      </c>
      <c r="X714" s="78">
        <f t="shared" si="332"/>
        <v>0</v>
      </c>
      <c r="Y714" s="78">
        <f t="shared" si="332"/>
        <v>0</v>
      </c>
      <c r="Z714" s="78">
        <f t="shared" si="332"/>
        <v>0</v>
      </c>
      <c r="AA714" s="78">
        <f>SUM(G714:Z714)</f>
        <v>0</v>
      </c>
      <c r="AB714" s="92" t="str">
        <f t="shared" si="330"/>
        <v>ok</v>
      </c>
    </row>
    <row r="715" spans="1:28">
      <c r="A715" s="68" t="s">
        <v>764</v>
      </c>
      <c r="F715" s="78">
        <f t="shared" ref="F715:Z715" si="333">F462</f>
        <v>0</v>
      </c>
      <c r="G715" s="78">
        <f t="shared" si="333"/>
        <v>0</v>
      </c>
      <c r="H715" s="78">
        <f t="shared" si="333"/>
        <v>0</v>
      </c>
      <c r="I715" s="78">
        <f t="shared" si="333"/>
        <v>0</v>
      </c>
      <c r="J715" s="78">
        <f t="shared" si="333"/>
        <v>0</v>
      </c>
      <c r="K715" s="78">
        <f t="shared" si="333"/>
        <v>0</v>
      </c>
      <c r="L715" s="78">
        <f t="shared" si="333"/>
        <v>0</v>
      </c>
      <c r="M715" s="78">
        <f t="shared" si="333"/>
        <v>0</v>
      </c>
      <c r="N715" s="78">
        <f t="shared" si="333"/>
        <v>0</v>
      </c>
      <c r="O715" s="78">
        <f t="shared" si="333"/>
        <v>0</v>
      </c>
      <c r="P715" s="78">
        <f t="shared" si="333"/>
        <v>0</v>
      </c>
      <c r="Q715" s="78">
        <f t="shared" si="333"/>
        <v>0</v>
      </c>
      <c r="R715" s="78">
        <f t="shared" si="333"/>
        <v>0</v>
      </c>
      <c r="S715" s="78">
        <f t="shared" si="333"/>
        <v>0</v>
      </c>
      <c r="T715" s="78">
        <f t="shared" si="333"/>
        <v>0</v>
      </c>
      <c r="U715" s="78">
        <f t="shared" si="333"/>
        <v>0</v>
      </c>
      <c r="V715" s="78">
        <f t="shared" si="333"/>
        <v>0</v>
      </c>
      <c r="W715" s="78">
        <f t="shared" si="333"/>
        <v>0</v>
      </c>
      <c r="X715" s="78">
        <f t="shared" si="333"/>
        <v>0</v>
      </c>
      <c r="Y715" s="78">
        <f t="shared" si="333"/>
        <v>0</v>
      </c>
      <c r="Z715" s="78">
        <f t="shared" si="333"/>
        <v>0</v>
      </c>
      <c r="AA715" s="78">
        <f>SUM(G715:Z715)</f>
        <v>0</v>
      </c>
      <c r="AB715" s="92" t="str">
        <f t="shared" si="330"/>
        <v>ok</v>
      </c>
    </row>
    <row r="716" spans="1:28">
      <c r="A716" s="60" t="s">
        <v>1094</v>
      </c>
      <c r="E716" s="60" t="s">
        <v>514</v>
      </c>
      <c r="F716" s="78">
        <v>0</v>
      </c>
      <c r="G716" s="78">
        <f t="shared" ref="G716:P717" si="334">IF(VLOOKUP($E716,$D$6:$AN$1148,3,)=0,0,(VLOOKUP($E716,$D$6:$AN$1148,G$2,)/VLOOKUP($E716,$D$6:$AN$1148,3,))*$F716)</f>
        <v>0</v>
      </c>
      <c r="H716" s="78">
        <f t="shared" si="334"/>
        <v>0</v>
      </c>
      <c r="I716" s="78">
        <f t="shared" si="334"/>
        <v>0</v>
      </c>
      <c r="J716" s="78">
        <f t="shared" si="334"/>
        <v>0</v>
      </c>
      <c r="K716" s="78">
        <f t="shared" si="334"/>
        <v>0</v>
      </c>
      <c r="L716" s="78">
        <f t="shared" si="334"/>
        <v>0</v>
      </c>
      <c r="M716" s="78">
        <f t="shared" si="334"/>
        <v>0</v>
      </c>
      <c r="N716" s="78">
        <f t="shared" si="334"/>
        <v>0</v>
      </c>
      <c r="O716" s="78">
        <f t="shared" si="334"/>
        <v>0</v>
      </c>
      <c r="P716" s="78">
        <f t="shared" si="334"/>
        <v>0</v>
      </c>
      <c r="Q716" s="78">
        <f t="shared" ref="Q716:Z717" si="335">IF(VLOOKUP($E716,$D$6:$AN$1148,3,)=0,0,(VLOOKUP($E716,$D$6:$AN$1148,Q$2,)/VLOOKUP($E716,$D$6:$AN$1148,3,))*$F716)</f>
        <v>0</v>
      </c>
      <c r="R716" s="78">
        <f t="shared" si="335"/>
        <v>0</v>
      </c>
      <c r="S716" s="78">
        <f t="shared" si="335"/>
        <v>0</v>
      </c>
      <c r="T716" s="78">
        <f t="shared" si="335"/>
        <v>0</v>
      </c>
      <c r="U716" s="78">
        <f t="shared" si="335"/>
        <v>0</v>
      </c>
      <c r="V716" s="78">
        <f t="shared" si="335"/>
        <v>0</v>
      </c>
      <c r="W716" s="78">
        <f t="shared" si="335"/>
        <v>0</v>
      </c>
      <c r="X716" s="78">
        <f t="shared" si="335"/>
        <v>0</v>
      </c>
      <c r="Y716" s="78">
        <f t="shared" si="335"/>
        <v>0</v>
      </c>
      <c r="Z716" s="78">
        <f t="shared" si="335"/>
        <v>0</v>
      </c>
      <c r="AA716" s="78">
        <f>SUM(G716:Z716)</f>
        <v>0</v>
      </c>
      <c r="AB716" s="92" t="str">
        <f t="shared" si="330"/>
        <v>ok</v>
      </c>
    </row>
    <row r="717" spans="1:28">
      <c r="A717" s="60" t="s">
        <v>1095</v>
      </c>
      <c r="E717" s="60" t="s">
        <v>514</v>
      </c>
      <c r="F717" s="78">
        <v>0</v>
      </c>
      <c r="G717" s="78">
        <f t="shared" si="334"/>
        <v>0</v>
      </c>
      <c r="H717" s="78">
        <f t="shared" si="334"/>
        <v>0</v>
      </c>
      <c r="I717" s="78">
        <f t="shared" si="334"/>
        <v>0</v>
      </c>
      <c r="J717" s="78">
        <f t="shared" si="334"/>
        <v>0</v>
      </c>
      <c r="K717" s="78">
        <f t="shared" si="334"/>
        <v>0</v>
      </c>
      <c r="L717" s="78">
        <f t="shared" si="334"/>
        <v>0</v>
      </c>
      <c r="M717" s="78">
        <f t="shared" si="334"/>
        <v>0</v>
      </c>
      <c r="N717" s="78">
        <f t="shared" si="334"/>
        <v>0</v>
      </c>
      <c r="O717" s="78">
        <f t="shared" si="334"/>
        <v>0</v>
      </c>
      <c r="P717" s="78">
        <f t="shared" si="334"/>
        <v>0</v>
      </c>
      <c r="Q717" s="78">
        <f t="shared" si="335"/>
        <v>0</v>
      </c>
      <c r="R717" s="78">
        <f t="shared" si="335"/>
        <v>0</v>
      </c>
      <c r="S717" s="78">
        <f t="shared" si="335"/>
        <v>0</v>
      </c>
      <c r="T717" s="78">
        <f t="shared" si="335"/>
        <v>0</v>
      </c>
      <c r="U717" s="78">
        <f t="shared" si="335"/>
        <v>0</v>
      </c>
      <c r="V717" s="78">
        <f t="shared" si="335"/>
        <v>0</v>
      </c>
      <c r="W717" s="78">
        <f t="shared" si="335"/>
        <v>0</v>
      </c>
      <c r="X717" s="78">
        <f t="shared" si="335"/>
        <v>0</v>
      </c>
      <c r="Y717" s="78">
        <f t="shared" si="335"/>
        <v>0</v>
      </c>
      <c r="Z717" s="78">
        <f t="shared" si="335"/>
        <v>0</v>
      </c>
      <c r="AA717" s="78">
        <f>SUM(G717:Z717)</f>
        <v>0</v>
      </c>
      <c r="AB717" s="92" t="str">
        <f t="shared" si="330"/>
        <v>ok</v>
      </c>
    </row>
    <row r="718" spans="1:28">
      <c r="A718" s="68" t="s">
        <v>688</v>
      </c>
      <c r="E718" s="60" t="s">
        <v>1027</v>
      </c>
      <c r="F718" s="78">
        <f t="shared" ref="F718:Z718" si="336">F519</f>
        <v>42336722.113755003</v>
      </c>
      <c r="G718" s="78">
        <f t="shared" si="336"/>
        <v>20945976.299097359</v>
      </c>
      <c r="H718" s="78">
        <f t="shared" si="336"/>
        <v>4885976.690717468</v>
      </c>
      <c r="I718" s="78">
        <f t="shared" si="336"/>
        <v>288731.77573940781</v>
      </c>
      <c r="J718" s="78">
        <f t="shared" si="336"/>
        <v>4871307.412389541</v>
      </c>
      <c r="K718" s="78">
        <f t="shared" si="336"/>
        <v>4267618.856174117</v>
      </c>
      <c r="L718" s="78">
        <f t="shared" si="336"/>
        <v>3712766.9539950592</v>
      </c>
      <c r="M718" s="78">
        <f t="shared" si="336"/>
        <v>1944606.7394748102</v>
      </c>
      <c r="N718" s="78">
        <f t="shared" si="336"/>
        <v>125186.57845842239</v>
      </c>
      <c r="O718" s="78">
        <f t="shared" si="336"/>
        <v>1273382.2615795471</v>
      </c>
      <c r="P718" s="78">
        <f t="shared" si="336"/>
        <v>6618.4867315309657</v>
      </c>
      <c r="Q718" s="78">
        <f t="shared" si="336"/>
        <v>8221.9612147647204</v>
      </c>
      <c r="R718" s="78">
        <f t="shared" si="336"/>
        <v>153.51573105631502</v>
      </c>
      <c r="S718" s="78">
        <f t="shared" si="336"/>
        <v>2873.1910791984933</v>
      </c>
      <c r="T718" s="78">
        <f t="shared" si="336"/>
        <v>3190.2719496980626</v>
      </c>
      <c r="U718" s="78">
        <f t="shared" si="336"/>
        <v>111.11942302474998</v>
      </c>
      <c r="V718" s="78">
        <f t="shared" si="336"/>
        <v>0</v>
      </c>
      <c r="W718" s="78">
        <f t="shared" si="336"/>
        <v>0</v>
      </c>
      <c r="X718" s="78">
        <f t="shared" si="336"/>
        <v>0</v>
      </c>
      <c r="Y718" s="78">
        <f t="shared" si="336"/>
        <v>0</v>
      </c>
      <c r="Z718" s="78">
        <f t="shared" si="336"/>
        <v>0</v>
      </c>
      <c r="AA718" s="78">
        <f t="shared" si="329"/>
        <v>42336722.11375501</v>
      </c>
      <c r="AB718" s="92" t="str">
        <f t="shared" si="330"/>
        <v>ok</v>
      </c>
    </row>
    <row r="719" spans="1:28">
      <c r="A719" s="68" t="s">
        <v>689</v>
      </c>
      <c r="F719" s="78">
        <f t="shared" ref="F719:Z719" si="337">F576</f>
        <v>-916996.00000000012</v>
      </c>
      <c r="G719" s="78">
        <f t="shared" si="337"/>
        <v>-447863.63536201243</v>
      </c>
      <c r="H719" s="78">
        <f t="shared" si="337"/>
        <v>-104154.51962239429</v>
      </c>
      <c r="I719" s="78">
        <f t="shared" si="337"/>
        <v>-6132.1440154972724</v>
      </c>
      <c r="J719" s="78">
        <f t="shared" si="337"/>
        <v>-103548.27662901388</v>
      </c>
      <c r="K719" s="78">
        <f t="shared" si="337"/>
        <v>-90593.24547136265</v>
      </c>
      <c r="L719" s="78">
        <f t="shared" si="337"/>
        <v>-78894.044650015014</v>
      </c>
      <c r="M719" s="78">
        <f t="shared" si="337"/>
        <v>-41177.385542251672</v>
      </c>
      <c r="N719" s="78">
        <f t="shared" si="337"/>
        <v>-2658.5801699189892</v>
      </c>
      <c r="O719" s="78">
        <f t="shared" si="337"/>
        <v>-27523.116178631499</v>
      </c>
      <c r="P719" s="78">
        <f t="shared" si="337"/>
        <v>-141.35680024924781</v>
      </c>
      <c r="Q719" s="78">
        <f t="shared" si="337"/>
        <v>-175.41635857132519</v>
      </c>
      <c r="R719" s="78">
        <f t="shared" si="337"/>
        <v>-3.3236381674607789</v>
      </c>
      <c r="S719" s="78">
        <f t="shared" si="337"/>
        <v>-3.9555619143632463</v>
      </c>
      <c r="T719" s="78">
        <f t="shared" si="337"/>
        <v>-13727.717595343111</v>
      </c>
      <c r="U719" s="78">
        <f t="shared" si="337"/>
        <v>-399.28240465688896</v>
      </c>
      <c r="V719" s="78">
        <f t="shared" si="337"/>
        <v>0</v>
      </c>
      <c r="W719" s="78">
        <f t="shared" si="337"/>
        <v>0</v>
      </c>
      <c r="X719" s="78">
        <f t="shared" si="337"/>
        <v>0</v>
      </c>
      <c r="Y719" s="78">
        <f t="shared" si="337"/>
        <v>0</v>
      </c>
      <c r="Z719" s="78">
        <f t="shared" si="337"/>
        <v>0</v>
      </c>
      <c r="AA719" s="78">
        <f>SUM(G719:Z719)</f>
        <v>-916996.00000000012</v>
      </c>
      <c r="AB719" s="92" t="str">
        <f t="shared" si="330"/>
        <v>ok</v>
      </c>
    </row>
    <row r="720" spans="1:28">
      <c r="A720" s="68" t="s">
        <v>654</v>
      </c>
      <c r="F720" s="78">
        <f t="shared" ref="F720:Z720" si="338">F634</f>
        <v>0</v>
      </c>
      <c r="G720" s="78">
        <f t="shared" si="338"/>
        <v>0</v>
      </c>
      <c r="H720" s="78">
        <f t="shared" si="338"/>
        <v>0</v>
      </c>
      <c r="I720" s="78">
        <f t="shared" si="338"/>
        <v>0</v>
      </c>
      <c r="J720" s="78">
        <f t="shared" si="338"/>
        <v>0</v>
      </c>
      <c r="K720" s="78">
        <f t="shared" si="338"/>
        <v>0</v>
      </c>
      <c r="L720" s="78">
        <f t="shared" si="338"/>
        <v>0</v>
      </c>
      <c r="M720" s="78">
        <f t="shared" si="338"/>
        <v>0</v>
      </c>
      <c r="N720" s="78">
        <f t="shared" si="338"/>
        <v>0</v>
      </c>
      <c r="O720" s="78">
        <f t="shared" si="338"/>
        <v>0</v>
      </c>
      <c r="P720" s="78">
        <f t="shared" si="338"/>
        <v>0</v>
      </c>
      <c r="Q720" s="78">
        <f t="shared" si="338"/>
        <v>0</v>
      </c>
      <c r="R720" s="78">
        <f t="shared" si="338"/>
        <v>0</v>
      </c>
      <c r="S720" s="78">
        <f t="shared" si="338"/>
        <v>0</v>
      </c>
      <c r="T720" s="78">
        <f t="shared" si="338"/>
        <v>0</v>
      </c>
      <c r="U720" s="78">
        <f t="shared" si="338"/>
        <v>0</v>
      </c>
      <c r="V720" s="78">
        <f t="shared" si="338"/>
        <v>0</v>
      </c>
      <c r="W720" s="78">
        <f t="shared" si="338"/>
        <v>0</v>
      </c>
      <c r="X720" s="78">
        <f t="shared" si="338"/>
        <v>0</v>
      </c>
      <c r="Y720" s="78">
        <f t="shared" si="338"/>
        <v>0</v>
      </c>
      <c r="Z720" s="78">
        <f t="shared" si="338"/>
        <v>0</v>
      </c>
      <c r="AA720" s="78">
        <f>SUM(G720:Z720)</f>
        <v>0</v>
      </c>
      <c r="AB720" s="92" t="str">
        <f t="shared" si="330"/>
        <v>ok</v>
      </c>
    </row>
    <row r="721" spans="1:28" ht="15.75" customHeight="1">
      <c r="A721" s="68" t="s">
        <v>196</v>
      </c>
      <c r="E721" s="60" t="s">
        <v>798</v>
      </c>
      <c r="F721" s="142">
        <v>7757584.4088109927</v>
      </c>
      <c r="G721" s="142">
        <f t="shared" ref="G721:Z721" si="339">IF(VLOOKUP($E721,$D$6:$AN$1148,3,)=0,0,(VLOOKUP($E721,$D$6:$AN$1148,G$2,)/VLOOKUP($E721,$D$6:$AN$1148,3,))*$F721)</f>
        <v>-663154.87705019733</v>
      </c>
      <c r="H721" s="142">
        <f t="shared" si="339"/>
        <v>3247826.3828956061</v>
      </c>
      <c r="I721" s="142">
        <f t="shared" si="339"/>
        <v>235550.32350984126</v>
      </c>
      <c r="J721" s="142">
        <f t="shared" si="339"/>
        <v>2631787.2872037669</v>
      </c>
      <c r="K721" s="142">
        <f t="shared" si="339"/>
        <v>1064479.0644279227</v>
      </c>
      <c r="L721" s="142">
        <f t="shared" si="339"/>
        <v>587628.20582760673</v>
      </c>
      <c r="M721" s="142">
        <f t="shared" si="339"/>
        <v>40625.701199568088</v>
      </c>
      <c r="N721" s="142">
        <f t="shared" si="339"/>
        <v>3901.6152881153243</v>
      </c>
      <c r="O721" s="142">
        <f t="shared" si="339"/>
        <v>592524.68215397256</v>
      </c>
      <c r="P721" s="142">
        <f t="shared" si="339"/>
        <v>3536.3109071842259</v>
      </c>
      <c r="Q721" s="142">
        <f t="shared" si="339"/>
        <v>6744.1522607238012</v>
      </c>
      <c r="R721" s="142">
        <f t="shared" si="339"/>
        <v>1200.7212309183085</v>
      </c>
      <c r="S721" s="142">
        <f t="shared" si="339"/>
        <v>-3410.9403284187761</v>
      </c>
      <c r="T721" s="142">
        <f t="shared" si="339"/>
        <v>8620.7700180759803</v>
      </c>
      <c r="U721" s="142">
        <f t="shared" si="339"/>
        <v>-274.99073369243331</v>
      </c>
      <c r="V721" s="142">
        <f t="shared" si="339"/>
        <v>0</v>
      </c>
      <c r="W721" s="142">
        <f t="shared" si="339"/>
        <v>0</v>
      </c>
      <c r="X721" s="142">
        <f t="shared" si="339"/>
        <v>0</v>
      </c>
      <c r="Y721" s="142">
        <f t="shared" si="339"/>
        <v>0</v>
      </c>
      <c r="Z721" s="142">
        <f t="shared" si="339"/>
        <v>0</v>
      </c>
      <c r="AA721" s="142">
        <f>SUM(G721:Z721)</f>
        <v>7757584.4088109927</v>
      </c>
      <c r="AB721" s="143" t="str">
        <f t="shared" si="330"/>
        <v>ok</v>
      </c>
    </row>
    <row r="722" spans="1:28">
      <c r="A722" s="6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92"/>
    </row>
    <row r="723" spans="1:28" s="70" customFormat="1">
      <c r="A723" s="256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  <c r="AA723" s="141"/>
      <c r="AB723" s="140"/>
    </row>
    <row r="724" spans="1:28">
      <c r="A724" s="68"/>
      <c r="AA724" s="79"/>
      <c r="AB724" s="92"/>
    </row>
    <row r="725" spans="1:28">
      <c r="A725" s="60" t="s">
        <v>1045</v>
      </c>
      <c r="D725" s="60" t="s">
        <v>1006</v>
      </c>
      <c r="F725" s="79">
        <f>SUM(F712:F721)</f>
        <v>969736807.38150656</v>
      </c>
      <c r="G725" s="79">
        <f t="shared" ref="G725:U725" si="340">SUM(G712:G721)</f>
        <v>425096055.1908592</v>
      </c>
      <c r="H725" s="79">
        <f t="shared" si="340"/>
        <v>113948894.17924584</v>
      </c>
      <c r="I725" s="79">
        <f t="shared" si="340"/>
        <v>7710911.9175804229</v>
      </c>
      <c r="J725" s="79">
        <f t="shared" si="340"/>
        <v>120413653.31117123</v>
      </c>
      <c r="K725" s="79">
        <f t="shared" si="340"/>
        <v>126478294.81942077</v>
      </c>
      <c r="L725" s="79">
        <f t="shared" si="340"/>
        <v>95021261.944878176</v>
      </c>
      <c r="M725" s="79">
        <f t="shared" si="340"/>
        <v>62081826.478667788</v>
      </c>
      <c r="N725" s="79">
        <f t="shared" si="340"/>
        <v>3600052.7055657762</v>
      </c>
      <c r="O725" s="79">
        <f t="shared" si="340"/>
        <v>14706159.40210033</v>
      </c>
      <c r="P725" s="79">
        <f t="shared" si="340"/>
        <v>212775.02094208996</v>
      </c>
      <c r="Q725" s="79">
        <f t="shared" si="340"/>
        <v>251348.68970068524</v>
      </c>
      <c r="R725" s="79">
        <f t="shared" si="340"/>
        <v>3823.4349991367899</v>
      </c>
      <c r="S725" s="79">
        <f t="shared" si="340"/>
        <v>45303.181509845861</v>
      </c>
      <c r="T725" s="79">
        <f t="shared" si="340"/>
        <v>153855.85858076424</v>
      </c>
      <c r="U725" s="79">
        <f t="shared" si="340"/>
        <v>12591.246284675426</v>
      </c>
      <c r="V725" s="79">
        <f>SUM(V712:V724)</f>
        <v>0</v>
      </c>
      <c r="W725" s="79">
        <f>SUM(W712:W724)</f>
        <v>0</v>
      </c>
      <c r="X725" s="79">
        <f>SUM(X712:X724)</f>
        <v>0</v>
      </c>
      <c r="Y725" s="79">
        <f>SUM(Y712:Y724)</f>
        <v>0</v>
      </c>
      <c r="Z725" s="79">
        <f>SUM(Z712:Z724)</f>
        <v>0</v>
      </c>
      <c r="AA725" s="79">
        <f>SUM(G725:Z725)</f>
        <v>969736807.3815068</v>
      </c>
      <c r="AB725" s="92" t="str">
        <f>IF(ABS(F725-AA725)&lt;0.01,"ok","err")</f>
        <v>ok</v>
      </c>
    </row>
    <row r="726" spans="1:28">
      <c r="A726" s="68"/>
    </row>
    <row r="727" spans="1:28">
      <c r="A727" s="60" t="s">
        <v>666</v>
      </c>
      <c r="D727" s="60" t="s">
        <v>994</v>
      </c>
      <c r="F727" s="79">
        <f t="shared" ref="F727:Z727" si="341">F709-F725</f>
        <v>150339127.86581695</v>
      </c>
      <c r="G727" s="79">
        <f t="shared" si="341"/>
        <v>30923075.470433056</v>
      </c>
      <c r="H727" s="79">
        <f t="shared" si="341"/>
        <v>40067594.063847914</v>
      </c>
      <c r="I727" s="79">
        <f t="shared" si="341"/>
        <v>2788952.799734435</v>
      </c>
      <c r="J727" s="79">
        <f t="shared" si="341"/>
        <v>34092511.290606499</v>
      </c>
      <c r="K727" s="79">
        <f t="shared" si="341"/>
        <v>17883053.824272111</v>
      </c>
      <c r="L727" s="79">
        <f t="shared" si="341"/>
        <v>12289939.07733582</v>
      </c>
      <c r="M727" s="79">
        <f t="shared" si="341"/>
        <v>3857528.2643290609</v>
      </c>
      <c r="N727" s="79">
        <f t="shared" si="341"/>
        <v>260748.17026183801</v>
      </c>
      <c r="O727" s="79">
        <f t="shared" si="341"/>
        <v>7990160.487205999</v>
      </c>
      <c r="P727" s="79">
        <f t="shared" si="341"/>
        <v>45940.559324368282</v>
      </c>
      <c r="Q727" s="79">
        <f t="shared" si="341"/>
        <v>79779.322077986813</v>
      </c>
      <c r="R727" s="79">
        <f t="shared" si="341"/>
        <v>11867.514684164409</v>
      </c>
      <c r="S727" s="79">
        <f t="shared" si="341"/>
        <v>-32607.873430873085</v>
      </c>
      <c r="T727" s="79">
        <f t="shared" si="341"/>
        <v>83240.141419235762</v>
      </c>
      <c r="U727" s="79">
        <f t="shared" si="341"/>
        <v>-2655.2462846754261</v>
      </c>
      <c r="V727" s="79">
        <f t="shared" si="341"/>
        <v>0</v>
      </c>
      <c r="W727" s="79">
        <f t="shared" si="341"/>
        <v>0</v>
      </c>
      <c r="X727" s="79">
        <f t="shared" si="341"/>
        <v>0</v>
      </c>
      <c r="Y727" s="79">
        <f t="shared" si="341"/>
        <v>0</v>
      </c>
      <c r="Z727" s="79">
        <f t="shared" si="341"/>
        <v>0</v>
      </c>
      <c r="AA727" s="79">
        <f>SUM(G727:Z727)</f>
        <v>150339127.86581692</v>
      </c>
      <c r="AB727" s="92" t="str">
        <f>IF(ABS(F727-AA727)&lt;0.01,"ok","err")</f>
        <v>ok</v>
      </c>
    </row>
    <row r="729" spans="1:28">
      <c r="A729" s="60" t="s">
        <v>1028</v>
      </c>
      <c r="F729" s="79">
        <f t="shared" ref="F729:Z729" si="342">F176</f>
        <v>3460077816.1601419</v>
      </c>
      <c r="G729" s="79">
        <f t="shared" si="342"/>
        <v>1709217009.5216761</v>
      </c>
      <c r="H729" s="79">
        <f t="shared" si="342"/>
        <v>398697503.46332896</v>
      </c>
      <c r="I729" s="79">
        <f t="shared" si="342"/>
        <v>23605515.638910923</v>
      </c>
      <c r="J729" s="79">
        <f t="shared" si="342"/>
        <v>397022294.40015203</v>
      </c>
      <c r="K729" s="79">
        <f t="shared" si="342"/>
        <v>351297120.6955809</v>
      </c>
      <c r="L729" s="79">
        <f t="shared" si="342"/>
        <v>303389934.2634303</v>
      </c>
      <c r="M729" s="79">
        <f t="shared" si="342"/>
        <v>160366121.29716793</v>
      </c>
      <c r="N729" s="79">
        <f t="shared" si="342"/>
        <v>10299117.756014783</v>
      </c>
      <c r="O729" s="79">
        <f t="shared" si="342"/>
        <v>102450326.03465796</v>
      </c>
      <c r="P729" s="79">
        <f t="shared" si="342"/>
        <v>553419.98421918578</v>
      </c>
      <c r="Q729" s="79">
        <f t="shared" si="342"/>
        <v>670881.43252931838</v>
      </c>
      <c r="R729" s="79">
        <f t="shared" si="342"/>
        <v>12859.658157203232</v>
      </c>
      <c r="S729" s="79">
        <f t="shared" si="342"/>
        <v>120413.38431620215</v>
      </c>
      <c r="T729" s="79">
        <f t="shared" si="342"/>
        <v>2314621.8400000003</v>
      </c>
      <c r="U729" s="79">
        <f t="shared" si="342"/>
        <v>60676.790000000008</v>
      </c>
      <c r="V729" s="79">
        <f t="shared" si="342"/>
        <v>0</v>
      </c>
      <c r="W729" s="79">
        <f t="shared" si="342"/>
        <v>0</v>
      </c>
      <c r="X729" s="79">
        <f t="shared" si="342"/>
        <v>0</v>
      </c>
      <c r="Y729" s="79">
        <f t="shared" si="342"/>
        <v>0</v>
      </c>
      <c r="Z729" s="79">
        <f t="shared" si="342"/>
        <v>0</v>
      </c>
      <c r="AA729" s="79">
        <f>SUM(G729:Z729)</f>
        <v>3460077816.1601415</v>
      </c>
      <c r="AB729" s="92" t="str">
        <f>IF(ABS(F729-AA729)&lt;0.01,"ok","err")</f>
        <v>ok</v>
      </c>
    </row>
    <row r="732" spans="1:28" ht="15">
      <c r="A732" s="65" t="s">
        <v>799</v>
      </c>
    </row>
    <row r="734" spans="1:28">
      <c r="A734" s="60" t="s">
        <v>796</v>
      </c>
      <c r="F734" s="79">
        <f t="shared" ref="F734:Z734" si="343">F709</f>
        <v>1120075935.2473235</v>
      </c>
      <c r="G734" s="79">
        <f t="shared" si="343"/>
        <v>456019130.66129225</v>
      </c>
      <c r="H734" s="79">
        <f t="shared" si="343"/>
        <v>154016488.24309376</v>
      </c>
      <c r="I734" s="79">
        <f t="shared" si="343"/>
        <v>10499864.717314858</v>
      </c>
      <c r="J734" s="79">
        <f t="shared" si="343"/>
        <v>154506164.60177773</v>
      </c>
      <c r="K734" s="79">
        <f t="shared" si="343"/>
        <v>144361348.64369288</v>
      </c>
      <c r="L734" s="79">
        <f t="shared" si="343"/>
        <v>107311201.022214</v>
      </c>
      <c r="M734" s="79">
        <f t="shared" si="343"/>
        <v>65939354.742996849</v>
      </c>
      <c r="N734" s="79">
        <f t="shared" si="343"/>
        <v>3860800.8758276142</v>
      </c>
      <c r="O734" s="79">
        <f t="shared" si="343"/>
        <v>22696319.889306329</v>
      </c>
      <c r="P734" s="79">
        <f t="shared" si="343"/>
        <v>258715.58026645824</v>
      </c>
      <c r="Q734" s="79">
        <f t="shared" si="343"/>
        <v>331128.01177867205</v>
      </c>
      <c r="R734" s="79">
        <f t="shared" si="343"/>
        <v>15690.949683301198</v>
      </c>
      <c r="S734" s="79">
        <f t="shared" si="343"/>
        <v>12695.308078972774</v>
      </c>
      <c r="T734" s="79">
        <f t="shared" si="343"/>
        <v>237096</v>
      </c>
      <c r="U734" s="79">
        <f t="shared" si="343"/>
        <v>9936</v>
      </c>
      <c r="V734" s="79">
        <f t="shared" si="343"/>
        <v>0</v>
      </c>
      <c r="W734" s="79">
        <f t="shared" si="343"/>
        <v>0</v>
      </c>
      <c r="X734" s="79">
        <f t="shared" si="343"/>
        <v>0</v>
      </c>
      <c r="Y734" s="79">
        <f t="shared" si="343"/>
        <v>0</v>
      </c>
      <c r="Z734" s="79">
        <f t="shared" si="343"/>
        <v>0</v>
      </c>
      <c r="AA734" s="79">
        <f>SUM(G734:Z734)</f>
        <v>1120075935.2473235</v>
      </c>
      <c r="AB734" s="92" t="str">
        <f>IF(ABS(F734-AA734)&lt;0.01,"ok","err")</f>
        <v>ok</v>
      </c>
    </row>
    <row r="736" spans="1:28">
      <c r="A736" s="60" t="s">
        <v>1042</v>
      </c>
      <c r="F736" s="79">
        <f t="shared" ref="F736:U736" si="344">F712+F713+F714+F715+F718+F719+F720+F722+F723+F717+F716</f>
        <v>961979222.97269559</v>
      </c>
      <c r="G736" s="79">
        <f t="shared" si="344"/>
        <v>425759210.06790942</v>
      </c>
      <c r="H736" s="79">
        <f t="shared" si="344"/>
        <v>110701067.79635024</v>
      </c>
      <c r="I736" s="79">
        <f t="shared" si="344"/>
        <v>7475361.5940705817</v>
      </c>
      <c r="J736" s="79">
        <f t="shared" si="344"/>
        <v>117781866.02396746</v>
      </c>
      <c r="K736" s="79">
        <f t="shared" si="344"/>
        <v>125413815.75499284</v>
      </c>
      <c r="L736" s="79">
        <f t="shared" si="344"/>
        <v>94433633.739050567</v>
      </c>
      <c r="M736" s="79">
        <f t="shared" si="344"/>
        <v>62041200.777468219</v>
      </c>
      <c r="N736" s="79">
        <f t="shared" si="344"/>
        <v>3596151.0902776611</v>
      </c>
      <c r="O736" s="79">
        <f t="shared" si="344"/>
        <v>14113634.719946358</v>
      </c>
      <c r="P736" s="79">
        <f t="shared" si="344"/>
        <v>209238.71003490573</v>
      </c>
      <c r="Q736" s="79">
        <f t="shared" si="344"/>
        <v>244604.53743996142</v>
      </c>
      <c r="R736" s="79">
        <f t="shared" si="344"/>
        <v>2622.7137682184812</v>
      </c>
      <c r="S736" s="79">
        <f t="shared" si="344"/>
        <v>48714.12183826464</v>
      </c>
      <c r="T736" s="79">
        <f t="shared" si="344"/>
        <v>145235.08856268827</v>
      </c>
      <c r="U736" s="79">
        <f t="shared" si="344"/>
        <v>12866.237018367859</v>
      </c>
      <c r="V736" s="79">
        <f>V712+V713+V715+V718+V719+V720+V722+V723+V717+V716</f>
        <v>0</v>
      </c>
      <c r="W736" s="79">
        <f>W712+W713+W715+W718+W719+W720+W722+W723+W717+W716</f>
        <v>0</v>
      </c>
      <c r="X736" s="79">
        <f>X712+X713+X715+X718+X719+X720+X722+X723+X717+X716</f>
        <v>0</v>
      </c>
      <c r="Y736" s="79">
        <f>Y712+Y713+Y715+Y718+Y719+Y720+Y722+Y723+Y717+Y716</f>
        <v>0</v>
      </c>
      <c r="Z736" s="79">
        <f>Z712+Z713+Z715+Z718+Z719+Z720+Z722+Z723+Z717+Z716</f>
        <v>0</v>
      </c>
      <c r="AA736" s="79">
        <f>SUM(G736:Z736)</f>
        <v>961979222.97269583</v>
      </c>
      <c r="AB736" s="92" t="str">
        <f>IF(ABS(F736-AA736)&lt;0.01,"ok","err")</f>
        <v>ok</v>
      </c>
    </row>
    <row r="738" spans="1:28">
      <c r="A738" s="60" t="s">
        <v>797</v>
      </c>
      <c r="D738" s="60" t="s">
        <v>801</v>
      </c>
      <c r="F738" s="133">
        <f t="shared" ref="F738:Z738" si="345">F691</f>
        <v>75433705.043134436</v>
      </c>
      <c r="G738" s="133">
        <f t="shared" si="345"/>
        <v>37326344.045371115</v>
      </c>
      <c r="H738" s="133">
        <f t="shared" si="345"/>
        <v>8707341.2267477568</v>
      </c>
      <c r="I738" s="133">
        <f t="shared" si="345"/>
        <v>514533.90221210563</v>
      </c>
      <c r="J738" s="133">
        <f t="shared" si="345"/>
        <v>8680588.0502413195</v>
      </c>
      <c r="K738" s="133">
        <f t="shared" si="345"/>
        <v>7604692.6482977429</v>
      </c>
      <c r="L738" s="133">
        <f t="shared" si="345"/>
        <v>6615938.3961369684</v>
      </c>
      <c r="M738" s="133">
        <f t="shared" si="345"/>
        <v>3465255.9840087472</v>
      </c>
      <c r="N738" s="133">
        <f t="shared" si="345"/>
        <v>223075.08448583473</v>
      </c>
      <c r="O738" s="133">
        <f t="shared" si="345"/>
        <v>2268880.5744526531</v>
      </c>
      <c r="P738" s="133">
        <f t="shared" si="345"/>
        <v>11794.767312844699</v>
      </c>
      <c r="Q738" s="133">
        <f t="shared" si="345"/>
        <v>14659.363332027866</v>
      </c>
      <c r="R738" s="133">
        <f t="shared" si="345"/>
        <v>273.63097573139851</v>
      </c>
      <c r="S738" s="133">
        <f t="shared" si="345"/>
        <v>327.36955958097087</v>
      </c>
      <c r="T738" s="133">
        <f t="shared" si="345"/>
        <v>0</v>
      </c>
      <c r="U738" s="133">
        <f t="shared" si="345"/>
        <v>0</v>
      </c>
      <c r="V738" s="133">
        <f t="shared" si="345"/>
        <v>0</v>
      </c>
      <c r="W738" s="133">
        <f t="shared" si="345"/>
        <v>0</v>
      </c>
      <c r="X738" s="133">
        <f t="shared" si="345"/>
        <v>0</v>
      </c>
      <c r="Y738" s="133">
        <f t="shared" si="345"/>
        <v>0</v>
      </c>
      <c r="Z738" s="133">
        <f t="shared" si="345"/>
        <v>0</v>
      </c>
      <c r="AA738" s="133">
        <f>SUM(G738:Z738)</f>
        <v>75433705.043134436</v>
      </c>
      <c r="AB738" s="92" t="str">
        <f>IF(ABS(F738-AA738)&lt;0.01,"ok","err")</f>
        <v>ok</v>
      </c>
    </row>
    <row r="740" spans="1:28">
      <c r="A740" s="60" t="s">
        <v>795</v>
      </c>
      <c r="D740" s="60" t="s">
        <v>798</v>
      </c>
      <c r="F740" s="79">
        <f>F734-F736-F738</f>
        <v>82663007.231493488</v>
      </c>
      <c r="G740" s="79">
        <f t="shared" ref="G740:Z740" si="346">G734-G736-G738</f>
        <v>-7066423.4519882798</v>
      </c>
      <c r="H740" s="79">
        <f t="shared" si="346"/>
        <v>34608079.219995759</v>
      </c>
      <c r="I740" s="79">
        <f t="shared" si="346"/>
        <v>2509969.2210321706</v>
      </c>
      <c r="J740" s="79">
        <f t="shared" si="346"/>
        <v>28043710.527568951</v>
      </c>
      <c r="K740" s="79">
        <f t="shared" si="346"/>
        <v>11342840.240402296</v>
      </c>
      <c r="L740" s="79">
        <f t="shared" si="346"/>
        <v>6261628.8870264599</v>
      </c>
      <c r="M740" s="79">
        <f t="shared" si="346"/>
        <v>432897.98151988257</v>
      </c>
      <c r="N740" s="79">
        <f t="shared" si="346"/>
        <v>41574.701064118388</v>
      </c>
      <c r="O740" s="79">
        <f>O734-O736-O738</f>
        <v>6313804.5949073173</v>
      </c>
      <c r="P740" s="79">
        <f t="shared" si="346"/>
        <v>37682.102918707817</v>
      </c>
      <c r="Q740" s="79">
        <f t="shared" si="346"/>
        <v>71864.111006682768</v>
      </c>
      <c r="R740" s="79">
        <f t="shared" si="346"/>
        <v>12794.604939351319</v>
      </c>
      <c r="S740" s="79">
        <f t="shared" si="346"/>
        <v>-36346.183318872834</v>
      </c>
      <c r="T740" s="79">
        <f t="shared" si="346"/>
        <v>91860.911437311734</v>
      </c>
      <c r="U740" s="79">
        <f t="shared" si="346"/>
        <v>-2930.2370183678595</v>
      </c>
      <c r="V740" s="79">
        <f t="shared" si="346"/>
        <v>0</v>
      </c>
      <c r="W740" s="79">
        <f t="shared" si="346"/>
        <v>0</v>
      </c>
      <c r="X740" s="79">
        <f t="shared" si="346"/>
        <v>0</v>
      </c>
      <c r="Y740" s="79">
        <f t="shared" si="346"/>
        <v>0</v>
      </c>
      <c r="Z740" s="79">
        <f t="shared" si="346"/>
        <v>0</v>
      </c>
      <c r="AA740" s="79">
        <f>SUM(G740:Z740)</f>
        <v>82663007.231493518</v>
      </c>
      <c r="AB740" s="92" t="str">
        <f>IF(ABS(F740-AA740)&lt;0.01,"ok","err")</f>
        <v>ok</v>
      </c>
    </row>
    <row r="741" spans="1:28"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92"/>
    </row>
    <row r="744" spans="1:28" ht="15">
      <c r="A744" s="65" t="s">
        <v>198</v>
      </c>
    </row>
    <row r="745" spans="1:28">
      <c r="F745" s="79"/>
    </row>
    <row r="746" spans="1:28" ht="15">
      <c r="A746" s="65" t="s">
        <v>1038</v>
      </c>
    </row>
    <row r="748" spans="1:28" hidden="1">
      <c r="A748" s="60" t="s">
        <v>133</v>
      </c>
      <c r="F748" s="79">
        <f t="shared" ref="F748:Z748" si="347">F709</f>
        <v>1120075935.2473235</v>
      </c>
      <c r="G748" s="79">
        <f t="shared" si="347"/>
        <v>456019130.66129225</v>
      </c>
      <c r="H748" s="79">
        <f t="shared" si="347"/>
        <v>154016488.24309376</v>
      </c>
      <c r="I748" s="79">
        <f t="shared" si="347"/>
        <v>10499864.717314858</v>
      </c>
      <c r="J748" s="79">
        <f t="shared" si="347"/>
        <v>154506164.60177773</v>
      </c>
      <c r="K748" s="79">
        <f t="shared" si="347"/>
        <v>144361348.64369288</v>
      </c>
      <c r="L748" s="79">
        <f t="shared" si="347"/>
        <v>107311201.022214</v>
      </c>
      <c r="M748" s="79">
        <f t="shared" si="347"/>
        <v>65939354.742996849</v>
      </c>
      <c r="N748" s="79">
        <f t="shared" si="347"/>
        <v>3860800.8758276142</v>
      </c>
      <c r="O748" s="79">
        <f t="shared" si="347"/>
        <v>22696319.889306329</v>
      </c>
      <c r="P748" s="79">
        <f t="shared" si="347"/>
        <v>258715.58026645824</v>
      </c>
      <c r="Q748" s="79">
        <f t="shared" si="347"/>
        <v>331128.01177867205</v>
      </c>
      <c r="R748" s="79">
        <f t="shared" si="347"/>
        <v>15690.949683301198</v>
      </c>
      <c r="S748" s="79">
        <f t="shared" si="347"/>
        <v>12695.308078972774</v>
      </c>
      <c r="T748" s="79">
        <f t="shared" si="347"/>
        <v>237096</v>
      </c>
      <c r="U748" s="79">
        <f t="shared" si="347"/>
        <v>9936</v>
      </c>
      <c r="V748" s="79">
        <f t="shared" si="347"/>
        <v>0</v>
      </c>
      <c r="W748" s="79">
        <f t="shared" si="347"/>
        <v>0</v>
      </c>
      <c r="X748" s="79">
        <f t="shared" si="347"/>
        <v>0</v>
      </c>
      <c r="Y748" s="79">
        <f t="shared" si="347"/>
        <v>0</v>
      </c>
      <c r="Z748" s="79">
        <f t="shared" si="347"/>
        <v>0</v>
      </c>
      <c r="AA748" s="79">
        <f>SUM(G748:Z748)</f>
        <v>1120075935.2473235</v>
      </c>
      <c r="AB748" s="92" t="str">
        <f>IF(ABS(F748-AA748)&lt;0.01,"ok","err")</f>
        <v>ok</v>
      </c>
    </row>
    <row r="749" spans="1:28" hidden="1"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92"/>
    </row>
    <row r="750" spans="1:28" hidden="1">
      <c r="A750" s="60" t="s">
        <v>134</v>
      </c>
      <c r="F750" s="79"/>
      <c r="G750" s="79"/>
      <c r="H750" s="79"/>
      <c r="I750" s="79"/>
      <c r="J750" s="79"/>
      <c r="K750" s="79"/>
      <c r="L750" s="79"/>
      <c r="M750" s="79"/>
      <c r="N750" s="79"/>
      <c r="O750" s="191"/>
      <c r="P750" s="191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92"/>
    </row>
    <row r="751" spans="1:28" ht="14.1" hidden="1" customHeight="1">
      <c r="B751" s="60" t="s">
        <v>1165</v>
      </c>
      <c r="E751" s="60" t="s">
        <v>129</v>
      </c>
      <c r="F751" s="75"/>
      <c r="G751" s="75">
        <f t="shared" ref="G751:Z751" si="348">IF(VLOOKUP($E751,$D$6:$AN$1148,3,)=0,0,(VLOOKUP($E751,$D$6:$AN$1148,G$2,)/VLOOKUP($E751,$D$6:$AN$1148,3,))*$F751)</f>
        <v>0</v>
      </c>
      <c r="H751" s="75">
        <f t="shared" si="348"/>
        <v>0</v>
      </c>
      <c r="I751" s="75">
        <f t="shared" si="348"/>
        <v>0</v>
      </c>
      <c r="J751" s="75">
        <f t="shared" si="348"/>
        <v>0</v>
      </c>
      <c r="K751" s="75">
        <f t="shared" si="348"/>
        <v>0</v>
      </c>
      <c r="L751" s="75">
        <f t="shared" si="348"/>
        <v>0</v>
      </c>
      <c r="M751" s="75">
        <f t="shared" si="348"/>
        <v>0</v>
      </c>
      <c r="N751" s="75">
        <f t="shared" si="348"/>
        <v>0</v>
      </c>
      <c r="O751" s="75">
        <f t="shared" si="348"/>
        <v>0</v>
      </c>
      <c r="P751" s="75">
        <f t="shared" si="348"/>
        <v>0</v>
      </c>
      <c r="Q751" s="75">
        <f t="shared" si="348"/>
        <v>0</v>
      </c>
      <c r="R751" s="75">
        <f t="shared" si="348"/>
        <v>0</v>
      </c>
      <c r="S751" s="75">
        <f t="shared" si="348"/>
        <v>0</v>
      </c>
      <c r="T751" s="75">
        <f t="shared" si="348"/>
        <v>0</v>
      </c>
      <c r="U751" s="75">
        <f t="shared" si="348"/>
        <v>0</v>
      </c>
      <c r="V751" s="75">
        <f t="shared" si="348"/>
        <v>0</v>
      </c>
      <c r="W751" s="75">
        <f t="shared" si="348"/>
        <v>0</v>
      </c>
      <c r="X751" s="75">
        <f t="shared" si="348"/>
        <v>0</v>
      </c>
      <c r="Y751" s="75">
        <f t="shared" si="348"/>
        <v>0</v>
      </c>
      <c r="Z751" s="75">
        <f t="shared" si="348"/>
        <v>0</v>
      </c>
      <c r="AA751" s="79">
        <f t="shared" ref="AA751:AA752" si="349">SUM(G751:Z751)</f>
        <v>0</v>
      </c>
      <c r="AB751" s="92" t="str">
        <f t="shared" ref="AB751:AB752" si="350">IF(ABS(F751-AA751)&lt;0.01,"ok","err")</f>
        <v>ok</v>
      </c>
    </row>
    <row r="752" spans="1:28" hidden="1">
      <c r="B752" s="60" t="s">
        <v>1203</v>
      </c>
      <c r="F752" s="78">
        <v>0</v>
      </c>
      <c r="G752" s="78"/>
      <c r="H752" s="78"/>
      <c r="I752" s="78"/>
      <c r="J752" s="78"/>
      <c r="K752" s="78"/>
      <c r="L752" s="78"/>
      <c r="M752" s="78"/>
      <c r="N752" s="78"/>
      <c r="O752" s="78">
        <v>0</v>
      </c>
      <c r="P752" s="78"/>
      <c r="Q752" s="78">
        <v>0</v>
      </c>
      <c r="R752" s="78"/>
      <c r="S752" s="78"/>
      <c r="T752" s="78"/>
      <c r="U752" s="78"/>
      <c r="V752" s="78"/>
      <c r="W752" s="78"/>
      <c r="X752" s="78"/>
      <c r="Y752" s="78"/>
      <c r="Z752" s="78"/>
      <c r="AA752" s="78">
        <f t="shared" si="349"/>
        <v>0</v>
      </c>
      <c r="AB752" s="92" t="str">
        <f t="shared" si="350"/>
        <v>ok</v>
      </c>
    </row>
    <row r="753" spans="1:28">
      <c r="E753" s="111"/>
      <c r="F753" s="79"/>
      <c r="G753" s="79"/>
    </row>
    <row r="754" spans="1:28">
      <c r="A754" s="60" t="s">
        <v>135</v>
      </c>
      <c r="E754" s="111"/>
      <c r="F754" s="79">
        <f t="shared" ref="F754:Z754" si="351">SUM(F748:F752)</f>
        <v>1120075935.2473235</v>
      </c>
      <c r="G754" s="79">
        <f t="shared" si="351"/>
        <v>456019130.66129225</v>
      </c>
      <c r="H754" s="79">
        <f t="shared" si="351"/>
        <v>154016488.24309376</v>
      </c>
      <c r="I754" s="79">
        <f t="shared" si="351"/>
        <v>10499864.717314858</v>
      </c>
      <c r="J754" s="79">
        <f t="shared" si="351"/>
        <v>154506164.60177773</v>
      </c>
      <c r="K754" s="79">
        <f t="shared" si="351"/>
        <v>144361348.64369288</v>
      </c>
      <c r="L754" s="79">
        <f t="shared" si="351"/>
        <v>107311201.022214</v>
      </c>
      <c r="M754" s="79">
        <f t="shared" si="351"/>
        <v>65939354.742996849</v>
      </c>
      <c r="N754" s="79">
        <f t="shared" si="351"/>
        <v>3860800.8758276142</v>
      </c>
      <c r="O754" s="79">
        <f t="shared" si="351"/>
        <v>22696319.889306329</v>
      </c>
      <c r="P754" s="79">
        <f t="shared" si="351"/>
        <v>258715.58026645824</v>
      </c>
      <c r="Q754" s="79">
        <f t="shared" si="351"/>
        <v>331128.01177867205</v>
      </c>
      <c r="R754" s="79">
        <f t="shared" si="351"/>
        <v>15690.949683301198</v>
      </c>
      <c r="S754" s="79">
        <f t="shared" si="351"/>
        <v>12695.308078972774</v>
      </c>
      <c r="T754" s="79">
        <f t="shared" si="351"/>
        <v>237096</v>
      </c>
      <c r="U754" s="79">
        <f t="shared" si="351"/>
        <v>9936</v>
      </c>
      <c r="V754" s="79">
        <f t="shared" si="351"/>
        <v>0</v>
      </c>
      <c r="W754" s="79">
        <f t="shared" si="351"/>
        <v>0</v>
      </c>
      <c r="X754" s="79">
        <f t="shared" si="351"/>
        <v>0</v>
      </c>
      <c r="Y754" s="79">
        <f t="shared" si="351"/>
        <v>0</v>
      </c>
      <c r="Z754" s="79">
        <f t="shared" si="351"/>
        <v>0</v>
      </c>
      <c r="AA754" s="79">
        <f>SUM(G754:Z754)</f>
        <v>1120075935.2473235</v>
      </c>
      <c r="AB754" s="92" t="str">
        <f>IF(ABS(F754-AA754)&lt;0.01,"ok","err")</f>
        <v>ok</v>
      </c>
    </row>
    <row r="755" spans="1:28" ht="16.5" customHeight="1">
      <c r="E755" s="79"/>
    </row>
    <row r="756" spans="1:28" ht="15">
      <c r="A756" s="65" t="s">
        <v>1042</v>
      </c>
      <c r="F756" s="79"/>
    </row>
    <row r="758" spans="1:28">
      <c r="A758" s="68" t="s">
        <v>1043</v>
      </c>
      <c r="F758" s="79">
        <f t="shared" ref="F758:AA758" si="352">F233</f>
        <v>643436661.24131227</v>
      </c>
      <c r="G758" s="79">
        <f t="shared" si="352"/>
        <v>276779936.62699538</v>
      </c>
      <c r="H758" s="79">
        <f t="shared" si="352"/>
        <v>73444678.041281253</v>
      </c>
      <c r="I758" s="79">
        <f t="shared" si="352"/>
        <v>5098578.227045414</v>
      </c>
      <c r="J758" s="79">
        <f t="shared" si="352"/>
        <v>78420250.491795436</v>
      </c>
      <c r="K758" s="79">
        <f t="shared" si="352"/>
        <v>89976180.806202412</v>
      </c>
      <c r="L758" s="79">
        <f t="shared" si="352"/>
        <v>64239709.14260824</v>
      </c>
      <c r="M758" s="79">
        <f t="shared" si="352"/>
        <v>45090267.33885818</v>
      </c>
      <c r="N758" s="79">
        <f t="shared" si="352"/>
        <v>2565873.7866510917</v>
      </c>
      <c r="O758" s="79">
        <f t="shared" si="352"/>
        <v>7367410.9681501463</v>
      </c>
      <c r="P758" s="79">
        <f t="shared" si="352"/>
        <v>161098.64632498063</v>
      </c>
      <c r="Q758" s="79">
        <f t="shared" si="352"/>
        <v>182319.24997729261</v>
      </c>
      <c r="R758" s="79">
        <f t="shared" si="352"/>
        <v>1864.4747540326068</v>
      </c>
      <c r="S758" s="79">
        <f t="shared" si="352"/>
        <v>26590.440668559393</v>
      </c>
      <c r="T758" s="79">
        <f t="shared" si="352"/>
        <v>71903</v>
      </c>
      <c r="U758" s="79">
        <f t="shared" si="352"/>
        <v>10000</v>
      </c>
      <c r="V758" s="79">
        <f t="shared" si="352"/>
        <v>0</v>
      </c>
      <c r="W758" s="79">
        <f t="shared" si="352"/>
        <v>0</v>
      </c>
      <c r="X758" s="79">
        <f t="shared" si="352"/>
        <v>0</v>
      </c>
      <c r="Y758" s="79">
        <f t="shared" si="352"/>
        <v>0</v>
      </c>
      <c r="Z758" s="79">
        <f t="shared" si="352"/>
        <v>0</v>
      </c>
      <c r="AA758" s="79">
        <f t="shared" si="352"/>
        <v>643436661.2413125</v>
      </c>
      <c r="AB758" s="92" t="str">
        <f t="shared" ref="AB758:AB769" si="353">IF(ABS(F758-AA758)&lt;0.01,"ok","err")</f>
        <v>ok</v>
      </c>
    </row>
    <row r="759" spans="1:28">
      <c r="A759" s="68" t="s">
        <v>1044</v>
      </c>
      <c r="F759" s="78">
        <f t="shared" ref="F759:AA759" si="354">F347</f>
        <v>277122835.61762834</v>
      </c>
      <c r="G759" s="78">
        <f t="shared" si="354"/>
        <v>128481160.77717872</v>
      </c>
      <c r="H759" s="78">
        <f t="shared" si="354"/>
        <v>32474567.583973918</v>
      </c>
      <c r="I759" s="78">
        <f t="shared" si="354"/>
        <v>2094183.7353012571</v>
      </c>
      <c r="J759" s="78">
        <f t="shared" si="354"/>
        <v>34593856.396411493</v>
      </c>
      <c r="K759" s="78">
        <f t="shared" si="354"/>
        <v>31260609.338087685</v>
      </c>
      <c r="L759" s="78">
        <f t="shared" si="354"/>
        <v>26560051.687097285</v>
      </c>
      <c r="M759" s="78">
        <f t="shared" si="354"/>
        <v>15047504.08467748</v>
      </c>
      <c r="N759" s="78">
        <f t="shared" si="354"/>
        <v>907749.3053380663</v>
      </c>
      <c r="O759" s="78">
        <f t="shared" si="354"/>
        <v>5500364.6063952968</v>
      </c>
      <c r="P759" s="78">
        <f t="shared" si="354"/>
        <v>41662.93377864339</v>
      </c>
      <c r="Q759" s="78">
        <f t="shared" si="354"/>
        <v>54238.742606475425</v>
      </c>
      <c r="R759" s="78">
        <f t="shared" si="354"/>
        <v>608.04692129702005</v>
      </c>
      <c r="S759" s="78">
        <f t="shared" si="354"/>
        <v>19254.445652421116</v>
      </c>
      <c r="T759" s="78">
        <f t="shared" si="354"/>
        <v>83869.534208333309</v>
      </c>
      <c r="U759" s="78">
        <f t="shared" si="354"/>
        <v>3154.4</v>
      </c>
      <c r="V759" s="78">
        <f t="shared" si="354"/>
        <v>0</v>
      </c>
      <c r="W759" s="78">
        <f t="shared" si="354"/>
        <v>0</v>
      </c>
      <c r="X759" s="78">
        <f t="shared" si="354"/>
        <v>0</v>
      </c>
      <c r="Y759" s="78">
        <f t="shared" si="354"/>
        <v>0</v>
      </c>
      <c r="Z759" s="78">
        <f t="shared" si="354"/>
        <v>0</v>
      </c>
      <c r="AA759" s="78">
        <f t="shared" si="354"/>
        <v>277122835.6176284</v>
      </c>
      <c r="AB759" s="92" t="str">
        <f t="shared" si="353"/>
        <v>ok</v>
      </c>
    </row>
    <row r="760" spans="1:28" hidden="1">
      <c r="A760" s="110" t="s">
        <v>270</v>
      </c>
      <c r="F760" s="78">
        <f t="shared" ref="F760:Z760" si="355">F714</f>
        <v>0</v>
      </c>
      <c r="G760" s="78">
        <f t="shared" si="355"/>
        <v>0</v>
      </c>
      <c r="H760" s="78">
        <f t="shared" si="355"/>
        <v>0</v>
      </c>
      <c r="I760" s="78">
        <f t="shared" si="355"/>
        <v>0</v>
      </c>
      <c r="J760" s="78">
        <f t="shared" si="355"/>
        <v>0</v>
      </c>
      <c r="K760" s="78">
        <f t="shared" si="355"/>
        <v>0</v>
      </c>
      <c r="L760" s="78">
        <f t="shared" si="355"/>
        <v>0</v>
      </c>
      <c r="M760" s="78">
        <f t="shared" si="355"/>
        <v>0</v>
      </c>
      <c r="N760" s="78">
        <f t="shared" si="355"/>
        <v>0</v>
      </c>
      <c r="O760" s="78">
        <f t="shared" si="355"/>
        <v>0</v>
      </c>
      <c r="P760" s="78">
        <f t="shared" si="355"/>
        <v>0</v>
      </c>
      <c r="Q760" s="78">
        <f t="shared" si="355"/>
        <v>0</v>
      </c>
      <c r="R760" s="78">
        <f t="shared" si="355"/>
        <v>0</v>
      </c>
      <c r="S760" s="78">
        <f t="shared" si="355"/>
        <v>0</v>
      </c>
      <c r="T760" s="78">
        <f t="shared" si="355"/>
        <v>0</v>
      </c>
      <c r="U760" s="78">
        <f t="shared" si="355"/>
        <v>0</v>
      </c>
      <c r="V760" s="78">
        <f t="shared" si="355"/>
        <v>0</v>
      </c>
      <c r="W760" s="78">
        <f t="shared" si="355"/>
        <v>0</v>
      </c>
      <c r="X760" s="78">
        <f t="shared" si="355"/>
        <v>0</v>
      </c>
      <c r="Y760" s="78">
        <f t="shared" si="355"/>
        <v>0</v>
      </c>
      <c r="Z760" s="78">
        <f t="shared" si="355"/>
        <v>0</v>
      </c>
      <c r="AA760" s="78">
        <f t="shared" ref="AA760:AA765" si="356">SUM(G760:Z760)</f>
        <v>0</v>
      </c>
      <c r="AB760" s="92" t="str">
        <f t="shared" si="353"/>
        <v>ok</v>
      </c>
    </row>
    <row r="761" spans="1:28" hidden="1">
      <c r="A761" s="68" t="s">
        <v>764</v>
      </c>
      <c r="F761" s="78">
        <f t="shared" ref="F761:Z761" si="357">F715</f>
        <v>0</v>
      </c>
      <c r="G761" s="78">
        <f t="shared" si="357"/>
        <v>0</v>
      </c>
      <c r="H761" s="78">
        <f t="shared" si="357"/>
        <v>0</v>
      </c>
      <c r="I761" s="78">
        <f t="shared" si="357"/>
        <v>0</v>
      </c>
      <c r="J761" s="78">
        <f t="shared" si="357"/>
        <v>0</v>
      </c>
      <c r="K761" s="78">
        <f t="shared" si="357"/>
        <v>0</v>
      </c>
      <c r="L761" s="78">
        <f t="shared" si="357"/>
        <v>0</v>
      </c>
      <c r="M761" s="78">
        <f t="shared" si="357"/>
        <v>0</v>
      </c>
      <c r="N761" s="78">
        <f t="shared" si="357"/>
        <v>0</v>
      </c>
      <c r="O761" s="78">
        <f t="shared" si="357"/>
        <v>0</v>
      </c>
      <c r="P761" s="78">
        <f t="shared" si="357"/>
        <v>0</v>
      </c>
      <c r="Q761" s="78">
        <f t="shared" si="357"/>
        <v>0</v>
      </c>
      <c r="R761" s="78">
        <f t="shared" si="357"/>
        <v>0</v>
      </c>
      <c r="S761" s="78">
        <f t="shared" si="357"/>
        <v>0</v>
      </c>
      <c r="T761" s="78">
        <f t="shared" si="357"/>
        <v>0</v>
      </c>
      <c r="U761" s="78">
        <f t="shared" si="357"/>
        <v>0</v>
      </c>
      <c r="V761" s="78">
        <f t="shared" si="357"/>
        <v>0</v>
      </c>
      <c r="W761" s="78">
        <f t="shared" si="357"/>
        <v>0</v>
      </c>
      <c r="X761" s="78">
        <f t="shared" si="357"/>
        <v>0</v>
      </c>
      <c r="Y761" s="78">
        <f t="shared" si="357"/>
        <v>0</v>
      </c>
      <c r="Z761" s="78">
        <f t="shared" si="357"/>
        <v>0</v>
      </c>
      <c r="AA761" s="78">
        <f t="shared" si="356"/>
        <v>0</v>
      </c>
      <c r="AB761" s="92" t="str">
        <f t="shared" si="353"/>
        <v>ok</v>
      </c>
    </row>
    <row r="762" spans="1:28" hidden="1">
      <c r="A762" s="60" t="s">
        <v>1094</v>
      </c>
      <c r="F762" s="78">
        <f t="shared" ref="F762:Z762" si="358">F716</f>
        <v>0</v>
      </c>
      <c r="G762" s="78">
        <f t="shared" si="358"/>
        <v>0</v>
      </c>
      <c r="H762" s="78">
        <f t="shared" si="358"/>
        <v>0</v>
      </c>
      <c r="I762" s="78">
        <f t="shared" si="358"/>
        <v>0</v>
      </c>
      <c r="J762" s="78">
        <f t="shared" si="358"/>
        <v>0</v>
      </c>
      <c r="K762" s="78">
        <f t="shared" si="358"/>
        <v>0</v>
      </c>
      <c r="L762" s="78">
        <f t="shared" si="358"/>
        <v>0</v>
      </c>
      <c r="M762" s="78">
        <f t="shared" si="358"/>
        <v>0</v>
      </c>
      <c r="N762" s="78">
        <f t="shared" si="358"/>
        <v>0</v>
      </c>
      <c r="O762" s="78">
        <f t="shared" si="358"/>
        <v>0</v>
      </c>
      <c r="P762" s="78">
        <f t="shared" si="358"/>
        <v>0</v>
      </c>
      <c r="Q762" s="78">
        <f t="shared" si="358"/>
        <v>0</v>
      </c>
      <c r="R762" s="78">
        <f t="shared" si="358"/>
        <v>0</v>
      </c>
      <c r="S762" s="78">
        <f t="shared" si="358"/>
        <v>0</v>
      </c>
      <c r="T762" s="78">
        <f t="shared" si="358"/>
        <v>0</v>
      </c>
      <c r="U762" s="78">
        <f t="shared" si="358"/>
        <v>0</v>
      </c>
      <c r="V762" s="78">
        <f t="shared" si="358"/>
        <v>0</v>
      </c>
      <c r="W762" s="78">
        <f t="shared" si="358"/>
        <v>0</v>
      </c>
      <c r="X762" s="78">
        <f t="shared" si="358"/>
        <v>0</v>
      </c>
      <c r="Y762" s="78">
        <f t="shared" si="358"/>
        <v>0</v>
      </c>
      <c r="Z762" s="78">
        <f t="shared" si="358"/>
        <v>0</v>
      </c>
      <c r="AA762" s="78">
        <f t="shared" si="356"/>
        <v>0</v>
      </c>
      <c r="AB762" s="92" t="str">
        <f t="shared" si="353"/>
        <v>ok</v>
      </c>
    </row>
    <row r="763" spans="1:28" hidden="1">
      <c r="A763" s="60" t="s">
        <v>1095</v>
      </c>
      <c r="F763" s="78">
        <f t="shared" ref="F763:W763" si="359">F717</f>
        <v>0</v>
      </c>
      <c r="G763" s="78">
        <f t="shared" si="359"/>
        <v>0</v>
      </c>
      <c r="H763" s="78">
        <f t="shared" si="359"/>
        <v>0</v>
      </c>
      <c r="I763" s="78">
        <f t="shared" si="359"/>
        <v>0</v>
      </c>
      <c r="J763" s="78">
        <f t="shared" si="359"/>
        <v>0</v>
      </c>
      <c r="K763" s="78">
        <f t="shared" si="359"/>
        <v>0</v>
      </c>
      <c r="L763" s="78">
        <f t="shared" si="359"/>
        <v>0</v>
      </c>
      <c r="M763" s="78">
        <f t="shared" si="359"/>
        <v>0</v>
      </c>
      <c r="N763" s="78">
        <f t="shared" si="359"/>
        <v>0</v>
      </c>
      <c r="O763" s="78">
        <f t="shared" si="359"/>
        <v>0</v>
      </c>
      <c r="P763" s="78">
        <f t="shared" si="359"/>
        <v>0</v>
      </c>
      <c r="Q763" s="78">
        <f t="shared" si="359"/>
        <v>0</v>
      </c>
      <c r="R763" s="78">
        <f t="shared" si="359"/>
        <v>0</v>
      </c>
      <c r="S763" s="78">
        <f t="shared" si="359"/>
        <v>0</v>
      </c>
      <c r="T763" s="78">
        <f t="shared" si="359"/>
        <v>0</v>
      </c>
      <c r="U763" s="78">
        <f t="shared" si="359"/>
        <v>0</v>
      </c>
      <c r="V763" s="78">
        <f t="shared" si="359"/>
        <v>0</v>
      </c>
      <c r="W763" s="78">
        <f t="shared" si="359"/>
        <v>0</v>
      </c>
      <c r="X763" s="78"/>
      <c r="Y763" s="78"/>
      <c r="Z763" s="78"/>
      <c r="AA763" s="78">
        <f t="shared" si="356"/>
        <v>0</v>
      </c>
      <c r="AB763" s="92" t="str">
        <f t="shared" si="353"/>
        <v>ok</v>
      </c>
    </row>
    <row r="764" spans="1:28">
      <c r="A764" s="68" t="s">
        <v>688</v>
      </c>
      <c r="E764" s="60" t="s">
        <v>1027</v>
      </c>
      <c r="F764" s="78">
        <f t="shared" ref="F764:W764" si="360">F718</f>
        <v>42336722.113755003</v>
      </c>
      <c r="G764" s="78">
        <f t="shared" si="360"/>
        <v>20945976.299097359</v>
      </c>
      <c r="H764" s="78">
        <f t="shared" si="360"/>
        <v>4885976.690717468</v>
      </c>
      <c r="I764" s="78">
        <f t="shared" si="360"/>
        <v>288731.77573940781</v>
      </c>
      <c r="J764" s="78">
        <f t="shared" si="360"/>
        <v>4871307.412389541</v>
      </c>
      <c r="K764" s="78">
        <f t="shared" si="360"/>
        <v>4267618.856174117</v>
      </c>
      <c r="L764" s="78">
        <f t="shared" si="360"/>
        <v>3712766.9539950592</v>
      </c>
      <c r="M764" s="78">
        <f t="shared" si="360"/>
        <v>1944606.7394748102</v>
      </c>
      <c r="N764" s="78">
        <f t="shared" si="360"/>
        <v>125186.57845842239</v>
      </c>
      <c r="O764" s="78">
        <f t="shared" si="360"/>
        <v>1273382.2615795471</v>
      </c>
      <c r="P764" s="78">
        <f t="shared" si="360"/>
        <v>6618.4867315309657</v>
      </c>
      <c r="Q764" s="78">
        <f t="shared" si="360"/>
        <v>8221.9612147647204</v>
      </c>
      <c r="R764" s="78">
        <f t="shared" si="360"/>
        <v>153.51573105631502</v>
      </c>
      <c r="S764" s="78">
        <f t="shared" si="360"/>
        <v>2873.1910791984933</v>
      </c>
      <c r="T764" s="78">
        <f t="shared" si="360"/>
        <v>3190.2719496980626</v>
      </c>
      <c r="U764" s="78">
        <f t="shared" si="360"/>
        <v>111.11942302474998</v>
      </c>
      <c r="V764" s="78">
        <f t="shared" si="360"/>
        <v>0</v>
      </c>
      <c r="W764" s="78">
        <f t="shared" si="360"/>
        <v>0</v>
      </c>
      <c r="X764" s="78">
        <f>X718</f>
        <v>0</v>
      </c>
      <c r="Y764" s="78">
        <f>Y718</f>
        <v>0</v>
      </c>
      <c r="Z764" s="78">
        <f>Z718</f>
        <v>0</v>
      </c>
      <c r="AA764" s="78">
        <f t="shared" si="356"/>
        <v>42336722.11375501</v>
      </c>
      <c r="AB764" s="92" t="str">
        <f t="shared" si="353"/>
        <v>ok</v>
      </c>
    </row>
    <row r="765" spans="1:28">
      <c r="A765" s="68" t="s">
        <v>689</v>
      </c>
      <c r="F765" s="78">
        <f t="shared" ref="F765:Z765" si="361">F576</f>
        <v>-916996.00000000012</v>
      </c>
      <c r="G765" s="78">
        <f t="shared" si="361"/>
        <v>-447863.63536201243</v>
      </c>
      <c r="H765" s="78">
        <f t="shared" si="361"/>
        <v>-104154.51962239429</v>
      </c>
      <c r="I765" s="78">
        <f t="shared" si="361"/>
        <v>-6132.1440154972724</v>
      </c>
      <c r="J765" s="78">
        <f t="shared" si="361"/>
        <v>-103548.27662901388</v>
      </c>
      <c r="K765" s="78">
        <f t="shared" si="361"/>
        <v>-90593.24547136265</v>
      </c>
      <c r="L765" s="78">
        <f t="shared" si="361"/>
        <v>-78894.044650015014</v>
      </c>
      <c r="M765" s="78">
        <f t="shared" si="361"/>
        <v>-41177.385542251672</v>
      </c>
      <c r="N765" s="78">
        <f t="shared" si="361"/>
        <v>-2658.5801699189892</v>
      </c>
      <c r="O765" s="78">
        <f t="shared" si="361"/>
        <v>-27523.116178631499</v>
      </c>
      <c r="P765" s="78">
        <f t="shared" si="361"/>
        <v>-141.35680024924781</v>
      </c>
      <c r="Q765" s="78">
        <f t="shared" si="361"/>
        <v>-175.41635857132519</v>
      </c>
      <c r="R765" s="78">
        <f t="shared" si="361"/>
        <v>-3.3236381674607789</v>
      </c>
      <c r="S765" s="78">
        <f t="shared" si="361"/>
        <v>-3.9555619143632463</v>
      </c>
      <c r="T765" s="78">
        <f t="shared" si="361"/>
        <v>-13727.717595343111</v>
      </c>
      <c r="U765" s="78">
        <f t="shared" si="361"/>
        <v>-399.28240465688896</v>
      </c>
      <c r="V765" s="78">
        <f t="shared" si="361"/>
        <v>0</v>
      </c>
      <c r="W765" s="78">
        <f t="shared" si="361"/>
        <v>0</v>
      </c>
      <c r="X765" s="78">
        <f t="shared" si="361"/>
        <v>0</v>
      </c>
      <c r="Y765" s="78">
        <f t="shared" si="361"/>
        <v>0</v>
      </c>
      <c r="Z765" s="78">
        <f t="shared" si="361"/>
        <v>0</v>
      </c>
      <c r="AA765" s="78">
        <f t="shared" si="356"/>
        <v>-916996.00000000012</v>
      </c>
      <c r="AB765" s="92" t="str">
        <f t="shared" si="353"/>
        <v>ok</v>
      </c>
    </row>
    <row r="766" spans="1:28" hidden="1">
      <c r="A766" s="68" t="s">
        <v>654</v>
      </c>
      <c r="F766" s="78">
        <f t="shared" ref="F766:AA766" si="362">F720</f>
        <v>0</v>
      </c>
      <c r="G766" s="78">
        <f t="shared" si="362"/>
        <v>0</v>
      </c>
      <c r="H766" s="78">
        <f t="shared" si="362"/>
        <v>0</v>
      </c>
      <c r="I766" s="78">
        <f t="shared" si="362"/>
        <v>0</v>
      </c>
      <c r="J766" s="78">
        <f t="shared" si="362"/>
        <v>0</v>
      </c>
      <c r="K766" s="78">
        <f t="shared" si="362"/>
        <v>0</v>
      </c>
      <c r="L766" s="78">
        <f t="shared" si="362"/>
        <v>0</v>
      </c>
      <c r="M766" s="78">
        <f t="shared" si="362"/>
        <v>0</v>
      </c>
      <c r="N766" s="78">
        <f t="shared" si="362"/>
        <v>0</v>
      </c>
      <c r="O766" s="78">
        <f t="shared" si="362"/>
        <v>0</v>
      </c>
      <c r="P766" s="78">
        <f t="shared" si="362"/>
        <v>0</v>
      </c>
      <c r="Q766" s="78">
        <f t="shared" si="362"/>
        <v>0</v>
      </c>
      <c r="R766" s="78">
        <f t="shared" si="362"/>
        <v>0</v>
      </c>
      <c r="S766" s="78">
        <f t="shared" si="362"/>
        <v>0</v>
      </c>
      <c r="T766" s="78">
        <f t="shared" si="362"/>
        <v>0</v>
      </c>
      <c r="U766" s="78">
        <f t="shared" si="362"/>
        <v>0</v>
      </c>
      <c r="V766" s="78">
        <f t="shared" si="362"/>
        <v>0</v>
      </c>
      <c r="W766" s="78">
        <f t="shared" si="362"/>
        <v>0</v>
      </c>
      <c r="X766" s="78">
        <f t="shared" si="362"/>
        <v>0</v>
      </c>
      <c r="Y766" s="78">
        <f t="shared" si="362"/>
        <v>0</v>
      </c>
      <c r="Z766" s="78">
        <f t="shared" si="362"/>
        <v>0</v>
      </c>
      <c r="AA766" s="78">
        <f t="shared" si="362"/>
        <v>0</v>
      </c>
      <c r="AB766" s="92" t="str">
        <f t="shared" si="353"/>
        <v>ok</v>
      </c>
    </row>
    <row r="767" spans="1:28">
      <c r="A767" s="68" t="s">
        <v>196</v>
      </c>
      <c r="E767" s="60" t="s">
        <v>798</v>
      </c>
      <c r="F767" s="78">
        <f>F721</f>
        <v>7757584.4088109927</v>
      </c>
      <c r="G767" s="78">
        <f t="shared" ref="G767:Z767" si="363">IF(VLOOKUP($E767,$D$6:$AN$1148,3,)=0,0,(VLOOKUP($E767,$D$6:$AN$1148,G$2,)/VLOOKUP($E767,$D$6:$AN$1148,3,))*$F767)</f>
        <v>-663154.87705019733</v>
      </c>
      <c r="H767" s="78">
        <f t="shared" si="363"/>
        <v>3247826.3828956061</v>
      </c>
      <c r="I767" s="78">
        <f t="shared" si="363"/>
        <v>235550.32350984126</v>
      </c>
      <c r="J767" s="78">
        <f t="shared" si="363"/>
        <v>2631787.2872037669</v>
      </c>
      <c r="K767" s="78">
        <f t="shared" si="363"/>
        <v>1064479.0644279227</v>
      </c>
      <c r="L767" s="78">
        <f t="shared" si="363"/>
        <v>587628.20582760673</v>
      </c>
      <c r="M767" s="78">
        <f t="shared" si="363"/>
        <v>40625.701199568088</v>
      </c>
      <c r="N767" s="78">
        <f t="shared" si="363"/>
        <v>3901.6152881153243</v>
      </c>
      <c r="O767" s="78">
        <f t="shared" si="363"/>
        <v>592524.68215397256</v>
      </c>
      <c r="P767" s="78">
        <f t="shared" si="363"/>
        <v>3536.3109071842259</v>
      </c>
      <c r="Q767" s="78">
        <f t="shared" si="363"/>
        <v>6744.1522607238012</v>
      </c>
      <c r="R767" s="78">
        <f t="shared" si="363"/>
        <v>1200.7212309183085</v>
      </c>
      <c r="S767" s="78">
        <f t="shared" si="363"/>
        <v>-3410.9403284187761</v>
      </c>
      <c r="T767" s="78">
        <f t="shared" si="363"/>
        <v>8620.7700180759803</v>
      </c>
      <c r="U767" s="78">
        <f t="shared" si="363"/>
        <v>-274.99073369243331</v>
      </c>
      <c r="V767" s="78">
        <f t="shared" si="363"/>
        <v>0</v>
      </c>
      <c r="W767" s="78">
        <f t="shared" si="363"/>
        <v>0</v>
      </c>
      <c r="X767" s="78">
        <f t="shared" si="363"/>
        <v>0</v>
      </c>
      <c r="Y767" s="78">
        <f t="shared" si="363"/>
        <v>0</v>
      </c>
      <c r="Z767" s="78">
        <f t="shared" si="363"/>
        <v>0</v>
      </c>
      <c r="AA767" s="78">
        <f>SUM(G767:Z767)</f>
        <v>7757584.4088109927</v>
      </c>
      <c r="AB767" s="92" t="str">
        <f t="shared" si="353"/>
        <v>ok</v>
      </c>
    </row>
    <row r="768" spans="1:28">
      <c r="A768" s="68" t="s">
        <v>661</v>
      </c>
      <c r="F768" s="78">
        <f>-F1119</f>
        <v>-2468360</v>
      </c>
      <c r="G768" s="78">
        <f t="shared" ref="G768:Z768" si="364">G1119</f>
        <v>0</v>
      </c>
      <c r="H768" s="78">
        <f t="shared" si="364"/>
        <v>0</v>
      </c>
      <c r="I768" s="78">
        <f t="shared" si="364"/>
        <v>0</v>
      </c>
      <c r="J768" s="78">
        <f t="shared" si="364"/>
        <v>0</v>
      </c>
      <c r="K768" s="78">
        <f>-K1119</f>
        <v>-142467</v>
      </c>
      <c r="L768" s="78">
        <f t="shared" si="364"/>
        <v>0</v>
      </c>
      <c r="M768" s="78">
        <f>-M1119</f>
        <v>-2325893</v>
      </c>
      <c r="N768" s="78">
        <f t="shared" si="364"/>
        <v>0</v>
      </c>
      <c r="O768" s="78">
        <f>-O1119</f>
        <v>0</v>
      </c>
      <c r="P768" s="78">
        <v>0</v>
      </c>
      <c r="Q768" s="78">
        <f t="shared" si="364"/>
        <v>0</v>
      </c>
      <c r="R768" s="78">
        <f t="shared" si="364"/>
        <v>0</v>
      </c>
      <c r="S768" s="78">
        <f t="shared" si="364"/>
        <v>0</v>
      </c>
      <c r="T768" s="78">
        <f t="shared" si="364"/>
        <v>0</v>
      </c>
      <c r="U768" s="78">
        <f t="shared" si="364"/>
        <v>0</v>
      </c>
      <c r="V768" s="78">
        <f t="shared" si="364"/>
        <v>0</v>
      </c>
      <c r="W768" s="78">
        <f t="shared" si="364"/>
        <v>0</v>
      </c>
      <c r="X768" s="78">
        <f t="shared" si="364"/>
        <v>0</v>
      </c>
      <c r="Y768" s="78">
        <f t="shared" si="364"/>
        <v>0</v>
      </c>
      <c r="Z768" s="78">
        <f t="shared" si="364"/>
        <v>0</v>
      </c>
      <c r="AA768" s="78">
        <f>SUM(G768:Z768)</f>
        <v>-2468360</v>
      </c>
      <c r="AB768" s="92" t="str">
        <f t="shared" si="353"/>
        <v>ok</v>
      </c>
    </row>
    <row r="769" spans="1:54">
      <c r="A769" s="68" t="s">
        <v>662</v>
      </c>
      <c r="E769" s="60" t="s">
        <v>663</v>
      </c>
      <c r="F769" s="78">
        <f>-F768</f>
        <v>2468360</v>
      </c>
      <c r="G769" s="78">
        <f t="shared" ref="G769:Z769" si="365">IF(VLOOKUP($E769,$D$6:$AN$1148,3,)=0,0,(VLOOKUP($E769,$D$6:$AN$1148,G$2,)/VLOOKUP($E769,$D$6:$AN$1148,3,))*$F769)</f>
        <v>1028654.5637232078</v>
      </c>
      <c r="H769" s="78">
        <f t="shared" si="365"/>
        <v>296105.32955998095</v>
      </c>
      <c r="I769" s="78">
        <f t="shared" si="365"/>
        <v>21437.743206167674</v>
      </c>
      <c r="J769" s="78">
        <f t="shared" si="365"/>
        <v>345207.53744898021</v>
      </c>
      <c r="K769" s="78">
        <f t="shared" si="365"/>
        <v>323559.95278453775</v>
      </c>
      <c r="L769" s="78">
        <f t="shared" si="365"/>
        <v>267575.96108285652</v>
      </c>
      <c r="M769" s="78">
        <f t="shared" si="365"/>
        <v>165529.66387784967</v>
      </c>
      <c r="N769" s="78">
        <f t="shared" si="365"/>
        <v>9293.919810838197</v>
      </c>
      <c r="O769" s="78">
        <f t="shared" si="365"/>
        <v>10154.135601964968</v>
      </c>
      <c r="P769" s="78">
        <f t="shared" si="365"/>
        <v>353.66875016972796</v>
      </c>
      <c r="Q769" s="78">
        <f t="shared" si="365"/>
        <v>487.05123776534685</v>
      </c>
      <c r="R769" s="78">
        <f t="shared" si="365"/>
        <v>0.47291568121172106</v>
      </c>
      <c r="S769" s="78">
        <f t="shared" si="365"/>
        <v>0</v>
      </c>
      <c r="T769" s="78">
        <f t="shared" si="365"/>
        <v>0</v>
      </c>
      <c r="U769" s="78">
        <f t="shared" si="365"/>
        <v>0</v>
      </c>
      <c r="V769" s="78">
        <f t="shared" si="365"/>
        <v>0</v>
      </c>
      <c r="W769" s="78">
        <f t="shared" si="365"/>
        <v>0</v>
      </c>
      <c r="X769" s="78">
        <f t="shared" si="365"/>
        <v>0</v>
      </c>
      <c r="Y769" s="78">
        <f t="shared" si="365"/>
        <v>0</v>
      </c>
      <c r="Z769" s="78">
        <f t="shared" si="365"/>
        <v>0</v>
      </c>
      <c r="AA769" s="78">
        <f>SUM(G769:Z769)</f>
        <v>2468359.9999999991</v>
      </c>
      <c r="AB769" s="92" t="str">
        <f t="shared" si="353"/>
        <v>ok</v>
      </c>
    </row>
    <row r="770" spans="1:54">
      <c r="A770" s="68"/>
      <c r="D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92"/>
    </row>
    <row r="771" spans="1:54" hidden="1">
      <c r="A771" s="60" t="s">
        <v>197</v>
      </c>
      <c r="AA771" s="79"/>
      <c r="AB771" s="92"/>
    </row>
    <row r="772" spans="1:54" hidden="1">
      <c r="B772" s="60" t="s">
        <v>1166</v>
      </c>
      <c r="E772" s="60" t="s">
        <v>1039</v>
      </c>
      <c r="F772" s="78"/>
      <c r="G772" s="78">
        <f t="shared" ref="G772:P773" si="366">IF(VLOOKUP($E772,$D$6:$AN$1148,3,)=0,0,(VLOOKUP($E772,$D$6:$AN$1148,G$2,)/VLOOKUP($E772,$D$6:$AN$1148,3,))*$F772)</f>
        <v>0</v>
      </c>
      <c r="H772" s="78">
        <f t="shared" si="366"/>
        <v>0</v>
      </c>
      <c r="I772" s="78">
        <f t="shared" si="366"/>
        <v>0</v>
      </c>
      <c r="J772" s="78">
        <f t="shared" si="366"/>
        <v>0</v>
      </c>
      <c r="K772" s="78">
        <f t="shared" si="366"/>
        <v>0</v>
      </c>
      <c r="L772" s="78">
        <f t="shared" si="366"/>
        <v>0</v>
      </c>
      <c r="M772" s="78">
        <f t="shared" si="366"/>
        <v>0</v>
      </c>
      <c r="N772" s="78">
        <f t="shared" si="366"/>
        <v>0</v>
      </c>
      <c r="O772" s="78">
        <f t="shared" si="366"/>
        <v>0</v>
      </c>
      <c r="P772" s="78">
        <f t="shared" si="366"/>
        <v>0</v>
      </c>
      <c r="Q772" s="78">
        <f t="shared" ref="Q772:Z773" si="367">IF(VLOOKUP($E772,$D$6:$AN$1148,3,)=0,0,(VLOOKUP($E772,$D$6:$AN$1148,Q$2,)/VLOOKUP($E772,$D$6:$AN$1148,3,))*$F772)</f>
        <v>0</v>
      </c>
      <c r="R772" s="78">
        <f t="shared" si="367"/>
        <v>0</v>
      </c>
      <c r="S772" s="78">
        <f t="shared" si="367"/>
        <v>0</v>
      </c>
      <c r="T772" s="78">
        <f t="shared" si="367"/>
        <v>0</v>
      </c>
      <c r="U772" s="78">
        <f t="shared" si="367"/>
        <v>0</v>
      </c>
      <c r="V772" s="78">
        <f t="shared" si="367"/>
        <v>0</v>
      </c>
      <c r="W772" s="78">
        <f t="shared" si="367"/>
        <v>0</v>
      </c>
      <c r="X772" s="78">
        <f t="shared" si="367"/>
        <v>0</v>
      </c>
      <c r="Y772" s="78">
        <f t="shared" si="367"/>
        <v>0</v>
      </c>
      <c r="Z772" s="78">
        <f t="shared" si="367"/>
        <v>0</v>
      </c>
      <c r="AA772" s="78">
        <f t="shared" ref="AA772:AA773" si="368">SUM(G772:Z772)</f>
        <v>0</v>
      </c>
      <c r="AB772" s="92" t="str">
        <f t="shared" ref="AB772:AB774" si="369">IF(ABS(F772-AA772)&lt;0.01,"ok","err")</f>
        <v>ok</v>
      </c>
    </row>
    <row r="773" spans="1:54" s="70" customFormat="1" hidden="1">
      <c r="B773" s="70" t="s">
        <v>1102</v>
      </c>
      <c r="E773" s="70" t="s">
        <v>798</v>
      </c>
      <c r="F773" s="142">
        <v>0</v>
      </c>
      <c r="G773" s="142">
        <f t="shared" si="366"/>
        <v>0</v>
      </c>
      <c r="H773" s="142">
        <f t="shared" si="366"/>
        <v>0</v>
      </c>
      <c r="I773" s="142">
        <f t="shared" si="366"/>
        <v>0</v>
      </c>
      <c r="J773" s="142">
        <f t="shared" si="366"/>
        <v>0</v>
      </c>
      <c r="K773" s="142">
        <f t="shared" si="366"/>
        <v>0</v>
      </c>
      <c r="L773" s="142">
        <f t="shared" si="366"/>
        <v>0</v>
      </c>
      <c r="M773" s="142">
        <f t="shared" si="366"/>
        <v>0</v>
      </c>
      <c r="N773" s="142">
        <f t="shared" si="366"/>
        <v>0</v>
      </c>
      <c r="O773" s="142">
        <f t="shared" si="366"/>
        <v>0</v>
      </c>
      <c r="P773" s="142">
        <f t="shared" si="366"/>
        <v>0</v>
      </c>
      <c r="Q773" s="142">
        <f t="shared" si="367"/>
        <v>0</v>
      </c>
      <c r="R773" s="142">
        <f t="shared" si="367"/>
        <v>0</v>
      </c>
      <c r="S773" s="142">
        <f t="shared" si="367"/>
        <v>0</v>
      </c>
      <c r="T773" s="142">
        <f t="shared" si="367"/>
        <v>0</v>
      </c>
      <c r="U773" s="142">
        <f t="shared" si="367"/>
        <v>0</v>
      </c>
      <c r="V773" s="141">
        <f t="shared" si="367"/>
        <v>0</v>
      </c>
      <c r="W773" s="141">
        <f t="shared" si="367"/>
        <v>0</v>
      </c>
      <c r="X773" s="141">
        <f t="shared" si="367"/>
        <v>0</v>
      </c>
      <c r="Y773" s="141">
        <f t="shared" si="367"/>
        <v>0</v>
      </c>
      <c r="Z773" s="141">
        <f t="shared" si="367"/>
        <v>0</v>
      </c>
      <c r="AA773" s="141">
        <f t="shared" si="368"/>
        <v>0</v>
      </c>
      <c r="AB773" s="140" t="str">
        <f t="shared" si="369"/>
        <v>ok</v>
      </c>
    </row>
    <row r="774" spans="1:54" hidden="1">
      <c r="A774" s="60" t="s">
        <v>670</v>
      </c>
      <c r="F774" s="78">
        <f t="shared" ref="F774:Z774" si="370">SUM(F772:F773)</f>
        <v>0</v>
      </c>
      <c r="G774" s="78">
        <f t="shared" si="370"/>
        <v>0</v>
      </c>
      <c r="H774" s="78">
        <f t="shared" si="370"/>
        <v>0</v>
      </c>
      <c r="I774" s="78">
        <f t="shared" si="370"/>
        <v>0</v>
      </c>
      <c r="J774" s="78">
        <f t="shared" si="370"/>
        <v>0</v>
      </c>
      <c r="K774" s="78">
        <f t="shared" si="370"/>
        <v>0</v>
      </c>
      <c r="L774" s="78">
        <f t="shared" si="370"/>
        <v>0</v>
      </c>
      <c r="M774" s="78">
        <f t="shared" si="370"/>
        <v>0</v>
      </c>
      <c r="N774" s="78">
        <f t="shared" si="370"/>
        <v>0</v>
      </c>
      <c r="O774" s="78">
        <f t="shared" si="370"/>
        <v>0</v>
      </c>
      <c r="P774" s="78">
        <f t="shared" si="370"/>
        <v>0</v>
      </c>
      <c r="Q774" s="78">
        <f t="shared" si="370"/>
        <v>0</v>
      </c>
      <c r="R774" s="78">
        <f t="shared" si="370"/>
        <v>0</v>
      </c>
      <c r="S774" s="78">
        <f t="shared" si="370"/>
        <v>0</v>
      </c>
      <c r="T774" s="78">
        <f t="shared" si="370"/>
        <v>0</v>
      </c>
      <c r="U774" s="78">
        <f t="shared" si="370"/>
        <v>0</v>
      </c>
      <c r="V774" s="78">
        <f t="shared" si="370"/>
        <v>0</v>
      </c>
      <c r="W774" s="78">
        <f t="shared" si="370"/>
        <v>0</v>
      </c>
      <c r="X774" s="78">
        <f t="shared" si="370"/>
        <v>0</v>
      </c>
      <c r="Y774" s="78">
        <f t="shared" si="370"/>
        <v>0</v>
      </c>
      <c r="Z774" s="78">
        <f t="shared" si="370"/>
        <v>0</v>
      </c>
      <c r="AA774" s="148">
        <f>SUM(G774:Z774)</f>
        <v>0</v>
      </c>
      <c r="AB774" s="140" t="str">
        <f t="shared" si="369"/>
        <v>ok</v>
      </c>
    </row>
    <row r="775" spans="1:54">
      <c r="AA775" s="148"/>
      <c r="AB775" s="140"/>
      <c r="AF775" s="144"/>
      <c r="AG775" s="144"/>
      <c r="AH775" s="144"/>
      <c r="AI775" s="144"/>
      <c r="AJ775" s="144"/>
      <c r="AK775" s="144"/>
      <c r="AL775" s="144"/>
      <c r="AM775" s="144"/>
      <c r="AN775" s="144"/>
      <c r="AO775" s="144"/>
      <c r="AP775" s="144"/>
      <c r="AQ775" s="144"/>
      <c r="AR775" s="144"/>
      <c r="AS775" s="144"/>
      <c r="AT775" s="144"/>
      <c r="AU775" s="144"/>
      <c r="AV775" s="144"/>
      <c r="AW775" s="144"/>
      <c r="AX775" s="144"/>
      <c r="AY775" s="144"/>
      <c r="AZ775" s="144"/>
      <c r="BA775" s="144"/>
      <c r="BB775" s="144"/>
    </row>
    <row r="776" spans="1:54">
      <c r="A776" s="60" t="s">
        <v>1045</v>
      </c>
      <c r="D776" s="60" t="s">
        <v>1006</v>
      </c>
      <c r="F776" s="79">
        <f t="shared" ref="F776:Z776" si="371">SUM(F758:F773)</f>
        <v>969736807.38150656</v>
      </c>
      <c r="G776" s="79">
        <f t="shared" si="371"/>
        <v>426124709.75458241</v>
      </c>
      <c r="H776" s="79">
        <f t="shared" si="371"/>
        <v>114244999.50880583</v>
      </c>
      <c r="I776" s="79">
        <f t="shared" si="371"/>
        <v>7732349.6607865905</v>
      </c>
      <c r="J776" s="79">
        <f t="shared" si="371"/>
        <v>120758860.84862022</v>
      </c>
      <c r="K776" s="79">
        <f t="shared" si="371"/>
        <v>126659387.77220531</v>
      </c>
      <c r="L776" s="79">
        <f t="shared" si="371"/>
        <v>95288837.905961037</v>
      </c>
      <c r="M776" s="79">
        <f t="shared" si="371"/>
        <v>59921463.14254564</v>
      </c>
      <c r="N776" s="79">
        <f t="shared" si="371"/>
        <v>3609346.6253766143</v>
      </c>
      <c r="O776" s="79">
        <f t="shared" si="371"/>
        <v>14716313.537702296</v>
      </c>
      <c r="P776" s="79">
        <f t="shared" si="371"/>
        <v>213128.68969225968</v>
      </c>
      <c r="Q776" s="79">
        <f t="shared" si="371"/>
        <v>251835.74093845059</v>
      </c>
      <c r="R776" s="79">
        <f t="shared" si="371"/>
        <v>3823.9079148180017</v>
      </c>
      <c r="S776" s="79">
        <f t="shared" si="371"/>
        <v>45303.181509845861</v>
      </c>
      <c r="T776" s="79">
        <f t="shared" si="371"/>
        <v>153855.85858076424</v>
      </c>
      <c r="U776" s="79">
        <f t="shared" si="371"/>
        <v>12591.246284675426</v>
      </c>
      <c r="V776" s="79">
        <f t="shared" si="371"/>
        <v>0</v>
      </c>
      <c r="W776" s="79">
        <f t="shared" si="371"/>
        <v>0</v>
      </c>
      <c r="X776" s="79">
        <f t="shared" si="371"/>
        <v>0</v>
      </c>
      <c r="Y776" s="79">
        <f t="shared" si="371"/>
        <v>0</v>
      </c>
      <c r="Z776" s="79">
        <f t="shared" si="371"/>
        <v>0</v>
      </c>
      <c r="AA776" s="79">
        <f>SUM(G776:Z776)</f>
        <v>969736807.3815068</v>
      </c>
      <c r="AB776" s="92" t="str">
        <f>IF(ABS(F776-AA776)&lt;0.01,"ok","err")</f>
        <v>ok</v>
      </c>
    </row>
    <row r="778" spans="1:54" ht="15">
      <c r="A778" s="65" t="s">
        <v>824</v>
      </c>
      <c r="F778" s="79">
        <f t="shared" ref="F778:AA778" si="372">F754-F776</f>
        <v>150339127.86581695</v>
      </c>
      <c r="G778" s="79">
        <f t="shared" si="372"/>
        <v>29894420.90670985</v>
      </c>
      <c r="H778" s="79">
        <f t="shared" si="372"/>
        <v>39771488.734287933</v>
      </c>
      <c r="I778" s="79">
        <f t="shared" si="372"/>
        <v>2767515.0565282675</v>
      </c>
      <c r="J778" s="79">
        <f t="shared" si="372"/>
        <v>33747303.753157511</v>
      </c>
      <c r="K778" s="79">
        <f t="shared" si="372"/>
        <v>17701960.871487573</v>
      </c>
      <c r="L778" s="79">
        <f t="shared" si="372"/>
        <v>12022363.116252959</v>
      </c>
      <c r="M778" s="79">
        <f t="shared" si="372"/>
        <v>6017891.6004512087</v>
      </c>
      <c r="N778" s="79">
        <f t="shared" si="372"/>
        <v>251454.25045099994</v>
      </c>
      <c r="O778" s="79">
        <f t="shared" si="372"/>
        <v>7980006.3516040333</v>
      </c>
      <c r="P778" s="79">
        <f t="shared" si="372"/>
        <v>45586.890574198565</v>
      </c>
      <c r="Q778" s="79">
        <f t="shared" si="372"/>
        <v>79292.270840221463</v>
      </c>
      <c r="R778" s="79">
        <f t="shared" si="372"/>
        <v>11867.041768483195</v>
      </c>
      <c r="S778" s="79">
        <f t="shared" si="372"/>
        <v>-32607.873430873085</v>
      </c>
      <c r="T778" s="79">
        <f t="shared" si="372"/>
        <v>83240.141419235762</v>
      </c>
      <c r="U778" s="79">
        <f t="shared" si="372"/>
        <v>-2655.2462846754261</v>
      </c>
      <c r="V778" s="79">
        <f t="shared" si="372"/>
        <v>0</v>
      </c>
      <c r="W778" s="79">
        <f t="shared" si="372"/>
        <v>0</v>
      </c>
      <c r="X778" s="79">
        <f t="shared" si="372"/>
        <v>0</v>
      </c>
      <c r="Y778" s="79">
        <f t="shared" si="372"/>
        <v>0</v>
      </c>
      <c r="Z778" s="79">
        <f t="shared" si="372"/>
        <v>0</v>
      </c>
      <c r="AA778" s="79">
        <f t="shared" si="372"/>
        <v>150339127.86581671</v>
      </c>
      <c r="AB778" s="92" t="str">
        <f>IF(ABS(F778-AA778)&lt;0.01,"ok","err")</f>
        <v>ok</v>
      </c>
    </row>
    <row r="779" spans="1:54" ht="15">
      <c r="A779" s="65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92"/>
    </row>
    <row r="780" spans="1:54" ht="15">
      <c r="A780" s="65"/>
      <c r="F780" s="79"/>
      <c r="G780" s="79"/>
      <c r="H780" s="79"/>
      <c r="I780" s="79"/>
      <c r="J780" s="131"/>
      <c r="K780" s="79"/>
      <c r="L780" s="79"/>
      <c r="M780" s="79"/>
      <c r="N780" s="131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92"/>
    </row>
    <row r="781" spans="1:54" ht="15">
      <c r="A781" s="65" t="s">
        <v>198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92"/>
    </row>
    <row r="782" spans="1:54" ht="15">
      <c r="A782" s="65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92"/>
    </row>
    <row r="783" spans="1:54" ht="15">
      <c r="A783" s="65" t="s">
        <v>824</v>
      </c>
      <c r="F783" s="79">
        <f>F778</f>
        <v>150339127.86581695</v>
      </c>
      <c r="G783" s="79">
        <f t="shared" ref="G783:U783" si="373">G778</f>
        <v>29894420.90670985</v>
      </c>
      <c r="H783" s="79">
        <f t="shared" si="373"/>
        <v>39771488.734287933</v>
      </c>
      <c r="I783" s="79">
        <f t="shared" si="373"/>
        <v>2767515.0565282675</v>
      </c>
      <c r="J783" s="79">
        <f t="shared" si="373"/>
        <v>33747303.753157511</v>
      </c>
      <c r="K783" s="79">
        <f t="shared" si="373"/>
        <v>17701960.871487573</v>
      </c>
      <c r="L783" s="79">
        <f t="shared" si="373"/>
        <v>12022363.116252959</v>
      </c>
      <c r="M783" s="79">
        <f t="shared" si="373"/>
        <v>6017891.6004512087</v>
      </c>
      <c r="N783" s="79">
        <f t="shared" si="373"/>
        <v>251454.25045099994</v>
      </c>
      <c r="O783" s="79">
        <f>O778</f>
        <v>7980006.3516040333</v>
      </c>
      <c r="P783" s="79">
        <f t="shared" si="373"/>
        <v>45586.890574198565</v>
      </c>
      <c r="Q783" s="79">
        <f t="shared" si="373"/>
        <v>79292.270840221463</v>
      </c>
      <c r="R783" s="79">
        <f t="shared" si="373"/>
        <v>11867.041768483195</v>
      </c>
      <c r="S783" s="79">
        <f t="shared" si="373"/>
        <v>-32607.873430873085</v>
      </c>
      <c r="T783" s="79">
        <f t="shared" si="373"/>
        <v>83240.141419235762</v>
      </c>
      <c r="U783" s="79">
        <f t="shared" si="373"/>
        <v>-2655.2462846754261</v>
      </c>
      <c r="V783" s="79"/>
      <c r="W783" s="79"/>
      <c r="X783" s="79"/>
      <c r="Y783" s="79"/>
      <c r="Z783" s="79"/>
      <c r="AA783" s="79"/>
      <c r="AB783" s="92"/>
    </row>
    <row r="785" spans="1:28" ht="15" hidden="1">
      <c r="A785" s="65" t="s">
        <v>1028</v>
      </c>
      <c r="F785" s="79">
        <f t="shared" ref="F785:Z785" si="374">F729</f>
        <v>3460077816.1601419</v>
      </c>
      <c r="G785" s="79">
        <f t="shared" si="374"/>
        <v>1709217009.5216761</v>
      </c>
      <c r="H785" s="79">
        <f t="shared" si="374"/>
        <v>398697503.46332896</v>
      </c>
      <c r="I785" s="79">
        <f t="shared" si="374"/>
        <v>23605515.638910923</v>
      </c>
      <c r="J785" s="79">
        <f t="shared" si="374"/>
        <v>397022294.40015203</v>
      </c>
      <c r="K785" s="79">
        <f t="shared" si="374"/>
        <v>351297120.6955809</v>
      </c>
      <c r="L785" s="79">
        <f t="shared" si="374"/>
        <v>303389934.2634303</v>
      </c>
      <c r="M785" s="79">
        <f t="shared" si="374"/>
        <v>160366121.29716793</v>
      </c>
      <c r="N785" s="79">
        <f t="shared" si="374"/>
        <v>10299117.756014783</v>
      </c>
      <c r="O785" s="79">
        <f t="shared" si="374"/>
        <v>102450326.03465796</v>
      </c>
      <c r="P785" s="79">
        <f t="shared" si="374"/>
        <v>553419.98421918578</v>
      </c>
      <c r="Q785" s="79">
        <f t="shared" si="374"/>
        <v>670881.43252931838</v>
      </c>
      <c r="R785" s="79">
        <f t="shared" si="374"/>
        <v>12859.658157203232</v>
      </c>
      <c r="S785" s="79">
        <f t="shared" si="374"/>
        <v>120413.38431620215</v>
      </c>
      <c r="T785" s="79">
        <f t="shared" si="374"/>
        <v>2314621.8400000003</v>
      </c>
      <c r="U785" s="79">
        <f t="shared" si="374"/>
        <v>60676.790000000008</v>
      </c>
      <c r="V785" s="79">
        <f t="shared" si="374"/>
        <v>0</v>
      </c>
      <c r="W785" s="79">
        <f t="shared" si="374"/>
        <v>0</v>
      </c>
      <c r="X785" s="79">
        <f t="shared" si="374"/>
        <v>0</v>
      </c>
      <c r="Y785" s="79">
        <f t="shared" si="374"/>
        <v>0</v>
      </c>
      <c r="Z785" s="79">
        <f t="shared" si="374"/>
        <v>0</v>
      </c>
      <c r="AA785" s="79">
        <f>SUM(G785:Z785)</f>
        <v>3460077816.1601415</v>
      </c>
      <c r="AB785" s="92" t="str">
        <f>IF(ABS(F785-AA785)&lt;0.01,"ok","err")</f>
        <v>ok</v>
      </c>
    </row>
    <row r="786" spans="1:28" ht="15" hidden="1">
      <c r="A786" s="65" t="s">
        <v>0</v>
      </c>
      <c r="E786" s="60" t="s">
        <v>665</v>
      </c>
      <c r="F786" s="78">
        <v>0</v>
      </c>
      <c r="G786" s="78">
        <f t="shared" ref="G786:Z786" si="375">IF(VLOOKUP($E786,$D$6:$AN$1148,3,)=0,0,(VLOOKUP($E786,$D$6:$AN$1148,G$2,)/VLOOKUP($E786,$D$6:$AN$1148,3,))*$F786)</f>
        <v>0</v>
      </c>
      <c r="H786" s="78">
        <f t="shared" si="375"/>
        <v>0</v>
      </c>
      <c r="I786" s="78">
        <f t="shared" si="375"/>
        <v>0</v>
      </c>
      <c r="J786" s="78">
        <f t="shared" si="375"/>
        <v>0</v>
      </c>
      <c r="K786" s="78">
        <f t="shared" si="375"/>
        <v>0</v>
      </c>
      <c r="L786" s="78">
        <f t="shared" si="375"/>
        <v>0</v>
      </c>
      <c r="M786" s="78">
        <f t="shared" si="375"/>
        <v>0</v>
      </c>
      <c r="N786" s="78">
        <f t="shared" si="375"/>
        <v>0</v>
      </c>
      <c r="O786" s="78">
        <f t="shared" si="375"/>
        <v>0</v>
      </c>
      <c r="P786" s="78">
        <f t="shared" si="375"/>
        <v>0</v>
      </c>
      <c r="Q786" s="78">
        <f t="shared" si="375"/>
        <v>0</v>
      </c>
      <c r="R786" s="78">
        <f t="shared" si="375"/>
        <v>0</v>
      </c>
      <c r="S786" s="78">
        <f t="shared" si="375"/>
        <v>0</v>
      </c>
      <c r="T786" s="78">
        <f t="shared" si="375"/>
        <v>0</v>
      </c>
      <c r="U786" s="78">
        <f t="shared" si="375"/>
        <v>0</v>
      </c>
      <c r="V786" s="78">
        <f t="shared" si="375"/>
        <v>0</v>
      </c>
      <c r="W786" s="78">
        <f t="shared" si="375"/>
        <v>0</v>
      </c>
      <c r="X786" s="78">
        <f t="shared" si="375"/>
        <v>0</v>
      </c>
      <c r="Y786" s="78">
        <f t="shared" si="375"/>
        <v>0</v>
      </c>
      <c r="Z786" s="78">
        <f t="shared" si="375"/>
        <v>0</v>
      </c>
      <c r="AA786" s="78">
        <f>SUM(G786:Z786)</f>
        <v>0</v>
      </c>
      <c r="AB786" s="92" t="str">
        <f>IF(ABS(F786-AA786)&lt;0.01,"ok","err")</f>
        <v>ok</v>
      </c>
    </row>
    <row r="787" spans="1:28" ht="15">
      <c r="A787" s="65" t="s">
        <v>838</v>
      </c>
      <c r="F787" s="79">
        <f t="shared" ref="F787:Z787" si="376">SUM(F785:F786)</f>
        <v>3460077816.1601419</v>
      </c>
      <c r="G787" s="79">
        <f t="shared" si="376"/>
        <v>1709217009.5216761</v>
      </c>
      <c r="H787" s="79">
        <f t="shared" si="376"/>
        <v>398697503.46332896</v>
      </c>
      <c r="I787" s="79">
        <f t="shared" si="376"/>
        <v>23605515.638910923</v>
      </c>
      <c r="J787" s="79">
        <f t="shared" si="376"/>
        <v>397022294.40015203</v>
      </c>
      <c r="K787" s="79">
        <f t="shared" si="376"/>
        <v>351297120.6955809</v>
      </c>
      <c r="L787" s="79">
        <f t="shared" si="376"/>
        <v>303389934.2634303</v>
      </c>
      <c r="M787" s="79">
        <f t="shared" si="376"/>
        <v>160366121.29716793</v>
      </c>
      <c r="N787" s="79">
        <f t="shared" si="376"/>
        <v>10299117.756014783</v>
      </c>
      <c r="O787" s="79">
        <f t="shared" si="376"/>
        <v>102450326.03465796</v>
      </c>
      <c r="P787" s="79">
        <f t="shared" si="376"/>
        <v>553419.98421918578</v>
      </c>
      <c r="Q787" s="79">
        <f t="shared" si="376"/>
        <v>670881.43252931838</v>
      </c>
      <c r="R787" s="79">
        <f t="shared" si="376"/>
        <v>12859.658157203232</v>
      </c>
      <c r="S787" s="79">
        <f t="shared" si="376"/>
        <v>120413.38431620215</v>
      </c>
      <c r="T787" s="79">
        <f t="shared" si="376"/>
        <v>2314621.8400000003</v>
      </c>
      <c r="U787" s="79">
        <f t="shared" si="376"/>
        <v>60676.790000000008</v>
      </c>
      <c r="V787" s="79">
        <f t="shared" si="376"/>
        <v>0</v>
      </c>
      <c r="W787" s="79">
        <f t="shared" si="376"/>
        <v>0</v>
      </c>
      <c r="X787" s="79">
        <f t="shared" si="376"/>
        <v>0</v>
      </c>
      <c r="Y787" s="79">
        <f t="shared" si="376"/>
        <v>0</v>
      </c>
      <c r="Z787" s="79">
        <f t="shared" si="376"/>
        <v>0</v>
      </c>
      <c r="AA787" s="79">
        <f>SUM(G787:Z787)</f>
        <v>3460077816.1601415</v>
      </c>
      <c r="AB787" s="92" t="str">
        <f>IF(ABS(F787-AA787)&lt;0.01,"ok","err")</f>
        <v>ok</v>
      </c>
    </row>
    <row r="788" spans="1:28" ht="15" thickBot="1"/>
    <row r="789" spans="1:28" ht="15.75" thickBot="1">
      <c r="A789" s="254" t="s">
        <v>1046</v>
      </c>
      <c r="B789" s="145"/>
      <c r="C789" s="145"/>
      <c r="D789" s="145"/>
      <c r="E789" s="145"/>
      <c r="F789" s="146">
        <f t="shared" ref="F789:Z789" si="377">F778/F787</f>
        <v>4.3449637798220787E-2</v>
      </c>
      <c r="G789" s="146">
        <f t="shared" si="377"/>
        <v>1.749012602857012E-2</v>
      </c>
      <c r="H789" s="146">
        <f t="shared" si="377"/>
        <v>9.9753543447873627E-2</v>
      </c>
      <c r="I789" s="146">
        <f t="shared" si="377"/>
        <v>0.11724018652515023</v>
      </c>
      <c r="J789" s="146">
        <f t="shared" si="377"/>
        <v>8.5001029486631741E-2</v>
      </c>
      <c r="K789" s="146">
        <f t="shared" si="377"/>
        <v>5.0390281697831898E-2</v>
      </c>
      <c r="L789" s="146">
        <f t="shared" si="377"/>
        <v>3.9626769904020837E-2</v>
      </c>
      <c r="M789" s="146">
        <f t="shared" si="377"/>
        <v>3.7525953435636812E-2</v>
      </c>
      <c r="N789" s="146">
        <f t="shared" si="377"/>
        <v>2.4415125295965109E-2</v>
      </c>
      <c r="O789" s="146">
        <f t="shared" si="377"/>
        <v>7.7891468582583862E-2</v>
      </c>
      <c r="P789" s="146">
        <f t="shared" si="377"/>
        <v>8.2373047367482785E-2</v>
      </c>
      <c r="Q789" s="146">
        <f t="shared" si="377"/>
        <v>0.1181911840088916</v>
      </c>
      <c r="R789" s="146">
        <f t="shared" si="377"/>
        <v>0.92281160380892158</v>
      </c>
      <c r="S789" s="146">
        <f t="shared" si="377"/>
        <v>-0.27079941001613017</v>
      </c>
      <c r="T789" s="146">
        <f t="shared" si="377"/>
        <v>3.5962739131173045E-2</v>
      </c>
      <c r="U789" s="146">
        <f t="shared" si="377"/>
        <v>-4.3760493669415042E-2</v>
      </c>
      <c r="V789" s="146" t="e">
        <f t="shared" si="377"/>
        <v>#DIV/0!</v>
      </c>
      <c r="W789" s="146" t="e">
        <f t="shared" si="377"/>
        <v>#DIV/0!</v>
      </c>
      <c r="X789" s="146" t="e">
        <f t="shared" si="377"/>
        <v>#DIV/0!</v>
      </c>
      <c r="Y789" s="146" t="e">
        <f t="shared" si="377"/>
        <v>#DIV/0!</v>
      </c>
      <c r="Z789" s="146" t="e">
        <f t="shared" si="377"/>
        <v>#DIV/0!</v>
      </c>
      <c r="AA789" s="136"/>
      <c r="AB789" s="136"/>
    </row>
    <row r="791" spans="1:28" ht="15">
      <c r="A791" s="65" t="s">
        <v>800</v>
      </c>
    </row>
    <row r="793" spans="1:28">
      <c r="A793" s="60" t="s">
        <v>796</v>
      </c>
      <c r="F793" s="79">
        <f t="shared" ref="F793:Z793" si="378">F754</f>
        <v>1120075935.2473235</v>
      </c>
      <c r="G793" s="79">
        <f t="shared" si="378"/>
        <v>456019130.66129225</v>
      </c>
      <c r="H793" s="79">
        <f t="shared" si="378"/>
        <v>154016488.24309376</v>
      </c>
      <c r="I793" s="79">
        <f t="shared" si="378"/>
        <v>10499864.717314858</v>
      </c>
      <c r="J793" s="79">
        <f t="shared" si="378"/>
        <v>154506164.60177773</v>
      </c>
      <c r="K793" s="79">
        <f t="shared" si="378"/>
        <v>144361348.64369288</v>
      </c>
      <c r="L793" s="79">
        <f t="shared" si="378"/>
        <v>107311201.022214</v>
      </c>
      <c r="M793" s="79">
        <f t="shared" si="378"/>
        <v>65939354.742996849</v>
      </c>
      <c r="N793" s="79">
        <f t="shared" si="378"/>
        <v>3860800.8758276142</v>
      </c>
      <c r="O793" s="79">
        <f t="shared" si="378"/>
        <v>22696319.889306329</v>
      </c>
      <c r="P793" s="79">
        <f t="shared" si="378"/>
        <v>258715.58026645824</v>
      </c>
      <c r="Q793" s="79">
        <f t="shared" si="378"/>
        <v>331128.01177867205</v>
      </c>
      <c r="R793" s="79">
        <f t="shared" si="378"/>
        <v>15690.949683301198</v>
      </c>
      <c r="S793" s="79">
        <f t="shared" si="378"/>
        <v>12695.308078972774</v>
      </c>
      <c r="T793" s="79">
        <f t="shared" si="378"/>
        <v>237096</v>
      </c>
      <c r="U793" s="79">
        <f t="shared" si="378"/>
        <v>9936</v>
      </c>
      <c r="V793" s="79">
        <f t="shared" si="378"/>
        <v>0</v>
      </c>
      <c r="W793" s="79">
        <f t="shared" si="378"/>
        <v>0</v>
      </c>
      <c r="X793" s="79">
        <f t="shared" si="378"/>
        <v>0</v>
      </c>
      <c r="Y793" s="79">
        <f t="shared" si="378"/>
        <v>0</v>
      </c>
      <c r="Z793" s="79">
        <f t="shared" si="378"/>
        <v>0</v>
      </c>
      <c r="AA793" s="79">
        <f>SUM(G793:Z793)</f>
        <v>1120075935.2473235</v>
      </c>
      <c r="AB793" s="92" t="str">
        <f>IF(ABS(F793-AA793)&lt;0.01,"ok","err")</f>
        <v>ok</v>
      </c>
    </row>
    <row r="795" spans="1:28">
      <c r="A795" s="60" t="s">
        <v>1042</v>
      </c>
      <c r="F795" s="79">
        <f t="shared" ref="F795:Z795" si="379">F758+F759+F761+F764+F765+F766+F768+F769+F774</f>
        <v>961979222.97269559</v>
      </c>
      <c r="G795" s="79">
        <f t="shared" si="379"/>
        <v>426787864.63163263</v>
      </c>
      <c r="H795" s="79">
        <f t="shared" si="379"/>
        <v>110997173.12591022</v>
      </c>
      <c r="I795" s="79">
        <f t="shared" si="379"/>
        <v>7496799.3372767493</v>
      </c>
      <c r="J795" s="79">
        <f t="shared" si="379"/>
        <v>118127073.56141645</v>
      </c>
      <c r="K795" s="79">
        <f t="shared" si="379"/>
        <v>125594908.70777738</v>
      </c>
      <c r="L795" s="79">
        <f t="shared" si="379"/>
        <v>94701209.700133428</v>
      </c>
      <c r="M795" s="79">
        <f t="shared" si="379"/>
        <v>59880837.441346072</v>
      </c>
      <c r="N795" s="79">
        <f t="shared" si="379"/>
        <v>3605445.0100884992</v>
      </c>
      <c r="O795" s="79">
        <f t="shared" si="379"/>
        <v>14123788.855548324</v>
      </c>
      <c r="P795" s="79">
        <f t="shared" si="379"/>
        <v>209592.37878507545</v>
      </c>
      <c r="Q795" s="79">
        <f t="shared" si="379"/>
        <v>245091.58867772677</v>
      </c>
      <c r="R795" s="79">
        <f t="shared" si="379"/>
        <v>2623.186683899693</v>
      </c>
      <c r="S795" s="79">
        <f t="shared" si="379"/>
        <v>48714.12183826464</v>
      </c>
      <c r="T795" s="79">
        <f t="shared" si="379"/>
        <v>145235.08856268827</v>
      </c>
      <c r="U795" s="79">
        <f t="shared" si="379"/>
        <v>12866.237018367859</v>
      </c>
      <c r="V795" s="79">
        <f t="shared" si="379"/>
        <v>0</v>
      </c>
      <c r="W795" s="79">
        <f t="shared" si="379"/>
        <v>0</v>
      </c>
      <c r="X795" s="79">
        <f t="shared" si="379"/>
        <v>0</v>
      </c>
      <c r="Y795" s="79">
        <f t="shared" si="379"/>
        <v>0</v>
      </c>
      <c r="Z795" s="79">
        <f t="shared" si="379"/>
        <v>0</v>
      </c>
      <c r="AA795" s="79">
        <f>SUM(G795:Z795)</f>
        <v>961979222.97269571</v>
      </c>
      <c r="AB795" s="92" t="str">
        <f>IF(ABS(F795-AA795)&lt;0.01,"ok","err")</f>
        <v>ok</v>
      </c>
    </row>
    <row r="797" spans="1:28">
      <c r="A797" s="60" t="s">
        <v>797</v>
      </c>
      <c r="D797" s="60" t="s">
        <v>801</v>
      </c>
      <c r="F797" s="148">
        <f t="shared" ref="F797:Z797" si="380">F691</f>
        <v>75433705.043134436</v>
      </c>
      <c r="G797" s="148">
        <f t="shared" si="380"/>
        <v>37326344.045371115</v>
      </c>
      <c r="H797" s="148">
        <f t="shared" si="380"/>
        <v>8707341.2267477568</v>
      </c>
      <c r="I797" s="148">
        <f t="shared" si="380"/>
        <v>514533.90221210563</v>
      </c>
      <c r="J797" s="148">
        <f t="shared" si="380"/>
        <v>8680588.0502413195</v>
      </c>
      <c r="K797" s="148">
        <f t="shared" si="380"/>
        <v>7604692.6482977429</v>
      </c>
      <c r="L797" s="148">
        <f t="shared" si="380"/>
        <v>6615938.3961369684</v>
      </c>
      <c r="M797" s="148">
        <f t="shared" si="380"/>
        <v>3465255.9840087472</v>
      </c>
      <c r="N797" s="148">
        <f t="shared" si="380"/>
        <v>223075.08448583473</v>
      </c>
      <c r="O797" s="148">
        <f t="shared" si="380"/>
        <v>2268880.5744526531</v>
      </c>
      <c r="P797" s="148">
        <f t="shared" si="380"/>
        <v>11794.767312844699</v>
      </c>
      <c r="Q797" s="148">
        <f t="shared" si="380"/>
        <v>14659.363332027866</v>
      </c>
      <c r="R797" s="148">
        <f t="shared" si="380"/>
        <v>273.63097573139851</v>
      </c>
      <c r="S797" s="148">
        <f t="shared" si="380"/>
        <v>327.36955958097087</v>
      </c>
      <c r="T797" s="148">
        <f t="shared" si="380"/>
        <v>0</v>
      </c>
      <c r="U797" s="148">
        <f t="shared" si="380"/>
        <v>0</v>
      </c>
      <c r="V797" s="148">
        <f t="shared" si="380"/>
        <v>0</v>
      </c>
      <c r="W797" s="148">
        <f t="shared" si="380"/>
        <v>0</v>
      </c>
      <c r="X797" s="148">
        <f t="shared" si="380"/>
        <v>0</v>
      </c>
      <c r="Y797" s="148">
        <f t="shared" si="380"/>
        <v>0</v>
      </c>
      <c r="Z797" s="148">
        <f t="shared" si="380"/>
        <v>0</v>
      </c>
      <c r="AA797" s="148">
        <f>SUM(G797:Z797)</f>
        <v>75433705.043134436</v>
      </c>
      <c r="AB797" s="92" t="str">
        <f>IF(ABS(F797-AA797)&lt;0.01,"ok","err")</f>
        <v>ok</v>
      </c>
    </row>
    <row r="798" spans="1:28"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92"/>
    </row>
    <row r="799" spans="1:28">
      <c r="A799" s="60" t="s">
        <v>802</v>
      </c>
      <c r="E799" s="60" t="s">
        <v>801</v>
      </c>
      <c r="F799" s="133">
        <f>4970091+1245637</f>
        <v>6215728</v>
      </c>
      <c r="G799" s="132">
        <f t="shared" ref="G799:Z799" si="381">IF(VLOOKUP($E799,$D$6:$AN$1148,3,)=0,0,(VLOOKUP($E799,$D$6:$AN$1148,G$2,)/VLOOKUP($E799,$D$6:$AN$1148,3,))*$F799)</f>
        <v>3075686.1496830699</v>
      </c>
      <c r="H799" s="132">
        <f t="shared" si="381"/>
        <v>717483.84409465396</v>
      </c>
      <c r="I799" s="132">
        <f t="shared" si="381"/>
        <v>42397.530137227826</v>
      </c>
      <c r="J799" s="132">
        <f t="shared" si="381"/>
        <v>715279.38564726745</v>
      </c>
      <c r="K799" s="132">
        <f t="shared" si="381"/>
        <v>626625.73710769322</v>
      </c>
      <c r="L799" s="132">
        <f t="shared" si="381"/>
        <v>545152.5085719811</v>
      </c>
      <c r="M799" s="132">
        <f t="shared" si="381"/>
        <v>285536.66606531205</v>
      </c>
      <c r="N799" s="132">
        <f t="shared" si="381"/>
        <v>18381.359472507669</v>
      </c>
      <c r="O799" s="132">
        <f t="shared" si="381"/>
        <v>186955.47974499225</v>
      </c>
      <c r="P799" s="132">
        <f t="shared" si="381"/>
        <v>971.88737313130434</v>
      </c>
      <c r="Q799" s="132">
        <f t="shared" si="381"/>
        <v>1207.9297321131917</v>
      </c>
      <c r="R799" s="132">
        <f t="shared" si="381"/>
        <v>22.547158681234272</v>
      </c>
      <c r="S799" s="132">
        <f t="shared" si="381"/>
        <v>26.975211368333934</v>
      </c>
      <c r="T799" s="132">
        <f t="shared" si="381"/>
        <v>0</v>
      </c>
      <c r="U799" s="132">
        <f t="shared" si="381"/>
        <v>0</v>
      </c>
      <c r="V799" s="132">
        <f t="shared" si="381"/>
        <v>0</v>
      </c>
      <c r="W799" s="132">
        <f t="shared" si="381"/>
        <v>0</v>
      </c>
      <c r="X799" s="78">
        <f t="shared" si="381"/>
        <v>0</v>
      </c>
      <c r="Y799" s="78">
        <f t="shared" si="381"/>
        <v>0</v>
      </c>
      <c r="Z799" s="78">
        <f t="shared" si="381"/>
        <v>0</v>
      </c>
      <c r="AA799" s="133">
        <f>SUM(G799:Z799)</f>
        <v>6215727.9999999991</v>
      </c>
      <c r="AB799" s="92" t="str">
        <f>IF(ABS(F799-AA799)&lt;0.01,"ok","err")</f>
        <v>ok</v>
      </c>
    </row>
    <row r="801" spans="1:28">
      <c r="A801" s="60" t="s">
        <v>795</v>
      </c>
      <c r="D801" s="60" t="s">
        <v>803</v>
      </c>
      <c r="F801" s="79">
        <f>F793-F795-F797-F799</f>
        <v>76447279.231493488</v>
      </c>
      <c r="G801" s="79">
        <f t="shared" ref="G801:Z801" si="382">G793-G795-G797-G799</f>
        <v>-11170764.165394556</v>
      </c>
      <c r="H801" s="79">
        <f t="shared" si="382"/>
        <v>33594490.046341121</v>
      </c>
      <c r="I801" s="79">
        <f t="shared" si="382"/>
        <v>2446133.9476887751</v>
      </c>
      <c r="J801" s="79">
        <f t="shared" si="382"/>
        <v>26983223.604472697</v>
      </c>
      <c r="K801" s="79">
        <f t="shared" si="382"/>
        <v>10535121.550510064</v>
      </c>
      <c r="L801" s="79">
        <f t="shared" si="382"/>
        <v>5448900.4173716176</v>
      </c>
      <c r="M801" s="79">
        <f t="shared" si="382"/>
        <v>2307724.6515767183</v>
      </c>
      <c r="N801" s="79">
        <f t="shared" si="382"/>
        <v>13899.421780772653</v>
      </c>
      <c r="O801" s="79">
        <f>O793-O795-O797-O799</f>
        <v>6116694.9795603594</v>
      </c>
      <c r="P801" s="79">
        <f t="shared" si="382"/>
        <v>36356.546795406794</v>
      </c>
      <c r="Q801" s="79">
        <f t="shared" si="382"/>
        <v>70169.130036804228</v>
      </c>
      <c r="R801" s="79">
        <f t="shared" si="382"/>
        <v>12771.58486498887</v>
      </c>
      <c r="S801" s="79">
        <f t="shared" si="382"/>
        <v>-36373.15853024117</v>
      </c>
      <c r="T801" s="79">
        <f t="shared" si="382"/>
        <v>91860.911437311734</v>
      </c>
      <c r="U801" s="79">
        <f t="shared" si="382"/>
        <v>-2930.2370183678595</v>
      </c>
      <c r="V801" s="79">
        <f t="shared" si="382"/>
        <v>0</v>
      </c>
      <c r="W801" s="79">
        <f t="shared" si="382"/>
        <v>0</v>
      </c>
      <c r="X801" s="79">
        <f t="shared" si="382"/>
        <v>0</v>
      </c>
      <c r="Y801" s="79">
        <f t="shared" si="382"/>
        <v>0</v>
      </c>
      <c r="Z801" s="79">
        <f t="shared" si="382"/>
        <v>0</v>
      </c>
      <c r="AA801" s="79">
        <f>SUM(G801:Z801)</f>
        <v>76447279.231493503</v>
      </c>
      <c r="AB801" s="92" t="str">
        <f>IF(ABS(F801-AA801)&lt;0.01,"ok","err")</f>
        <v>ok</v>
      </c>
    </row>
    <row r="803" spans="1:28" hidden="1"/>
    <row r="804" spans="1:28" ht="15" hidden="1">
      <c r="A804" s="65" t="s">
        <v>1189</v>
      </c>
    </row>
    <row r="805" spans="1:28" hidden="1"/>
    <row r="806" spans="1:28" ht="15" hidden="1">
      <c r="A806" s="65" t="s">
        <v>1038</v>
      </c>
    </row>
    <row r="807" spans="1:28" hidden="1"/>
    <row r="808" spans="1:28" hidden="1">
      <c r="A808" s="60" t="s">
        <v>133</v>
      </c>
      <c r="F808" s="79">
        <f t="shared" ref="F808:Z808" si="383">F754</f>
        <v>1120075935.2473235</v>
      </c>
      <c r="G808" s="79">
        <f t="shared" si="383"/>
        <v>456019130.66129225</v>
      </c>
      <c r="H808" s="79">
        <f t="shared" si="383"/>
        <v>154016488.24309376</v>
      </c>
      <c r="I808" s="79">
        <f t="shared" si="383"/>
        <v>10499864.717314858</v>
      </c>
      <c r="J808" s="79">
        <f t="shared" si="383"/>
        <v>154506164.60177773</v>
      </c>
      <c r="K808" s="79">
        <f t="shared" si="383"/>
        <v>144361348.64369288</v>
      </c>
      <c r="L808" s="79">
        <f t="shared" si="383"/>
        <v>107311201.022214</v>
      </c>
      <c r="M808" s="79">
        <f t="shared" si="383"/>
        <v>65939354.742996849</v>
      </c>
      <c r="N808" s="79">
        <f t="shared" si="383"/>
        <v>3860800.8758276142</v>
      </c>
      <c r="O808" s="79">
        <f t="shared" si="383"/>
        <v>22696319.889306329</v>
      </c>
      <c r="P808" s="79">
        <f t="shared" si="383"/>
        <v>258715.58026645824</v>
      </c>
      <c r="Q808" s="79">
        <f t="shared" si="383"/>
        <v>331128.01177867205</v>
      </c>
      <c r="R808" s="79">
        <f t="shared" si="383"/>
        <v>15690.949683301198</v>
      </c>
      <c r="S808" s="79">
        <f t="shared" si="383"/>
        <v>12695.308078972774</v>
      </c>
      <c r="T808" s="79">
        <f t="shared" si="383"/>
        <v>237096</v>
      </c>
      <c r="U808" s="79">
        <f t="shared" si="383"/>
        <v>9936</v>
      </c>
      <c r="V808" s="79">
        <f t="shared" si="383"/>
        <v>0</v>
      </c>
      <c r="W808" s="79">
        <f t="shared" si="383"/>
        <v>0</v>
      </c>
      <c r="X808" s="79">
        <f t="shared" si="383"/>
        <v>0</v>
      </c>
      <c r="Y808" s="79">
        <f t="shared" si="383"/>
        <v>0</v>
      </c>
      <c r="Z808" s="79">
        <f t="shared" si="383"/>
        <v>0</v>
      </c>
      <c r="AA808" s="79">
        <f>ROUND(SUM(G808:Z808),2)</f>
        <v>1120075935.25</v>
      </c>
      <c r="AB808" s="92" t="str">
        <f>IF(ABS(F808-AA808)&lt;0.01,"ok","err")</f>
        <v>ok</v>
      </c>
    </row>
    <row r="809" spans="1:28" hidden="1"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92"/>
    </row>
    <row r="810" spans="1:28" hidden="1">
      <c r="A810" s="60" t="s">
        <v>134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92"/>
    </row>
    <row r="811" spans="1:28" hidden="1">
      <c r="A811" s="60" t="s">
        <v>830</v>
      </c>
      <c r="F811" s="75">
        <f t="shared" ref="F811:Z811" si="384">($F$789*F787-F783)/(1-$E$821)</f>
        <v>0</v>
      </c>
      <c r="G811" s="75">
        <f t="shared" si="384"/>
        <v>59046186.203805573</v>
      </c>
      <c r="H811" s="75">
        <f t="shared" si="384"/>
        <v>-29873091.103732649</v>
      </c>
      <c r="I811" s="75">
        <f t="shared" si="384"/>
        <v>-2317994.2635904942</v>
      </c>
      <c r="J811" s="75">
        <f t="shared" si="384"/>
        <v>-21953238.443203852</v>
      </c>
      <c r="K811" s="75">
        <f t="shared" si="384"/>
        <v>-3244684.5320800138</v>
      </c>
      <c r="L811" s="75">
        <f t="shared" si="384"/>
        <v>1543435.8505586844</v>
      </c>
      <c r="M811" s="75">
        <f t="shared" si="384"/>
        <v>1264161.7922101812</v>
      </c>
      <c r="N811" s="75">
        <f t="shared" si="384"/>
        <v>260879.4724485953</v>
      </c>
      <c r="O811" s="75">
        <f t="shared" si="384"/>
        <v>-4695671.4132195739</v>
      </c>
      <c r="P811" s="75">
        <f t="shared" si="384"/>
        <v>-28665.784992084973</v>
      </c>
      <c r="Q811" s="75">
        <f t="shared" si="384"/>
        <v>-66727.672370435102</v>
      </c>
      <c r="R811" s="75">
        <f t="shared" si="384"/>
        <v>-15048.569804062925</v>
      </c>
      <c r="S811" s="75">
        <f t="shared" si="384"/>
        <v>50355.493734771961</v>
      </c>
      <c r="T811" s="75">
        <f t="shared" si="384"/>
        <v>23061.105741964006</v>
      </c>
      <c r="U811" s="75">
        <f t="shared" si="384"/>
        <v>7041.8644934098702</v>
      </c>
      <c r="V811" s="75">
        <f t="shared" si="384"/>
        <v>0</v>
      </c>
      <c r="W811" s="75">
        <f t="shared" si="384"/>
        <v>0</v>
      </c>
      <c r="X811" s="75">
        <f t="shared" si="384"/>
        <v>0</v>
      </c>
      <c r="Y811" s="75">
        <f t="shared" si="384"/>
        <v>0</v>
      </c>
      <c r="Z811" s="75">
        <f t="shared" si="384"/>
        <v>0</v>
      </c>
      <c r="AA811" s="79">
        <f>SUM(G811:Z811)</f>
        <v>1.2383679859340191E-8</v>
      </c>
      <c r="AB811" s="92" t="str">
        <f>IF(ABS(F811-AA811)&lt;0.01,"ok","err")</f>
        <v>ok</v>
      </c>
    </row>
    <row r="812" spans="1:28" hidden="1"/>
    <row r="813" spans="1:28" hidden="1">
      <c r="A813" s="60" t="s">
        <v>135</v>
      </c>
      <c r="F813" s="79">
        <f t="shared" ref="F813:Z813" si="385">SUM(F808:F811)</f>
        <v>1120075935.2473235</v>
      </c>
      <c r="G813" s="79">
        <f t="shared" si="385"/>
        <v>515065316.86509782</v>
      </c>
      <c r="H813" s="79">
        <f t="shared" si="385"/>
        <v>124143397.13936111</v>
      </c>
      <c r="I813" s="79">
        <f t="shared" si="385"/>
        <v>8181870.4537243638</v>
      </c>
      <c r="J813" s="79">
        <f t="shared" si="385"/>
        <v>132552926.15857388</v>
      </c>
      <c r="K813" s="79">
        <f t="shared" si="385"/>
        <v>141116664.11161286</v>
      </c>
      <c r="L813" s="79">
        <f t="shared" si="385"/>
        <v>108854636.87277268</v>
      </c>
      <c r="M813" s="79">
        <f t="shared" si="385"/>
        <v>67203516.535207033</v>
      </c>
      <c r="N813" s="79">
        <f t="shared" si="385"/>
        <v>4121680.3482762096</v>
      </c>
      <c r="O813" s="79">
        <f t="shared" si="385"/>
        <v>18000648.476086754</v>
      </c>
      <c r="P813" s="79">
        <f t="shared" si="385"/>
        <v>230049.79527437326</v>
      </c>
      <c r="Q813" s="79">
        <f t="shared" si="385"/>
        <v>264400.33940823696</v>
      </c>
      <c r="R813" s="79">
        <f t="shared" si="385"/>
        <v>642.37987923827313</v>
      </c>
      <c r="S813" s="79">
        <f t="shared" si="385"/>
        <v>63050.801813744736</v>
      </c>
      <c r="T813" s="79">
        <f t="shared" si="385"/>
        <v>260157.10574196401</v>
      </c>
      <c r="U813" s="79">
        <f t="shared" si="385"/>
        <v>16977.86449340987</v>
      </c>
      <c r="V813" s="79">
        <f t="shared" si="385"/>
        <v>0</v>
      </c>
      <c r="W813" s="79">
        <f t="shared" si="385"/>
        <v>0</v>
      </c>
      <c r="X813" s="79">
        <f t="shared" si="385"/>
        <v>0</v>
      </c>
      <c r="Y813" s="79">
        <f t="shared" si="385"/>
        <v>0</v>
      </c>
      <c r="Z813" s="79">
        <f t="shared" si="385"/>
        <v>0</v>
      </c>
      <c r="AA813" s="79">
        <f>ROUND(SUM(G813:Z813),2)</f>
        <v>1120075935.25</v>
      </c>
      <c r="AB813" s="92" t="str">
        <f>IF(ABS(F813-AA813)&lt;0.01,"ok","err")</f>
        <v>ok</v>
      </c>
    </row>
    <row r="814" spans="1:28" hidden="1"/>
    <row r="815" spans="1:28" ht="15" hidden="1">
      <c r="A815" s="65" t="s">
        <v>1042</v>
      </c>
    </row>
    <row r="816" spans="1:28" hidden="1"/>
    <row r="817" spans="1:28" hidden="1">
      <c r="A817" s="60" t="s">
        <v>1045</v>
      </c>
      <c r="F817" s="79">
        <f t="shared" ref="F817:Z817" si="386">F776</f>
        <v>969736807.38150656</v>
      </c>
      <c r="G817" s="79">
        <f t="shared" si="386"/>
        <v>426124709.75458241</v>
      </c>
      <c r="H817" s="79">
        <f t="shared" si="386"/>
        <v>114244999.50880583</v>
      </c>
      <c r="I817" s="79">
        <f t="shared" si="386"/>
        <v>7732349.6607865905</v>
      </c>
      <c r="J817" s="79">
        <f t="shared" si="386"/>
        <v>120758860.84862022</v>
      </c>
      <c r="K817" s="79">
        <f t="shared" si="386"/>
        <v>126659387.77220531</v>
      </c>
      <c r="L817" s="79">
        <f t="shared" si="386"/>
        <v>95288837.905961037</v>
      </c>
      <c r="M817" s="79">
        <f t="shared" si="386"/>
        <v>59921463.14254564</v>
      </c>
      <c r="N817" s="79">
        <f t="shared" si="386"/>
        <v>3609346.6253766143</v>
      </c>
      <c r="O817" s="79">
        <f t="shared" si="386"/>
        <v>14716313.537702296</v>
      </c>
      <c r="P817" s="79">
        <f t="shared" si="386"/>
        <v>213128.68969225968</v>
      </c>
      <c r="Q817" s="79">
        <f t="shared" si="386"/>
        <v>251835.74093845059</v>
      </c>
      <c r="R817" s="79">
        <f t="shared" si="386"/>
        <v>3823.9079148180017</v>
      </c>
      <c r="S817" s="79">
        <f t="shared" si="386"/>
        <v>45303.181509845861</v>
      </c>
      <c r="T817" s="79">
        <f t="shared" si="386"/>
        <v>153855.85858076424</v>
      </c>
      <c r="U817" s="79">
        <f t="shared" si="386"/>
        <v>12591.246284675426</v>
      </c>
      <c r="V817" s="79">
        <f t="shared" si="386"/>
        <v>0</v>
      </c>
      <c r="W817" s="79">
        <f t="shared" si="386"/>
        <v>0</v>
      </c>
      <c r="X817" s="79">
        <f t="shared" si="386"/>
        <v>0</v>
      </c>
      <c r="Y817" s="79">
        <f t="shared" si="386"/>
        <v>0</v>
      </c>
      <c r="Z817" s="79">
        <f t="shared" si="386"/>
        <v>0</v>
      </c>
      <c r="AA817" s="79">
        <f>ROUND(SUM(G817:Z817),2)</f>
        <v>969736807.38</v>
      </c>
      <c r="AB817" s="92" t="str">
        <f>IF(ABS(F817-AA817)&lt;0.01,"ok","err")</f>
        <v>ok</v>
      </c>
    </row>
    <row r="818" spans="1:28" hidden="1"/>
    <row r="819" spans="1:28" hidden="1">
      <c r="A819" s="60" t="s">
        <v>672</v>
      </c>
      <c r="F819" s="111">
        <f t="shared" ref="F819:Z819" si="387">F791</f>
        <v>0</v>
      </c>
      <c r="G819" s="111">
        <f t="shared" si="387"/>
        <v>0</v>
      </c>
      <c r="H819" s="111">
        <f t="shared" si="387"/>
        <v>0</v>
      </c>
      <c r="I819" s="111">
        <f t="shared" si="387"/>
        <v>0</v>
      </c>
      <c r="J819" s="111">
        <f t="shared" si="387"/>
        <v>0</v>
      </c>
      <c r="K819" s="111">
        <f t="shared" si="387"/>
        <v>0</v>
      </c>
      <c r="L819" s="111">
        <f t="shared" si="387"/>
        <v>0</v>
      </c>
      <c r="M819" s="111">
        <f t="shared" si="387"/>
        <v>0</v>
      </c>
      <c r="N819" s="111">
        <f t="shared" si="387"/>
        <v>0</v>
      </c>
      <c r="O819" s="111">
        <f t="shared" si="387"/>
        <v>0</v>
      </c>
      <c r="P819" s="111">
        <f t="shared" si="387"/>
        <v>0</v>
      </c>
      <c r="Q819" s="111">
        <f t="shared" si="387"/>
        <v>0</v>
      </c>
      <c r="R819" s="111">
        <f t="shared" si="387"/>
        <v>0</v>
      </c>
      <c r="S819" s="111">
        <f t="shared" si="387"/>
        <v>0</v>
      </c>
      <c r="T819" s="111">
        <f t="shared" si="387"/>
        <v>0</v>
      </c>
      <c r="U819" s="111">
        <f t="shared" si="387"/>
        <v>0</v>
      </c>
      <c r="V819" s="111">
        <f t="shared" si="387"/>
        <v>0</v>
      </c>
      <c r="W819" s="111">
        <f t="shared" si="387"/>
        <v>0</v>
      </c>
      <c r="X819" s="111">
        <f t="shared" si="387"/>
        <v>0</v>
      </c>
      <c r="Y819" s="111">
        <f t="shared" si="387"/>
        <v>0</v>
      </c>
      <c r="Z819" s="111">
        <f t="shared" si="387"/>
        <v>0</v>
      </c>
      <c r="AA819" s="79">
        <f>ROUND(SUM(G819:Z819),2)</f>
        <v>0</v>
      </c>
      <c r="AB819" s="92" t="str">
        <f>IF(ABS(F819-AA819)&lt;0.01,"ok","err")</f>
        <v>ok</v>
      </c>
    </row>
    <row r="820" spans="1:28" hidden="1"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  <c r="AA820" s="79"/>
      <c r="AB820" s="92"/>
    </row>
    <row r="821" spans="1:28" hidden="1">
      <c r="A821" s="60" t="s">
        <v>673</v>
      </c>
      <c r="E821" s="60">
        <f>0.049809+0.19873791</f>
        <v>0.24854690999999998</v>
      </c>
      <c r="F821" s="111">
        <f>F811*$E$821</f>
        <v>0</v>
      </c>
      <c r="G821" s="111">
        <f>G811*$E$821</f>
        <v>14675747.128240505</v>
      </c>
      <c r="H821" s="111">
        <f>H811*$E$821</f>
        <v>-7424864.485981239</v>
      </c>
      <c r="I821" s="111">
        <f t="shared" ref="I821:Z821" si="388">I811*$E$821</f>
        <v>-576130.31161314284</v>
      </c>
      <c r="J821" s="111">
        <f t="shared" si="388"/>
        <v>-5456409.5795515273</v>
      </c>
      <c r="K821" s="111">
        <f t="shared" si="388"/>
        <v>-806456.31437328318</v>
      </c>
      <c r="L821" s="111">
        <f t="shared" si="388"/>
        <v>383616.21143958275</v>
      </c>
      <c r="M821" s="111">
        <f t="shared" si="388"/>
        <v>314203.50719390262</v>
      </c>
      <c r="N821" s="111">
        <f t="shared" si="388"/>
        <v>64840.786759528492</v>
      </c>
      <c r="O821" s="111">
        <f t="shared" si="388"/>
        <v>-1167094.6201310582</v>
      </c>
      <c r="P821" s="111">
        <f t="shared" si="388"/>
        <v>-7124.7922825070937</v>
      </c>
      <c r="Q821" s="111">
        <f t="shared" si="388"/>
        <v>-16584.956779164018</v>
      </c>
      <c r="R821" s="111">
        <f t="shared" si="388"/>
        <v>-3740.2755247191453</v>
      </c>
      <c r="S821" s="111">
        <f t="shared" si="388"/>
        <v>12515.702369301929</v>
      </c>
      <c r="T821" s="111">
        <f t="shared" si="388"/>
        <v>5731.7665733484109</v>
      </c>
      <c r="U821" s="111">
        <f t="shared" si="388"/>
        <v>1750.2336604757384</v>
      </c>
      <c r="V821" s="111">
        <f t="shared" si="388"/>
        <v>0</v>
      </c>
      <c r="W821" s="111">
        <f t="shared" si="388"/>
        <v>0</v>
      </c>
      <c r="X821" s="111">
        <f t="shared" si="388"/>
        <v>0</v>
      </c>
      <c r="Y821" s="111">
        <f t="shared" si="388"/>
        <v>0</v>
      </c>
      <c r="Z821" s="111">
        <f t="shared" si="388"/>
        <v>0</v>
      </c>
      <c r="AA821" s="79">
        <f>ROUND(SUM(G821:Z821),2)</f>
        <v>0</v>
      </c>
      <c r="AB821" s="92" t="str">
        <f>IF(ABS(F821-AA821)&lt;0.01,"ok","err")</f>
        <v>ok</v>
      </c>
    </row>
    <row r="822" spans="1:28" hidden="1">
      <c r="A822" s="68"/>
      <c r="F822" s="78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9"/>
      <c r="AB822" s="92"/>
    </row>
    <row r="823" spans="1:28" hidden="1">
      <c r="A823" s="60" t="s">
        <v>136</v>
      </c>
      <c r="F823" s="79">
        <f t="shared" ref="F823:N823" si="389">SUM(F817:F822)</f>
        <v>969736807.38150656</v>
      </c>
      <c r="G823" s="79">
        <f t="shared" si="389"/>
        <v>440800456.88282293</v>
      </c>
      <c r="H823" s="79">
        <f t="shared" si="389"/>
        <v>106820135.02282459</v>
      </c>
      <c r="I823" s="79">
        <f t="shared" si="389"/>
        <v>7156219.349173448</v>
      </c>
      <c r="J823" s="79">
        <f t="shared" si="389"/>
        <v>115302451.26906869</v>
      </c>
      <c r="K823" s="79">
        <f t="shared" si="389"/>
        <v>125852931.45783202</v>
      </c>
      <c r="L823" s="79">
        <f t="shared" si="389"/>
        <v>95672454.117400616</v>
      </c>
      <c r="M823" s="79">
        <f t="shared" si="389"/>
        <v>60235666.649739541</v>
      </c>
      <c r="N823" s="79">
        <f t="shared" si="389"/>
        <v>3674187.4121361426</v>
      </c>
      <c r="O823" s="79">
        <f>SUM(O817:O822)</f>
        <v>13549218.917571237</v>
      </c>
      <c r="P823" s="79">
        <f t="shared" ref="P823:Z823" si="390">SUM(P817:P822)</f>
        <v>206003.89740975259</v>
      </c>
      <c r="Q823" s="79">
        <f t="shared" si="390"/>
        <v>235250.78415928656</v>
      </c>
      <c r="R823" s="79">
        <f t="shared" si="390"/>
        <v>83.632390098856376</v>
      </c>
      <c r="S823" s="79">
        <f t="shared" si="390"/>
        <v>57818.88387914779</v>
      </c>
      <c r="T823" s="79">
        <f t="shared" si="390"/>
        <v>159587.62515411264</v>
      </c>
      <c r="U823" s="79">
        <f t="shared" si="390"/>
        <v>14341.479945151164</v>
      </c>
      <c r="V823" s="79">
        <f t="shared" si="390"/>
        <v>0</v>
      </c>
      <c r="W823" s="79">
        <f t="shared" si="390"/>
        <v>0</v>
      </c>
      <c r="X823" s="79">
        <f t="shared" si="390"/>
        <v>0</v>
      </c>
      <c r="Y823" s="79">
        <f t="shared" si="390"/>
        <v>0</v>
      </c>
      <c r="Z823" s="79">
        <f t="shared" si="390"/>
        <v>0</v>
      </c>
      <c r="AA823" s="79">
        <f>ROUND(SUM(G823:Z823),2)</f>
        <v>969736807.38</v>
      </c>
      <c r="AB823" s="92" t="str">
        <f>IF(ABS(F823-AA823)&lt;0.01,"ok","err")</f>
        <v>ok</v>
      </c>
    </row>
    <row r="824" spans="1:28" hidden="1"/>
    <row r="825" spans="1:28" hidden="1"/>
    <row r="826" spans="1:28" ht="15" hidden="1">
      <c r="A826" s="65" t="s">
        <v>824</v>
      </c>
      <c r="F826" s="79">
        <f t="shared" ref="F826:Z826" si="391">F813-F823</f>
        <v>150339127.86581695</v>
      </c>
      <c r="G826" s="79">
        <f t="shared" si="391"/>
        <v>74264859.98227489</v>
      </c>
      <c r="H826" s="79">
        <f t="shared" si="391"/>
        <v>17323262.116536528</v>
      </c>
      <c r="I826" s="79">
        <f t="shared" si="391"/>
        <v>1025651.1045509158</v>
      </c>
      <c r="J826" s="79">
        <f t="shared" si="391"/>
        <v>17250474.889505193</v>
      </c>
      <c r="K826" s="79">
        <f t="shared" si="391"/>
        <v>15263732.653780833</v>
      </c>
      <c r="L826" s="79">
        <f t="shared" si="391"/>
        <v>13182182.755372062</v>
      </c>
      <c r="M826" s="79">
        <f t="shared" si="391"/>
        <v>6967849.885467492</v>
      </c>
      <c r="N826" s="79">
        <f t="shared" si="391"/>
        <v>447492.93614006694</v>
      </c>
      <c r="O826" s="79">
        <f t="shared" si="391"/>
        <v>4451429.558515517</v>
      </c>
      <c r="P826" s="79">
        <f t="shared" si="391"/>
        <v>24045.897864620667</v>
      </c>
      <c r="Q826" s="79">
        <f t="shared" si="391"/>
        <v>29149.555248950404</v>
      </c>
      <c r="R826" s="79">
        <f t="shared" si="391"/>
        <v>558.74748913941676</v>
      </c>
      <c r="S826" s="79">
        <f t="shared" si="391"/>
        <v>5231.917934596946</v>
      </c>
      <c r="T826" s="79">
        <f t="shared" si="391"/>
        <v>100569.48058785137</v>
      </c>
      <c r="U826" s="79">
        <f t="shared" si="391"/>
        <v>2636.3845482587058</v>
      </c>
      <c r="V826" s="79">
        <f t="shared" si="391"/>
        <v>0</v>
      </c>
      <c r="W826" s="79">
        <f t="shared" si="391"/>
        <v>0</v>
      </c>
      <c r="X826" s="79">
        <f t="shared" si="391"/>
        <v>0</v>
      </c>
      <c r="Y826" s="79">
        <f t="shared" si="391"/>
        <v>0</v>
      </c>
      <c r="Z826" s="79">
        <f t="shared" si="391"/>
        <v>0</v>
      </c>
      <c r="AA826" s="79">
        <f>ROUND(SUM(G826:Z826),2)</f>
        <v>150339127.87</v>
      </c>
      <c r="AB826" s="92" t="str">
        <f>IF(ABS(F826-AA826)&lt;0.01,"ok","err")</f>
        <v>ok</v>
      </c>
    </row>
    <row r="827" spans="1:28" hidden="1"/>
    <row r="828" spans="1:28" ht="15" hidden="1">
      <c r="A828" s="65" t="s">
        <v>1028</v>
      </c>
      <c r="F828" s="79">
        <f>F787</f>
        <v>3460077816.1601419</v>
      </c>
      <c r="G828" s="79">
        <f t="shared" ref="G828:Z828" si="392">G787</f>
        <v>1709217009.5216761</v>
      </c>
      <c r="H828" s="79">
        <f t="shared" si="392"/>
        <v>398697503.46332896</v>
      </c>
      <c r="I828" s="79">
        <f t="shared" si="392"/>
        <v>23605515.638910923</v>
      </c>
      <c r="J828" s="79">
        <f t="shared" si="392"/>
        <v>397022294.40015203</v>
      </c>
      <c r="K828" s="79">
        <f t="shared" si="392"/>
        <v>351297120.6955809</v>
      </c>
      <c r="L828" s="79">
        <f t="shared" si="392"/>
        <v>303389934.2634303</v>
      </c>
      <c r="M828" s="79">
        <f t="shared" si="392"/>
        <v>160366121.29716793</v>
      </c>
      <c r="N828" s="79">
        <f t="shared" si="392"/>
        <v>10299117.756014783</v>
      </c>
      <c r="O828" s="79">
        <f t="shared" si="392"/>
        <v>102450326.03465796</v>
      </c>
      <c r="P828" s="79">
        <f t="shared" si="392"/>
        <v>553419.98421918578</v>
      </c>
      <c r="Q828" s="79">
        <f t="shared" si="392"/>
        <v>670881.43252931838</v>
      </c>
      <c r="R828" s="79">
        <f t="shared" si="392"/>
        <v>12859.658157203232</v>
      </c>
      <c r="S828" s="79">
        <f t="shared" si="392"/>
        <v>120413.38431620215</v>
      </c>
      <c r="T828" s="79">
        <f t="shared" si="392"/>
        <v>2314621.8400000003</v>
      </c>
      <c r="U828" s="79">
        <f t="shared" si="392"/>
        <v>60676.790000000008</v>
      </c>
      <c r="V828" s="79">
        <f t="shared" si="392"/>
        <v>0</v>
      </c>
      <c r="W828" s="79">
        <f t="shared" si="392"/>
        <v>0</v>
      </c>
      <c r="X828" s="79">
        <f t="shared" si="392"/>
        <v>0</v>
      </c>
      <c r="Y828" s="79">
        <f t="shared" si="392"/>
        <v>0</v>
      </c>
      <c r="Z828" s="79">
        <f t="shared" si="392"/>
        <v>0</v>
      </c>
      <c r="AA828" s="79">
        <f>ROUND(SUM(G828:Z828),2)</f>
        <v>3460077816.1599998</v>
      </c>
      <c r="AB828" s="92" t="str">
        <f>IF(ABS(F828-AA828)&lt;0.01,"ok","err")</f>
        <v>ok</v>
      </c>
    </row>
    <row r="829" spans="1:28" ht="15" hidden="1" thickBot="1"/>
    <row r="830" spans="1:28" ht="15.75" hidden="1" thickBot="1">
      <c r="A830" s="254" t="s">
        <v>1046</v>
      </c>
      <c r="B830" s="145"/>
      <c r="C830" s="145"/>
      <c r="D830" s="145"/>
      <c r="E830" s="145"/>
      <c r="F830" s="146">
        <f t="shared" ref="F830:N830" si="393">F826/F828</f>
        <v>4.3449637798220787E-2</v>
      </c>
      <c r="G830" s="146">
        <f t="shared" si="393"/>
        <v>4.3449637798220773E-2</v>
      </c>
      <c r="H830" s="146">
        <f t="shared" si="393"/>
        <v>4.3449637798220801E-2</v>
      </c>
      <c r="I830" s="146">
        <f t="shared" si="393"/>
        <v>4.344963779822078E-2</v>
      </c>
      <c r="J830" s="146">
        <f t="shared" si="393"/>
        <v>4.3449637798220801E-2</v>
      </c>
      <c r="K830" s="146">
        <f t="shared" si="393"/>
        <v>4.344963779822076E-2</v>
      </c>
      <c r="L830" s="146">
        <f t="shared" si="393"/>
        <v>4.3449637798220794E-2</v>
      </c>
      <c r="M830" s="146">
        <f t="shared" si="393"/>
        <v>4.3449637798220815E-2</v>
      </c>
      <c r="N830" s="146">
        <f t="shared" si="393"/>
        <v>4.3449637798220801E-2</v>
      </c>
      <c r="O830" s="146">
        <f>O826/O828</f>
        <v>4.344963779822078E-2</v>
      </c>
      <c r="P830" s="146">
        <f>P826/P828</f>
        <v>4.3449637798220753E-2</v>
      </c>
      <c r="Q830" s="146">
        <f>Q826/Q828</f>
        <v>4.3449637798220822E-2</v>
      </c>
      <c r="R830" s="146">
        <f t="shared" ref="R830:Z830" si="394">R826/R828</f>
        <v>4.3449637798220857E-2</v>
      </c>
      <c r="S830" s="146">
        <f t="shared" si="394"/>
        <v>4.3449637798220808E-2</v>
      </c>
      <c r="T830" s="146">
        <f t="shared" si="394"/>
        <v>4.3449637798220794E-2</v>
      </c>
      <c r="U830" s="146">
        <f t="shared" si="394"/>
        <v>4.3449637798220794E-2</v>
      </c>
      <c r="V830" s="146" t="e">
        <f t="shared" si="394"/>
        <v>#DIV/0!</v>
      </c>
      <c r="W830" s="146" t="e">
        <f t="shared" si="394"/>
        <v>#DIV/0!</v>
      </c>
      <c r="X830" s="146" t="e">
        <f t="shared" si="394"/>
        <v>#DIV/0!</v>
      </c>
      <c r="Y830" s="146" t="e">
        <f t="shared" si="394"/>
        <v>#DIV/0!</v>
      </c>
      <c r="Z830" s="146" t="e">
        <f t="shared" si="394"/>
        <v>#DIV/0!</v>
      </c>
      <c r="AA830" s="136"/>
      <c r="AB830" s="136"/>
    </row>
    <row r="831" spans="1:28" hidden="1"/>
    <row r="832" spans="1:28" hidden="1"/>
    <row r="833" spans="1:36" ht="15" hidden="1">
      <c r="A833" s="65" t="s">
        <v>828</v>
      </c>
      <c r="B833" s="65"/>
      <c r="F833" s="79">
        <f t="shared" ref="F833:Z833" si="395">F811</f>
        <v>0</v>
      </c>
      <c r="G833" s="79">
        <f t="shared" si="395"/>
        <v>59046186.203805573</v>
      </c>
      <c r="H833" s="79">
        <f t="shared" si="395"/>
        <v>-29873091.103732649</v>
      </c>
      <c r="I833" s="79">
        <f t="shared" si="395"/>
        <v>-2317994.2635904942</v>
      </c>
      <c r="J833" s="79">
        <f t="shared" si="395"/>
        <v>-21953238.443203852</v>
      </c>
      <c r="K833" s="79">
        <f t="shared" si="395"/>
        <v>-3244684.5320800138</v>
      </c>
      <c r="L833" s="79">
        <f t="shared" si="395"/>
        <v>1543435.8505586844</v>
      </c>
      <c r="M833" s="79">
        <f t="shared" si="395"/>
        <v>1264161.7922101812</v>
      </c>
      <c r="N833" s="79">
        <f t="shared" si="395"/>
        <v>260879.4724485953</v>
      </c>
      <c r="O833" s="79">
        <f t="shared" si="395"/>
        <v>-4695671.4132195739</v>
      </c>
      <c r="P833" s="79">
        <f t="shared" si="395"/>
        <v>-28665.784992084973</v>
      </c>
      <c r="Q833" s="79">
        <f t="shared" si="395"/>
        <v>-66727.672370435102</v>
      </c>
      <c r="R833" s="79">
        <f t="shared" si="395"/>
        <v>-15048.569804062925</v>
      </c>
      <c r="S833" s="79">
        <f t="shared" si="395"/>
        <v>50355.493734771961</v>
      </c>
      <c r="T833" s="79">
        <f t="shared" si="395"/>
        <v>23061.105741964006</v>
      </c>
      <c r="U833" s="79">
        <f t="shared" si="395"/>
        <v>7041.8644934098702</v>
      </c>
      <c r="V833" s="79">
        <f t="shared" si="395"/>
        <v>0</v>
      </c>
      <c r="W833" s="79">
        <f t="shared" si="395"/>
        <v>0</v>
      </c>
      <c r="X833" s="79">
        <f t="shared" si="395"/>
        <v>0</v>
      </c>
      <c r="Y833" s="79">
        <f t="shared" si="395"/>
        <v>0</v>
      </c>
      <c r="Z833" s="79">
        <f t="shared" si="395"/>
        <v>0</v>
      </c>
      <c r="AA833" s="79">
        <f>ROUND(SUM(G833:Z833),2)</f>
        <v>0</v>
      </c>
      <c r="AB833" s="92" t="str">
        <f>IF(ABS(F833-AA833)&lt;0.01,"ok","err")</f>
        <v>ok</v>
      </c>
    </row>
    <row r="834" spans="1:36" ht="15" hidden="1">
      <c r="A834" s="65"/>
      <c r="B834" s="65"/>
    </row>
    <row r="835" spans="1:36" ht="15" hidden="1">
      <c r="A835" s="65" t="s">
        <v>829</v>
      </c>
      <c r="B835" s="65"/>
      <c r="F835" s="147">
        <f t="shared" ref="F835:Z835" si="396">F833/F808</f>
        <v>0</v>
      </c>
      <c r="G835" s="147">
        <f t="shared" si="396"/>
        <v>0.12948181826972971</v>
      </c>
      <c r="H835" s="147">
        <f t="shared" si="396"/>
        <v>-0.19396034440534771</v>
      </c>
      <c r="I835" s="147">
        <f t="shared" si="396"/>
        <v>-0.22076420277758374</v>
      </c>
      <c r="J835" s="147">
        <f t="shared" si="396"/>
        <v>-0.14208648890991407</v>
      </c>
      <c r="K835" s="147">
        <f t="shared" si="396"/>
        <v>-2.2476130644140901E-2</v>
      </c>
      <c r="L835" s="147">
        <f t="shared" si="396"/>
        <v>1.4382802874782706E-2</v>
      </c>
      <c r="M835" s="147">
        <f t="shared" si="396"/>
        <v>1.9171582693481584E-2</v>
      </c>
      <c r="N835" s="147">
        <f t="shared" si="396"/>
        <v>6.7571335802878538E-2</v>
      </c>
      <c r="O835" s="147">
        <f t="shared" si="396"/>
        <v>-0.20689131260579394</v>
      </c>
      <c r="P835" s="147">
        <f t="shared" si="396"/>
        <v>-0.11080038149446314</v>
      </c>
      <c r="Q835" s="147">
        <f t="shared" si="396"/>
        <v>-0.20151624144391711</v>
      </c>
      <c r="R835" s="147">
        <f t="shared" si="396"/>
        <v>-0.95906048440637637</v>
      </c>
      <c r="S835" s="147">
        <f t="shared" si="396"/>
        <v>3.9664648877781641</v>
      </c>
      <c r="T835" s="147">
        <f t="shared" si="396"/>
        <v>9.7264845218662507E-2</v>
      </c>
      <c r="U835" s="147">
        <f t="shared" si="396"/>
        <v>0.70872227188102555</v>
      </c>
      <c r="V835" s="147" t="e">
        <f t="shared" si="396"/>
        <v>#DIV/0!</v>
      </c>
      <c r="W835" s="147" t="e">
        <f t="shared" si="396"/>
        <v>#DIV/0!</v>
      </c>
      <c r="X835" s="147" t="e">
        <f t="shared" si="396"/>
        <v>#DIV/0!</v>
      </c>
      <c r="Y835" s="147" t="e">
        <f t="shared" si="396"/>
        <v>#DIV/0!</v>
      </c>
      <c r="Z835" s="147" t="e">
        <f t="shared" si="396"/>
        <v>#DIV/0!</v>
      </c>
    </row>
    <row r="836" spans="1:36" ht="15" hidden="1">
      <c r="A836" s="65"/>
      <c r="B836" s="65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</row>
    <row r="837" spans="1:36" ht="15" hidden="1">
      <c r="A837" s="65" t="s">
        <v>1183</v>
      </c>
    </row>
    <row r="838" spans="1:36" hidden="1"/>
    <row r="839" spans="1:36" ht="15" hidden="1">
      <c r="A839" s="65" t="s">
        <v>1038</v>
      </c>
      <c r="AH839" s="223"/>
      <c r="AI839" s="223"/>
      <c r="AJ839" s="223"/>
    </row>
    <row r="840" spans="1:36" hidden="1"/>
    <row r="841" spans="1:36" hidden="1">
      <c r="A841" s="60" t="s">
        <v>1</v>
      </c>
      <c r="F841" s="79">
        <f t="shared" ref="F841:Z841" si="397">F754</f>
        <v>1120075935.2473235</v>
      </c>
      <c r="G841" s="79">
        <f t="shared" si="397"/>
        <v>456019130.66129225</v>
      </c>
      <c r="H841" s="79">
        <f t="shared" si="397"/>
        <v>154016488.24309376</v>
      </c>
      <c r="I841" s="79">
        <f t="shared" si="397"/>
        <v>10499864.717314858</v>
      </c>
      <c r="J841" s="79">
        <f t="shared" si="397"/>
        <v>154506164.60177773</v>
      </c>
      <c r="K841" s="79">
        <f t="shared" si="397"/>
        <v>144361348.64369288</v>
      </c>
      <c r="L841" s="79">
        <f t="shared" si="397"/>
        <v>107311201.022214</v>
      </c>
      <c r="M841" s="79">
        <f t="shared" si="397"/>
        <v>65939354.742996849</v>
      </c>
      <c r="N841" s="79">
        <f t="shared" si="397"/>
        <v>3860800.8758276142</v>
      </c>
      <c r="O841" s="79">
        <f t="shared" si="397"/>
        <v>22696319.889306329</v>
      </c>
      <c r="P841" s="79">
        <f t="shared" si="397"/>
        <v>258715.58026645824</v>
      </c>
      <c r="Q841" s="79">
        <f t="shared" si="397"/>
        <v>331128.01177867205</v>
      </c>
      <c r="R841" s="79">
        <f t="shared" si="397"/>
        <v>15690.949683301198</v>
      </c>
      <c r="S841" s="79">
        <f t="shared" si="397"/>
        <v>12695.308078972774</v>
      </c>
      <c r="T841" s="79">
        <f t="shared" si="397"/>
        <v>237096</v>
      </c>
      <c r="U841" s="79">
        <f t="shared" si="397"/>
        <v>9936</v>
      </c>
      <c r="V841" s="79">
        <f t="shared" si="397"/>
        <v>0</v>
      </c>
      <c r="W841" s="79">
        <f t="shared" si="397"/>
        <v>0</v>
      </c>
      <c r="X841" s="79">
        <f t="shared" si="397"/>
        <v>0</v>
      </c>
      <c r="Y841" s="79">
        <f t="shared" si="397"/>
        <v>0</v>
      </c>
      <c r="Z841" s="79">
        <f t="shared" si="397"/>
        <v>0</v>
      </c>
      <c r="AA841" s="79">
        <f>ROUND(SUM(G841:Z841),2)</f>
        <v>1120075935.25</v>
      </c>
      <c r="AB841" s="92" t="str">
        <f>IF(ABS(F841-AA841)&lt;0.01,"ok","err")</f>
        <v>ok</v>
      </c>
      <c r="AH841" s="75"/>
      <c r="AI841" s="75"/>
      <c r="AJ841" s="147"/>
    </row>
    <row r="842" spans="1:36" hidden="1"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92"/>
      <c r="AH842" s="78"/>
      <c r="AI842" s="78"/>
      <c r="AJ842" s="147"/>
    </row>
    <row r="843" spans="1:36" hidden="1">
      <c r="A843" s="60" t="s">
        <v>134</v>
      </c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92"/>
      <c r="AH843" s="78"/>
      <c r="AI843" s="78"/>
      <c r="AJ843" s="147"/>
    </row>
    <row r="844" spans="1:36" hidden="1">
      <c r="A844" s="60" t="s">
        <v>825</v>
      </c>
      <c r="F844" s="79"/>
      <c r="G844" s="79">
        <v>0</v>
      </c>
      <c r="H844" s="79">
        <v>0</v>
      </c>
      <c r="I844" s="79">
        <v>0</v>
      </c>
      <c r="J844" s="79">
        <v>0</v>
      </c>
      <c r="K844" s="79">
        <v>0</v>
      </c>
      <c r="L844" s="79">
        <v>0</v>
      </c>
      <c r="M844" s="79">
        <v>0</v>
      </c>
      <c r="N844" s="79">
        <v>0</v>
      </c>
      <c r="O844" s="79">
        <v>0</v>
      </c>
      <c r="P844" s="79">
        <v>0</v>
      </c>
      <c r="Q844" s="79">
        <v>0</v>
      </c>
      <c r="R844" s="79">
        <v>0</v>
      </c>
      <c r="S844" s="79">
        <v>0</v>
      </c>
      <c r="T844" s="79">
        <v>0</v>
      </c>
      <c r="U844" s="79">
        <v>0</v>
      </c>
      <c r="V844" s="75">
        <v>0</v>
      </c>
      <c r="W844" s="75">
        <v>0</v>
      </c>
      <c r="X844" s="75">
        <v>0</v>
      </c>
      <c r="Y844" s="75">
        <v>0</v>
      </c>
      <c r="Z844" s="75">
        <v>0</v>
      </c>
      <c r="AA844" s="79">
        <f>SUM(G844:Z844)</f>
        <v>0</v>
      </c>
      <c r="AB844" s="92" t="str">
        <f>IF(ABS(F844-AA844)&lt;0.01,"ok","err")</f>
        <v>ok</v>
      </c>
      <c r="AH844" s="78"/>
      <c r="AI844" s="78"/>
      <c r="AJ844" s="147"/>
    </row>
    <row r="845" spans="1:36" hidden="1">
      <c r="A845" s="60" t="s">
        <v>1239</v>
      </c>
      <c r="E845" s="60" t="s">
        <v>663</v>
      </c>
      <c r="F845" s="75"/>
      <c r="G845" s="75">
        <f t="shared" ref="G845:P846" si="398">IF(VLOOKUP($E845,$D$6:$AN$1148,3,)=0,0,(VLOOKUP($E845,$D$6:$AN$1148,G$2,)/VLOOKUP($E845,$D$6:$AN$1148,3,))*$F845)</f>
        <v>0</v>
      </c>
      <c r="H845" s="75">
        <f t="shared" si="398"/>
        <v>0</v>
      </c>
      <c r="I845" s="75">
        <f t="shared" si="398"/>
        <v>0</v>
      </c>
      <c r="J845" s="75">
        <f t="shared" si="398"/>
        <v>0</v>
      </c>
      <c r="K845" s="75">
        <f t="shared" si="398"/>
        <v>0</v>
      </c>
      <c r="L845" s="75">
        <f t="shared" si="398"/>
        <v>0</v>
      </c>
      <c r="M845" s="75">
        <f t="shared" si="398"/>
        <v>0</v>
      </c>
      <c r="N845" s="75">
        <f t="shared" si="398"/>
        <v>0</v>
      </c>
      <c r="O845" s="75">
        <f t="shared" si="398"/>
        <v>0</v>
      </c>
      <c r="P845" s="75">
        <f t="shared" si="398"/>
        <v>0</v>
      </c>
      <c r="Q845" s="75">
        <f t="shared" ref="Q845:Z846" si="399">IF(VLOOKUP($E845,$D$6:$AN$1148,3,)=0,0,(VLOOKUP($E845,$D$6:$AN$1148,Q$2,)/VLOOKUP($E845,$D$6:$AN$1148,3,))*$F845)</f>
        <v>0</v>
      </c>
      <c r="R845" s="75">
        <f t="shared" si="399"/>
        <v>0</v>
      </c>
      <c r="S845" s="75">
        <f t="shared" si="399"/>
        <v>0</v>
      </c>
      <c r="T845" s="75">
        <f t="shared" si="399"/>
        <v>0</v>
      </c>
      <c r="U845" s="75">
        <f t="shared" si="399"/>
        <v>0</v>
      </c>
      <c r="V845" s="75">
        <f t="shared" si="399"/>
        <v>0</v>
      </c>
      <c r="W845" s="75">
        <f t="shared" si="399"/>
        <v>0</v>
      </c>
      <c r="X845" s="78">
        <f t="shared" si="399"/>
        <v>0</v>
      </c>
      <c r="Y845" s="78">
        <f t="shared" si="399"/>
        <v>0</v>
      </c>
      <c r="Z845" s="78">
        <f t="shared" si="399"/>
        <v>0</v>
      </c>
      <c r="AA845" s="79">
        <f>SUM(G845:Z845)</f>
        <v>0</v>
      </c>
      <c r="AB845" s="92" t="str">
        <f>IF(ABS(F845-AA845)&lt;0.01,"ok","err")</f>
        <v>ok</v>
      </c>
    </row>
    <row r="846" spans="1:36" hidden="1">
      <c r="A846" s="60" t="s">
        <v>826</v>
      </c>
      <c r="E846" s="60" t="str">
        <f>E922</f>
        <v>MISCR</v>
      </c>
      <c r="F846" s="78">
        <f>F922</f>
        <v>89459</v>
      </c>
      <c r="G846" s="75">
        <f t="shared" si="398"/>
        <v>85360.759271618517</v>
      </c>
      <c r="H846" s="75">
        <f t="shared" si="398"/>
        <v>3390.4468885644255</v>
      </c>
      <c r="I846" s="75">
        <f t="shared" si="398"/>
        <v>14.147803411850305</v>
      </c>
      <c r="J846" s="75">
        <f t="shared" si="398"/>
        <v>562.35442074324351</v>
      </c>
      <c r="K846" s="75">
        <f t="shared" si="398"/>
        <v>26.596762954128913</v>
      </c>
      <c r="L846" s="75">
        <f t="shared" si="398"/>
        <v>102.06740350278399</v>
      </c>
      <c r="M846" s="75">
        <f t="shared" si="398"/>
        <v>2.6274492050579137</v>
      </c>
      <c r="N846" s="75">
        <f t="shared" si="398"/>
        <v>0</v>
      </c>
      <c r="O846" s="75">
        <f t="shared" si="398"/>
        <v>0</v>
      </c>
      <c r="P846" s="75">
        <f t="shared" si="398"/>
        <v>0</v>
      </c>
      <c r="Q846" s="75">
        <f t="shared" si="399"/>
        <v>0</v>
      </c>
      <c r="R846" s="75">
        <f t="shared" si="399"/>
        <v>0</v>
      </c>
      <c r="S846" s="75">
        <f t="shared" si="399"/>
        <v>0</v>
      </c>
      <c r="T846" s="75">
        <f t="shared" si="399"/>
        <v>0</v>
      </c>
      <c r="U846" s="75">
        <f t="shared" si="399"/>
        <v>0</v>
      </c>
      <c r="V846" s="75">
        <f t="shared" si="399"/>
        <v>0</v>
      </c>
      <c r="W846" s="75">
        <f t="shared" si="399"/>
        <v>0</v>
      </c>
      <c r="X846" s="78">
        <f t="shared" si="399"/>
        <v>0</v>
      </c>
      <c r="Y846" s="78">
        <f t="shared" si="399"/>
        <v>0</v>
      </c>
      <c r="Z846" s="78">
        <f t="shared" si="399"/>
        <v>0</v>
      </c>
      <c r="AA846" s="79">
        <f>SUM(G846:Z846)</f>
        <v>89459</v>
      </c>
      <c r="AB846" s="92" t="str">
        <f>IF(ABS(F846-AA846)&lt;0.01,"ok","err")</f>
        <v>ok</v>
      </c>
      <c r="AH846" s="78"/>
      <c r="AI846" s="78"/>
      <c r="AJ846" s="147"/>
    </row>
    <row r="847" spans="1:36" hidden="1">
      <c r="AH847" s="78"/>
      <c r="AI847" s="78"/>
      <c r="AJ847" s="147"/>
    </row>
    <row r="848" spans="1:36" hidden="1">
      <c r="A848" s="60" t="s">
        <v>135</v>
      </c>
      <c r="F848" s="79">
        <f>SUM(F841:F846)</f>
        <v>1120165394.2473235</v>
      </c>
      <c r="G848" s="79">
        <f t="shared" ref="G848:P848" si="400">SUM(G841:G846)</f>
        <v>456104491.42056388</v>
      </c>
      <c r="H848" s="79">
        <f t="shared" si="400"/>
        <v>154019878.68998232</v>
      </c>
      <c r="I848" s="79">
        <f t="shared" si="400"/>
        <v>10499878.865118271</v>
      </c>
      <c r="J848" s="79">
        <f t="shared" si="400"/>
        <v>154506726.95619848</v>
      </c>
      <c r="K848" s="79">
        <f t="shared" si="400"/>
        <v>144361375.24045584</v>
      </c>
      <c r="L848" s="79">
        <f t="shared" si="400"/>
        <v>107311303.08961751</v>
      </c>
      <c r="M848" s="79">
        <f t="shared" si="400"/>
        <v>65939357.370446056</v>
      </c>
      <c r="N848" s="79">
        <f t="shared" si="400"/>
        <v>3860800.8758276142</v>
      </c>
      <c r="O848" s="79">
        <f>SUM(O841:O846)</f>
        <v>22696319.889306329</v>
      </c>
      <c r="P848" s="79">
        <f t="shared" si="400"/>
        <v>258715.58026645824</v>
      </c>
      <c r="Q848" s="79">
        <f>SUM(Q841:Q846)</f>
        <v>331128.01177867205</v>
      </c>
      <c r="R848" s="79">
        <f t="shared" ref="R848:Z848" si="401">SUM(R841:R846)</f>
        <v>15690.949683301198</v>
      </c>
      <c r="S848" s="79">
        <f t="shared" si="401"/>
        <v>12695.308078972774</v>
      </c>
      <c r="T848" s="79">
        <f t="shared" si="401"/>
        <v>237096</v>
      </c>
      <c r="U848" s="79">
        <f t="shared" si="401"/>
        <v>9936</v>
      </c>
      <c r="V848" s="79">
        <f t="shared" si="401"/>
        <v>0</v>
      </c>
      <c r="W848" s="79">
        <f t="shared" si="401"/>
        <v>0</v>
      </c>
      <c r="X848" s="79">
        <f t="shared" si="401"/>
        <v>0</v>
      </c>
      <c r="Y848" s="79">
        <f t="shared" si="401"/>
        <v>0</v>
      </c>
      <c r="Z848" s="79">
        <f t="shared" si="401"/>
        <v>0</v>
      </c>
      <c r="AA848" s="79">
        <f>ROUND(SUM(G848:Z848),2)</f>
        <v>1120165394.25</v>
      </c>
      <c r="AB848" s="92" t="str">
        <f>IF(ABS(F848-AA848)&lt;0.01,"ok","err")</f>
        <v>ok</v>
      </c>
    </row>
    <row r="849" spans="1:36" hidden="1">
      <c r="AH849" s="75"/>
      <c r="AI849" s="75"/>
      <c r="AJ849" s="147"/>
    </row>
    <row r="850" spans="1:36" hidden="1"/>
    <row r="851" spans="1:36" ht="15" hidden="1">
      <c r="A851" s="65" t="s">
        <v>1042</v>
      </c>
      <c r="F851" s="79"/>
    </row>
    <row r="852" spans="1:36" hidden="1"/>
    <row r="853" spans="1:36" hidden="1">
      <c r="A853" s="60" t="s">
        <v>1045</v>
      </c>
      <c r="F853" s="79">
        <f>F776</f>
        <v>969736807.38150656</v>
      </c>
      <c r="G853" s="79">
        <f t="shared" ref="G853:U853" si="402">G776</f>
        <v>426124709.75458241</v>
      </c>
      <c r="H853" s="79">
        <f t="shared" si="402"/>
        <v>114244999.50880583</v>
      </c>
      <c r="I853" s="79">
        <f t="shared" si="402"/>
        <v>7732349.6607865905</v>
      </c>
      <c r="J853" s="79">
        <f t="shared" si="402"/>
        <v>120758860.84862022</v>
      </c>
      <c r="K853" s="79">
        <f t="shared" si="402"/>
        <v>126659387.77220531</v>
      </c>
      <c r="L853" s="79">
        <f t="shared" si="402"/>
        <v>95288837.905961037</v>
      </c>
      <c r="M853" s="79">
        <f t="shared" si="402"/>
        <v>59921463.14254564</v>
      </c>
      <c r="N853" s="79">
        <f t="shared" si="402"/>
        <v>3609346.6253766143</v>
      </c>
      <c r="O853" s="79">
        <f t="shared" si="402"/>
        <v>14716313.537702296</v>
      </c>
      <c r="P853" s="79">
        <f t="shared" si="402"/>
        <v>213128.68969225968</v>
      </c>
      <c r="Q853" s="79">
        <f t="shared" si="402"/>
        <v>251835.74093845059</v>
      </c>
      <c r="R853" s="79">
        <f t="shared" si="402"/>
        <v>3823.9079148180017</v>
      </c>
      <c r="S853" s="79">
        <f t="shared" si="402"/>
        <v>45303.181509845861</v>
      </c>
      <c r="T853" s="79">
        <f t="shared" si="402"/>
        <v>153855.85858076424</v>
      </c>
      <c r="U853" s="79">
        <f t="shared" si="402"/>
        <v>12591.246284675426</v>
      </c>
      <c r="V853" s="79">
        <f>V725</f>
        <v>0</v>
      </c>
      <c r="W853" s="79">
        <f>W725</f>
        <v>0</v>
      </c>
      <c r="X853" s="79">
        <f>X725</f>
        <v>0</v>
      </c>
      <c r="Y853" s="79">
        <f>Y725</f>
        <v>0</v>
      </c>
      <c r="Z853" s="79">
        <f>Z725</f>
        <v>0</v>
      </c>
      <c r="AA853" s="79">
        <f>ROUND(SUM(G853:Z853),2)</f>
        <v>969736807.38</v>
      </c>
      <c r="AB853" s="92" t="str">
        <f>IF(ABS(F853-AA853)&lt;0.01,"ok","err")</f>
        <v>ok</v>
      </c>
    </row>
    <row r="854" spans="1:36" hidden="1"/>
    <row r="855" spans="1:36" hidden="1">
      <c r="A855" s="60" t="s">
        <v>672</v>
      </c>
      <c r="F855" s="111">
        <f t="shared" ref="F855:Z855" si="403">F774</f>
        <v>0</v>
      </c>
      <c r="G855" s="111">
        <f t="shared" si="403"/>
        <v>0</v>
      </c>
      <c r="H855" s="111">
        <f t="shared" si="403"/>
        <v>0</v>
      </c>
      <c r="I855" s="111">
        <f t="shared" si="403"/>
        <v>0</v>
      </c>
      <c r="J855" s="111">
        <f t="shared" si="403"/>
        <v>0</v>
      </c>
      <c r="K855" s="111">
        <f t="shared" si="403"/>
        <v>0</v>
      </c>
      <c r="L855" s="111">
        <f t="shared" si="403"/>
        <v>0</v>
      </c>
      <c r="M855" s="111">
        <f t="shared" si="403"/>
        <v>0</v>
      </c>
      <c r="N855" s="111">
        <f t="shared" si="403"/>
        <v>0</v>
      </c>
      <c r="O855" s="111">
        <f t="shared" si="403"/>
        <v>0</v>
      </c>
      <c r="P855" s="111">
        <f t="shared" si="403"/>
        <v>0</v>
      </c>
      <c r="Q855" s="111">
        <f t="shared" si="403"/>
        <v>0</v>
      </c>
      <c r="R855" s="111">
        <f t="shared" si="403"/>
        <v>0</v>
      </c>
      <c r="S855" s="111">
        <f t="shared" si="403"/>
        <v>0</v>
      </c>
      <c r="T855" s="111">
        <f t="shared" si="403"/>
        <v>0</v>
      </c>
      <c r="U855" s="111">
        <f t="shared" si="403"/>
        <v>0</v>
      </c>
      <c r="V855" s="111">
        <f t="shared" si="403"/>
        <v>0</v>
      </c>
      <c r="W855" s="111">
        <f t="shared" si="403"/>
        <v>0</v>
      </c>
      <c r="X855" s="111">
        <f t="shared" si="403"/>
        <v>0</v>
      </c>
      <c r="Y855" s="111">
        <f t="shared" si="403"/>
        <v>0</v>
      </c>
      <c r="Z855" s="111">
        <f t="shared" si="403"/>
        <v>0</v>
      </c>
      <c r="AA855" s="79">
        <f>ROUND(SUM(G855:Z855),2)</f>
        <v>0</v>
      </c>
      <c r="AB855" s="92" t="str">
        <f>IF(ABS(F855-AA855)&lt;0.01,"ok","err")</f>
        <v>ok</v>
      </c>
    </row>
    <row r="856" spans="1:36" hidden="1"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  <c r="AA856" s="79"/>
      <c r="AB856" s="92"/>
    </row>
    <row r="857" spans="1:36" hidden="1">
      <c r="A857" s="60" t="s">
        <v>673</v>
      </c>
      <c r="F857" s="111">
        <f>(F844+F846)*$E$821</f>
        <v>22234.758021689999</v>
      </c>
      <c r="G857" s="111">
        <f>(G844+G846)*$E$821</f>
        <v>21216.15295221463</v>
      </c>
      <c r="H857" s="111">
        <f t="shared" ref="H857:Z857" si="404">(H844+H846)*$E$821</f>
        <v>842.68509767180228</v>
      </c>
      <c r="I857" s="111">
        <f t="shared" si="404"/>
        <v>3.5163928213028504</v>
      </c>
      <c r="J857" s="111">
        <f t="shared" si="404"/>
        <v>139.77145360057307</v>
      </c>
      <c r="K857" s="111">
        <f t="shared" si="404"/>
        <v>6.6105432482512123</v>
      </c>
      <c r="L857" s="111">
        <f t="shared" si="404"/>
        <v>25.368537752340135</v>
      </c>
      <c r="M857" s="111">
        <f t="shared" si="404"/>
        <v>0.65304438109910079</v>
      </c>
      <c r="N857" s="111">
        <f t="shared" si="404"/>
        <v>0</v>
      </c>
      <c r="O857" s="111">
        <f t="shared" si="404"/>
        <v>0</v>
      </c>
      <c r="P857" s="111">
        <f t="shared" si="404"/>
        <v>0</v>
      </c>
      <c r="Q857" s="111">
        <f t="shared" si="404"/>
        <v>0</v>
      </c>
      <c r="R857" s="111">
        <f t="shared" si="404"/>
        <v>0</v>
      </c>
      <c r="S857" s="111">
        <f t="shared" si="404"/>
        <v>0</v>
      </c>
      <c r="T857" s="111">
        <f t="shared" si="404"/>
        <v>0</v>
      </c>
      <c r="U857" s="111">
        <f t="shared" si="404"/>
        <v>0</v>
      </c>
      <c r="V857" s="111">
        <f t="shared" si="404"/>
        <v>0</v>
      </c>
      <c r="W857" s="111">
        <f t="shared" si="404"/>
        <v>0</v>
      </c>
      <c r="X857" s="111">
        <f t="shared" si="404"/>
        <v>0</v>
      </c>
      <c r="Y857" s="111">
        <f t="shared" si="404"/>
        <v>0</v>
      </c>
      <c r="Z857" s="111">
        <f t="shared" si="404"/>
        <v>0</v>
      </c>
      <c r="AA857" s="79">
        <f>ROUND(SUM(G857:Z857),2)</f>
        <v>22234.76</v>
      </c>
      <c r="AB857" s="92" t="str">
        <f>IF(ABS(F857-AA857)&lt;0.01,"ok","err")</f>
        <v>ok</v>
      </c>
    </row>
    <row r="858" spans="1:36" hidden="1">
      <c r="A858" s="68"/>
      <c r="F858" s="78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9"/>
      <c r="AB858" s="92"/>
    </row>
    <row r="859" spans="1:36" hidden="1">
      <c r="A859" s="60" t="s">
        <v>136</v>
      </c>
      <c r="F859" s="79">
        <f t="shared" ref="F859:Z859" si="405">SUM(F853:F858)</f>
        <v>969759042.13952827</v>
      </c>
      <c r="G859" s="79">
        <f>SUM(G853:G858)</f>
        <v>426145925.9075346</v>
      </c>
      <c r="H859" s="79">
        <f t="shared" si="405"/>
        <v>114245842.19390349</v>
      </c>
      <c r="I859" s="79">
        <f t="shared" si="405"/>
        <v>7732353.177179412</v>
      </c>
      <c r="J859" s="79">
        <f t="shared" si="405"/>
        <v>120759000.62007383</v>
      </c>
      <c r="K859" s="79">
        <f t="shared" si="405"/>
        <v>126659394.38274856</v>
      </c>
      <c r="L859" s="79">
        <f t="shared" si="405"/>
        <v>95288863.274498791</v>
      </c>
      <c r="M859" s="79">
        <f t="shared" si="405"/>
        <v>59921463.795590021</v>
      </c>
      <c r="N859" s="79">
        <f t="shared" si="405"/>
        <v>3609346.6253766143</v>
      </c>
      <c r="O859" s="79">
        <f>SUM(O853:O858)</f>
        <v>14716313.537702296</v>
      </c>
      <c r="P859" s="79">
        <f t="shared" si="405"/>
        <v>213128.68969225968</v>
      </c>
      <c r="Q859" s="79">
        <f t="shared" si="405"/>
        <v>251835.74093845059</v>
      </c>
      <c r="R859" s="79">
        <f t="shared" si="405"/>
        <v>3823.9079148180017</v>
      </c>
      <c r="S859" s="79">
        <f t="shared" si="405"/>
        <v>45303.181509845861</v>
      </c>
      <c r="T859" s="79">
        <f t="shared" si="405"/>
        <v>153855.85858076424</v>
      </c>
      <c r="U859" s="79">
        <f t="shared" si="405"/>
        <v>12591.246284675426</v>
      </c>
      <c r="V859" s="79">
        <f t="shared" si="405"/>
        <v>0</v>
      </c>
      <c r="W859" s="79">
        <f t="shared" si="405"/>
        <v>0</v>
      </c>
      <c r="X859" s="79">
        <f t="shared" si="405"/>
        <v>0</v>
      </c>
      <c r="Y859" s="79">
        <f t="shared" si="405"/>
        <v>0</v>
      </c>
      <c r="Z859" s="79">
        <f t="shared" si="405"/>
        <v>0</v>
      </c>
      <c r="AA859" s="79">
        <f>ROUND(SUM(G859:Z859),2)</f>
        <v>969759042.13999999</v>
      </c>
      <c r="AB859" s="92" t="str">
        <f>IF(ABS(F859-AA859)&lt;0.01,"ok","err")</f>
        <v>ok</v>
      </c>
    </row>
    <row r="860" spans="1:36" hidden="1"/>
    <row r="861" spans="1:36" hidden="1">
      <c r="G861" s="79"/>
      <c r="H861" s="79"/>
      <c r="I861" s="79"/>
    </row>
    <row r="862" spans="1:36" ht="15" hidden="1">
      <c r="A862" s="65" t="s">
        <v>824</v>
      </c>
      <c r="F862" s="79">
        <f t="shared" ref="F862:Z862" si="406">F848-F859</f>
        <v>150406352.10779524</v>
      </c>
      <c r="G862" s="79">
        <f>G848-G859</f>
        <v>29958565.513029277</v>
      </c>
      <c r="H862" s="79">
        <f t="shared" si="406"/>
        <v>39774036.496078834</v>
      </c>
      <c r="I862" s="79">
        <f t="shared" si="406"/>
        <v>2767525.6879388588</v>
      </c>
      <c r="J862" s="79">
        <f t="shared" si="406"/>
        <v>33747726.336124659</v>
      </c>
      <c r="K862" s="79">
        <f t="shared" si="406"/>
        <v>17701980.857707277</v>
      </c>
      <c r="L862" s="79">
        <f t="shared" si="406"/>
        <v>12022439.815118715</v>
      </c>
      <c r="M862" s="79">
        <f t="shared" si="406"/>
        <v>6017893.5748560354</v>
      </c>
      <c r="N862" s="79">
        <f t="shared" si="406"/>
        <v>251454.25045099994</v>
      </c>
      <c r="O862" s="79">
        <f>O848-O859</f>
        <v>7980006.3516040333</v>
      </c>
      <c r="P862" s="79">
        <f t="shared" si="406"/>
        <v>45586.890574198565</v>
      </c>
      <c r="Q862" s="79">
        <f t="shared" si="406"/>
        <v>79292.270840221463</v>
      </c>
      <c r="R862" s="79">
        <f t="shared" si="406"/>
        <v>11867.041768483195</v>
      </c>
      <c r="S862" s="79">
        <f t="shared" si="406"/>
        <v>-32607.873430873085</v>
      </c>
      <c r="T862" s="79">
        <f t="shared" si="406"/>
        <v>83240.141419235762</v>
      </c>
      <c r="U862" s="79">
        <f t="shared" si="406"/>
        <v>-2655.2462846754261</v>
      </c>
      <c r="V862" s="79">
        <f t="shared" si="406"/>
        <v>0</v>
      </c>
      <c r="W862" s="79">
        <f t="shared" si="406"/>
        <v>0</v>
      </c>
      <c r="X862" s="79">
        <f t="shared" si="406"/>
        <v>0</v>
      </c>
      <c r="Y862" s="79">
        <f t="shared" si="406"/>
        <v>0</v>
      </c>
      <c r="Z862" s="79">
        <f t="shared" si="406"/>
        <v>0</v>
      </c>
      <c r="AA862" s="79">
        <f>ROUND(SUM(G862:Z862),2)</f>
        <v>150406352.11000001</v>
      </c>
      <c r="AB862" s="92" t="str">
        <f>IF(ABS(F862-AA862)&lt;0.01,"ok","err")</f>
        <v>ok</v>
      </c>
    </row>
    <row r="863" spans="1:36" hidden="1"/>
    <row r="864" spans="1:36" ht="15" hidden="1">
      <c r="A864" s="65" t="s">
        <v>1028</v>
      </c>
      <c r="F864" s="79">
        <f t="shared" ref="F864:Z864" si="407">F787</f>
        <v>3460077816.1601419</v>
      </c>
      <c r="G864" s="79">
        <f t="shared" si="407"/>
        <v>1709217009.5216761</v>
      </c>
      <c r="H864" s="79">
        <f t="shared" si="407"/>
        <v>398697503.46332896</v>
      </c>
      <c r="I864" s="79">
        <f t="shared" si="407"/>
        <v>23605515.638910923</v>
      </c>
      <c r="J864" s="79">
        <f t="shared" si="407"/>
        <v>397022294.40015203</v>
      </c>
      <c r="K864" s="79">
        <f t="shared" si="407"/>
        <v>351297120.6955809</v>
      </c>
      <c r="L864" s="79">
        <f t="shared" si="407"/>
        <v>303389934.2634303</v>
      </c>
      <c r="M864" s="79">
        <f t="shared" si="407"/>
        <v>160366121.29716793</v>
      </c>
      <c r="N864" s="79">
        <f t="shared" si="407"/>
        <v>10299117.756014783</v>
      </c>
      <c r="O864" s="79">
        <f t="shared" si="407"/>
        <v>102450326.03465796</v>
      </c>
      <c r="P864" s="79">
        <f t="shared" si="407"/>
        <v>553419.98421918578</v>
      </c>
      <c r="Q864" s="79">
        <f t="shared" si="407"/>
        <v>670881.43252931838</v>
      </c>
      <c r="R864" s="79">
        <f t="shared" si="407"/>
        <v>12859.658157203232</v>
      </c>
      <c r="S864" s="79">
        <f t="shared" si="407"/>
        <v>120413.38431620215</v>
      </c>
      <c r="T864" s="79">
        <f t="shared" si="407"/>
        <v>2314621.8400000003</v>
      </c>
      <c r="U864" s="79">
        <f t="shared" si="407"/>
        <v>60676.790000000008</v>
      </c>
      <c r="V864" s="79">
        <f t="shared" si="407"/>
        <v>0</v>
      </c>
      <c r="W864" s="79">
        <f t="shared" si="407"/>
        <v>0</v>
      </c>
      <c r="X864" s="79">
        <f t="shared" si="407"/>
        <v>0</v>
      </c>
      <c r="Y864" s="79">
        <f t="shared" si="407"/>
        <v>0</v>
      </c>
      <c r="Z864" s="79">
        <f t="shared" si="407"/>
        <v>0</v>
      </c>
      <c r="AA864" s="79">
        <f>ROUND(SUM(G864:Z864),2)</f>
        <v>3460077816.1599998</v>
      </c>
      <c r="AB864" s="92" t="str">
        <f>IF(ABS(F864-AA864)&lt;0.01,"ok","err")</f>
        <v>ok</v>
      </c>
    </row>
    <row r="865" spans="1:28" ht="15" hidden="1" thickBot="1"/>
    <row r="866" spans="1:28" ht="15.75" hidden="1" thickBot="1">
      <c r="A866" s="254" t="s">
        <v>1046</v>
      </c>
      <c r="B866" s="145"/>
      <c r="C866" s="145"/>
      <c r="D866" s="145"/>
      <c r="E866" s="145"/>
      <c r="F866" s="146">
        <f t="shared" ref="F866:P866" si="408">F862/F864</f>
        <v>4.3469066332938802E-2</v>
      </c>
      <c r="G866" s="146">
        <f t="shared" si="408"/>
        <v>1.7527654678216181E-2</v>
      </c>
      <c r="H866" s="146">
        <f t="shared" si="408"/>
        <v>9.9759933660425182E-2</v>
      </c>
      <c r="I866" s="146">
        <f t="shared" si="408"/>
        <v>0.11724063690339039</v>
      </c>
      <c r="J866" s="146">
        <f t="shared" si="408"/>
        <v>8.5002093867582409E-2</v>
      </c>
      <c r="K866" s="146">
        <f t="shared" si="408"/>
        <v>5.0390338590469284E-2</v>
      </c>
      <c r="L866" s="146">
        <f t="shared" si="408"/>
        <v>3.9627022710251675E-2</v>
      </c>
      <c r="M866" s="146">
        <f t="shared" si="408"/>
        <v>3.7525965747494269E-2</v>
      </c>
      <c r="N866" s="146">
        <f t="shared" si="408"/>
        <v>2.4415125295965109E-2</v>
      </c>
      <c r="O866" s="146">
        <f>O862/O864</f>
        <v>7.7891468582583862E-2</v>
      </c>
      <c r="P866" s="146">
        <f t="shared" si="408"/>
        <v>8.2373047367482785E-2</v>
      </c>
      <c r="Q866" s="146">
        <f>Q862/Q864</f>
        <v>0.1181911840088916</v>
      </c>
      <c r="R866" s="146">
        <f t="shared" ref="R866:Z866" si="409">R862/R864</f>
        <v>0.92281160380892158</v>
      </c>
      <c r="S866" s="146">
        <f t="shared" si="409"/>
        <v>-0.27079941001613017</v>
      </c>
      <c r="T866" s="146">
        <f t="shared" si="409"/>
        <v>3.5962739131173045E-2</v>
      </c>
      <c r="U866" s="146">
        <f t="shared" si="409"/>
        <v>-4.3760493669415042E-2</v>
      </c>
      <c r="V866" s="146" t="e">
        <f t="shared" si="409"/>
        <v>#DIV/0!</v>
      </c>
      <c r="W866" s="146" t="e">
        <f t="shared" si="409"/>
        <v>#DIV/0!</v>
      </c>
      <c r="X866" s="146" t="e">
        <f t="shared" si="409"/>
        <v>#DIV/0!</v>
      </c>
      <c r="Y866" s="146" t="e">
        <f t="shared" si="409"/>
        <v>#DIV/0!</v>
      </c>
      <c r="Z866" s="146" t="e">
        <f t="shared" si="409"/>
        <v>#DIV/0!</v>
      </c>
      <c r="AA866" s="136"/>
      <c r="AB866" s="136"/>
    </row>
    <row r="867" spans="1:28" hidden="1"/>
    <row r="868" spans="1:28" hidden="1"/>
    <row r="869" spans="1:28" ht="15" hidden="1">
      <c r="A869" s="65" t="s">
        <v>1190</v>
      </c>
    </row>
    <row r="870" spans="1:28" hidden="1"/>
    <row r="871" spans="1:28" ht="15" hidden="1">
      <c r="A871" s="65" t="s">
        <v>1038</v>
      </c>
    </row>
    <row r="872" spans="1:28" hidden="1"/>
    <row r="873" spans="1:28" hidden="1">
      <c r="A873" s="110" t="s">
        <v>1193</v>
      </c>
      <c r="F873" s="79">
        <f>F848</f>
        <v>1120165394.2473235</v>
      </c>
      <c r="G873" s="79">
        <f t="shared" ref="G873:Z873" si="410">G848</f>
        <v>456104491.42056388</v>
      </c>
      <c r="H873" s="79">
        <f t="shared" si="410"/>
        <v>154019878.68998232</v>
      </c>
      <c r="I873" s="79">
        <f t="shared" si="410"/>
        <v>10499878.865118271</v>
      </c>
      <c r="J873" s="79">
        <f t="shared" si="410"/>
        <v>154506726.95619848</v>
      </c>
      <c r="K873" s="79">
        <f t="shared" si="410"/>
        <v>144361375.24045584</v>
      </c>
      <c r="L873" s="79">
        <f t="shared" si="410"/>
        <v>107311303.08961751</v>
      </c>
      <c r="M873" s="79">
        <f t="shared" si="410"/>
        <v>65939357.370446056</v>
      </c>
      <c r="N873" s="79">
        <f t="shared" si="410"/>
        <v>3860800.8758276142</v>
      </c>
      <c r="O873" s="79">
        <f t="shared" si="410"/>
        <v>22696319.889306329</v>
      </c>
      <c r="P873" s="79">
        <f t="shared" si="410"/>
        <v>258715.58026645824</v>
      </c>
      <c r="Q873" s="79">
        <f t="shared" si="410"/>
        <v>331128.01177867205</v>
      </c>
      <c r="R873" s="79">
        <f t="shared" si="410"/>
        <v>15690.949683301198</v>
      </c>
      <c r="S873" s="79">
        <f t="shared" si="410"/>
        <v>12695.308078972774</v>
      </c>
      <c r="T873" s="79">
        <f t="shared" si="410"/>
        <v>237096</v>
      </c>
      <c r="U873" s="79">
        <f t="shared" si="410"/>
        <v>9936</v>
      </c>
      <c r="V873" s="79">
        <f t="shared" si="410"/>
        <v>0</v>
      </c>
      <c r="W873" s="79">
        <f t="shared" si="410"/>
        <v>0</v>
      </c>
      <c r="X873" s="79">
        <f t="shared" si="410"/>
        <v>0</v>
      </c>
      <c r="Y873" s="79">
        <f t="shared" si="410"/>
        <v>0</v>
      </c>
      <c r="Z873" s="79">
        <f t="shared" si="410"/>
        <v>0</v>
      </c>
      <c r="AA873" s="79">
        <f>ROUND(SUM(G873:Z873),2)</f>
        <v>1120165394.25</v>
      </c>
      <c r="AB873" s="92" t="str">
        <f>IF(ABS(F873-AA873)&lt;0.01,"ok","err")</f>
        <v>ok</v>
      </c>
    </row>
    <row r="874" spans="1:28" hidden="1"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92"/>
    </row>
    <row r="875" spans="1:28" hidden="1">
      <c r="A875" s="60" t="s">
        <v>134</v>
      </c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92"/>
    </row>
    <row r="876" spans="1:28" hidden="1">
      <c r="A876" s="60" t="s">
        <v>830</v>
      </c>
      <c r="F876" s="75">
        <f>($F$866*F864-F862)/(1-$E$888)-SUM(F846:F847)</f>
        <v>-89459</v>
      </c>
      <c r="G876" s="75">
        <f>($F$866*G864-G862)/(1-$E$888)-SUM(G846:G847)</f>
        <v>58919655.842969969</v>
      </c>
      <c r="H876" s="75">
        <f t="shared" ref="H876:Z876" si="411">($F$866*H864-H862)/(1-$E$888)-SUM(H846:H847)</f>
        <v>-29869563.824729476</v>
      </c>
      <c r="I876" s="75">
        <f t="shared" si="411"/>
        <v>-2317412.2475408358</v>
      </c>
      <c r="J876" s="75">
        <f t="shared" si="411"/>
        <v>-21944098.291160177</v>
      </c>
      <c r="K876" s="75">
        <f t="shared" si="411"/>
        <v>-3235655.0717495456</v>
      </c>
      <c r="L876" s="75">
        <f t="shared" si="411"/>
        <v>1551075.7474675213</v>
      </c>
      <c r="M876" s="75">
        <f t="shared" si="411"/>
        <v>1268302.7425728508</v>
      </c>
      <c r="N876" s="75">
        <f t="shared" si="411"/>
        <v>261145.75223312271</v>
      </c>
      <c r="O876" s="75">
        <f t="shared" si="411"/>
        <v>-4693022.5988854188</v>
      </c>
      <c r="P876" s="75">
        <f t="shared" si="411"/>
        <v>-28651.476528229901</v>
      </c>
      <c r="Q876" s="75">
        <f t="shared" si="411"/>
        <v>-66710.326985371124</v>
      </c>
      <c r="R876" s="75">
        <f t="shared" si="411"/>
        <v>-15048.237322477189</v>
      </c>
      <c r="S876" s="75">
        <f t="shared" si="411"/>
        <v>50358.606977167037</v>
      </c>
      <c r="T876" s="75">
        <f t="shared" si="411"/>
        <v>23120.949412016002</v>
      </c>
      <c r="U876" s="75">
        <f t="shared" si="411"/>
        <v>7043.4332688088671</v>
      </c>
      <c r="V876" s="224">
        <f t="shared" si="411"/>
        <v>0</v>
      </c>
      <c r="W876" s="224">
        <f t="shared" si="411"/>
        <v>0</v>
      </c>
      <c r="X876" s="224">
        <f t="shared" si="411"/>
        <v>0</v>
      </c>
      <c r="Y876" s="224">
        <f t="shared" si="411"/>
        <v>0</v>
      </c>
      <c r="Z876" s="224">
        <f t="shared" si="411"/>
        <v>0</v>
      </c>
      <c r="AA876" s="79">
        <f>SUM(G876:Z876)</f>
        <v>-89459.000000076121</v>
      </c>
      <c r="AB876" s="92" t="str">
        <f>IF(ABS(F876-AA876)&lt;0.01,"ok","err")</f>
        <v>ok</v>
      </c>
    </row>
    <row r="877" spans="1:28" hidden="1">
      <c r="A877" s="60" t="s">
        <v>826</v>
      </c>
      <c r="E877" s="60" t="s">
        <v>179</v>
      </c>
      <c r="F877" s="75">
        <f>F846</f>
        <v>89459</v>
      </c>
      <c r="G877" s="75">
        <f>G846</f>
        <v>85360.759271618517</v>
      </c>
      <c r="H877" s="75">
        <f t="shared" ref="H877:U877" si="412">H846</f>
        <v>3390.4468885644255</v>
      </c>
      <c r="I877" s="75">
        <f t="shared" si="412"/>
        <v>14.147803411850305</v>
      </c>
      <c r="J877" s="75">
        <f t="shared" si="412"/>
        <v>562.35442074324351</v>
      </c>
      <c r="K877" s="75">
        <f t="shared" si="412"/>
        <v>26.596762954128913</v>
      </c>
      <c r="L877" s="75">
        <f t="shared" si="412"/>
        <v>102.06740350278399</v>
      </c>
      <c r="M877" s="75">
        <f t="shared" si="412"/>
        <v>2.6274492050579137</v>
      </c>
      <c r="N877" s="75">
        <f t="shared" si="412"/>
        <v>0</v>
      </c>
      <c r="O877" s="75">
        <f>O846</f>
        <v>0</v>
      </c>
      <c r="P877" s="75">
        <f t="shared" si="412"/>
        <v>0</v>
      </c>
      <c r="Q877" s="75">
        <f t="shared" si="412"/>
        <v>0</v>
      </c>
      <c r="R877" s="75">
        <f t="shared" si="412"/>
        <v>0</v>
      </c>
      <c r="S877" s="75">
        <f t="shared" si="412"/>
        <v>0</v>
      </c>
      <c r="T877" s="75">
        <f t="shared" si="412"/>
        <v>0</v>
      </c>
      <c r="U877" s="75">
        <f t="shared" si="412"/>
        <v>0</v>
      </c>
      <c r="V877" s="75">
        <f>IF(VLOOKUP($E877,$D$6:$AN$1148,3,)=0,0,(VLOOKUP($E877,$D$6:$AN$1148,V$2,)/VLOOKUP($E877,$D$6:$AN$1148,3,))*$F877)</f>
        <v>0</v>
      </c>
      <c r="W877" s="75">
        <f>IF(VLOOKUP($E877,$D$6:$AN$1148,3,)=0,0,(VLOOKUP($E877,$D$6:$AN$1148,W$2,)/VLOOKUP($E877,$D$6:$AN$1148,3,))*$F877)</f>
        <v>0</v>
      </c>
      <c r="X877" s="78">
        <f>IF(VLOOKUP($E877,$D$6:$AN$1148,3,)=0,0,(VLOOKUP($E877,$D$6:$AN$1148,X$2,)/VLOOKUP($E877,$D$6:$AN$1148,3,))*$F877)</f>
        <v>0</v>
      </c>
      <c r="Y877" s="78">
        <f>IF(VLOOKUP($E877,$D$6:$AN$1148,3,)=0,0,(VLOOKUP($E877,$D$6:$AN$1148,Y$2,)/VLOOKUP($E877,$D$6:$AN$1148,3,))*$F877)</f>
        <v>0</v>
      </c>
      <c r="Z877" s="78">
        <f>IF(VLOOKUP($E877,$D$6:$AN$1148,3,)=0,0,(VLOOKUP($E877,$D$6:$AN$1148,Z$2,)/VLOOKUP($E877,$D$6:$AN$1148,3,))*$F877)</f>
        <v>0</v>
      </c>
      <c r="AA877" s="79">
        <f>SUM(G877:Z877)</f>
        <v>89459</v>
      </c>
      <c r="AB877" s="92" t="str">
        <f>IF(ABS(F877-AA877)&lt;0.01,"ok","err")</f>
        <v>ok</v>
      </c>
    </row>
    <row r="878" spans="1:28" hidden="1"/>
    <row r="879" spans="1:28" hidden="1">
      <c r="A879" s="60" t="s">
        <v>135</v>
      </c>
      <c r="F879" s="79">
        <f>SUM(F873:F877)</f>
        <v>1120165394.2473235</v>
      </c>
      <c r="G879" s="79">
        <f t="shared" ref="G879:P879" si="413">SUM(G873:G877)</f>
        <v>515109508.02280545</v>
      </c>
      <c r="H879" s="79">
        <f t="shared" si="413"/>
        <v>124153705.31214142</v>
      </c>
      <c r="I879" s="79">
        <f t="shared" si="413"/>
        <v>8182480.7653808473</v>
      </c>
      <c r="J879" s="79">
        <f t="shared" si="413"/>
        <v>132563191.01945904</v>
      </c>
      <c r="K879" s="79">
        <f t="shared" si="413"/>
        <v>141125746.76546925</v>
      </c>
      <c r="L879" s="79">
        <f t="shared" si="413"/>
        <v>108862480.90448853</v>
      </c>
      <c r="M879" s="79">
        <f t="shared" si="413"/>
        <v>67207662.7404681</v>
      </c>
      <c r="N879" s="79">
        <f t="shared" si="413"/>
        <v>4121946.6280607367</v>
      </c>
      <c r="O879" s="79">
        <f>SUM(O873:O877)</f>
        <v>18003297.290420912</v>
      </c>
      <c r="P879" s="79">
        <f t="shared" si="413"/>
        <v>230064.10373822835</v>
      </c>
      <c r="Q879" s="79">
        <f>SUM(Q873:Q877)</f>
        <v>264417.68479330093</v>
      </c>
      <c r="R879" s="79">
        <f t="shared" ref="R879:Z879" si="414">SUM(R873:R877)</f>
        <v>642.71236082400901</v>
      </c>
      <c r="S879" s="79">
        <f t="shared" si="414"/>
        <v>63053.915056139813</v>
      </c>
      <c r="T879" s="79">
        <f t="shared" si="414"/>
        <v>260216.94941201599</v>
      </c>
      <c r="U879" s="79">
        <f t="shared" si="414"/>
        <v>16979.433268808869</v>
      </c>
      <c r="V879" s="79">
        <f t="shared" si="414"/>
        <v>0</v>
      </c>
      <c r="W879" s="79">
        <f t="shared" si="414"/>
        <v>0</v>
      </c>
      <c r="X879" s="79">
        <f t="shared" si="414"/>
        <v>0</v>
      </c>
      <c r="Y879" s="79">
        <f t="shared" si="414"/>
        <v>0</v>
      </c>
      <c r="Z879" s="79">
        <f t="shared" si="414"/>
        <v>0</v>
      </c>
      <c r="AA879" s="79">
        <f>ROUND(SUM(G879:Z879),2)</f>
        <v>1120165394.25</v>
      </c>
      <c r="AB879" s="92" t="str">
        <f>IF(ABS(F879-AA879)&lt;0.01,"ok","err")</f>
        <v>ok</v>
      </c>
    </row>
    <row r="880" spans="1:28" hidden="1"/>
    <row r="881" spans="1:28" hidden="1"/>
    <row r="882" spans="1:28" ht="15" hidden="1">
      <c r="A882" s="65" t="s">
        <v>1042</v>
      </c>
    </row>
    <row r="883" spans="1:28" hidden="1"/>
    <row r="884" spans="1:28" hidden="1">
      <c r="A884" s="60" t="s">
        <v>1045</v>
      </c>
      <c r="F884" s="79">
        <f>F853+F857</f>
        <v>969759042.13952827</v>
      </c>
      <c r="G884" s="79">
        <f t="shared" ref="G884:Z884" si="415">G853+G857</f>
        <v>426145925.9075346</v>
      </c>
      <c r="H884" s="79">
        <f t="shared" si="415"/>
        <v>114245842.19390349</v>
      </c>
      <c r="I884" s="79">
        <f t="shared" si="415"/>
        <v>7732353.177179412</v>
      </c>
      <c r="J884" s="79">
        <f t="shared" si="415"/>
        <v>120759000.62007383</v>
      </c>
      <c r="K884" s="79">
        <f t="shared" si="415"/>
        <v>126659394.38274856</v>
      </c>
      <c r="L884" s="79">
        <f t="shared" si="415"/>
        <v>95288863.274498791</v>
      </c>
      <c r="M884" s="79">
        <f t="shared" si="415"/>
        <v>59921463.795590021</v>
      </c>
      <c r="N884" s="79">
        <f t="shared" si="415"/>
        <v>3609346.6253766143</v>
      </c>
      <c r="O884" s="79">
        <f t="shared" si="415"/>
        <v>14716313.537702296</v>
      </c>
      <c r="P884" s="79">
        <f t="shared" si="415"/>
        <v>213128.68969225968</v>
      </c>
      <c r="Q884" s="79">
        <f t="shared" si="415"/>
        <v>251835.74093845059</v>
      </c>
      <c r="R884" s="79">
        <f t="shared" si="415"/>
        <v>3823.9079148180017</v>
      </c>
      <c r="S884" s="79">
        <f t="shared" si="415"/>
        <v>45303.181509845861</v>
      </c>
      <c r="T884" s="79">
        <f t="shared" si="415"/>
        <v>153855.85858076424</v>
      </c>
      <c r="U884" s="79">
        <f t="shared" si="415"/>
        <v>12591.246284675426</v>
      </c>
      <c r="V884" s="79">
        <f t="shared" si="415"/>
        <v>0</v>
      </c>
      <c r="W884" s="79">
        <f t="shared" si="415"/>
        <v>0</v>
      </c>
      <c r="X884" s="79">
        <f t="shared" si="415"/>
        <v>0</v>
      </c>
      <c r="Y884" s="79">
        <f t="shared" si="415"/>
        <v>0</v>
      </c>
      <c r="Z884" s="79">
        <f t="shared" si="415"/>
        <v>0</v>
      </c>
      <c r="AA884" s="79">
        <f>ROUND(SUM(G884:Z884),2)</f>
        <v>969759042.13999999</v>
      </c>
      <c r="AB884" s="92" t="str">
        <f>IF(ABS(F884-AA884)&lt;0.01,"ok","err")</f>
        <v>ok</v>
      </c>
    </row>
    <row r="885" spans="1:28" hidden="1"/>
    <row r="886" spans="1:28" hidden="1">
      <c r="A886" s="60" t="s">
        <v>672</v>
      </c>
      <c r="F886" s="111">
        <f>F855</f>
        <v>0</v>
      </c>
      <c r="G886" s="111">
        <f t="shared" ref="G886:Z886" si="416">G855</f>
        <v>0</v>
      </c>
      <c r="H886" s="111">
        <f t="shared" si="416"/>
        <v>0</v>
      </c>
      <c r="I886" s="111">
        <f t="shared" si="416"/>
        <v>0</v>
      </c>
      <c r="J886" s="111">
        <f t="shared" si="416"/>
        <v>0</v>
      </c>
      <c r="K886" s="111">
        <f t="shared" si="416"/>
        <v>0</v>
      </c>
      <c r="L886" s="111">
        <f t="shared" si="416"/>
        <v>0</v>
      </c>
      <c r="M886" s="111">
        <f t="shared" si="416"/>
        <v>0</v>
      </c>
      <c r="N886" s="111">
        <f t="shared" si="416"/>
        <v>0</v>
      </c>
      <c r="O886" s="111">
        <f t="shared" si="416"/>
        <v>0</v>
      </c>
      <c r="P886" s="111">
        <f t="shared" si="416"/>
        <v>0</v>
      </c>
      <c r="Q886" s="111">
        <f t="shared" si="416"/>
        <v>0</v>
      </c>
      <c r="R886" s="111">
        <f t="shared" si="416"/>
        <v>0</v>
      </c>
      <c r="S886" s="111">
        <f t="shared" si="416"/>
        <v>0</v>
      </c>
      <c r="T886" s="111">
        <f t="shared" si="416"/>
        <v>0</v>
      </c>
      <c r="U886" s="111">
        <f t="shared" si="416"/>
        <v>0</v>
      </c>
      <c r="V886" s="111">
        <f t="shared" si="416"/>
        <v>0</v>
      </c>
      <c r="W886" s="111">
        <f t="shared" si="416"/>
        <v>0</v>
      </c>
      <c r="X886" s="111">
        <f t="shared" si="416"/>
        <v>0</v>
      </c>
      <c r="Y886" s="111">
        <f t="shared" si="416"/>
        <v>0</v>
      </c>
      <c r="Z886" s="111">
        <f t="shared" si="416"/>
        <v>0</v>
      </c>
      <c r="AA886" s="79">
        <f>ROUND(SUM(G886:Z886),2)</f>
        <v>0</v>
      </c>
      <c r="AB886" s="92" t="str">
        <f>IF(ABS(F886-AA886)&lt;0.01,"ok","err")</f>
        <v>ok</v>
      </c>
    </row>
    <row r="887" spans="1:28" hidden="1"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  <c r="AA887" s="79"/>
      <c r="AB887" s="92"/>
    </row>
    <row r="888" spans="1:28" hidden="1">
      <c r="A888" s="60" t="s">
        <v>673</v>
      </c>
      <c r="E888" s="60">
        <f>E821</f>
        <v>0.24854690999999998</v>
      </c>
      <c r="F888" s="111">
        <f>(F876+F877)*$E$888</f>
        <v>0</v>
      </c>
      <c r="G888" s="111">
        <f>(G876+G877)*$E$888</f>
        <v>14665514.550985845</v>
      </c>
      <c r="H888" s="111">
        <f t="shared" ref="H888:Y888" si="417">(H876+H877)*$E$888</f>
        <v>-7423145.1065866202</v>
      </c>
      <c r="I888" s="111">
        <f t="shared" si="417"/>
        <v>-575982.13692960853</v>
      </c>
      <c r="J888" s="111">
        <f t="shared" si="417"/>
        <v>-5453998.0515505411</v>
      </c>
      <c r="K888" s="111">
        <f t="shared" si="417"/>
        <v>-804205.45936592948</v>
      </c>
      <c r="L888" s="111">
        <f t="shared" si="417"/>
        <v>385540.45274674508</v>
      </c>
      <c r="M888" s="111">
        <f t="shared" si="417"/>
        <v>315233.38065538858</v>
      </c>
      <c r="N888" s="111">
        <f t="shared" si="417"/>
        <v>64906.969777168248</v>
      </c>
      <c r="O888" s="111">
        <f t="shared" si="417"/>
        <v>-1166436.2655131402</v>
      </c>
      <c r="P888" s="111">
        <f t="shared" si="417"/>
        <v>-7121.2359580290695</v>
      </c>
      <c r="Q888" s="111">
        <f t="shared" si="417"/>
        <v>-16580.645637303605</v>
      </c>
      <c r="R888" s="111">
        <f t="shared" si="417"/>
        <v>-3740.1928874483788</v>
      </c>
      <c r="S888" s="111">
        <f t="shared" si="417"/>
        <v>12516.476156079307</v>
      </c>
      <c r="T888" s="111">
        <f t="shared" si="417"/>
        <v>5746.6405326228933</v>
      </c>
      <c r="U888" s="111">
        <f t="shared" si="417"/>
        <v>1750.6235747536432</v>
      </c>
      <c r="V888" s="111">
        <f t="shared" si="417"/>
        <v>0</v>
      </c>
      <c r="W888" s="111">
        <f t="shared" si="417"/>
        <v>0</v>
      </c>
      <c r="X888" s="111">
        <f t="shared" si="417"/>
        <v>0</v>
      </c>
      <c r="Y888" s="111">
        <f t="shared" si="417"/>
        <v>0</v>
      </c>
      <c r="Z888" s="111">
        <f>(Z876+Z877)*$E$888</f>
        <v>0</v>
      </c>
      <c r="AA888" s="79">
        <f>ROUND(SUM(G888:Z888),2)</f>
        <v>0</v>
      </c>
      <c r="AB888" s="92" t="str">
        <f>IF(ABS(F888-AA888)&lt;0.01,"ok","err")</f>
        <v>ok</v>
      </c>
    </row>
    <row r="889" spans="1:28" hidden="1">
      <c r="A889" s="68"/>
      <c r="F889" s="78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9"/>
      <c r="AB889" s="92"/>
    </row>
    <row r="890" spans="1:28" hidden="1">
      <c r="A890" s="60" t="s">
        <v>136</v>
      </c>
      <c r="F890" s="79">
        <f t="shared" ref="F890:Z890" si="418">SUM(F884:F889)</f>
        <v>969759042.13952827</v>
      </c>
      <c r="G890" s="79">
        <f t="shared" si="418"/>
        <v>440811440.45852047</v>
      </c>
      <c r="H890" s="79">
        <f t="shared" si="418"/>
        <v>106822697.08731687</v>
      </c>
      <c r="I890" s="79">
        <f t="shared" si="418"/>
        <v>7156371.0402498031</v>
      </c>
      <c r="J890" s="79">
        <f t="shared" si="418"/>
        <v>115305002.56852329</v>
      </c>
      <c r="K890" s="79">
        <f t="shared" si="418"/>
        <v>125855188.92338262</v>
      </c>
      <c r="L890" s="79">
        <f t="shared" si="418"/>
        <v>95674403.727245539</v>
      </c>
      <c r="M890" s="79">
        <f t="shared" si="418"/>
        <v>60236697.176245406</v>
      </c>
      <c r="N890" s="79">
        <f t="shared" si="418"/>
        <v>3674253.5951537825</v>
      </c>
      <c r="O890" s="79">
        <f>SUM(O884:O889)</f>
        <v>13549877.272189155</v>
      </c>
      <c r="P890" s="79">
        <f t="shared" si="418"/>
        <v>206007.4537342306</v>
      </c>
      <c r="Q890" s="79">
        <f t="shared" si="418"/>
        <v>235255.09530114697</v>
      </c>
      <c r="R890" s="79">
        <f t="shared" si="418"/>
        <v>83.715027369622931</v>
      </c>
      <c r="S890" s="79">
        <f t="shared" si="418"/>
        <v>57819.657665925166</v>
      </c>
      <c r="T890" s="79">
        <f t="shared" si="418"/>
        <v>159602.49911338714</v>
      </c>
      <c r="U890" s="79">
        <f t="shared" si="418"/>
        <v>14341.869859429069</v>
      </c>
      <c r="V890" s="79">
        <f t="shared" si="418"/>
        <v>0</v>
      </c>
      <c r="W890" s="79">
        <f t="shared" si="418"/>
        <v>0</v>
      </c>
      <c r="X890" s="79">
        <f t="shared" si="418"/>
        <v>0</v>
      </c>
      <c r="Y890" s="79">
        <f t="shared" si="418"/>
        <v>0</v>
      </c>
      <c r="Z890" s="79">
        <f t="shared" si="418"/>
        <v>0</v>
      </c>
      <c r="AA890" s="79">
        <f>ROUND(SUM(G890:Z890),2)</f>
        <v>969759042.13999999</v>
      </c>
      <c r="AB890" s="92" t="str">
        <f>IF(ABS(F890-AA890)&lt;0.01,"ok","err")</f>
        <v>ok</v>
      </c>
    </row>
    <row r="891" spans="1:28" hidden="1"/>
    <row r="892" spans="1:28" hidden="1"/>
    <row r="893" spans="1:28" ht="15" hidden="1">
      <c r="A893" s="65" t="s">
        <v>824</v>
      </c>
      <c r="F893" s="79">
        <f t="shared" ref="F893:Z893" si="419">F879-F890</f>
        <v>150406352.10779524</v>
      </c>
      <c r="G893" s="79">
        <f t="shared" si="419"/>
        <v>74298067.56428498</v>
      </c>
      <c r="H893" s="79">
        <f t="shared" si="419"/>
        <v>17331008.224824548</v>
      </c>
      <c r="I893" s="79">
        <f t="shared" si="419"/>
        <v>1026109.7251310442</v>
      </c>
      <c r="J893" s="79">
        <f t="shared" si="419"/>
        <v>17258188.450935751</v>
      </c>
      <c r="K893" s="79">
        <f t="shared" si="419"/>
        <v>15270557.842086628</v>
      </c>
      <c r="L893" s="79">
        <f t="shared" si="419"/>
        <v>13188077.177242994</v>
      </c>
      <c r="M893" s="79">
        <f t="shared" si="419"/>
        <v>6970965.5642226934</v>
      </c>
      <c r="N893" s="79">
        <f t="shared" si="419"/>
        <v>447693.03290695418</v>
      </c>
      <c r="O893" s="79">
        <f>O879-O890</f>
        <v>4453420.018231757</v>
      </c>
      <c r="P893" s="79">
        <f t="shared" si="419"/>
        <v>24056.650003997755</v>
      </c>
      <c r="Q893" s="79">
        <f t="shared" si="419"/>
        <v>29162.589492153958</v>
      </c>
      <c r="R893" s="79">
        <f t="shared" si="419"/>
        <v>558.99733345438608</v>
      </c>
      <c r="S893" s="79">
        <f t="shared" si="419"/>
        <v>5234.2573902146469</v>
      </c>
      <c r="T893" s="79">
        <f t="shared" si="419"/>
        <v>100614.45029862886</v>
      </c>
      <c r="U893" s="79">
        <f t="shared" si="419"/>
        <v>2637.5634093797999</v>
      </c>
      <c r="V893" s="79">
        <f t="shared" si="419"/>
        <v>0</v>
      </c>
      <c r="W893" s="79">
        <f t="shared" si="419"/>
        <v>0</v>
      </c>
      <c r="X893" s="79">
        <f t="shared" si="419"/>
        <v>0</v>
      </c>
      <c r="Y893" s="79">
        <f t="shared" si="419"/>
        <v>0</v>
      </c>
      <c r="Z893" s="79">
        <f t="shared" si="419"/>
        <v>0</v>
      </c>
      <c r="AA893" s="79">
        <f>ROUND(SUM(G893:Z893),2)</f>
        <v>150406352.11000001</v>
      </c>
      <c r="AB893" s="92" t="str">
        <f>IF(ABS(F893-AA893)&lt;0.01,"ok","err")</f>
        <v>ok</v>
      </c>
    </row>
    <row r="894" spans="1:28" hidden="1"/>
    <row r="895" spans="1:28" ht="15" hidden="1">
      <c r="A895" s="65" t="s">
        <v>1028</v>
      </c>
      <c r="F895" s="79">
        <f>F864</f>
        <v>3460077816.1601419</v>
      </c>
      <c r="G895" s="79">
        <f t="shared" ref="G895:Z895" si="420">G864</f>
        <v>1709217009.5216761</v>
      </c>
      <c r="H895" s="79">
        <f t="shared" si="420"/>
        <v>398697503.46332896</v>
      </c>
      <c r="I895" s="79">
        <f t="shared" si="420"/>
        <v>23605515.638910923</v>
      </c>
      <c r="J895" s="79">
        <f t="shared" si="420"/>
        <v>397022294.40015203</v>
      </c>
      <c r="K895" s="79">
        <f t="shared" si="420"/>
        <v>351297120.6955809</v>
      </c>
      <c r="L895" s="79">
        <f t="shared" si="420"/>
        <v>303389934.2634303</v>
      </c>
      <c r="M895" s="79">
        <f t="shared" si="420"/>
        <v>160366121.29716793</v>
      </c>
      <c r="N895" s="79">
        <f t="shared" si="420"/>
        <v>10299117.756014783</v>
      </c>
      <c r="O895" s="79">
        <f>O864</f>
        <v>102450326.03465796</v>
      </c>
      <c r="P895" s="79">
        <f t="shared" si="420"/>
        <v>553419.98421918578</v>
      </c>
      <c r="Q895" s="79">
        <f t="shared" si="420"/>
        <v>670881.43252931838</v>
      </c>
      <c r="R895" s="79">
        <f t="shared" si="420"/>
        <v>12859.658157203232</v>
      </c>
      <c r="S895" s="79">
        <f t="shared" si="420"/>
        <v>120413.38431620215</v>
      </c>
      <c r="T895" s="79">
        <f t="shared" si="420"/>
        <v>2314621.8400000003</v>
      </c>
      <c r="U895" s="79">
        <f t="shared" si="420"/>
        <v>60676.790000000008</v>
      </c>
      <c r="V895" s="79">
        <f t="shared" si="420"/>
        <v>0</v>
      </c>
      <c r="W895" s="79">
        <f t="shared" si="420"/>
        <v>0</v>
      </c>
      <c r="X895" s="79">
        <f t="shared" si="420"/>
        <v>0</v>
      </c>
      <c r="Y895" s="79">
        <f t="shared" si="420"/>
        <v>0</v>
      </c>
      <c r="Z895" s="79">
        <f t="shared" si="420"/>
        <v>0</v>
      </c>
      <c r="AA895" s="79">
        <f>ROUND(SUM(G895:Z895),2)</f>
        <v>3460077816.1599998</v>
      </c>
      <c r="AB895" s="92" t="str">
        <f>IF(ABS(F895-AA895)&lt;0.01,"ok","err")</f>
        <v>ok</v>
      </c>
    </row>
    <row r="896" spans="1:28" ht="15" hidden="1" thickBot="1"/>
    <row r="897" spans="1:28" ht="15.75" hidden="1" thickBot="1">
      <c r="A897" s="254" t="s">
        <v>1046</v>
      </c>
      <c r="B897" s="145"/>
      <c r="C897" s="145"/>
      <c r="D897" s="145"/>
      <c r="E897" s="145"/>
      <c r="F897" s="146">
        <f t="shared" ref="F897:P897" si="421">F893/F895</f>
        <v>4.3469066332938802E-2</v>
      </c>
      <c r="G897" s="146">
        <f t="shared" si="421"/>
        <v>4.3469066332938774E-2</v>
      </c>
      <c r="H897" s="146">
        <f t="shared" si="421"/>
        <v>4.3469066332938809E-2</v>
      </c>
      <c r="I897" s="146">
        <f t="shared" si="421"/>
        <v>4.3469066332938844E-2</v>
      </c>
      <c r="J897" s="146">
        <f t="shared" si="421"/>
        <v>4.3469066332938767E-2</v>
      </c>
      <c r="K897" s="146">
        <f t="shared" si="421"/>
        <v>4.3469066332938844E-2</v>
      </c>
      <c r="L897" s="146">
        <f t="shared" si="421"/>
        <v>4.3469066332938802E-2</v>
      </c>
      <c r="M897" s="146">
        <f t="shared" si="421"/>
        <v>4.3469066332938747E-2</v>
      </c>
      <c r="N897" s="146">
        <f t="shared" si="421"/>
        <v>4.3469066332938781E-2</v>
      </c>
      <c r="O897" s="146">
        <f>O893/O895</f>
        <v>4.3469066332938837E-2</v>
      </c>
      <c r="P897" s="146">
        <f t="shared" si="421"/>
        <v>4.3469066332938844E-2</v>
      </c>
      <c r="Q897" s="146">
        <f>Q893/Q895</f>
        <v>4.3469066332938816E-2</v>
      </c>
      <c r="R897" s="146">
        <f t="shared" ref="R897:Z897" si="422">R893/R895</f>
        <v>4.3469066332938899E-2</v>
      </c>
      <c r="S897" s="146">
        <f t="shared" si="422"/>
        <v>4.3469066332938823E-2</v>
      </c>
      <c r="T897" s="146">
        <f t="shared" si="422"/>
        <v>4.3469066332938795E-2</v>
      </c>
      <c r="U897" s="146">
        <f t="shared" si="422"/>
        <v>4.346906633293883E-2</v>
      </c>
      <c r="V897" s="146" t="e">
        <f t="shared" si="422"/>
        <v>#DIV/0!</v>
      </c>
      <c r="W897" s="146" t="e">
        <f t="shared" si="422"/>
        <v>#DIV/0!</v>
      </c>
      <c r="X897" s="146" t="e">
        <f t="shared" si="422"/>
        <v>#DIV/0!</v>
      </c>
      <c r="Y897" s="146" t="e">
        <f t="shared" si="422"/>
        <v>#DIV/0!</v>
      </c>
      <c r="Z897" s="146" t="e">
        <f t="shared" si="422"/>
        <v>#DIV/0!</v>
      </c>
      <c r="AA897" s="136"/>
      <c r="AB897" s="136"/>
    </row>
    <row r="898" spans="1:28" hidden="1"/>
    <row r="899" spans="1:28" hidden="1"/>
    <row r="900" spans="1:28" hidden="1"/>
    <row r="901" spans="1:28" ht="15" hidden="1">
      <c r="A901" s="65" t="s">
        <v>827</v>
      </c>
      <c r="B901" s="65"/>
      <c r="F901" s="75">
        <f>F879</f>
        <v>1120165394.2473235</v>
      </c>
      <c r="G901" s="75">
        <f t="shared" ref="G901:U901" si="423">G879</f>
        <v>515109508.02280545</v>
      </c>
      <c r="H901" s="75">
        <f t="shared" si="423"/>
        <v>124153705.31214142</v>
      </c>
      <c r="I901" s="75">
        <f t="shared" si="423"/>
        <v>8182480.7653808473</v>
      </c>
      <c r="J901" s="75">
        <f t="shared" si="423"/>
        <v>132563191.01945904</v>
      </c>
      <c r="K901" s="75">
        <f t="shared" si="423"/>
        <v>141125746.76546925</v>
      </c>
      <c r="L901" s="75">
        <f t="shared" si="423"/>
        <v>108862480.90448853</v>
      </c>
      <c r="M901" s="75">
        <f t="shared" si="423"/>
        <v>67207662.7404681</v>
      </c>
      <c r="N901" s="75">
        <f t="shared" si="423"/>
        <v>4121946.6280607367</v>
      </c>
      <c r="O901" s="75">
        <f t="shared" si="423"/>
        <v>18003297.290420912</v>
      </c>
      <c r="P901" s="75">
        <f t="shared" si="423"/>
        <v>230064.10373822835</v>
      </c>
      <c r="Q901" s="75">
        <f t="shared" si="423"/>
        <v>264417.68479330093</v>
      </c>
      <c r="R901" s="75">
        <f t="shared" si="423"/>
        <v>642.71236082400901</v>
      </c>
      <c r="S901" s="75">
        <f t="shared" si="423"/>
        <v>63053.915056139813</v>
      </c>
      <c r="T901" s="75">
        <f t="shared" si="423"/>
        <v>260216.94941201599</v>
      </c>
      <c r="U901" s="75">
        <f t="shared" si="423"/>
        <v>16979.433268808869</v>
      </c>
      <c r="V901" s="60">
        <v>1</v>
      </c>
      <c r="W901" s="60">
        <v>1</v>
      </c>
      <c r="Z901" s="79">
        <f>ROUND(SUM(G902:Z902),2)</f>
        <v>0</v>
      </c>
      <c r="AA901" s="79"/>
      <c r="AB901" s="92"/>
    </row>
    <row r="902" spans="1:28" ht="15" hidden="1">
      <c r="A902" s="65"/>
      <c r="B902" s="65"/>
    </row>
    <row r="903" spans="1:28" ht="15" hidden="1">
      <c r="A903" s="65" t="s">
        <v>828</v>
      </c>
      <c r="B903" s="65"/>
      <c r="F903" s="79">
        <f>F876</f>
        <v>-89459</v>
      </c>
      <c r="G903" s="79">
        <f>G876</f>
        <v>58919655.842969969</v>
      </c>
      <c r="H903" s="79">
        <f t="shared" ref="H903:Z903" si="424">H876</f>
        <v>-29869563.824729476</v>
      </c>
      <c r="I903" s="79">
        <f t="shared" si="424"/>
        <v>-2317412.2475408358</v>
      </c>
      <c r="J903" s="79">
        <f t="shared" si="424"/>
        <v>-21944098.291160177</v>
      </c>
      <c r="K903" s="79">
        <f t="shared" si="424"/>
        <v>-3235655.0717495456</v>
      </c>
      <c r="L903" s="79">
        <f t="shared" si="424"/>
        <v>1551075.7474675213</v>
      </c>
      <c r="M903" s="79">
        <f t="shared" si="424"/>
        <v>1268302.7425728508</v>
      </c>
      <c r="N903" s="79">
        <f t="shared" si="424"/>
        <v>261145.75223312271</v>
      </c>
      <c r="O903" s="79">
        <f>O876</f>
        <v>-4693022.5988854188</v>
      </c>
      <c r="P903" s="79">
        <f t="shared" si="424"/>
        <v>-28651.476528229901</v>
      </c>
      <c r="Q903" s="79">
        <f t="shared" si="424"/>
        <v>-66710.326985371124</v>
      </c>
      <c r="R903" s="79">
        <f t="shared" si="424"/>
        <v>-15048.237322477189</v>
      </c>
      <c r="S903" s="79">
        <f t="shared" si="424"/>
        <v>50358.606977167037</v>
      </c>
      <c r="T903" s="79">
        <f t="shared" si="424"/>
        <v>23120.949412016002</v>
      </c>
      <c r="U903" s="79">
        <f t="shared" si="424"/>
        <v>7043.4332688088671</v>
      </c>
      <c r="V903" s="79">
        <f t="shared" si="424"/>
        <v>0</v>
      </c>
      <c r="W903" s="79">
        <f t="shared" si="424"/>
        <v>0</v>
      </c>
      <c r="X903" s="79">
        <f t="shared" si="424"/>
        <v>0</v>
      </c>
      <c r="Y903" s="79">
        <f t="shared" si="424"/>
        <v>0</v>
      </c>
      <c r="Z903" s="79">
        <f t="shared" si="424"/>
        <v>0</v>
      </c>
      <c r="AA903" s="79"/>
      <c r="AB903" s="92"/>
    </row>
    <row r="904" spans="1:28" ht="15" hidden="1">
      <c r="A904" s="65"/>
      <c r="B904" s="65"/>
    </row>
    <row r="905" spans="1:28" ht="15" hidden="1">
      <c r="A905" s="65" t="s">
        <v>829</v>
      </c>
      <c r="B905" s="65"/>
      <c r="F905" s="147">
        <f>F903/F901</f>
        <v>-7.9862313600671881E-5</v>
      </c>
      <c r="G905" s="147">
        <f>G903/G879</f>
        <v>0.11438277672087042</v>
      </c>
      <c r="H905" s="147">
        <f t="shared" ref="H905:Z905" si="425">H903/H901</f>
        <v>-0.24058535949154977</v>
      </c>
      <c r="I905" s="147">
        <f t="shared" si="425"/>
        <v>-0.28321633915053557</v>
      </c>
      <c r="J905" s="147">
        <f t="shared" si="425"/>
        <v>-0.16553688940649436</v>
      </c>
      <c r="K905" s="147">
        <f t="shared" si="425"/>
        <v>-2.2927461118251797E-2</v>
      </c>
      <c r="L905" s="147">
        <f t="shared" si="425"/>
        <v>1.424802865578979E-2</v>
      </c>
      <c r="M905" s="147">
        <f t="shared" si="425"/>
        <v>1.88714008322322E-2</v>
      </c>
      <c r="N905" s="147">
        <f t="shared" si="425"/>
        <v>6.3354957207678517E-2</v>
      </c>
      <c r="O905" s="147">
        <f>O903/O901</f>
        <v>-0.26067572640609865</v>
      </c>
      <c r="P905" s="147">
        <f t="shared" si="425"/>
        <v>-0.12453692715500779</v>
      </c>
      <c r="Q905" s="147">
        <f t="shared" si="425"/>
        <v>-0.25229147224974585</v>
      </c>
      <c r="R905" s="147">
        <f t="shared" si="425"/>
        <v>-23.413642306776453</v>
      </c>
      <c r="S905" s="147">
        <f t="shared" si="425"/>
        <v>0.79865947946817328</v>
      </c>
      <c r="T905" s="147">
        <f t="shared" si="425"/>
        <v>8.8852588058771359E-2</v>
      </c>
      <c r="U905" s="147">
        <f t="shared" si="425"/>
        <v>0.41482145824899924</v>
      </c>
      <c r="V905" s="147">
        <f>V903/V901</f>
        <v>0</v>
      </c>
      <c r="W905" s="147">
        <f t="shared" si="425"/>
        <v>0</v>
      </c>
      <c r="X905" s="147" t="e">
        <f t="shared" si="425"/>
        <v>#DIV/0!</v>
      </c>
      <c r="Y905" s="147" t="e">
        <f t="shared" si="425"/>
        <v>#DIV/0!</v>
      </c>
      <c r="Z905" s="147" t="e">
        <f t="shared" si="425"/>
        <v>#DIV/0!</v>
      </c>
    </row>
    <row r="906" spans="1:28" ht="15" hidden="1">
      <c r="A906" s="65"/>
      <c r="B906" s="65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</row>
    <row r="907" spans="1:28" hidden="1">
      <c r="A907" s="32" t="s">
        <v>1191</v>
      </c>
      <c r="B907" s="217"/>
      <c r="C907" s="217"/>
      <c r="D907" s="217"/>
      <c r="E907" s="217"/>
      <c r="F907" s="219">
        <f>F876-F844</f>
        <v>-89459</v>
      </c>
      <c r="G907" s="219">
        <f>G876-G844</f>
        <v>58919655.842969969</v>
      </c>
      <c r="H907" s="219">
        <f t="shared" ref="H907:U907" si="426">H876-H844</f>
        <v>-29869563.824729476</v>
      </c>
      <c r="I907" s="219">
        <f t="shared" si="426"/>
        <v>-2317412.2475408358</v>
      </c>
      <c r="J907" s="219">
        <f t="shared" si="426"/>
        <v>-21944098.291160177</v>
      </c>
      <c r="K907" s="219">
        <f t="shared" si="426"/>
        <v>-3235655.0717495456</v>
      </c>
      <c r="L907" s="219">
        <f t="shared" si="426"/>
        <v>1551075.7474675213</v>
      </c>
      <c r="M907" s="219">
        <f t="shared" si="426"/>
        <v>1268302.7425728508</v>
      </c>
      <c r="N907" s="219">
        <f t="shared" si="426"/>
        <v>261145.75223312271</v>
      </c>
      <c r="O907" s="219">
        <f t="shared" si="426"/>
        <v>-4693022.5988854188</v>
      </c>
      <c r="P907" s="219">
        <f t="shared" si="426"/>
        <v>-28651.476528229901</v>
      </c>
      <c r="Q907" s="219">
        <f t="shared" si="426"/>
        <v>-66710.326985371124</v>
      </c>
      <c r="R907" s="219">
        <f t="shared" si="426"/>
        <v>-15048.237322477189</v>
      </c>
      <c r="S907" s="219">
        <f t="shared" si="426"/>
        <v>50358.606977167037</v>
      </c>
      <c r="T907" s="219">
        <f t="shared" si="426"/>
        <v>23120.949412016002</v>
      </c>
      <c r="U907" s="219">
        <f t="shared" si="426"/>
        <v>7043.4332688088671</v>
      </c>
      <c r="V907" s="219">
        <f>V875-V842</f>
        <v>0</v>
      </c>
      <c r="W907" s="218" t="str">
        <f>IF(ABS(F907-V907)&lt;0.01,"ok","err")</f>
        <v>err</v>
      </c>
      <c r="X907" s="147"/>
      <c r="Y907" s="147"/>
      <c r="Z907" s="147"/>
    </row>
    <row r="908" spans="1:28" ht="15" hidden="1">
      <c r="A908" s="65"/>
      <c r="B908" s="65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</row>
    <row r="909" spans="1:28" ht="15">
      <c r="A909" s="65"/>
      <c r="B909" s="65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</row>
    <row r="910" spans="1:28" ht="15">
      <c r="A910" s="65" t="s">
        <v>1157</v>
      </c>
    </row>
    <row r="912" spans="1:28" ht="15">
      <c r="A912" s="65" t="s">
        <v>1038</v>
      </c>
    </row>
    <row r="914" spans="1:28">
      <c r="A914" s="60" t="s">
        <v>133</v>
      </c>
      <c r="F914" s="79">
        <f>F841</f>
        <v>1120075935.2473235</v>
      </c>
      <c r="G914" s="79">
        <f t="shared" ref="G914:Z914" si="427">G841</f>
        <v>456019130.66129225</v>
      </c>
      <c r="H914" s="79">
        <f t="shared" si="427"/>
        <v>154016488.24309376</v>
      </c>
      <c r="I914" s="79">
        <f t="shared" si="427"/>
        <v>10499864.717314858</v>
      </c>
      <c r="J914" s="79">
        <f t="shared" si="427"/>
        <v>154506164.60177773</v>
      </c>
      <c r="K914" s="79">
        <f t="shared" si="427"/>
        <v>144361348.64369288</v>
      </c>
      <c r="L914" s="79">
        <f t="shared" si="427"/>
        <v>107311201.022214</v>
      </c>
      <c r="M914" s="79">
        <f t="shared" si="427"/>
        <v>65939354.742996849</v>
      </c>
      <c r="N914" s="79">
        <f t="shared" si="427"/>
        <v>3860800.8758276142</v>
      </c>
      <c r="O914" s="79">
        <f>O841</f>
        <v>22696319.889306329</v>
      </c>
      <c r="P914" s="79">
        <f t="shared" si="427"/>
        <v>258715.58026645824</v>
      </c>
      <c r="Q914" s="79">
        <f t="shared" si="427"/>
        <v>331128.01177867205</v>
      </c>
      <c r="R914" s="79">
        <f t="shared" si="427"/>
        <v>15690.949683301198</v>
      </c>
      <c r="S914" s="79">
        <f t="shared" si="427"/>
        <v>12695.308078972774</v>
      </c>
      <c r="T914" s="79">
        <f t="shared" si="427"/>
        <v>237096</v>
      </c>
      <c r="U914" s="79">
        <f t="shared" si="427"/>
        <v>9936</v>
      </c>
      <c r="V914" s="79">
        <f t="shared" si="427"/>
        <v>0</v>
      </c>
      <c r="W914" s="79">
        <f t="shared" si="427"/>
        <v>0</v>
      </c>
      <c r="X914" s="79">
        <f t="shared" si="427"/>
        <v>0</v>
      </c>
      <c r="Y914" s="79">
        <f t="shared" si="427"/>
        <v>0</v>
      </c>
      <c r="Z914" s="79">
        <f t="shared" si="427"/>
        <v>0</v>
      </c>
      <c r="AA914" s="79">
        <f>ROUND(SUM(G914:Z914),2)</f>
        <v>1120075935.25</v>
      </c>
      <c r="AB914" s="92" t="str">
        <f>IF(ABS(F914-AA914)&lt;0.01,"ok","err")</f>
        <v>ok</v>
      </c>
    </row>
    <row r="915" spans="1:28"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92"/>
    </row>
    <row r="916" spans="1:28">
      <c r="A916" s="60" t="s">
        <v>134</v>
      </c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92"/>
    </row>
    <row r="917" spans="1:28">
      <c r="A917" s="60" t="s">
        <v>1160</v>
      </c>
      <c r="F917" s="75">
        <v>130962989</v>
      </c>
      <c r="G917" s="75">
        <f>53134815+21177</f>
        <v>53155992</v>
      </c>
      <c r="H917" s="75">
        <v>19105822</v>
      </c>
      <c r="I917" s="75">
        <v>1225601</v>
      </c>
      <c r="J917" s="75">
        <v>17917377</v>
      </c>
      <c r="K917" s="75">
        <v>16361581</v>
      </c>
      <c r="L917" s="75">
        <v>12216545</v>
      </c>
      <c r="M917" s="75">
        <v>7690372</v>
      </c>
      <c r="N917" s="75">
        <v>435109</v>
      </c>
      <c r="O917" s="75">
        <v>2856239</v>
      </c>
      <c r="P917" s="75">
        <v>3</v>
      </c>
      <c r="Q917" s="75">
        <v>-14</v>
      </c>
      <c r="R917" s="75">
        <f>-1638</f>
        <v>-1638</v>
      </c>
      <c r="S917" s="75">
        <v>0</v>
      </c>
      <c r="T917" s="75">
        <v>0</v>
      </c>
      <c r="U917" s="75">
        <v>0</v>
      </c>
      <c r="V917" s="75"/>
      <c r="W917" s="75"/>
      <c r="X917" s="75"/>
      <c r="Y917" s="75"/>
      <c r="Z917" s="75"/>
      <c r="AA917" s="79">
        <f t="shared" ref="AA917:AA922" si="428">SUM(G917:Z917)</f>
        <v>130962989</v>
      </c>
      <c r="AB917" s="92" t="str">
        <f t="shared" ref="AB917:AB922" si="429">IF(ABS(F917-AA917)&lt;0.01,"ok","err")</f>
        <v>ok</v>
      </c>
    </row>
    <row r="918" spans="1:28">
      <c r="A918" s="60" t="s">
        <v>1338</v>
      </c>
      <c r="F918" s="75">
        <v>175526</v>
      </c>
      <c r="G918" s="75">
        <v>0</v>
      </c>
      <c r="H918" s="75">
        <v>0</v>
      </c>
      <c r="I918" s="75">
        <v>0</v>
      </c>
      <c r="J918" s="75">
        <v>0</v>
      </c>
      <c r="K918" s="75">
        <v>0</v>
      </c>
      <c r="L918" s="75">
        <v>0</v>
      </c>
      <c r="M918" s="75">
        <v>0</v>
      </c>
      <c r="N918" s="75">
        <v>0</v>
      </c>
      <c r="O918" s="75">
        <v>0</v>
      </c>
      <c r="P918" s="75">
        <v>0</v>
      </c>
      <c r="Q918" s="75">
        <v>0</v>
      </c>
      <c r="R918" s="75">
        <v>0</v>
      </c>
      <c r="S918" s="75">
        <v>55206</v>
      </c>
      <c r="T918" s="75">
        <v>110942</v>
      </c>
      <c r="U918" s="75">
        <v>9378</v>
      </c>
      <c r="V918" s="75"/>
      <c r="W918" s="75"/>
      <c r="X918" s="78"/>
      <c r="Y918" s="78"/>
      <c r="Z918" s="78"/>
      <c r="AA918" s="79">
        <f t="shared" si="428"/>
        <v>175526</v>
      </c>
      <c r="AB918" s="92" t="str">
        <f t="shared" si="429"/>
        <v>ok</v>
      </c>
    </row>
    <row r="919" spans="1:28">
      <c r="A919" s="60" t="s">
        <v>1342</v>
      </c>
      <c r="E919" s="60" t="s">
        <v>686</v>
      </c>
      <c r="F919" s="75">
        <v>0</v>
      </c>
      <c r="G919" s="75">
        <f t="shared" ref="G919:Z919" si="430">IF(VLOOKUP($E919,$D$6:$AN$1148,3,)=0,0,(VLOOKUP($E919,$D$6:$AN$1148,G$2,)/VLOOKUP($E919,$D$6:$AN$1148,3,))*$F919)</f>
        <v>0</v>
      </c>
      <c r="H919" s="75">
        <f t="shared" si="430"/>
        <v>0</v>
      </c>
      <c r="I919" s="75">
        <f t="shared" si="430"/>
        <v>0</v>
      </c>
      <c r="J919" s="75">
        <f t="shared" si="430"/>
        <v>0</v>
      </c>
      <c r="K919" s="75">
        <f t="shared" si="430"/>
        <v>0</v>
      </c>
      <c r="L919" s="75">
        <f t="shared" si="430"/>
        <v>0</v>
      </c>
      <c r="M919" s="75">
        <f t="shared" si="430"/>
        <v>0</v>
      </c>
      <c r="N919" s="75">
        <f t="shared" si="430"/>
        <v>0</v>
      </c>
      <c r="O919" s="75">
        <f t="shared" si="430"/>
        <v>0</v>
      </c>
      <c r="P919" s="75">
        <f t="shared" si="430"/>
        <v>0</v>
      </c>
      <c r="Q919" s="75">
        <f t="shared" si="430"/>
        <v>0</v>
      </c>
      <c r="R919" s="75">
        <f t="shared" si="430"/>
        <v>0</v>
      </c>
      <c r="S919" s="75">
        <f t="shared" si="430"/>
        <v>0</v>
      </c>
      <c r="T919" s="75">
        <f t="shared" si="430"/>
        <v>0</v>
      </c>
      <c r="U919" s="75">
        <f t="shared" si="430"/>
        <v>0</v>
      </c>
      <c r="V919" s="75">
        <f t="shared" si="430"/>
        <v>0</v>
      </c>
      <c r="W919" s="75">
        <f t="shared" si="430"/>
        <v>0</v>
      </c>
      <c r="X919" s="78">
        <f t="shared" si="430"/>
        <v>0</v>
      </c>
      <c r="Y919" s="78">
        <f t="shared" si="430"/>
        <v>0</v>
      </c>
      <c r="Z919" s="78">
        <f t="shared" si="430"/>
        <v>0</v>
      </c>
      <c r="AA919" s="79">
        <f t="shared" si="428"/>
        <v>0</v>
      </c>
      <c r="AB919" s="92" t="str">
        <f t="shared" si="429"/>
        <v>ok</v>
      </c>
    </row>
    <row r="920" spans="1:28">
      <c r="A920" s="60" t="s">
        <v>1349</v>
      </c>
      <c r="F920" s="75">
        <v>0</v>
      </c>
      <c r="G920" s="75">
        <v>0</v>
      </c>
      <c r="H920" s="75">
        <v>0</v>
      </c>
      <c r="I920" s="75">
        <v>0</v>
      </c>
      <c r="J920" s="75">
        <v>0</v>
      </c>
      <c r="K920" s="75">
        <v>0</v>
      </c>
      <c r="L920" s="75">
        <v>0</v>
      </c>
      <c r="M920" s="75">
        <v>0</v>
      </c>
      <c r="N920" s="75">
        <v>0</v>
      </c>
      <c r="O920" s="75">
        <v>0</v>
      </c>
      <c r="P920" s="75">
        <v>0</v>
      </c>
      <c r="Q920" s="75">
        <v>0</v>
      </c>
      <c r="R920" s="75">
        <v>0</v>
      </c>
      <c r="S920" s="75">
        <f>F920</f>
        <v>0</v>
      </c>
      <c r="T920" s="75">
        <v>0</v>
      </c>
      <c r="U920" s="75">
        <v>0</v>
      </c>
      <c r="V920" s="75"/>
      <c r="W920" s="75"/>
      <c r="X920" s="78"/>
      <c r="Y920" s="78"/>
      <c r="Z920" s="78"/>
      <c r="AA920" s="79">
        <f t="shared" si="428"/>
        <v>0</v>
      </c>
      <c r="AB920" s="92" t="str">
        <f t="shared" si="429"/>
        <v>ok</v>
      </c>
    </row>
    <row r="921" spans="1:28">
      <c r="A921" s="60" t="s">
        <v>1344</v>
      </c>
      <c r="E921" s="60" t="s">
        <v>1307</v>
      </c>
      <c r="F921" s="75">
        <v>5112</v>
      </c>
      <c r="G921" s="75">
        <f t="shared" ref="G921:Z921" si="431">IF(VLOOKUP($E921,$D$6:$AN$1148,3,)=0,0,(VLOOKUP($E921,$D$6:$AN$1148,G$2,)/VLOOKUP($E921,$D$6:$AN$1148,3,))*$F921)</f>
        <v>2527.0599770278941</v>
      </c>
      <c r="H921" s="75">
        <f t="shared" si="431"/>
        <v>589.47020672645692</v>
      </c>
      <c r="I921" s="75">
        <f t="shared" si="431"/>
        <v>34.900514958537414</v>
      </c>
      <c r="J921" s="75">
        <f t="shared" si="431"/>
        <v>586.99342715246155</v>
      </c>
      <c r="K921" s="75">
        <f t="shared" si="431"/>
        <v>519.38922255599152</v>
      </c>
      <c r="L921" s="75">
        <f t="shared" si="431"/>
        <v>448.55893431858311</v>
      </c>
      <c r="M921" s="75">
        <f t="shared" si="431"/>
        <v>237.09968046402963</v>
      </c>
      <c r="N921" s="75">
        <f t="shared" si="431"/>
        <v>15.227140927649558</v>
      </c>
      <c r="O921" s="75">
        <f t="shared" si="431"/>
        <v>151.47176579297886</v>
      </c>
      <c r="P921" s="75">
        <f t="shared" si="431"/>
        <v>0.81822582200904392</v>
      </c>
      <c r="Q921" s="75">
        <f t="shared" si="431"/>
        <v>0.99189137952144857</v>
      </c>
      <c r="R921" s="75">
        <f t="shared" si="431"/>
        <v>1.9012873886869921E-2</v>
      </c>
      <c r="S921" s="75">
        <f t="shared" si="431"/>
        <v>0</v>
      </c>
      <c r="T921" s="75">
        <f t="shared" si="431"/>
        <v>0</v>
      </c>
      <c r="U921" s="75">
        <f t="shared" si="431"/>
        <v>0</v>
      </c>
      <c r="V921" s="75">
        <f t="shared" si="431"/>
        <v>0</v>
      </c>
      <c r="W921" s="75">
        <f t="shared" si="431"/>
        <v>0</v>
      </c>
      <c r="X921" s="78">
        <f t="shared" si="431"/>
        <v>0</v>
      </c>
      <c r="Y921" s="78">
        <f t="shared" si="431"/>
        <v>0</v>
      </c>
      <c r="Z921" s="78">
        <f t="shared" si="431"/>
        <v>0</v>
      </c>
      <c r="AA921" s="79">
        <f t="shared" si="428"/>
        <v>5112.0000000000009</v>
      </c>
      <c r="AB921" s="92" t="str">
        <f t="shared" si="429"/>
        <v>ok</v>
      </c>
    </row>
    <row r="922" spans="1:28" ht="13.15" customHeight="1">
      <c r="A922" s="60" t="s">
        <v>1343</v>
      </c>
      <c r="E922" s="60" t="s">
        <v>179</v>
      </c>
      <c r="F922" s="75">
        <f>84527+4932</f>
        <v>89459</v>
      </c>
      <c r="G922" s="75">
        <f t="shared" ref="G922:U922" si="432">G846</f>
        <v>85360.759271618517</v>
      </c>
      <c r="H922" s="75">
        <f t="shared" si="432"/>
        <v>3390.4468885644255</v>
      </c>
      <c r="I922" s="75">
        <f t="shared" si="432"/>
        <v>14.147803411850305</v>
      </c>
      <c r="J922" s="75">
        <f t="shared" si="432"/>
        <v>562.35442074324351</v>
      </c>
      <c r="K922" s="75">
        <f t="shared" si="432"/>
        <v>26.596762954128913</v>
      </c>
      <c r="L922" s="75">
        <f t="shared" si="432"/>
        <v>102.06740350278399</v>
      </c>
      <c r="M922" s="75">
        <f t="shared" si="432"/>
        <v>2.6274492050579137</v>
      </c>
      <c r="N922" s="75">
        <f t="shared" si="432"/>
        <v>0</v>
      </c>
      <c r="O922" s="75">
        <f t="shared" si="432"/>
        <v>0</v>
      </c>
      <c r="P922" s="75">
        <f t="shared" si="432"/>
        <v>0</v>
      </c>
      <c r="Q922" s="75">
        <f t="shared" si="432"/>
        <v>0</v>
      </c>
      <c r="R922" s="75">
        <f t="shared" si="432"/>
        <v>0</v>
      </c>
      <c r="S922" s="75">
        <f t="shared" si="432"/>
        <v>0</v>
      </c>
      <c r="T922" s="75">
        <f t="shared" si="432"/>
        <v>0</v>
      </c>
      <c r="U922" s="75">
        <f t="shared" si="432"/>
        <v>0</v>
      </c>
      <c r="V922" s="75">
        <f>IF(VLOOKUP($E922,$D$6:$AN$1148,3,)=0,0,(VLOOKUP($E922,$D$6:$AN$1148,V$2,)/VLOOKUP($E922,$D$6:$AN$1148,3,))*$F922)</f>
        <v>0</v>
      </c>
      <c r="W922" s="75">
        <f>IF(VLOOKUP($E922,$D$6:$AN$1148,3,)=0,0,(VLOOKUP($E922,$D$6:$AN$1148,W$2,)/VLOOKUP($E922,$D$6:$AN$1148,3,))*$F922)</f>
        <v>0</v>
      </c>
      <c r="X922" s="78">
        <f>IF(VLOOKUP($E922,$D$6:$AN$1148,3,)=0,0,(VLOOKUP($E922,$D$6:$AN$1148,X$2,)/VLOOKUP($E922,$D$6:$AN$1148,3,))*$F922)</f>
        <v>0</v>
      </c>
      <c r="Y922" s="78">
        <f>IF(VLOOKUP($E922,$D$6:$AN$1148,3,)=0,0,(VLOOKUP($E922,$D$6:$AN$1148,Y$2,)/VLOOKUP($E922,$D$6:$AN$1148,3,))*$F922)</f>
        <v>0</v>
      </c>
      <c r="Z922" s="78">
        <f>IF(VLOOKUP($E922,$D$6:$AN$1148,3,)=0,0,(VLOOKUP($E922,$D$6:$AN$1148,Z$2,)/VLOOKUP($E922,$D$6:$AN$1148,3,))*$F922)</f>
        <v>0</v>
      </c>
      <c r="AA922" s="79">
        <f t="shared" si="428"/>
        <v>89459</v>
      </c>
      <c r="AB922" s="92" t="str">
        <f t="shared" si="429"/>
        <v>ok</v>
      </c>
    </row>
    <row r="924" spans="1:28">
      <c r="A924" s="60" t="s">
        <v>135</v>
      </c>
      <c r="F924" s="79">
        <f>SUM(F914:F922)</f>
        <v>1251309021.2473235</v>
      </c>
      <c r="G924" s="79">
        <f t="shared" ref="G924:P924" si="433">SUM(G914:G922)</f>
        <v>509263010.48054093</v>
      </c>
      <c r="H924" s="79">
        <f t="shared" si="433"/>
        <v>173126290.16018906</v>
      </c>
      <c r="I924" s="79">
        <f t="shared" si="433"/>
        <v>11725514.765633229</v>
      </c>
      <c r="J924" s="79">
        <f t="shared" si="433"/>
        <v>172424690.94962564</v>
      </c>
      <c r="K924" s="79">
        <f t="shared" si="433"/>
        <v>160723475.6296784</v>
      </c>
      <c r="L924" s="79">
        <f t="shared" si="433"/>
        <v>119528296.64855182</v>
      </c>
      <c r="M924" s="79">
        <f t="shared" si="433"/>
        <v>73629966.47012651</v>
      </c>
      <c r="N924" s="79">
        <f t="shared" si="433"/>
        <v>4295925.1029685419</v>
      </c>
      <c r="O924" s="79">
        <f>SUM(O914:O922)</f>
        <v>25552710.361072123</v>
      </c>
      <c r="P924" s="79">
        <f t="shared" si="433"/>
        <v>258719.39849228025</v>
      </c>
      <c r="Q924" s="79">
        <f>SUM(Q914:Q922)</f>
        <v>331115.00367005158</v>
      </c>
      <c r="R924" s="79">
        <f t="shared" ref="R924:Z924" si="434">SUM(R914:R922)</f>
        <v>14052.968696175085</v>
      </c>
      <c r="S924" s="79">
        <f t="shared" si="434"/>
        <v>67901.308078972768</v>
      </c>
      <c r="T924" s="79">
        <f t="shared" si="434"/>
        <v>348038</v>
      </c>
      <c r="U924" s="79">
        <f t="shared" si="434"/>
        <v>19314</v>
      </c>
      <c r="V924" s="79">
        <f t="shared" si="434"/>
        <v>0</v>
      </c>
      <c r="W924" s="79">
        <f t="shared" si="434"/>
        <v>0</v>
      </c>
      <c r="X924" s="79">
        <f t="shared" si="434"/>
        <v>0</v>
      </c>
      <c r="Y924" s="79">
        <f t="shared" si="434"/>
        <v>0</v>
      </c>
      <c r="Z924" s="79">
        <f t="shared" si="434"/>
        <v>0</v>
      </c>
      <c r="AA924" s="79">
        <f>ROUND(SUM(G924:Z924),2)</f>
        <v>1251309021.25</v>
      </c>
      <c r="AB924" s="92" t="str">
        <f>IF(ABS(F924-AA924)&lt;0.01,"ok","err")</f>
        <v>ok</v>
      </c>
    </row>
    <row r="926" spans="1:28">
      <c r="E926" s="79"/>
    </row>
    <row r="927" spans="1:28" ht="15">
      <c r="A927" s="65" t="s">
        <v>1042</v>
      </c>
      <c r="E927" s="78"/>
    </row>
    <row r="928" spans="1:28">
      <c r="E928" s="79"/>
    </row>
    <row r="929" spans="1:28">
      <c r="A929" s="60" t="s">
        <v>1045</v>
      </c>
      <c r="F929" s="79">
        <f>F853</f>
        <v>969736807.38150656</v>
      </c>
      <c r="G929" s="79">
        <f>G853</f>
        <v>426124709.75458241</v>
      </c>
      <c r="H929" s="79">
        <f t="shared" ref="H929:Z929" si="435">H853</f>
        <v>114244999.50880583</v>
      </c>
      <c r="I929" s="79">
        <f t="shared" si="435"/>
        <v>7732349.6607865905</v>
      </c>
      <c r="J929" s="79">
        <f t="shared" si="435"/>
        <v>120758860.84862022</v>
      </c>
      <c r="K929" s="79">
        <f t="shared" si="435"/>
        <v>126659387.77220531</v>
      </c>
      <c r="L929" s="79">
        <f t="shared" si="435"/>
        <v>95288837.905961037</v>
      </c>
      <c r="M929" s="79">
        <f t="shared" si="435"/>
        <v>59921463.14254564</v>
      </c>
      <c r="N929" s="79">
        <f t="shared" si="435"/>
        <v>3609346.6253766143</v>
      </c>
      <c r="O929" s="79">
        <f>O853</f>
        <v>14716313.537702296</v>
      </c>
      <c r="P929" s="79">
        <f t="shared" si="435"/>
        <v>213128.68969225968</v>
      </c>
      <c r="Q929" s="79">
        <f t="shared" si="435"/>
        <v>251835.74093845059</v>
      </c>
      <c r="R929" s="79">
        <f t="shared" si="435"/>
        <v>3823.9079148180017</v>
      </c>
      <c r="S929" s="79">
        <f t="shared" si="435"/>
        <v>45303.181509845861</v>
      </c>
      <c r="T929" s="79">
        <f t="shared" si="435"/>
        <v>153855.85858076424</v>
      </c>
      <c r="U929" s="79">
        <f t="shared" si="435"/>
        <v>12591.246284675426</v>
      </c>
      <c r="V929" s="79">
        <f t="shared" si="435"/>
        <v>0</v>
      </c>
      <c r="W929" s="79">
        <f t="shared" si="435"/>
        <v>0</v>
      </c>
      <c r="X929" s="79">
        <f t="shared" si="435"/>
        <v>0</v>
      </c>
      <c r="Y929" s="79">
        <f t="shared" si="435"/>
        <v>0</v>
      </c>
      <c r="Z929" s="79">
        <f t="shared" si="435"/>
        <v>0</v>
      </c>
      <c r="AA929" s="79">
        <f>ROUND(SUM(G929:Z929),2)</f>
        <v>969736807.38</v>
      </c>
      <c r="AB929" s="92" t="str">
        <f>IF(ABS(F929-AA929)&lt;0.01,"ok","err")</f>
        <v>ok</v>
      </c>
    </row>
    <row r="930" spans="1:28"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  <c r="AB930" s="92"/>
    </row>
    <row r="931" spans="1:28">
      <c r="A931" s="60" t="s">
        <v>672</v>
      </c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  <c r="AA931" s="79"/>
      <c r="AB931" s="92"/>
    </row>
    <row r="932" spans="1:28">
      <c r="A932" s="60" t="s">
        <v>1347</v>
      </c>
      <c r="E932" s="400">
        <v>1.82E-3</v>
      </c>
      <c r="F932" s="78">
        <f>SUM(F917:F922)*$E$932</f>
        <v>238844.21651999999</v>
      </c>
      <c r="G932" s="78">
        <f t="shared" ref="G932:U932" si="436">SUM(G917:G922)*$E$932</f>
        <v>96903.86127103254</v>
      </c>
      <c r="H932" s="78">
        <f t="shared" si="436"/>
        <v>34779.83948911343</v>
      </c>
      <c r="I932" s="78">
        <f t="shared" si="436"/>
        <v>2230.6830879394338</v>
      </c>
      <c r="J932" s="78">
        <f t="shared" si="436"/>
        <v>32611.717953083175</v>
      </c>
      <c r="K932" s="78">
        <f t="shared" si="436"/>
        <v>29779.071114493629</v>
      </c>
      <c r="L932" s="78">
        <f t="shared" si="436"/>
        <v>22235.114039934833</v>
      </c>
      <c r="M932" s="78">
        <f t="shared" si="436"/>
        <v>13996.913343375998</v>
      </c>
      <c r="N932" s="78">
        <f t="shared" si="436"/>
        <v>791.92609339648834</v>
      </c>
      <c r="O932" s="78">
        <f t="shared" si="436"/>
        <v>5198.6306586137434</v>
      </c>
      <c r="P932" s="78">
        <f t="shared" si="436"/>
        <v>6.9491709960564597E-3</v>
      </c>
      <c r="Q932" s="78">
        <f t="shared" si="436"/>
        <v>-2.3674757689270964E-2</v>
      </c>
      <c r="R932" s="78">
        <f t="shared" si="436"/>
        <v>-2.9811253965695261</v>
      </c>
      <c r="S932" s="78">
        <f t="shared" si="436"/>
        <v>100.47492</v>
      </c>
      <c r="T932" s="78">
        <f t="shared" si="436"/>
        <v>201.91444000000001</v>
      </c>
      <c r="U932" s="78">
        <f t="shared" si="436"/>
        <v>17.067959999999999</v>
      </c>
      <c r="V932" s="75"/>
      <c r="W932" s="75"/>
      <c r="X932" s="78"/>
      <c r="Y932" s="78"/>
      <c r="Z932" s="78"/>
      <c r="AA932" s="79">
        <f t="shared" ref="AA932:AA933" si="437">ROUND(SUM(G932:Z932),2)</f>
        <v>238844.22</v>
      </c>
      <c r="AB932" s="92" t="str">
        <f t="shared" ref="AB932:AB933" si="438">IF(ABS(F932-AA932)&lt;0.01,"ok","err")</f>
        <v>ok</v>
      </c>
    </row>
    <row r="933" spans="1:28">
      <c r="A933" s="60" t="s">
        <v>1348</v>
      </c>
      <c r="E933" s="400">
        <v>2E-3</v>
      </c>
      <c r="F933" s="78">
        <f>SUM(F917:F922)*$E$933</f>
        <v>262466.17200000002</v>
      </c>
      <c r="G933" s="78">
        <f t="shared" ref="G933:U933" si="439">SUM(G917:G922)*$E$933</f>
        <v>106487.7596384973</v>
      </c>
      <c r="H933" s="78">
        <f t="shared" si="439"/>
        <v>38219.603834190588</v>
      </c>
      <c r="I933" s="78">
        <f t="shared" si="439"/>
        <v>2451.3000966367404</v>
      </c>
      <c r="J933" s="78">
        <f t="shared" si="439"/>
        <v>35837.052695695798</v>
      </c>
      <c r="K933" s="78">
        <f t="shared" si="439"/>
        <v>32724.253971971022</v>
      </c>
      <c r="L933" s="78">
        <f t="shared" si="439"/>
        <v>24434.191252675642</v>
      </c>
      <c r="M933" s="78">
        <f t="shared" si="439"/>
        <v>15381.223454259338</v>
      </c>
      <c r="N933" s="78">
        <f t="shared" si="439"/>
        <v>870.24845428185529</v>
      </c>
      <c r="O933" s="78">
        <f t="shared" si="439"/>
        <v>5712.7809435315858</v>
      </c>
      <c r="P933" s="78">
        <f t="shared" si="439"/>
        <v>7.6364516440180878E-3</v>
      </c>
      <c r="Q933" s="78">
        <f t="shared" si="439"/>
        <v>-2.6016217240957106E-2</v>
      </c>
      <c r="R933" s="78">
        <f t="shared" si="439"/>
        <v>-3.2759619742522266</v>
      </c>
      <c r="S933" s="78">
        <f t="shared" si="439"/>
        <v>110.41200000000001</v>
      </c>
      <c r="T933" s="78">
        <f t="shared" si="439"/>
        <v>221.88400000000001</v>
      </c>
      <c r="U933" s="78">
        <f t="shared" si="439"/>
        <v>18.756</v>
      </c>
      <c r="V933" s="75"/>
      <c r="W933" s="75"/>
      <c r="X933" s="78"/>
      <c r="Y933" s="78"/>
      <c r="Z933" s="78"/>
      <c r="AA933" s="79">
        <f t="shared" si="437"/>
        <v>262466.17</v>
      </c>
      <c r="AB933" s="92" t="str">
        <f t="shared" si="438"/>
        <v>ok</v>
      </c>
    </row>
    <row r="934" spans="1:28"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  <c r="AA934" s="79"/>
      <c r="AB934" s="92"/>
    </row>
    <row r="935" spans="1:28">
      <c r="A935" s="60" t="s">
        <v>673</v>
      </c>
      <c r="E935" s="147">
        <v>0.24849452</v>
      </c>
      <c r="F935" s="111">
        <f>SUM(F917:F922)*$E$935</f>
        <v>32610702.71368872</v>
      </c>
      <c r="G935" s="111">
        <f t="shared" ref="G935:U935" si="440">SUM(G917:G922)*$E$935</f>
        <v>13230812.358621879</v>
      </c>
      <c r="H935" s="111">
        <f t="shared" si="440"/>
        <v>4748681.0546836741</v>
      </c>
      <c r="I935" s="111">
        <f t="shared" si="440"/>
        <v>304567.32044485019</v>
      </c>
      <c r="J935" s="111">
        <f t="shared" si="440"/>
        <v>4452655.6039158162</v>
      </c>
      <c r="K935" s="111">
        <f t="shared" si="440"/>
        <v>4065898.8915615161</v>
      </c>
      <c r="L935" s="111">
        <f t="shared" si="440"/>
        <v>3035881.3134609163</v>
      </c>
      <c r="M935" s="111">
        <f t="shared" si="440"/>
        <v>1911074.8696394581</v>
      </c>
      <c r="N935" s="111">
        <f t="shared" si="440"/>
        <v>108125.98596375578</v>
      </c>
      <c r="O935" s="111">
        <f t="shared" si="440"/>
        <v>709797.37921401428</v>
      </c>
      <c r="P935" s="111">
        <f t="shared" si="440"/>
        <v>0.94880819289174279</v>
      </c>
      <c r="Q935" s="111">
        <f t="shared" si="440"/>
        <v>-3.2324437077536801</v>
      </c>
      <c r="R935" s="111">
        <f t="shared" si="440"/>
        <v>-407.02929916502967</v>
      </c>
      <c r="S935" s="111">
        <f t="shared" si="440"/>
        <v>13718.388471119999</v>
      </c>
      <c r="T935" s="111">
        <f t="shared" si="440"/>
        <v>27568.479037839999</v>
      </c>
      <c r="U935" s="111">
        <f t="shared" si="440"/>
        <v>2330.3816085600001</v>
      </c>
      <c r="V935" s="111">
        <f>(V917+V922)*0.407634</f>
        <v>0</v>
      </c>
      <c r="W935" s="111">
        <f>(W917+W922)*0.407634</f>
        <v>0</v>
      </c>
      <c r="X935" s="111">
        <f>(X917+X922)*0.407634</f>
        <v>0</v>
      </c>
      <c r="Y935" s="111">
        <f>(Y917+Y922)*0.407634</f>
        <v>0</v>
      </c>
      <c r="Z935" s="111">
        <f>(Z917+Z922)*0.407634</f>
        <v>0</v>
      </c>
      <c r="AA935" s="79">
        <f>ROUND(SUM(G935:Z935),2)</f>
        <v>32610702.710000001</v>
      </c>
      <c r="AB935" s="92" t="str">
        <f>IF(ABS(F935-AA935)&lt;0.01,"ok","err")</f>
        <v>ok</v>
      </c>
    </row>
    <row r="936" spans="1:28">
      <c r="A936" s="68"/>
      <c r="F936" s="78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9"/>
      <c r="AB936" s="92"/>
    </row>
    <row r="937" spans="1:28">
      <c r="A937" s="60" t="s">
        <v>136</v>
      </c>
      <c r="F937" s="79">
        <f t="shared" ref="F937:Z937" si="441">SUM(F929:F936)</f>
        <v>1002848820.4837153</v>
      </c>
      <c r="G937" s="79">
        <f t="shared" si="441"/>
        <v>439558913.73411381</v>
      </c>
      <c r="H937" s="79">
        <f t="shared" si="441"/>
        <v>119066680.00681281</v>
      </c>
      <c r="I937" s="79">
        <f t="shared" si="441"/>
        <v>8041598.9644160168</v>
      </c>
      <c r="J937" s="79">
        <f t="shared" si="441"/>
        <v>125279965.22318481</v>
      </c>
      <c r="K937" s="79">
        <f t="shared" si="441"/>
        <v>130787789.98885329</v>
      </c>
      <c r="L937" s="79">
        <f t="shared" si="441"/>
        <v>98371388.524714559</v>
      </c>
      <c r="M937" s="79">
        <f t="shared" si="441"/>
        <v>61861916.148982733</v>
      </c>
      <c r="N937" s="79">
        <f t="shared" si="441"/>
        <v>3719134.7858880484</v>
      </c>
      <c r="O937" s="79">
        <f>SUM(O929:O936)</f>
        <v>15437022.328518456</v>
      </c>
      <c r="P937" s="79">
        <f t="shared" si="441"/>
        <v>213129.65308607521</v>
      </c>
      <c r="Q937" s="79">
        <f t="shared" si="441"/>
        <v>251832.45880376789</v>
      </c>
      <c r="R937" s="79">
        <f t="shared" si="441"/>
        <v>3410.6215282821504</v>
      </c>
      <c r="S937" s="79">
        <f t="shared" si="441"/>
        <v>59232.456900965859</v>
      </c>
      <c r="T937" s="79">
        <f t="shared" si="441"/>
        <v>181848.13605860423</v>
      </c>
      <c r="U937" s="79">
        <f t="shared" si="441"/>
        <v>14957.451853235427</v>
      </c>
      <c r="V937" s="79">
        <f t="shared" si="441"/>
        <v>0</v>
      </c>
      <c r="W937" s="79">
        <f t="shared" si="441"/>
        <v>0</v>
      </c>
      <c r="X937" s="79">
        <f t="shared" si="441"/>
        <v>0</v>
      </c>
      <c r="Y937" s="79">
        <f t="shared" si="441"/>
        <v>0</v>
      </c>
      <c r="Z937" s="79">
        <f t="shared" si="441"/>
        <v>0</v>
      </c>
      <c r="AA937" s="79">
        <f>ROUND(SUM(G937:Z937),2)</f>
        <v>1002848820.48</v>
      </c>
      <c r="AB937" s="92" t="str">
        <f>IF(ABS(F937-AA937)&lt;0.01,"ok","err")</f>
        <v>ok</v>
      </c>
    </row>
    <row r="940" spans="1:28" ht="15">
      <c r="A940" s="65" t="s">
        <v>824</v>
      </c>
      <c r="F940" s="79">
        <f t="shared" ref="F940:Z940" si="442">F924-F937</f>
        <v>248460200.76360822</v>
      </c>
      <c r="G940" s="79">
        <f>G924-G937</f>
        <v>69704096.746427119</v>
      </c>
      <c r="H940" s="79">
        <f t="shared" si="442"/>
        <v>54059610.153376251</v>
      </c>
      <c r="I940" s="79">
        <f t="shared" si="442"/>
        <v>3683915.8012172123</v>
      </c>
      <c r="J940" s="79">
        <f t="shared" si="442"/>
        <v>47144725.726440832</v>
      </c>
      <c r="K940" s="79">
        <f t="shared" si="442"/>
        <v>29935685.640825108</v>
      </c>
      <c r="L940" s="79">
        <f t="shared" si="442"/>
        <v>21156908.123837262</v>
      </c>
      <c r="M940" s="79">
        <f t="shared" si="442"/>
        <v>11768050.321143776</v>
      </c>
      <c r="N940" s="79">
        <f t="shared" si="442"/>
        <v>576790.31708049355</v>
      </c>
      <c r="O940" s="79">
        <f t="shared" si="442"/>
        <v>10115688.032553667</v>
      </c>
      <c r="P940" s="79">
        <f t="shared" si="442"/>
        <v>45589.745406205038</v>
      </c>
      <c r="Q940" s="79">
        <f t="shared" si="442"/>
        <v>79282.544866283686</v>
      </c>
      <c r="R940" s="79">
        <f t="shared" si="442"/>
        <v>10642.347167892935</v>
      </c>
      <c r="S940" s="79">
        <f t="shared" si="442"/>
        <v>8668.8511780069093</v>
      </c>
      <c r="T940" s="79">
        <f t="shared" si="442"/>
        <v>166189.86394139577</v>
      </c>
      <c r="U940" s="79">
        <f t="shared" si="442"/>
        <v>4356.5481467645732</v>
      </c>
      <c r="V940" s="79">
        <f t="shared" si="442"/>
        <v>0</v>
      </c>
      <c r="W940" s="79">
        <f t="shared" si="442"/>
        <v>0</v>
      </c>
      <c r="X940" s="79">
        <f t="shared" si="442"/>
        <v>0</v>
      </c>
      <c r="Y940" s="79">
        <f t="shared" si="442"/>
        <v>0</v>
      </c>
      <c r="Z940" s="79">
        <f t="shared" si="442"/>
        <v>0</v>
      </c>
      <c r="AA940" s="79">
        <f>ROUND(SUM(G940:Z940),2)</f>
        <v>248460200.75999999</v>
      </c>
      <c r="AB940" s="92" t="str">
        <f>IF(ABS(F940-AA940)&lt;0.01,"ok","err")</f>
        <v>ok</v>
      </c>
    </row>
    <row r="942" spans="1:28" ht="15">
      <c r="A942" s="65" t="s">
        <v>1028</v>
      </c>
      <c r="F942" s="79">
        <f>F864</f>
        <v>3460077816.1601419</v>
      </c>
      <c r="G942" s="79">
        <f t="shared" ref="G942:Z942" si="443">G864</f>
        <v>1709217009.5216761</v>
      </c>
      <c r="H942" s="79">
        <f t="shared" si="443"/>
        <v>398697503.46332896</v>
      </c>
      <c r="I942" s="79">
        <f t="shared" si="443"/>
        <v>23605515.638910923</v>
      </c>
      <c r="J942" s="79">
        <f t="shared" si="443"/>
        <v>397022294.40015203</v>
      </c>
      <c r="K942" s="79">
        <f t="shared" si="443"/>
        <v>351297120.6955809</v>
      </c>
      <c r="L942" s="79">
        <f t="shared" si="443"/>
        <v>303389934.2634303</v>
      </c>
      <c r="M942" s="79">
        <f t="shared" si="443"/>
        <v>160366121.29716793</v>
      </c>
      <c r="N942" s="79">
        <f t="shared" si="443"/>
        <v>10299117.756014783</v>
      </c>
      <c r="O942" s="79">
        <f>O864</f>
        <v>102450326.03465796</v>
      </c>
      <c r="P942" s="79">
        <f t="shared" si="443"/>
        <v>553419.98421918578</v>
      </c>
      <c r="Q942" s="79">
        <f t="shared" si="443"/>
        <v>670881.43252931838</v>
      </c>
      <c r="R942" s="79">
        <f t="shared" si="443"/>
        <v>12859.658157203232</v>
      </c>
      <c r="S942" s="79">
        <f t="shared" si="443"/>
        <v>120413.38431620215</v>
      </c>
      <c r="T942" s="79">
        <f t="shared" si="443"/>
        <v>2314621.8400000003</v>
      </c>
      <c r="U942" s="79">
        <f t="shared" si="443"/>
        <v>60676.790000000008</v>
      </c>
      <c r="V942" s="79">
        <f t="shared" si="443"/>
        <v>0</v>
      </c>
      <c r="W942" s="79">
        <f t="shared" si="443"/>
        <v>0</v>
      </c>
      <c r="X942" s="79">
        <f t="shared" si="443"/>
        <v>0</v>
      </c>
      <c r="Y942" s="79">
        <f t="shared" si="443"/>
        <v>0</v>
      </c>
      <c r="Z942" s="79">
        <f t="shared" si="443"/>
        <v>0</v>
      </c>
      <c r="AA942" s="79">
        <f>ROUND(SUM(G942:Z942),2)</f>
        <v>3460077816.1599998</v>
      </c>
      <c r="AB942" s="92" t="str">
        <f>IF(ABS(F942-AA942)&lt;0.01,"ok","err")</f>
        <v>ok</v>
      </c>
    </row>
    <row r="943" spans="1:28" ht="15" thickBot="1"/>
    <row r="944" spans="1:28" ht="15.75" thickBot="1">
      <c r="A944" s="254" t="s">
        <v>1046</v>
      </c>
      <c r="B944" s="145"/>
      <c r="C944" s="145"/>
      <c r="D944" s="145"/>
      <c r="E944" s="145"/>
      <c r="F944" s="146">
        <f t="shared" ref="F944:P944" si="444">F940/F942</f>
        <v>7.1807691608317514E-2</v>
      </c>
      <c r="G944" s="146">
        <f t="shared" si="444"/>
        <v>4.0781302993195573E-2</v>
      </c>
      <c r="H944" s="146">
        <f t="shared" si="444"/>
        <v>0.13559054090828662</v>
      </c>
      <c r="I944" s="146">
        <f t="shared" si="444"/>
        <v>0.15606165345292053</v>
      </c>
      <c r="J944" s="146">
        <f t="shared" si="444"/>
        <v>0.11874578932064823</v>
      </c>
      <c r="K944" s="146">
        <f t="shared" si="444"/>
        <v>8.5214719612706685E-2</v>
      </c>
      <c r="L944" s="146">
        <f t="shared" si="444"/>
        <v>6.9735036448067986E-2</v>
      </c>
      <c r="M944" s="146">
        <f t="shared" si="444"/>
        <v>7.3382396643096967E-2</v>
      </c>
      <c r="N944" s="146">
        <f t="shared" si="444"/>
        <v>5.6003856907417389E-2</v>
      </c>
      <c r="O944" s="146">
        <f>O940/O942</f>
        <v>9.8737489904440395E-2</v>
      </c>
      <c r="P944" s="146">
        <f t="shared" si="444"/>
        <v>8.2378205894619277E-2</v>
      </c>
      <c r="Q944" s="146">
        <f>Q940/Q942</f>
        <v>0.11817668670211548</v>
      </c>
      <c r="R944" s="146">
        <f t="shared" ref="R944:Z944" si="445">R940/R942</f>
        <v>0.82757621064224873</v>
      </c>
      <c r="S944" s="146">
        <f t="shared" si="445"/>
        <v>7.1992421998892997E-2</v>
      </c>
      <c r="T944" s="146">
        <f t="shared" si="445"/>
        <v>7.1800006838869085E-2</v>
      </c>
      <c r="U944" s="146">
        <f t="shared" si="445"/>
        <v>7.1799252181345988E-2</v>
      </c>
      <c r="V944" s="146" t="e">
        <f t="shared" si="445"/>
        <v>#DIV/0!</v>
      </c>
      <c r="W944" s="146" t="e">
        <f t="shared" si="445"/>
        <v>#DIV/0!</v>
      </c>
      <c r="X944" s="146" t="e">
        <f t="shared" si="445"/>
        <v>#DIV/0!</v>
      </c>
      <c r="Y944" s="146" t="e">
        <f t="shared" si="445"/>
        <v>#DIV/0!</v>
      </c>
      <c r="Z944" s="146" t="e">
        <f t="shared" si="445"/>
        <v>#DIV/0!</v>
      </c>
      <c r="AA944" s="136"/>
      <c r="AB944" s="136"/>
    </row>
    <row r="945" spans="1:28" ht="15">
      <c r="A945" s="65"/>
      <c r="B945" s="65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</row>
    <row r="946" spans="1:28">
      <c r="F946" s="79"/>
    </row>
    <row r="948" spans="1:28" ht="15">
      <c r="A948" s="65" t="s">
        <v>132</v>
      </c>
    </row>
    <row r="950" spans="1:28" ht="15">
      <c r="A950" s="65" t="s">
        <v>1047</v>
      </c>
    </row>
    <row r="951" spans="1:28">
      <c r="A951" s="60" t="s">
        <v>1048</v>
      </c>
      <c r="D951" s="60" t="s">
        <v>1017</v>
      </c>
      <c r="E951" s="60" t="s">
        <v>856</v>
      </c>
      <c r="F951" s="109">
        <v>1</v>
      </c>
      <c r="G951" s="109">
        <f t="shared" ref="G951:Z951" si="446">IF(VLOOKUP($E951,$D$6:$AN$1148,3,)=0,0,(VLOOKUP($E951,$D$6:$AN$1148,G$2,)/VLOOKUP($E951,$D$6:$AN$1148,3,))*$F951)</f>
        <v>0.35944508620632371</v>
      </c>
      <c r="H951" s="109">
        <f t="shared" si="446"/>
        <v>0.10626724766131081</v>
      </c>
      <c r="I951" s="109">
        <f t="shared" si="446"/>
        <v>9.0031326761925937E-3</v>
      </c>
      <c r="J951" s="109">
        <f t="shared" si="446"/>
        <v>0.13394483453706754</v>
      </c>
      <c r="K951" s="109">
        <f t="shared" si="446"/>
        <v>0.17314700951944603</v>
      </c>
      <c r="L951" s="109">
        <f t="shared" si="446"/>
        <v>0.11434927306388884</v>
      </c>
      <c r="M951" s="109">
        <f t="shared" si="446"/>
        <v>8.956428802798358E-2</v>
      </c>
      <c r="N951" s="109">
        <f t="shared" si="446"/>
        <v>4.8964208141970373E-3</v>
      </c>
      <c r="O951" s="109">
        <f t="shared" si="446"/>
        <v>8.7884953119310751E-3</v>
      </c>
      <c r="P951" s="109">
        <f t="shared" si="446"/>
        <v>3.0610347100140173E-4</v>
      </c>
      <c r="Q951" s="109">
        <f t="shared" si="446"/>
        <v>2.8546332313996332E-4</v>
      </c>
      <c r="R951" s="109">
        <f t="shared" si="446"/>
        <v>1.0253095914550137E-6</v>
      </c>
      <c r="S951" s="109">
        <f t="shared" si="446"/>
        <v>1.6200779258921212E-6</v>
      </c>
      <c r="T951" s="109">
        <f t="shared" si="446"/>
        <v>0</v>
      </c>
      <c r="U951" s="109">
        <f t="shared" si="446"/>
        <v>0</v>
      </c>
      <c r="V951" s="109">
        <f t="shared" si="446"/>
        <v>0</v>
      </c>
      <c r="W951" s="109">
        <f t="shared" si="446"/>
        <v>0</v>
      </c>
      <c r="X951" s="78">
        <f t="shared" si="446"/>
        <v>0</v>
      </c>
      <c r="Y951" s="78">
        <f t="shared" si="446"/>
        <v>0</v>
      </c>
      <c r="Z951" s="78">
        <f t="shared" si="446"/>
        <v>0</v>
      </c>
      <c r="AA951" s="109">
        <f>SUM(G951:Z951)</f>
        <v>0.99999999999999989</v>
      </c>
      <c r="AB951" s="92" t="str">
        <f>IF(ABS(F951-AA951)&lt;0.01,"ok","err")</f>
        <v>ok</v>
      </c>
    </row>
    <row r="953" spans="1:28" ht="15">
      <c r="A953" s="65" t="s">
        <v>1049</v>
      </c>
    </row>
    <row r="954" spans="1:28">
      <c r="A954" s="60" t="s">
        <v>1050</v>
      </c>
      <c r="D954" s="60" t="s">
        <v>1020</v>
      </c>
      <c r="E954" s="60" t="s">
        <v>660</v>
      </c>
      <c r="F954" s="80">
        <v>1</v>
      </c>
      <c r="G954" s="82">
        <f t="shared" ref="G954:Z954" si="447">IF(VLOOKUP($E954,$D$6:$AN$1148,3,)=0,0,(VLOOKUP($E954,$D$6:$AN$1148,G$2,)/VLOOKUP($E954,$D$6:$AN$1148,3,))*$F954)</f>
        <v>0.86466163362138371</v>
      </c>
      <c r="H954" s="82">
        <f t="shared" si="447"/>
        <v>0.10386809038934489</v>
      </c>
      <c r="I954" s="82">
        <f t="shared" si="447"/>
        <v>1.6029265430488363E-4</v>
      </c>
      <c r="J954" s="82">
        <f t="shared" si="447"/>
        <v>6.3713977454278748E-3</v>
      </c>
      <c r="K954" s="82">
        <f t="shared" si="447"/>
        <v>3.0133764272298122E-4</v>
      </c>
      <c r="L954" s="82">
        <f t="shared" si="447"/>
        <v>1.1564095534268605E-3</v>
      </c>
      <c r="M954" s="82">
        <f t="shared" si="447"/>
        <v>0</v>
      </c>
      <c r="N954" s="82">
        <f t="shared" si="447"/>
        <v>4.579790122996675E-6</v>
      </c>
      <c r="O954" s="82">
        <f t="shared" si="447"/>
        <v>2.3155673294655801E-2</v>
      </c>
      <c r="P954" s="82">
        <f t="shared" si="447"/>
        <v>4.0963678322359153E-5</v>
      </c>
      <c r="Q954" s="82">
        <f t="shared" si="447"/>
        <v>2.5443278461092643E-4</v>
      </c>
      <c r="R954" s="82">
        <f t="shared" si="447"/>
        <v>2.2898950614983375E-6</v>
      </c>
      <c r="S954" s="82">
        <f t="shared" si="447"/>
        <v>2.2898950614983378E-5</v>
      </c>
      <c r="T954" s="82">
        <f t="shared" si="447"/>
        <v>0</v>
      </c>
      <c r="U954" s="82">
        <f t="shared" si="447"/>
        <v>0</v>
      </c>
      <c r="V954" s="82">
        <f t="shared" si="447"/>
        <v>0</v>
      </c>
      <c r="W954" s="82">
        <f t="shared" si="447"/>
        <v>0</v>
      </c>
      <c r="X954" s="78">
        <f t="shared" si="447"/>
        <v>0</v>
      </c>
      <c r="Y954" s="78">
        <f t="shared" si="447"/>
        <v>0</v>
      </c>
      <c r="Z954" s="78">
        <f t="shared" si="447"/>
        <v>0</v>
      </c>
      <c r="AA954" s="82">
        <f t="shared" ref="AA954:AA959" si="448">SUM(G954:Z954)</f>
        <v>0.99999999999999978</v>
      </c>
      <c r="AB954" s="92" t="str">
        <f t="shared" ref="AB954:AB959" si="449">IF(ABS(F954-AA954)&lt;0.01,"ok","err")</f>
        <v>ok</v>
      </c>
    </row>
    <row r="955" spans="1:28">
      <c r="A955" s="60" t="s">
        <v>183</v>
      </c>
      <c r="D955" s="60" t="s">
        <v>1021</v>
      </c>
      <c r="F955" s="80">
        <v>1</v>
      </c>
      <c r="G955" s="82">
        <f>Services!F10</f>
        <v>0.86132171949530889</v>
      </c>
      <c r="H955" s="82">
        <f>Services!F12</f>
        <v>0.1226730023799589</v>
      </c>
      <c r="I955" s="82">
        <f>Services!F14</f>
        <v>0</v>
      </c>
      <c r="J955" s="82">
        <f>Services!F16</f>
        <v>1.2618002541728852E-2</v>
      </c>
      <c r="K955" s="82">
        <f>Services!F18</f>
        <v>0</v>
      </c>
      <c r="L955" s="82">
        <f>Services!$F20</f>
        <v>3.3827406437543731E-3</v>
      </c>
      <c r="M955" s="82">
        <f>Services!$F22</f>
        <v>0</v>
      </c>
      <c r="N955" s="82">
        <f>Services!$F24</f>
        <v>0</v>
      </c>
      <c r="O955" s="82">
        <f>Services!$F26</f>
        <v>0</v>
      </c>
      <c r="P955" s="82">
        <f>Services!$F28</f>
        <v>0</v>
      </c>
      <c r="Q955" s="82">
        <f>Services!$F30</f>
        <v>0</v>
      </c>
      <c r="R955" s="82">
        <f>Services!$F32</f>
        <v>4.5349392489289618E-6</v>
      </c>
      <c r="S955" s="82">
        <f>Services!$F34</f>
        <v>0</v>
      </c>
      <c r="T955" s="82">
        <f>Services!$F36</f>
        <v>0</v>
      </c>
      <c r="U955" s="82">
        <f>Services!$F38</f>
        <v>0</v>
      </c>
      <c r="V955" s="82">
        <v>0</v>
      </c>
      <c r="W955" s="82">
        <v>0</v>
      </c>
      <c r="X955" s="82">
        <v>0</v>
      </c>
      <c r="Y955" s="82">
        <v>0</v>
      </c>
      <c r="Z955" s="82">
        <v>0</v>
      </c>
      <c r="AA955" s="82">
        <f t="shared" si="448"/>
        <v>0.99999999999999989</v>
      </c>
      <c r="AB955" s="92" t="str">
        <f t="shared" si="449"/>
        <v>ok</v>
      </c>
    </row>
    <row r="956" spans="1:28">
      <c r="A956" s="60" t="s">
        <v>1051</v>
      </c>
      <c r="D956" s="60" t="s">
        <v>1022</v>
      </c>
      <c r="F956" s="80">
        <v>1</v>
      </c>
      <c r="G956" s="82">
        <f>Meters!$H$10</f>
        <v>0.6835462479753851</v>
      </c>
      <c r="H956" s="82">
        <f>Meters!$H$12</f>
        <v>0.21238041616295206</v>
      </c>
      <c r="I956" s="82">
        <f>Meters!$H$14</f>
        <v>6.9419165936484275E-3</v>
      </c>
      <c r="J956" s="82">
        <f>Meters!$H$16</f>
        <v>5.9391661663426243E-2</v>
      </c>
      <c r="K956" s="82">
        <f>Meters!$H$18</f>
        <v>1.3865762664287819E-2</v>
      </c>
      <c r="L956" s="82">
        <f>Meters!$H$20</f>
        <v>1.1741363749713249E-2</v>
      </c>
      <c r="M956" s="82">
        <f>Meters!$H$22</f>
        <v>9.7988568917879437E-3</v>
      </c>
      <c r="N956" s="82">
        <f>Meters!$H$24</f>
        <v>2.1073465075220914E-4</v>
      </c>
      <c r="O956" s="82">
        <f>Meters!$H$26</f>
        <v>0</v>
      </c>
      <c r="P956" s="82">
        <f>Meters!$H$28</f>
        <v>2.9144940377338457E-4</v>
      </c>
      <c r="Q956" s="82">
        <f>Meters!$H$30</f>
        <v>1.8102447439340657E-3</v>
      </c>
      <c r="R956" s="82">
        <f>Meters!$H$32</f>
        <v>2.1345500339364968E-5</v>
      </c>
      <c r="S956" s="82">
        <f>Meters!$H$34</f>
        <v>0</v>
      </c>
      <c r="T956" s="82">
        <f>Meters!$H$36</f>
        <v>0</v>
      </c>
      <c r="U956" s="82">
        <f>Meters!$H$38</f>
        <v>0</v>
      </c>
      <c r="V956" s="82">
        <v>0</v>
      </c>
      <c r="W956" s="82">
        <v>0</v>
      </c>
      <c r="X956" s="82">
        <v>0</v>
      </c>
      <c r="Y956" s="82">
        <v>0</v>
      </c>
      <c r="Z956" s="82">
        <v>0</v>
      </c>
      <c r="AA956" s="82">
        <f>SUM(G956:Z956)</f>
        <v>0.99999999999999989</v>
      </c>
      <c r="AB956" s="92" t="str">
        <f t="shared" si="449"/>
        <v>ok</v>
      </c>
    </row>
    <row r="957" spans="1:28">
      <c r="A957" s="60" t="s">
        <v>1052</v>
      </c>
      <c r="D957" s="60" t="s">
        <v>1023</v>
      </c>
      <c r="E957" s="60" t="s">
        <v>131</v>
      </c>
      <c r="F957" s="80">
        <v>1</v>
      </c>
      <c r="G957" s="82">
        <f t="shared" ref="G957:R959" si="450">IF(VLOOKUP($E957,$D$6:$AN$1148,3,)=0,0,(VLOOKUP($E957,$D$6:$AN$1148,G$2,)/VLOOKUP($E957,$D$6:$AN$1148,3,))*$F957)</f>
        <v>0</v>
      </c>
      <c r="H957" s="82">
        <f t="shared" si="450"/>
        <v>0</v>
      </c>
      <c r="I957" s="82">
        <f t="shared" si="450"/>
        <v>0</v>
      </c>
      <c r="J957" s="82">
        <f t="shared" si="450"/>
        <v>0</v>
      </c>
      <c r="K957" s="82">
        <f t="shared" si="450"/>
        <v>0</v>
      </c>
      <c r="L957" s="82">
        <f t="shared" si="450"/>
        <v>0</v>
      </c>
      <c r="M957" s="82">
        <f t="shared" si="450"/>
        <v>0</v>
      </c>
      <c r="N957" s="82">
        <f t="shared" si="450"/>
        <v>0</v>
      </c>
      <c r="O957" s="82">
        <f t="shared" si="450"/>
        <v>1</v>
      </c>
      <c r="P957" s="82">
        <f t="shared" si="450"/>
        <v>0</v>
      </c>
      <c r="Q957" s="82">
        <f t="shared" si="450"/>
        <v>0</v>
      </c>
      <c r="R957" s="82">
        <f t="shared" si="450"/>
        <v>0</v>
      </c>
      <c r="S957" s="82">
        <v>0</v>
      </c>
      <c r="T957" s="82">
        <v>0</v>
      </c>
      <c r="U957" s="82">
        <v>0</v>
      </c>
      <c r="V957" s="82">
        <f t="shared" ref="V957:Z959" si="451">IF(VLOOKUP($E957,$D$6:$AN$1148,3,)=0,0,(VLOOKUP($E957,$D$6:$AN$1148,V$2,)/VLOOKUP($E957,$D$6:$AN$1148,3,))*$F957)</f>
        <v>0</v>
      </c>
      <c r="W957" s="82">
        <f t="shared" si="451"/>
        <v>0</v>
      </c>
      <c r="X957" s="78">
        <f t="shared" si="451"/>
        <v>0</v>
      </c>
      <c r="Y957" s="78">
        <f t="shared" si="451"/>
        <v>0</v>
      </c>
      <c r="Z957" s="78">
        <f t="shared" si="451"/>
        <v>0</v>
      </c>
      <c r="AA957" s="82">
        <f t="shared" si="448"/>
        <v>1</v>
      </c>
      <c r="AB957" s="92" t="str">
        <f t="shared" si="449"/>
        <v>ok</v>
      </c>
    </row>
    <row r="958" spans="1:28">
      <c r="A958" s="60" t="s">
        <v>1053</v>
      </c>
      <c r="D958" s="60" t="s">
        <v>1024</v>
      </c>
      <c r="E958" s="60" t="s">
        <v>154</v>
      </c>
      <c r="F958" s="80">
        <v>1</v>
      </c>
      <c r="G958" s="82">
        <f t="shared" si="450"/>
        <v>0.74170517728335983</v>
      </c>
      <c r="H958" s="82">
        <f t="shared" si="450"/>
        <v>0.17819571818783159</v>
      </c>
      <c r="I958" s="82">
        <f t="shared" si="450"/>
        <v>6.8749373717721398E-4</v>
      </c>
      <c r="J958" s="82">
        <f t="shared" si="450"/>
        <v>2.7326867011105642E-2</v>
      </c>
      <c r="K958" s="82">
        <f t="shared" si="450"/>
        <v>6.4621720516821798E-3</v>
      </c>
      <c r="L958" s="82">
        <f t="shared" si="450"/>
        <v>2.4799150311675993E-2</v>
      </c>
      <c r="M958" s="82">
        <f t="shared" si="450"/>
        <v>6.3838704166455584E-4</v>
      </c>
      <c r="N958" s="82">
        <f t="shared" si="450"/>
        <v>1.9642678205063259E-5</v>
      </c>
      <c r="O958" s="82">
        <f t="shared" si="450"/>
        <v>1.9862894452940021E-2</v>
      </c>
      <c r="P958" s="82">
        <f t="shared" si="450"/>
        <v>3.5138568789057603E-5</v>
      </c>
      <c r="Q958" s="82">
        <f t="shared" si="450"/>
        <v>2.1825198005625841E-4</v>
      </c>
      <c r="R958" s="82">
        <f t="shared" si="450"/>
        <v>9.8213391025316293E-6</v>
      </c>
      <c r="S958" s="82">
        <f t="shared" ref="S958:U959" si="452">IF(VLOOKUP($E958,$D$6:$AN$1148,3,)=0,0,(VLOOKUP($E958,$D$6:$AN$1148,S$2,)/VLOOKUP($E958,$D$6:$AN$1148,3,))*$F958)</f>
        <v>3.9285356410126517E-5</v>
      </c>
      <c r="T958" s="82">
        <f t="shared" si="452"/>
        <v>0</v>
      </c>
      <c r="U958" s="82">
        <f t="shared" si="452"/>
        <v>0</v>
      </c>
      <c r="V958" s="82">
        <f t="shared" si="451"/>
        <v>0</v>
      </c>
      <c r="W958" s="82">
        <f t="shared" si="451"/>
        <v>0</v>
      </c>
      <c r="X958" s="78">
        <f t="shared" si="451"/>
        <v>0</v>
      </c>
      <c r="Y958" s="78">
        <f t="shared" si="451"/>
        <v>0</v>
      </c>
      <c r="Z958" s="78">
        <f t="shared" si="451"/>
        <v>0</v>
      </c>
      <c r="AA958" s="82">
        <f t="shared" si="448"/>
        <v>1</v>
      </c>
      <c r="AB958" s="92" t="str">
        <f t="shared" si="449"/>
        <v>ok</v>
      </c>
    </row>
    <row r="959" spans="1:28">
      <c r="A959" s="60" t="s">
        <v>170</v>
      </c>
      <c r="D959" s="60" t="s">
        <v>1025</v>
      </c>
      <c r="E959" s="60" t="s">
        <v>155</v>
      </c>
      <c r="F959" s="80">
        <v>1</v>
      </c>
      <c r="G959" s="82">
        <f t="shared" si="450"/>
        <v>0.86463589459033852</v>
      </c>
      <c r="H959" s="82">
        <f t="shared" si="450"/>
        <v>0.10386499847003312</v>
      </c>
      <c r="I959" s="82">
        <f t="shared" si="450"/>
        <v>1.6028788275327887E-4</v>
      </c>
      <c r="J959" s="82">
        <f t="shared" si="450"/>
        <v>6.371208083254842E-3</v>
      </c>
      <c r="K959" s="82">
        <f t="shared" si="450"/>
        <v>3.0132867257947124E-4</v>
      </c>
      <c r="L959" s="82">
        <f t="shared" si="450"/>
        <v>1.1563751297167765E-3</v>
      </c>
      <c r="M959" s="82">
        <f t="shared" si="450"/>
        <v>2.9767749654180364E-5</v>
      </c>
      <c r="N959" s="82">
        <f t="shared" si="450"/>
        <v>4.5796537929508255E-6</v>
      </c>
      <c r="O959" s="82">
        <f t="shared" si="450"/>
        <v>2.3154984002370094E-2</v>
      </c>
      <c r="P959" s="82">
        <f t="shared" si="450"/>
        <v>4.0962458925837936E-5</v>
      </c>
      <c r="Q959" s="82">
        <f t="shared" si="450"/>
        <v>2.5442521071949032E-4</v>
      </c>
      <c r="R959" s="82">
        <f t="shared" si="450"/>
        <v>2.2898268964754127E-6</v>
      </c>
      <c r="S959" s="82">
        <f t="shared" si="452"/>
        <v>2.2898268964754128E-5</v>
      </c>
      <c r="T959" s="82">
        <f t="shared" si="452"/>
        <v>0</v>
      </c>
      <c r="U959" s="82">
        <f t="shared" si="452"/>
        <v>0</v>
      </c>
      <c r="V959" s="82">
        <f t="shared" si="451"/>
        <v>0</v>
      </c>
      <c r="W959" s="82">
        <f t="shared" si="451"/>
        <v>0</v>
      </c>
      <c r="X959" s="78">
        <f t="shared" si="451"/>
        <v>0</v>
      </c>
      <c r="Y959" s="78">
        <f t="shared" si="451"/>
        <v>0</v>
      </c>
      <c r="Z959" s="78">
        <f t="shared" si="451"/>
        <v>0</v>
      </c>
      <c r="AA959" s="82">
        <f t="shared" si="448"/>
        <v>0.99999999999999978</v>
      </c>
      <c r="AB959" s="92" t="str">
        <f t="shared" si="449"/>
        <v>ok</v>
      </c>
    </row>
    <row r="961" spans="1:29">
      <c r="A961" s="60" t="s">
        <v>1192</v>
      </c>
      <c r="D961" s="60" t="s">
        <v>129</v>
      </c>
      <c r="F961" s="78">
        <f>'Billing Det'!D37</f>
        <v>1066653012.4400001</v>
      </c>
      <c r="G961" s="78">
        <f>'Billing Det'!$D$8</f>
        <v>431824736.44999999</v>
      </c>
      <c r="H961" s="78">
        <f>'Billing Det'!$D10</f>
        <v>148100588.18000001</v>
      </c>
      <c r="I961" s="78">
        <f>'Billing Det'!$D12</f>
        <v>10054861.74</v>
      </c>
      <c r="J961" s="78">
        <f>'Billing Det'!$D$14</f>
        <v>147448878.13999999</v>
      </c>
      <c r="K961" s="78">
        <f>'Billing Det'!$D$16</f>
        <v>136688084.54999998</v>
      </c>
      <c r="L961" s="78">
        <f>'Billing Det'!$D$18</f>
        <v>101626163.23</v>
      </c>
      <c r="M961" s="78">
        <f>'Billing Det'!$D$20</f>
        <v>64286866.589999996</v>
      </c>
      <c r="N961" s="78">
        <f>'Billing Det'!$D$22</f>
        <v>3635159.88</v>
      </c>
      <c r="O961" s="78">
        <f>'Billing Det'!$D$24</f>
        <v>22160939.829999998</v>
      </c>
      <c r="P961" s="78">
        <f>'Billing Det'!$D$26</f>
        <v>243958.97</v>
      </c>
      <c r="Q961" s="78">
        <f>'Billing Det'!$D$28</f>
        <v>318741.55000000005</v>
      </c>
      <c r="R961" s="78">
        <f>'Billing Det'!$D$30</f>
        <v>15468.33</v>
      </c>
      <c r="S961" s="78">
        <f>'Billing Det'!$D$32</f>
        <v>1533</v>
      </c>
      <c r="T961" s="78">
        <f>'Billing Det'!$D$34</f>
        <v>237096</v>
      </c>
      <c r="U961" s="78">
        <f>'Billing Det'!$D$36</f>
        <v>9936</v>
      </c>
      <c r="V961" s="78">
        <v>0</v>
      </c>
      <c r="W961" s="78">
        <v>0</v>
      </c>
      <c r="X961" s="78">
        <v>0</v>
      </c>
      <c r="Y961" s="78">
        <v>0</v>
      </c>
      <c r="Z961" s="78">
        <v>0</v>
      </c>
      <c r="AA961" s="78">
        <f>SUM(G961:Z961)</f>
        <v>1066653012.4400001</v>
      </c>
      <c r="AB961" s="92" t="str">
        <f>IF(ABS(F961-AA961)&lt;0.01,"ok","err")</f>
        <v>ok</v>
      </c>
      <c r="AC961" s="111">
        <f>+AA961-F961</f>
        <v>0</v>
      </c>
    </row>
    <row r="962" spans="1:29">
      <c r="A962" s="60" t="s">
        <v>856</v>
      </c>
      <c r="F962" s="78">
        <f>'Billing Det'!C37</f>
        <v>11352592560.98</v>
      </c>
      <c r="G962" s="78">
        <f>'Billing Det'!$C8</f>
        <v>4049109440</v>
      </c>
      <c r="H962" s="78">
        <f>'Billing Det'!$C10</f>
        <v>1197088880</v>
      </c>
      <c r="I962" s="78">
        <f>'Billing Det'!$C12</f>
        <v>103621086</v>
      </c>
      <c r="J962" s="78">
        <f>'Billing Det'!$C14</f>
        <v>1508873858</v>
      </c>
      <c r="K962" s="78">
        <f>'Billing Det'!$C16</f>
        <v>1992826476</v>
      </c>
      <c r="L962" s="78">
        <f>'Billing Det'!$C18</f>
        <v>1288132009</v>
      </c>
      <c r="M962" s="78">
        <f>'Billing Det'!$C20</f>
        <v>1050890542</v>
      </c>
      <c r="N962" s="78">
        <f>'Billing Det'!$C22</f>
        <v>56355100</v>
      </c>
      <c r="O962" s="78">
        <f>'Billing Det'!$C24</f>
        <v>99001434.980000019</v>
      </c>
      <c r="P962" s="78">
        <f>'Billing Det'!$C26</f>
        <v>3448222</v>
      </c>
      <c r="Q962" s="78">
        <f>'Billing Det'!$C28</f>
        <v>3215713</v>
      </c>
      <c r="R962" s="78">
        <f>'Billing Det'!$C30</f>
        <v>11550</v>
      </c>
      <c r="S962" s="78">
        <f>'Billing Det'!$C32</f>
        <v>18250</v>
      </c>
      <c r="T962" s="78">
        <f>'Billing Det'!$C34</f>
        <v>0</v>
      </c>
      <c r="U962" s="78">
        <f>'Billing Det'!$C36</f>
        <v>0</v>
      </c>
      <c r="V962" s="78">
        <v>0</v>
      </c>
      <c r="W962" s="78">
        <v>0</v>
      </c>
      <c r="X962" s="78">
        <v>0</v>
      </c>
      <c r="Y962" s="78">
        <v>0</v>
      </c>
      <c r="Z962" s="78">
        <v>0</v>
      </c>
      <c r="AA962" s="78">
        <f t="shared" ref="AA962:AA972" si="453">SUM(G962:Z962)</f>
        <v>11352592560.98</v>
      </c>
      <c r="AB962" s="92" t="str">
        <f>IF(ABS(F962-AA962)&lt;0.01,"ok","err")</f>
        <v>ok</v>
      </c>
    </row>
    <row r="963" spans="1:29">
      <c r="A963" s="60" t="s">
        <v>671</v>
      </c>
      <c r="D963" s="60" t="s">
        <v>856</v>
      </c>
      <c r="F963" s="78">
        <v>11999883068.421787</v>
      </c>
      <c r="G963" s="78">
        <f>G962/0.93875</f>
        <v>4313299003.9946737</v>
      </c>
      <c r="H963" s="78">
        <f>H962/0.93875</f>
        <v>1275194545.9387484</v>
      </c>
      <c r="I963" s="78">
        <f>I962/0.95913</f>
        <v>108036539.36379844</v>
      </c>
      <c r="J963" s="78">
        <f>J962/0.93875</f>
        <v>1607322352.0639148</v>
      </c>
      <c r="K963" s="78">
        <f>K962/0.95913</f>
        <v>2077743867.8802664</v>
      </c>
      <c r="L963" s="78">
        <f>L962/0.93875</f>
        <v>1372177905.7256992</v>
      </c>
      <c r="M963" s="78">
        <f>M962/0.97779</f>
        <v>1074760983.4422524</v>
      </c>
      <c r="N963" s="78">
        <f>N962/0.95913</f>
        <v>58756477.224151053</v>
      </c>
      <c r="O963" s="78">
        <f t="shared" ref="O963:U963" si="454">O962/0.93875</f>
        <v>105460916.09054597</v>
      </c>
      <c r="P963" s="78">
        <f t="shared" si="454"/>
        <v>3673205.8588548601</v>
      </c>
      <c r="Q963" s="78">
        <f t="shared" si="454"/>
        <v>3425526.4980026633</v>
      </c>
      <c r="R963" s="78">
        <f t="shared" si="454"/>
        <v>12303.595206391479</v>
      </c>
      <c r="S963" s="78">
        <f t="shared" si="454"/>
        <v>19440.745672436751</v>
      </c>
      <c r="T963" s="78">
        <f t="shared" si="454"/>
        <v>0</v>
      </c>
      <c r="U963" s="78">
        <f t="shared" si="454"/>
        <v>0</v>
      </c>
      <c r="V963" s="78">
        <f>V962/(1-0.041817)</f>
        <v>0</v>
      </c>
      <c r="W963" s="78">
        <f>W962/(1-0.061646)</f>
        <v>0</v>
      </c>
      <c r="X963" s="78">
        <v>0</v>
      </c>
      <c r="Y963" s="78">
        <v>0</v>
      </c>
      <c r="Z963" s="78">
        <v>0</v>
      </c>
      <c r="AA963" s="78">
        <f>SUM(G963:Z963)</f>
        <v>11999883068.421787</v>
      </c>
      <c r="AB963" s="92" t="str">
        <f>IF(ABS(F963-AA963)&lt;0.01,"ok","err")</f>
        <v>ok</v>
      </c>
      <c r="AC963" s="111">
        <f>+AA963-F963</f>
        <v>0</v>
      </c>
    </row>
    <row r="964" spans="1:29">
      <c r="F964" s="78"/>
      <c r="G964" s="78"/>
      <c r="H964" s="78"/>
      <c r="I964" s="78"/>
      <c r="J964" s="78"/>
      <c r="K964" s="78"/>
      <c r="L964" s="78"/>
      <c r="M964" s="78"/>
      <c r="N964" s="78"/>
      <c r="O964" s="109"/>
      <c r="P964" s="109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92"/>
    </row>
    <row r="965" spans="1:29" ht="15">
      <c r="A965" s="65" t="s">
        <v>822</v>
      </c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92"/>
    </row>
    <row r="966" spans="1:29">
      <c r="A966" s="60" t="s">
        <v>126</v>
      </c>
      <c r="F966" s="78">
        <v>6223717.4794520549</v>
      </c>
      <c r="G966" s="78">
        <f>'Billing Det'!$B8*12</f>
        <v>4531185.6328767128</v>
      </c>
      <c r="H966" s="78">
        <f>'Billing Det'!$B10*12</f>
        <v>544311.87945205474</v>
      </c>
      <c r="I966" s="78">
        <f>'Billing Det'!$B12*12</f>
        <v>840</v>
      </c>
      <c r="J966" s="78">
        <f>'Billing Det'!$B14*12</f>
        <v>33388.767123287675</v>
      </c>
      <c r="K966" s="78">
        <f>'Billing Det'!$B16*12</f>
        <v>1579.1342465753423</v>
      </c>
      <c r="L966" s="78">
        <f>'Billing Det'!$B18*12</f>
        <v>6060.0657534246575</v>
      </c>
      <c r="M966" s="78">
        <f>'Billing Det'!$B20*12</f>
        <v>156</v>
      </c>
      <c r="N966" s="78">
        <f>'Billing Det'!$B22*12</f>
        <v>24</v>
      </c>
      <c r="O966" s="78">
        <f>'Billing Det'!$B24*12</f>
        <v>1092108</v>
      </c>
      <c r="P966" s="78">
        <f>'Billing Det'!$B26*12</f>
        <v>1932</v>
      </c>
      <c r="Q966" s="78">
        <f>'Billing Det'!$B28*12</f>
        <v>12000</v>
      </c>
      <c r="R966" s="78">
        <f>'Billing Det'!$B30*12</f>
        <v>12</v>
      </c>
      <c r="S966" s="78">
        <f>'Billing Det'!$B32*12</f>
        <v>120</v>
      </c>
      <c r="T966" s="78">
        <f>'Billing Det'!$B34*12</f>
        <v>0</v>
      </c>
      <c r="U966" s="78">
        <f>'Billing Det'!$B36*12</f>
        <v>0</v>
      </c>
      <c r="V966" s="78">
        <v>0</v>
      </c>
      <c r="W966" s="78">
        <v>0</v>
      </c>
      <c r="X966" s="78">
        <v>0</v>
      </c>
      <c r="Y966" s="78">
        <v>0</v>
      </c>
      <c r="Z966" s="78">
        <v>0</v>
      </c>
      <c r="AA966" s="78">
        <f t="shared" si="453"/>
        <v>6223717.4794520549</v>
      </c>
      <c r="AB966" s="92" t="str">
        <f t="shared" ref="AB966:AB974" si="455">IF(ABS(F966-AA966)&lt;0.01,"ok","err")</f>
        <v>ok</v>
      </c>
    </row>
    <row r="967" spans="1:29">
      <c r="A967" s="60" t="s">
        <v>127</v>
      </c>
      <c r="F967" s="78">
        <v>518643.12328767136</v>
      </c>
      <c r="G967" s="78">
        <f>G966/12</f>
        <v>377598.80273972609</v>
      </c>
      <c r="H967" s="78">
        <f t="shared" ref="H967:P967" si="456">H966/12</f>
        <v>45359.323287671228</v>
      </c>
      <c r="I967" s="78">
        <f t="shared" si="456"/>
        <v>70</v>
      </c>
      <c r="J967" s="78">
        <f t="shared" si="456"/>
        <v>2782.3972602739727</v>
      </c>
      <c r="K967" s="78">
        <f t="shared" si="456"/>
        <v>131.59452054794519</v>
      </c>
      <c r="L967" s="78">
        <f t="shared" si="456"/>
        <v>505.00547945205477</v>
      </c>
      <c r="M967" s="78">
        <f t="shared" si="456"/>
        <v>13</v>
      </c>
      <c r="N967" s="78">
        <f t="shared" si="456"/>
        <v>2</v>
      </c>
      <c r="O967" s="78">
        <f>O966/12</f>
        <v>91009</v>
      </c>
      <c r="P967" s="78">
        <f t="shared" si="456"/>
        <v>161</v>
      </c>
      <c r="Q967" s="78">
        <f>Q966/12</f>
        <v>1000</v>
      </c>
      <c r="R967" s="78">
        <f>R966/12</f>
        <v>1</v>
      </c>
      <c r="S967" s="78">
        <f>S966/12</f>
        <v>10</v>
      </c>
      <c r="T967" s="78">
        <f>T966/12</f>
        <v>0</v>
      </c>
      <c r="U967" s="78">
        <f t="shared" ref="U967:Z967" si="457">U966/12</f>
        <v>0</v>
      </c>
      <c r="V967" s="78">
        <f t="shared" si="457"/>
        <v>0</v>
      </c>
      <c r="W967" s="78">
        <f t="shared" si="457"/>
        <v>0</v>
      </c>
      <c r="X967" s="78">
        <f t="shared" si="457"/>
        <v>0</v>
      </c>
      <c r="Y967" s="78">
        <f t="shared" si="457"/>
        <v>0</v>
      </c>
      <c r="Z967" s="78">
        <f t="shared" si="457"/>
        <v>0</v>
      </c>
      <c r="AA967" s="78">
        <f t="shared" si="453"/>
        <v>518643.12328767136</v>
      </c>
      <c r="AB967" s="92" t="str">
        <f t="shared" si="455"/>
        <v>ok</v>
      </c>
    </row>
    <row r="968" spans="1:29">
      <c r="A968" s="60" t="s">
        <v>128</v>
      </c>
      <c r="F968" s="78">
        <v>518643.12328767136</v>
      </c>
      <c r="G968" s="111">
        <f>G967</f>
        <v>377598.80273972609</v>
      </c>
      <c r="H968" s="111">
        <f t="shared" ref="H968:M968" si="458">H967</f>
        <v>45359.323287671228</v>
      </c>
      <c r="I968" s="111">
        <f t="shared" si="458"/>
        <v>70</v>
      </c>
      <c r="J968" s="111">
        <f t="shared" si="458"/>
        <v>2782.3972602739727</v>
      </c>
      <c r="K968" s="111">
        <f t="shared" si="458"/>
        <v>131.59452054794519</v>
      </c>
      <c r="L968" s="111">
        <f t="shared" si="458"/>
        <v>505.00547945205477</v>
      </c>
      <c r="M968" s="111">
        <f t="shared" si="458"/>
        <v>13</v>
      </c>
      <c r="N968" s="111">
        <f t="shared" ref="N968:T968" si="459">N967</f>
        <v>2</v>
      </c>
      <c r="O968" s="111">
        <f>O967</f>
        <v>91009</v>
      </c>
      <c r="P968" s="111">
        <f t="shared" si="459"/>
        <v>161</v>
      </c>
      <c r="Q968" s="111">
        <f t="shared" si="459"/>
        <v>1000</v>
      </c>
      <c r="R968" s="111">
        <f t="shared" si="459"/>
        <v>1</v>
      </c>
      <c r="S968" s="111">
        <f t="shared" si="459"/>
        <v>10</v>
      </c>
      <c r="T968" s="111">
        <f t="shared" si="459"/>
        <v>0</v>
      </c>
      <c r="U968" s="111">
        <f t="shared" ref="U968:Z969" si="460">U967</f>
        <v>0</v>
      </c>
      <c r="V968" s="111">
        <f t="shared" si="460"/>
        <v>0</v>
      </c>
      <c r="W968" s="111">
        <f t="shared" si="460"/>
        <v>0</v>
      </c>
      <c r="X968" s="111">
        <f t="shared" si="460"/>
        <v>0</v>
      </c>
      <c r="Y968" s="111">
        <f t="shared" si="460"/>
        <v>0</v>
      </c>
      <c r="Z968" s="111">
        <f t="shared" si="460"/>
        <v>0</v>
      </c>
      <c r="AA968" s="78">
        <f t="shared" si="453"/>
        <v>518643.12328767136</v>
      </c>
      <c r="AB968" s="92" t="str">
        <f t="shared" si="455"/>
        <v>ok</v>
      </c>
    </row>
    <row r="969" spans="1:29">
      <c r="A969" s="60" t="s">
        <v>1201</v>
      </c>
      <c r="D969" s="60" t="s">
        <v>154</v>
      </c>
      <c r="F969" s="78">
        <v>509095.54672754952</v>
      </c>
      <c r="G969" s="111">
        <f>G968</f>
        <v>377598.80273972609</v>
      </c>
      <c r="H969" s="111">
        <f>H968*2</f>
        <v>90718.646575342456</v>
      </c>
      <c r="I969" s="111">
        <f>I968*5</f>
        <v>350</v>
      </c>
      <c r="J969" s="111">
        <f>J968*5</f>
        <v>13911.986301369863</v>
      </c>
      <c r="K969" s="111">
        <f>K968*25</f>
        <v>3289.8630136986299</v>
      </c>
      <c r="L969" s="111">
        <f>L968*25</f>
        <v>12625.13698630137</v>
      </c>
      <c r="M969" s="111">
        <f>M968*25</f>
        <v>325</v>
      </c>
      <c r="N969" s="111">
        <f>N968*5</f>
        <v>10</v>
      </c>
      <c r="O969" s="111">
        <f>O968*(1/9)</f>
        <v>10112.111111111111</v>
      </c>
      <c r="P969" s="111">
        <f>P968*(1/9)</f>
        <v>17.888888888888889</v>
      </c>
      <c r="Q969" s="111">
        <f>Q968*(1/9)</f>
        <v>111.1111111111111</v>
      </c>
      <c r="R969" s="111">
        <f>R968*5</f>
        <v>5</v>
      </c>
      <c r="S969" s="111">
        <f>S968*2</f>
        <v>20</v>
      </c>
      <c r="T969" s="111">
        <f>T968</f>
        <v>0</v>
      </c>
      <c r="U969" s="111">
        <f>U968</f>
        <v>0</v>
      </c>
      <c r="V969" s="111">
        <f t="shared" si="460"/>
        <v>0</v>
      </c>
      <c r="W969" s="111">
        <f t="shared" si="460"/>
        <v>0</v>
      </c>
      <c r="X969" s="111">
        <f t="shared" si="460"/>
        <v>0</v>
      </c>
      <c r="Y969" s="111">
        <f t="shared" si="460"/>
        <v>0</v>
      </c>
      <c r="Z969" s="111">
        <f t="shared" si="460"/>
        <v>0</v>
      </c>
      <c r="AA969" s="78">
        <f t="shared" si="453"/>
        <v>509095.54672754952</v>
      </c>
      <c r="AB969" s="92" t="str">
        <f t="shared" si="455"/>
        <v>ok</v>
      </c>
    </row>
    <row r="970" spans="1:29">
      <c r="A970" s="60" t="s">
        <v>1012</v>
      </c>
      <c r="D970" s="60" t="s">
        <v>131</v>
      </c>
      <c r="F970" s="78">
        <v>91009</v>
      </c>
      <c r="K970" s="111"/>
      <c r="L970" s="78">
        <v>0</v>
      </c>
      <c r="N970" s="111">
        <v>0</v>
      </c>
      <c r="O970" s="111">
        <f>O967</f>
        <v>91009</v>
      </c>
      <c r="P970" s="111"/>
      <c r="Q970" s="111">
        <v>0</v>
      </c>
      <c r="R970" s="111">
        <v>0</v>
      </c>
      <c r="S970" s="111"/>
      <c r="T970" s="111"/>
      <c r="U970" s="111"/>
      <c r="V970" s="111"/>
      <c r="W970" s="111"/>
      <c r="X970" s="111"/>
      <c r="Y970" s="111"/>
      <c r="Z970" s="111"/>
      <c r="AA970" s="78">
        <f t="shared" si="453"/>
        <v>91009</v>
      </c>
      <c r="AB970" s="92" t="str">
        <f t="shared" si="455"/>
        <v>ok</v>
      </c>
    </row>
    <row r="971" spans="1:29">
      <c r="A971" s="60" t="s">
        <v>153</v>
      </c>
      <c r="D971" s="60" t="s">
        <v>130</v>
      </c>
      <c r="F971" s="78">
        <v>518643.12328767136</v>
      </c>
      <c r="G971" s="111">
        <f>G968</f>
        <v>377598.80273972609</v>
      </c>
      <c r="H971" s="111">
        <f t="shared" ref="H971:U971" si="461">H968</f>
        <v>45359.323287671228</v>
      </c>
      <c r="I971" s="111">
        <f t="shared" si="461"/>
        <v>70</v>
      </c>
      <c r="J971" s="111">
        <f t="shared" si="461"/>
        <v>2782.3972602739727</v>
      </c>
      <c r="K971" s="111">
        <f t="shared" si="461"/>
        <v>131.59452054794519</v>
      </c>
      <c r="L971" s="111">
        <f t="shared" si="461"/>
        <v>505.00547945205477</v>
      </c>
      <c r="M971" s="111">
        <f t="shared" si="461"/>
        <v>13</v>
      </c>
      <c r="N971" s="111">
        <f t="shared" si="461"/>
        <v>2</v>
      </c>
      <c r="O971" s="111">
        <f t="shared" si="461"/>
        <v>91009</v>
      </c>
      <c r="P971" s="111">
        <f>P968</f>
        <v>161</v>
      </c>
      <c r="Q971" s="111">
        <f t="shared" si="461"/>
        <v>1000</v>
      </c>
      <c r="R971" s="111">
        <f t="shared" si="461"/>
        <v>1</v>
      </c>
      <c r="S971" s="111">
        <f t="shared" si="461"/>
        <v>10</v>
      </c>
      <c r="T971" s="111">
        <f t="shared" si="461"/>
        <v>0</v>
      </c>
      <c r="U971" s="111">
        <f t="shared" si="461"/>
        <v>0</v>
      </c>
      <c r="V971" s="111">
        <f t="shared" ref="V971:W971" si="462">V968</f>
        <v>0</v>
      </c>
      <c r="W971" s="111">
        <f t="shared" si="462"/>
        <v>0</v>
      </c>
      <c r="X971" s="111">
        <f>X969</f>
        <v>0</v>
      </c>
      <c r="Y971" s="111">
        <f>Y969</f>
        <v>0</v>
      </c>
      <c r="Z971" s="111">
        <f>Z969</f>
        <v>0</v>
      </c>
      <c r="AA971" s="78">
        <f t="shared" si="453"/>
        <v>518643.12328767136</v>
      </c>
      <c r="AB971" s="92" t="str">
        <f t="shared" si="455"/>
        <v>ok</v>
      </c>
    </row>
    <row r="972" spans="1:29">
      <c r="A972" s="60" t="s">
        <v>1202</v>
      </c>
      <c r="D972" s="60" t="s">
        <v>155</v>
      </c>
      <c r="F972" s="78">
        <v>436714.23439878249</v>
      </c>
      <c r="G972" s="111">
        <f>G968</f>
        <v>377598.80273972609</v>
      </c>
      <c r="H972" s="111">
        <f t="shared" ref="H972:N972" si="463">H968</f>
        <v>45359.323287671228</v>
      </c>
      <c r="I972" s="111">
        <f t="shared" si="463"/>
        <v>70</v>
      </c>
      <c r="J972" s="111">
        <f t="shared" si="463"/>
        <v>2782.3972602739727</v>
      </c>
      <c r="K972" s="111">
        <f t="shared" si="463"/>
        <v>131.59452054794519</v>
      </c>
      <c r="L972" s="111">
        <f t="shared" si="463"/>
        <v>505.00547945205477</v>
      </c>
      <c r="M972" s="111">
        <f t="shared" si="463"/>
        <v>13</v>
      </c>
      <c r="N972" s="111">
        <f t="shared" si="463"/>
        <v>2</v>
      </c>
      <c r="O972" s="111">
        <f>O968/9</f>
        <v>10112.111111111111</v>
      </c>
      <c r="P972" s="111">
        <f>P968/9</f>
        <v>17.888888888888889</v>
      </c>
      <c r="Q972" s="111">
        <f>Q968/9</f>
        <v>111.11111111111111</v>
      </c>
      <c r="R972" s="111">
        <f t="shared" ref="R972:U972" si="464">R968</f>
        <v>1</v>
      </c>
      <c r="S972" s="111">
        <f t="shared" si="464"/>
        <v>10</v>
      </c>
      <c r="T972" s="111">
        <f t="shared" si="464"/>
        <v>0</v>
      </c>
      <c r="U972" s="111">
        <f t="shared" si="464"/>
        <v>0</v>
      </c>
      <c r="V972" s="111">
        <f t="shared" ref="V972:W972" si="465">V971</f>
        <v>0</v>
      </c>
      <c r="W972" s="111">
        <f t="shared" si="465"/>
        <v>0</v>
      </c>
      <c r="X972" s="111"/>
      <c r="Y972" s="111"/>
      <c r="Z972" s="111"/>
      <c r="AA972" s="78">
        <f t="shared" si="453"/>
        <v>436714.23439878249</v>
      </c>
      <c r="AB972" s="92" t="str">
        <f t="shared" si="455"/>
        <v>ok</v>
      </c>
    </row>
    <row r="973" spans="1:29">
      <c r="A973" s="60" t="s">
        <v>811</v>
      </c>
      <c r="D973" s="60" t="s">
        <v>659</v>
      </c>
      <c r="F973" s="78">
        <v>433209.23713850847</v>
      </c>
      <c r="G973" s="111">
        <f>G972</f>
        <v>377598.80273972609</v>
      </c>
      <c r="H973" s="111">
        <f>H972</f>
        <v>45359.323287671228</v>
      </c>
      <c r="I973" s="111">
        <v>0</v>
      </c>
      <c r="J973" s="111">
        <v>0</v>
      </c>
      <c r="K973" s="111">
        <v>0</v>
      </c>
      <c r="L973" s="111">
        <v>0</v>
      </c>
      <c r="M973" s="111">
        <v>0</v>
      </c>
      <c r="N973" s="111">
        <v>0</v>
      </c>
      <c r="O973" s="111">
        <f>O972</f>
        <v>10112.111111111111</v>
      </c>
      <c r="P973" s="111">
        <f>P972</f>
        <v>17.888888888888889</v>
      </c>
      <c r="Q973" s="111">
        <f>Q972</f>
        <v>111.11111111111111</v>
      </c>
      <c r="R973" s="111">
        <v>0</v>
      </c>
      <c r="S973" s="111">
        <f>S971</f>
        <v>10</v>
      </c>
      <c r="T973" s="111">
        <f>T971</f>
        <v>0</v>
      </c>
      <c r="U973" s="111">
        <f>U971</f>
        <v>0</v>
      </c>
      <c r="V973" s="111">
        <v>0</v>
      </c>
      <c r="W973" s="111">
        <f>W972</f>
        <v>0</v>
      </c>
      <c r="X973" s="111"/>
      <c r="Y973" s="111"/>
      <c r="Z973" s="111"/>
      <c r="AA973" s="78">
        <f>SUM(G973:Z973)</f>
        <v>433209.23713850847</v>
      </c>
      <c r="AB973" s="92" t="str">
        <f t="shared" si="455"/>
        <v>ok</v>
      </c>
    </row>
    <row r="974" spans="1:29">
      <c r="A974" s="60" t="s">
        <v>812</v>
      </c>
      <c r="D974" s="60" t="s">
        <v>660</v>
      </c>
      <c r="F974" s="78">
        <v>436701.23439878249</v>
      </c>
      <c r="G974" s="111">
        <f>G972</f>
        <v>377598.80273972609</v>
      </c>
      <c r="H974" s="111">
        <f t="shared" ref="H974:U974" si="466">H972</f>
        <v>45359.323287671228</v>
      </c>
      <c r="I974" s="111">
        <f t="shared" si="466"/>
        <v>70</v>
      </c>
      <c r="J974" s="111">
        <f t="shared" si="466"/>
        <v>2782.3972602739727</v>
      </c>
      <c r="K974" s="111">
        <f t="shared" si="466"/>
        <v>131.59452054794519</v>
      </c>
      <c r="L974" s="111">
        <f t="shared" si="466"/>
        <v>505.00547945205477</v>
      </c>
      <c r="M974" s="111">
        <v>0</v>
      </c>
      <c r="N974" s="111">
        <f t="shared" si="466"/>
        <v>2</v>
      </c>
      <c r="O974" s="111">
        <f t="shared" si="466"/>
        <v>10112.111111111111</v>
      </c>
      <c r="P974" s="111">
        <f t="shared" ref="P974:Q974" si="467">P972</f>
        <v>17.888888888888889</v>
      </c>
      <c r="Q974" s="111">
        <f t="shared" si="467"/>
        <v>111.11111111111111</v>
      </c>
      <c r="R974" s="111">
        <f t="shared" si="466"/>
        <v>1</v>
      </c>
      <c r="S974" s="111">
        <f t="shared" si="466"/>
        <v>10</v>
      </c>
      <c r="T974" s="111">
        <f t="shared" si="466"/>
        <v>0</v>
      </c>
      <c r="U974" s="111">
        <f t="shared" si="466"/>
        <v>0</v>
      </c>
      <c r="V974" s="111">
        <f>V971</f>
        <v>0</v>
      </c>
      <c r="W974" s="111">
        <f>W971</f>
        <v>0</v>
      </c>
      <c r="X974" s="111">
        <f>X973</f>
        <v>0</v>
      </c>
      <c r="Y974" s="111">
        <f>Y973</f>
        <v>0</v>
      </c>
      <c r="Z974" s="111">
        <f>Z973</f>
        <v>0</v>
      </c>
      <c r="AA974" s="78">
        <f>SUM(G974:Z974)</f>
        <v>436701.23439878249</v>
      </c>
      <c r="AB974" s="92" t="str">
        <f t="shared" si="455"/>
        <v>ok</v>
      </c>
    </row>
    <row r="975" spans="1:29">
      <c r="A975" s="60" t="s">
        <v>1206</v>
      </c>
      <c r="D975" s="60" t="s">
        <v>1207</v>
      </c>
      <c r="F975" s="78">
        <v>436497.63987823453</v>
      </c>
      <c r="G975" s="111">
        <f>G974</f>
        <v>377598.80273972609</v>
      </c>
      <c r="H975" s="111">
        <f>H974</f>
        <v>45359.323287671228</v>
      </c>
      <c r="I975" s="111">
        <v>0</v>
      </c>
      <c r="J975" s="111">
        <f>J974</f>
        <v>2782.3972602739727</v>
      </c>
      <c r="K975" s="111">
        <v>0</v>
      </c>
      <c r="L975" s="111">
        <f>L974</f>
        <v>505.00547945205477</v>
      </c>
      <c r="M975" s="111">
        <v>0</v>
      </c>
      <c r="N975" s="111">
        <v>0</v>
      </c>
      <c r="O975" s="111">
        <f t="shared" ref="O975:U975" si="468">O974</f>
        <v>10112.111111111111</v>
      </c>
      <c r="P975" s="111">
        <f t="shared" ref="P975:Q975" si="469">P974</f>
        <v>17.888888888888889</v>
      </c>
      <c r="Q975" s="111">
        <f t="shared" si="469"/>
        <v>111.11111111111111</v>
      </c>
      <c r="R975" s="111">
        <f t="shared" si="468"/>
        <v>1</v>
      </c>
      <c r="S975" s="111">
        <f t="shared" si="468"/>
        <v>10</v>
      </c>
      <c r="T975" s="111">
        <f t="shared" si="468"/>
        <v>0</v>
      </c>
      <c r="U975" s="111">
        <f t="shared" si="468"/>
        <v>0</v>
      </c>
      <c r="V975" s="111"/>
      <c r="W975" s="111"/>
      <c r="X975" s="111"/>
      <c r="Y975" s="111"/>
      <c r="Z975" s="111"/>
      <c r="AA975" s="78">
        <f>SUM(G975:Z975)</f>
        <v>436497.63987823453</v>
      </c>
      <c r="AB975" s="92" t="str">
        <f>IF(ABS(F975-AA975)&lt;0.01,"ok","err")</f>
        <v>ok</v>
      </c>
    </row>
    <row r="976" spans="1:29">
      <c r="F976" s="78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  <c r="AA976" s="78"/>
      <c r="AB976" s="92"/>
    </row>
    <row r="977" spans="1:29" ht="15">
      <c r="A977" s="65" t="s">
        <v>1327</v>
      </c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92"/>
    </row>
    <row r="978" spans="1:29">
      <c r="A978" s="60" t="s">
        <v>1204</v>
      </c>
      <c r="F978" s="78">
        <v>518575</v>
      </c>
      <c r="G978" s="78">
        <f>377394+163</f>
        <v>377557</v>
      </c>
      <c r="H978" s="78">
        <f>16565+28767</f>
        <v>45332</v>
      </c>
      <c r="I978" s="78">
        <v>70</v>
      </c>
      <c r="J978" s="78">
        <v>2783</v>
      </c>
      <c r="K978" s="78">
        <f>132</f>
        <v>132</v>
      </c>
      <c r="L978" s="78">
        <f>505</f>
        <v>505</v>
      </c>
      <c r="M978" s="78">
        <f>13</f>
        <v>13</v>
      </c>
      <c r="N978" s="78">
        <v>2</v>
      </c>
      <c r="O978" s="78">
        <f t="shared" ref="O978:R978" si="470">O967</f>
        <v>91009</v>
      </c>
      <c r="P978" s="78">
        <f t="shared" si="470"/>
        <v>161</v>
      </c>
      <c r="Q978" s="78">
        <f t="shared" si="470"/>
        <v>1000</v>
      </c>
      <c r="R978" s="78">
        <f t="shared" si="470"/>
        <v>1</v>
      </c>
      <c r="S978" s="78">
        <f>S967</f>
        <v>10</v>
      </c>
      <c r="T978" s="78">
        <f>T967</f>
        <v>0</v>
      </c>
      <c r="U978" s="78">
        <f>U967</f>
        <v>0</v>
      </c>
      <c r="V978" s="78">
        <v>0</v>
      </c>
      <c r="W978" s="78">
        <v>0</v>
      </c>
      <c r="X978" s="78">
        <v>0</v>
      </c>
      <c r="Y978" s="78">
        <v>0</v>
      </c>
      <c r="Z978" s="78">
        <v>0</v>
      </c>
      <c r="AA978" s="78">
        <f t="shared" ref="AA978:AA983" si="471">SUM(G978:Z978)</f>
        <v>518575</v>
      </c>
      <c r="AB978" s="92" t="str">
        <f t="shared" ref="AB978:AB985" si="472">IF(ABS(F978-AA978)&lt;0.01,"ok","err")</f>
        <v>ok</v>
      </c>
    </row>
    <row r="979" spans="1:29">
      <c r="A979" s="60" t="s">
        <v>1310</v>
      </c>
      <c r="F979" s="78">
        <v>435622</v>
      </c>
      <c r="G979" s="111">
        <f>G978</f>
        <v>377557</v>
      </c>
      <c r="H979" s="111">
        <f t="shared" ref="H979:U979" si="473">H978</f>
        <v>45332</v>
      </c>
      <c r="I979" s="111">
        <f t="shared" si="473"/>
        <v>70</v>
      </c>
      <c r="J979" s="111">
        <f t="shared" si="473"/>
        <v>2783</v>
      </c>
      <c r="K979" s="111">
        <f t="shared" si="473"/>
        <v>132</v>
      </c>
      <c r="L979" s="111">
        <f t="shared" si="473"/>
        <v>505</v>
      </c>
      <c r="M979" s="111">
        <f t="shared" si="473"/>
        <v>13</v>
      </c>
      <c r="N979" s="111">
        <f t="shared" si="473"/>
        <v>2</v>
      </c>
      <c r="O979" s="111">
        <f>O978/10</f>
        <v>9100.9</v>
      </c>
      <c r="P979" s="111">
        <f t="shared" ref="P979:Q979" si="474">P978/10</f>
        <v>16.100000000000001</v>
      </c>
      <c r="Q979" s="111">
        <f t="shared" si="474"/>
        <v>100</v>
      </c>
      <c r="R979" s="111">
        <f t="shared" si="473"/>
        <v>1</v>
      </c>
      <c r="S979" s="111">
        <f>S978</f>
        <v>10</v>
      </c>
      <c r="T979" s="111">
        <f t="shared" si="473"/>
        <v>0</v>
      </c>
      <c r="U979" s="111">
        <f t="shared" si="473"/>
        <v>0</v>
      </c>
      <c r="V979" s="111">
        <f t="shared" ref="V979:Z980" si="475">V978</f>
        <v>0</v>
      </c>
      <c r="W979" s="111">
        <f t="shared" si="475"/>
        <v>0</v>
      </c>
      <c r="X979" s="111">
        <f t="shared" si="475"/>
        <v>0</v>
      </c>
      <c r="Y979" s="111">
        <f t="shared" si="475"/>
        <v>0</v>
      </c>
      <c r="Z979" s="111">
        <f t="shared" si="475"/>
        <v>0</v>
      </c>
      <c r="AA979" s="78">
        <f t="shared" si="471"/>
        <v>435622</v>
      </c>
      <c r="AB979" s="92" t="str">
        <f t="shared" si="472"/>
        <v>ok</v>
      </c>
    </row>
    <row r="980" spans="1:29">
      <c r="A980" s="60" t="s">
        <v>1205</v>
      </c>
      <c r="D980" s="60" t="s">
        <v>1328</v>
      </c>
      <c r="F980" s="78">
        <v>507988</v>
      </c>
      <c r="G980" s="111">
        <f>G979</f>
        <v>377557</v>
      </c>
      <c r="H980" s="111">
        <f>H979*2</f>
        <v>90664</v>
      </c>
      <c r="I980" s="111">
        <f>I979*5</f>
        <v>350</v>
      </c>
      <c r="J980" s="111">
        <f>J979*5</f>
        <v>13915</v>
      </c>
      <c r="K980" s="111">
        <f>K979*25</f>
        <v>3300</v>
      </c>
      <c r="L980" s="111">
        <f>L979*25</f>
        <v>12625</v>
      </c>
      <c r="M980" s="111">
        <f>M979*25</f>
        <v>325</v>
      </c>
      <c r="N980" s="111">
        <f>N979*5</f>
        <v>10</v>
      </c>
      <c r="O980" s="111">
        <f>O979</f>
        <v>9100.9</v>
      </c>
      <c r="P980" s="111">
        <f t="shared" ref="P980:Q980" si="476">P979</f>
        <v>16.100000000000001</v>
      </c>
      <c r="Q980" s="111">
        <f t="shared" si="476"/>
        <v>100</v>
      </c>
      <c r="R980" s="111">
        <f>R979*5</f>
        <v>5</v>
      </c>
      <c r="S980" s="111">
        <f>S979*2</f>
        <v>20</v>
      </c>
      <c r="T980" s="111">
        <f>T979</f>
        <v>0</v>
      </c>
      <c r="U980" s="111">
        <f>U979</f>
        <v>0</v>
      </c>
      <c r="V980" s="111">
        <f t="shared" si="475"/>
        <v>0</v>
      </c>
      <c r="W980" s="111">
        <f t="shared" si="475"/>
        <v>0</v>
      </c>
      <c r="X980" s="111">
        <f t="shared" si="475"/>
        <v>0</v>
      </c>
      <c r="Y980" s="111">
        <f t="shared" si="475"/>
        <v>0</v>
      </c>
      <c r="Z980" s="111">
        <f t="shared" si="475"/>
        <v>0</v>
      </c>
      <c r="AA980" s="78">
        <f t="shared" si="471"/>
        <v>507988</v>
      </c>
      <c r="AB980" s="92" t="str">
        <f t="shared" si="472"/>
        <v>ok</v>
      </c>
    </row>
    <row r="981" spans="1:29">
      <c r="A981" s="110" t="s">
        <v>609</v>
      </c>
      <c r="D981" s="60" t="s">
        <v>1329</v>
      </c>
      <c r="F981" s="111">
        <v>126670914.05123466</v>
      </c>
      <c r="K981" s="111"/>
      <c r="L981" s="78">
        <v>0</v>
      </c>
      <c r="N981" s="111">
        <v>0</v>
      </c>
      <c r="O981" s="111">
        <f>F981</f>
        <v>126670914.05123466</v>
      </c>
      <c r="P981" s="111">
        <v>0</v>
      </c>
      <c r="Q981" s="111">
        <v>0</v>
      </c>
      <c r="R981" s="111">
        <v>0</v>
      </c>
      <c r="S981" s="111">
        <v>0</v>
      </c>
      <c r="T981" s="111">
        <v>0</v>
      </c>
      <c r="U981" s="111">
        <v>0</v>
      </c>
      <c r="V981" s="111">
        <v>0</v>
      </c>
      <c r="W981" s="111">
        <v>0</v>
      </c>
      <c r="X981" s="111"/>
      <c r="Y981" s="111"/>
      <c r="Z981" s="111"/>
      <c r="AA981" s="78">
        <f t="shared" si="471"/>
        <v>126670914.05123466</v>
      </c>
      <c r="AB981" s="92" t="str">
        <f t="shared" si="472"/>
        <v>ok</v>
      </c>
    </row>
    <row r="982" spans="1:29">
      <c r="A982" s="60" t="s">
        <v>153</v>
      </c>
      <c r="D982" s="60" t="s">
        <v>1330</v>
      </c>
      <c r="F982" s="78">
        <v>518575</v>
      </c>
      <c r="G982" s="111">
        <f>G978</f>
        <v>377557</v>
      </c>
      <c r="H982" s="111">
        <f>H979</f>
        <v>45332</v>
      </c>
      <c r="I982" s="111">
        <f>I979</f>
        <v>70</v>
      </c>
      <c r="J982" s="111">
        <f>J979</f>
        <v>2783</v>
      </c>
      <c r="K982" s="111">
        <f t="shared" ref="K982:W982" si="477">K979</f>
        <v>132</v>
      </c>
      <c r="L982" s="111">
        <f t="shared" si="477"/>
        <v>505</v>
      </c>
      <c r="M982" s="111">
        <f t="shared" si="477"/>
        <v>13</v>
      </c>
      <c r="N982" s="111">
        <f t="shared" si="477"/>
        <v>2</v>
      </c>
      <c r="O982" s="111">
        <f>O978</f>
        <v>91009</v>
      </c>
      <c r="P982" s="111">
        <f t="shared" ref="P982:Q982" si="478">P978</f>
        <v>161</v>
      </c>
      <c r="Q982" s="111">
        <f t="shared" si="478"/>
        <v>1000</v>
      </c>
      <c r="R982" s="111">
        <f t="shared" si="477"/>
        <v>1</v>
      </c>
      <c r="S982" s="111">
        <f>S978</f>
        <v>10</v>
      </c>
      <c r="T982" s="111">
        <f t="shared" si="477"/>
        <v>0</v>
      </c>
      <c r="U982" s="111">
        <f t="shared" si="477"/>
        <v>0</v>
      </c>
      <c r="V982" s="111">
        <f t="shared" si="477"/>
        <v>0</v>
      </c>
      <c r="W982" s="111">
        <f t="shared" si="477"/>
        <v>0</v>
      </c>
      <c r="X982" s="111">
        <f>X980</f>
        <v>0</v>
      </c>
      <c r="Y982" s="111">
        <f>Y980</f>
        <v>0</v>
      </c>
      <c r="Z982" s="111">
        <f>Z980</f>
        <v>0</v>
      </c>
      <c r="AA982" s="78">
        <f t="shared" si="471"/>
        <v>518575</v>
      </c>
      <c r="AB982" s="92" t="str">
        <f t="shared" si="472"/>
        <v>ok</v>
      </c>
    </row>
    <row r="983" spans="1:29">
      <c r="A983" s="60" t="s">
        <v>1202</v>
      </c>
      <c r="D983" s="60" t="s">
        <v>1334</v>
      </c>
      <c r="F983" s="78">
        <v>435622</v>
      </c>
      <c r="G983" s="111">
        <f>G979</f>
        <v>377557</v>
      </c>
      <c r="H983" s="111">
        <f t="shared" ref="H983:N983" si="479">H979</f>
        <v>45332</v>
      </c>
      <c r="I983" s="111">
        <f t="shared" si="479"/>
        <v>70</v>
      </c>
      <c r="J983" s="111">
        <f t="shared" si="479"/>
        <v>2783</v>
      </c>
      <c r="K983" s="111">
        <f t="shared" si="479"/>
        <v>132</v>
      </c>
      <c r="L983" s="111">
        <f t="shared" si="479"/>
        <v>505</v>
      </c>
      <c r="M983" s="111">
        <f t="shared" si="479"/>
        <v>13</v>
      </c>
      <c r="N983" s="111">
        <f t="shared" si="479"/>
        <v>2</v>
      </c>
      <c r="O983" s="111">
        <f>O979</f>
        <v>9100.9</v>
      </c>
      <c r="P983" s="111">
        <f t="shared" ref="P983:Q983" si="480">P979</f>
        <v>16.100000000000001</v>
      </c>
      <c r="Q983" s="111">
        <f t="shared" si="480"/>
        <v>100</v>
      </c>
      <c r="R983" s="111">
        <f>R982</f>
        <v>1</v>
      </c>
      <c r="S983" s="111">
        <f>S982</f>
        <v>10</v>
      </c>
      <c r="T983" s="111">
        <f>T982/9</f>
        <v>0</v>
      </c>
      <c r="U983" s="111">
        <f>U982/9</f>
        <v>0</v>
      </c>
      <c r="V983" s="111">
        <f>V982</f>
        <v>0</v>
      </c>
      <c r="W983" s="111">
        <f>W982</f>
        <v>0</v>
      </c>
      <c r="X983" s="111"/>
      <c r="Y983" s="111"/>
      <c r="Z983" s="111"/>
      <c r="AA983" s="78">
        <f t="shared" si="471"/>
        <v>435622</v>
      </c>
      <c r="AB983" s="92" t="str">
        <f t="shared" si="472"/>
        <v>ok</v>
      </c>
    </row>
    <row r="984" spans="1:29">
      <c r="A984" s="60" t="s">
        <v>811</v>
      </c>
      <c r="D984" s="60" t="s">
        <v>1331</v>
      </c>
      <c r="F984" s="78">
        <v>432318</v>
      </c>
      <c r="G984" s="111">
        <f>G983</f>
        <v>377557</v>
      </c>
      <c r="H984" s="111">
        <f>H983</f>
        <v>45332</v>
      </c>
      <c r="I984" s="111">
        <f>I983</f>
        <v>70</v>
      </c>
      <c r="J984" s="111">
        <v>0</v>
      </c>
      <c r="K984" s="111">
        <f>K983</f>
        <v>132</v>
      </c>
      <c r="L984" s="111">
        <v>0</v>
      </c>
      <c r="M984" s="111">
        <v>0</v>
      </c>
      <c r="N984" s="111">
        <v>0</v>
      </c>
      <c r="O984" s="111">
        <f>O983</f>
        <v>9100.9</v>
      </c>
      <c r="P984" s="111">
        <f t="shared" ref="P984:Q984" si="481">P983</f>
        <v>16.100000000000001</v>
      </c>
      <c r="Q984" s="111">
        <f t="shared" si="481"/>
        <v>100</v>
      </c>
      <c r="R984" s="111">
        <v>0</v>
      </c>
      <c r="S984" s="111">
        <f>S983</f>
        <v>10</v>
      </c>
      <c r="T984" s="111">
        <f>T982/9</f>
        <v>0</v>
      </c>
      <c r="U984" s="111">
        <f>U982/9</f>
        <v>0</v>
      </c>
      <c r="V984" s="111">
        <v>0</v>
      </c>
      <c r="W984" s="111">
        <f>W983</f>
        <v>0</v>
      </c>
      <c r="X984" s="111"/>
      <c r="Y984" s="111"/>
      <c r="Z984" s="111"/>
      <c r="AA984" s="78">
        <f>SUM(G984:Z984)</f>
        <v>432318</v>
      </c>
      <c r="AB984" s="92" t="str">
        <f t="shared" si="472"/>
        <v>ok</v>
      </c>
    </row>
    <row r="985" spans="1:29">
      <c r="A985" s="60" t="s">
        <v>812</v>
      </c>
      <c r="D985" s="60" t="s">
        <v>1332</v>
      </c>
      <c r="F985" s="78">
        <v>435622</v>
      </c>
      <c r="G985" s="111">
        <f>G983</f>
        <v>377557</v>
      </c>
      <c r="H985" s="111">
        <f t="shared" ref="H985:Z985" si="482">+H978</f>
        <v>45332</v>
      </c>
      <c r="I985" s="111">
        <f t="shared" si="482"/>
        <v>70</v>
      </c>
      <c r="J985" s="111">
        <f t="shared" si="482"/>
        <v>2783</v>
      </c>
      <c r="K985" s="111">
        <f t="shared" si="482"/>
        <v>132</v>
      </c>
      <c r="L985" s="111">
        <f t="shared" si="482"/>
        <v>505</v>
      </c>
      <c r="M985" s="111">
        <f t="shared" si="482"/>
        <v>13</v>
      </c>
      <c r="N985" s="111">
        <f t="shared" si="482"/>
        <v>2</v>
      </c>
      <c r="O985" s="111">
        <f>+O979</f>
        <v>9100.9</v>
      </c>
      <c r="P985" s="111">
        <f t="shared" ref="P985:Q985" si="483">+P979</f>
        <v>16.100000000000001</v>
      </c>
      <c r="Q985" s="111">
        <f t="shared" si="483"/>
        <v>100</v>
      </c>
      <c r="R985" s="111">
        <f t="shared" si="482"/>
        <v>1</v>
      </c>
      <c r="S985" s="111">
        <f>+S978</f>
        <v>10</v>
      </c>
      <c r="T985" s="111">
        <f>+T978/9</f>
        <v>0</v>
      </c>
      <c r="U985" s="111">
        <f>+U978/9</f>
        <v>0</v>
      </c>
      <c r="V985" s="111">
        <f t="shared" si="482"/>
        <v>0</v>
      </c>
      <c r="W985" s="111">
        <f t="shared" si="482"/>
        <v>0</v>
      </c>
      <c r="X985" s="111">
        <f t="shared" si="482"/>
        <v>0</v>
      </c>
      <c r="Y985" s="111">
        <f t="shared" si="482"/>
        <v>0</v>
      </c>
      <c r="Z985" s="111">
        <f t="shared" si="482"/>
        <v>0</v>
      </c>
      <c r="AA985" s="78">
        <f>SUM(G985:Z985)</f>
        <v>435622</v>
      </c>
      <c r="AB985" s="92" t="str">
        <f t="shared" si="472"/>
        <v>ok</v>
      </c>
    </row>
    <row r="986" spans="1:29">
      <c r="A986" s="60" t="s">
        <v>1206</v>
      </c>
      <c r="D986" s="60" t="s">
        <v>1333</v>
      </c>
      <c r="F986" s="78">
        <v>435405</v>
      </c>
      <c r="G986" s="111">
        <f>G985</f>
        <v>377557</v>
      </c>
      <c r="H986" s="111">
        <f>H985</f>
        <v>45332</v>
      </c>
      <c r="I986" s="111">
        <f t="shared" ref="I986:U986" si="484">I975</f>
        <v>0</v>
      </c>
      <c r="J986" s="111">
        <f>J985</f>
        <v>2783</v>
      </c>
      <c r="K986" s="111">
        <f t="shared" si="484"/>
        <v>0</v>
      </c>
      <c r="L986" s="111">
        <f>L985</f>
        <v>505</v>
      </c>
      <c r="M986" s="111">
        <f t="shared" si="484"/>
        <v>0</v>
      </c>
      <c r="N986" s="111">
        <f t="shared" si="484"/>
        <v>0</v>
      </c>
      <c r="O986" s="111">
        <f>O979</f>
        <v>9100.9</v>
      </c>
      <c r="P986" s="111">
        <f t="shared" ref="P986:Q986" si="485">P979</f>
        <v>16.100000000000001</v>
      </c>
      <c r="Q986" s="111">
        <f t="shared" si="485"/>
        <v>100</v>
      </c>
      <c r="R986" s="111">
        <f t="shared" si="484"/>
        <v>1</v>
      </c>
      <c r="S986" s="111">
        <f t="shared" si="484"/>
        <v>10</v>
      </c>
      <c r="T986" s="111">
        <f t="shared" si="484"/>
        <v>0</v>
      </c>
      <c r="U986" s="111">
        <f t="shared" si="484"/>
        <v>0</v>
      </c>
      <c r="V986" s="111"/>
      <c r="W986" s="111"/>
      <c r="X986" s="111"/>
      <c r="Y986" s="111"/>
      <c r="Z986" s="111"/>
      <c r="AA986" s="78">
        <f>SUM(G986:Z986)</f>
        <v>435405</v>
      </c>
      <c r="AB986" s="92" t="str">
        <f>IF(ABS(F986-AA986)&lt;0.01,"ok","err")</f>
        <v>ok</v>
      </c>
    </row>
    <row r="987" spans="1:29">
      <c r="F987" s="78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  <c r="AA987" s="78"/>
      <c r="AB987" s="92"/>
    </row>
    <row r="988" spans="1:29" ht="15">
      <c r="A988" s="59" t="s">
        <v>813</v>
      </c>
    </row>
    <row r="989" spans="1:29">
      <c r="A989" s="60" t="s">
        <v>1230</v>
      </c>
      <c r="D989" s="60" t="s">
        <v>1232</v>
      </c>
      <c r="F989" s="78">
        <v>2982631.2363967979</v>
      </c>
      <c r="G989" s="78">
        <f>'Billing Det'!F8</f>
        <v>1411141.2351640391</v>
      </c>
      <c r="H989" s="78">
        <f>'Billing Det'!F10</f>
        <v>344696.92663794034</v>
      </c>
      <c r="I989" s="78">
        <f>'Billing Det'!F12</f>
        <v>22626.988030432454</v>
      </c>
      <c r="J989" s="78">
        <f>'Billing Det'!F14</f>
        <v>383541.39107749885</v>
      </c>
      <c r="K989" s="78">
        <f>'Billing Det'!F16</f>
        <v>321647.06388980895</v>
      </c>
      <c r="L989" s="78">
        <f>'Billing Det'!F18</f>
        <v>304516.00456533756</v>
      </c>
      <c r="M989" s="78">
        <f>'Billing Det'!F20</f>
        <v>158799.74271764961</v>
      </c>
      <c r="N989" s="78">
        <f>'Billing Det'!F22</f>
        <v>10204.58234420671</v>
      </c>
      <c r="O989" s="78">
        <f>'Billing Det'!F24</f>
        <v>24182.110712100763</v>
      </c>
      <c r="P989" s="78">
        <f>'Billing Det'!F26</f>
        <v>842.2634094387754</v>
      </c>
      <c r="Q989" s="78">
        <f>'Billing Det'!F28</f>
        <v>386.63809557648403</v>
      </c>
      <c r="R989" s="78">
        <f>'Billing Det'!F30</f>
        <v>42.076752768819269</v>
      </c>
      <c r="S989" s="78">
        <f>'Billing Det'!F32</f>
        <v>4.2130000000000001</v>
      </c>
      <c r="T989" s="78">
        <f>'Billing Det'!F34</f>
        <v>0</v>
      </c>
      <c r="U989" s="78">
        <f>'Billing Det'!F36</f>
        <v>0</v>
      </c>
      <c r="V989" s="78">
        <v>0</v>
      </c>
      <c r="W989" s="78">
        <v>0</v>
      </c>
      <c r="X989" s="78">
        <v>0</v>
      </c>
      <c r="Y989" s="78">
        <v>0</v>
      </c>
      <c r="Z989" s="78">
        <v>0</v>
      </c>
      <c r="AA989" s="78">
        <f t="shared" ref="AA989" si="486">SUM(G989:Z989)</f>
        <v>2982631.2363967979</v>
      </c>
      <c r="AB989" s="92" t="str">
        <f t="shared" ref="AB989" si="487">IF(ABS(F989-AA989)&lt;0.01,"ok","err")</f>
        <v>ok</v>
      </c>
      <c r="AC989" s="111"/>
    </row>
    <row r="990" spans="1:29">
      <c r="A990" s="60" t="s">
        <v>1231</v>
      </c>
      <c r="D990" s="60" t="s">
        <v>1233</v>
      </c>
      <c r="F990" s="78">
        <v>2823831.4936791481</v>
      </c>
      <c r="G990" s="78">
        <f>'Billing Det'!F8</f>
        <v>1411141.2351640391</v>
      </c>
      <c r="H990" s="78">
        <f>'Billing Det'!F10</f>
        <v>344696.92663794034</v>
      </c>
      <c r="I990" s="78">
        <f>'Billing Det'!F12</f>
        <v>22626.988030432454</v>
      </c>
      <c r="J990" s="78">
        <f>'Billing Det'!F14</f>
        <v>383541.39107749885</v>
      </c>
      <c r="K990" s="78">
        <f>'Billing Det'!F16</f>
        <v>321647.06388980895</v>
      </c>
      <c r="L990" s="78">
        <f>'Billing Det'!F18</f>
        <v>304516.00456533756</v>
      </c>
      <c r="M990" s="78">
        <v>0</v>
      </c>
      <c r="N990" s="78">
        <f>'Billing Det'!F22</f>
        <v>10204.58234420671</v>
      </c>
      <c r="O990" s="78">
        <f>'Billing Det'!F24</f>
        <v>24182.110712100763</v>
      </c>
      <c r="P990" s="78">
        <f>'Billing Det'!F26</f>
        <v>842.2634094387754</v>
      </c>
      <c r="Q990" s="78">
        <f>'Billing Det'!F28</f>
        <v>386.63809557648403</v>
      </c>
      <c r="R990" s="78">
        <f>'Billing Det'!F30</f>
        <v>42.076752768819269</v>
      </c>
      <c r="S990" s="78">
        <f>'Billing Det'!F32</f>
        <v>4.2130000000000001</v>
      </c>
      <c r="T990" s="78">
        <f>'Billing Det'!F34</f>
        <v>0</v>
      </c>
      <c r="U990" s="78">
        <f>'Billing Det'!F36</f>
        <v>0</v>
      </c>
      <c r="V990" s="78">
        <v>0</v>
      </c>
      <c r="W990" s="78">
        <v>0</v>
      </c>
      <c r="X990" s="78">
        <v>0</v>
      </c>
      <c r="Y990" s="78">
        <v>0</v>
      </c>
      <c r="Z990" s="78">
        <v>0</v>
      </c>
      <c r="AA990" s="78">
        <f t="shared" ref="AA990:AA992" si="488">SUM(G990:Z990)</f>
        <v>2823831.4936791481</v>
      </c>
      <c r="AB990" s="92" t="str">
        <f t="shared" ref="AB990:AB995" si="489">IF(ABS(F990-AA990)&lt;0.01,"ok","err")</f>
        <v>ok</v>
      </c>
      <c r="AC990" s="111"/>
    </row>
    <row r="991" spans="1:29">
      <c r="A991" s="60" t="s">
        <v>1208</v>
      </c>
      <c r="D991" s="60" t="s">
        <v>1209</v>
      </c>
      <c r="F991" s="78">
        <v>4560290.6576733999</v>
      </c>
      <c r="G991" s="78">
        <f>'Billing Det'!G8</f>
        <v>3154764.2447423753</v>
      </c>
      <c r="H991" s="78">
        <f>'Billing Det'!G10</f>
        <v>504189.40375760838</v>
      </c>
      <c r="I991" s="78">
        <v>0</v>
      </c>
      <c r="J991" s="78">
        <f>'Billing Det'!G14</f>
        <v>477537.689536402</v>
      </c>
      <c r="K991" s="78">
        <v>0</v>
      </c>
      <c r="L991" s="78">
        <f>'Billing Det'!G18</f>
        <v>398342.01766712911</v>
      </c>
      <c r="M991" s="78">
        <v>0</v>
      </c>
      <c r="N991" s="78">
        <v>0</v>
      </c>
      <c r="O991" s="78">
        <f>'Billing Det'!G24</f>
        <v>24182.110712100763</v>
      </c>
      <c r="P991" s="78">
        <f>'Billing Det'!G26</f>
        <v>842.2634094387754</v>
      </c>
      <c r="Q991" s="78">
        <f>'Billing Det'!G28</f>
        <v>386.63809557648403</v>
      </c>
      <c r="R991" s="78">
        <f>'Billing Det'!G30</f>
        <v>42.076752768819269</v>
      </c>
      <c r="S991" s="78">
        <f>'Billing Det'!G32</f>
        <v>4.2130000000000001</v>
      </c>
      <c r="T991" s="78">
        <f>'Billing Det'!G34</f>
        <v>0</v>
      </c>
      <c r="U991" s="78">
        <f>'Billing Det'!G36</f>
        <v>0</v>
      </c>
      <c r="V991" s="78">
        <v>0</v>
      </c>
      <c r="W991" s="78">
        <v>0</v>
      </c>
      <c r="X991" s="78">
        <v>0</v>
      </c>
      <c r="Y991" s="78">
        <v>0</v>
      </c>
      <c r="Z991" s="78">
        <v>0</v>
      </c>
      <c r="AA991" s="78">
        <f t="shared" si="488"/>
        <v>4560290.6576733999</v>
      </c>
      <c r="AB991" s="92" t="str">
        <f t="shared" si="489"/>
        <v>ok</v>
      </c>
    </row>
    <row r="992" spans="1:29">
      <c r="A992" s="60" t="s">
        <v>645</v>
      </c>
      <c r="D992" s="60" t="s">
        <v>646</v>
      </c>
      <c r="F992" s="78">
        <v>4161948.6400062703</v>
      </c>
      <c r="G992" s="78">
        <f>'Billing Det'!G8</f>
        <v>3154764.2447423753</v>
      </c>
      <c r="H992" s="78">
        <f>'Billing Det'!G10</f>
        <v>504189.40375760838</v>
      </c>
      <c r="I992" s="78">
        <v>0</v>
      </c>
      <c r="J992" s="78">
        <f>'Billing Det'!G14</f>
        <v>477537.689536402</v>
      </c>
      <c r="K992" s="78">
        <v>0</v>
      </c>
      <c r="L992" s="78">
        <v>0</v>
      </c>
      <c r="M992" s="78">
        <v>0</v>
      </c>
      <c r="N992" s="78">
        <v>0</v>
      </c>
      <c r="O992" s="78">
        <f>'Billing Det'!G24</f>
        <v>24182.110712100763</v>
      </c>
      <c r="P992" s="78">
        <f>'Billing Det'!G26</f>
        <v>842.2634094387754</v>
      </c>
      <c r="Q992" s="78">
        <f>'Billing Det'!G28</f>
        <v>386.63809557648403</v>
      </c>
      <c r="R992" s="78">
        <f>'Billing Det'!G30</f>
        <v>42.076752768819269</v>
      </c>
      <c r="S992" s="78">
        <f>'Billing Det'!G32</f>
        <v>4.2130000000000001</v>
      </c>
      <c r="T992" s="78">
        <f>'Billing Det'!G34</f>
        <v>0</v>
      </c>
      <c r="U992" s="78">
        <f>'Billing Det'!G36</f>
        <v>0</v>
      </c>
      <c r="V992" s="78">
        <v>0</v>
      </c>
      <c r="W992" s="78">
        <v>0</v>
      </c>
      <c r="X992" s="78">
        <v>0</v>
      </c>
      <c r="Y992" s="78">
        <v>0</v>
      </c>
      <c r="Z992" s="78">
        <v>0</v>
      </c>
      <c r="AA992" s="78">
        <f t="shared" si="488"/>
        <v>4161948.6400062703</v>
      </c>
      <c r="AB992" s="92" t="str">
        <f t="shared" si="489"/>
        <v>ok</v>
      </c>
    </row>
    <row r="993" spans="1:29" hidden="1">
      <c r="A993" s="60" t="s">
        <v>806</v>
      </c>
      <c r="D993" s="60" t="s">
        <v>174</v>
      </c>
      <c r="F993" s="78">
        <f>F995</f>
        <v>23513673.142904144</v>
      </c>
      <c r="G993" s="78">
        <f t="shared" ref="G993:U993" si="490">G995</f>
        <v>9798978.2762596365</v>
      </c>
      <c r="H993" s="78">
        <f t="shared" si="490"/>
        <v>2820703.6590990154</v>
      </c>
      <c r="I993" s="78">
        <f t="shared" si="490"/>
        <v>204216.25235290852</v>
      </c>
      <c r="J993" s="78">
        <f t="shared" si="490"/>
        <v>3288452.0027987352</v>
      </c>
      <c r="K993" s="78">
        <f t="shared" si="490"/>
        <v>3082236.7976743043</v>
      </c>
      <c r="L993" s="78">
        <f t="shared" si="490"/>
        <v>2548932.4816778139</v>
      </c>
      <c r="M993" s="78">
        <f t="shared" si="490"/>
        <v>1576837.976146932</v>
      </c>
      <c r="N993" s="78">
        <f t="shared" si="490"/>
        <v>88534.01476008819</v>
      </c>
      <c r="O993" s="78">
        <f t="shared" si="490"/>
        <v>96728.44284840305</v>
      </c>
      <c r="P993" s="78">
        <f t="shared" si="490"/>
        <v>3369.0536377551016</v>
      </c>
      <c r="Q993" s="78">
        <f t="shared" si="490"/>
        <v>4639.6571469178079</v>
      </c>
      <c r="R993" s="78">
        <f t="shared" si="490"/>
        <v>4.5050016304045979</v>
      </c>
      <c r="S993" s="78">
        <f t="shared" si="490"/>
        <v>40.023499999999999</v>
      </c>
      <c r="T993" s="78">
        <f t="shared" si="490"/>
        <v>0</v>
      </c>
      <c r="U993" s="78">
        <f t="shared" si="490"/>
        <v>0</v>
      </c>
      <c r="V993" s="78">
        <v>0</v>
      </c>
      <c r="W993" s="78">
        <v>0</v>
      </c>
      <c r="X993" s="78"/>
      <c r="Y993" s="78"/>
      <c r="Z993" s="78"/>
      <c r="AA993" s="78">
        <v>34305.024476596634</v>
      </c>
      <c r="AB993" s="92" t="str">
        <f t="shared" si="489"/>
        <v>err</v>
      </c>
      <c r="AC993" s="434"/>
    </row>
    <row r="994" spans="1:29" hidden="1">
      <c r="A994" s="60" t="s">
        <v>807</v>
      </c>
      <c r="D994" s="60" t="s">
        <v>175</v>
      </c>
      <c r="F994" s="78">
        <f>F995</f>
        <v>23513673.142904144</v>
      </c>
      <c r="G994" s="78">
        <f t="shared" ref="G994:U994" si="491">G995</f>
        <v>9798978.2762596365</v>
      </c>
      <c r="H994" s="78">
        <f t="shared" si="491"/>
        <v>2820703.6590990154</v>
      </c>
      <c r="I994" s="78">
        <f t="shared" si="491"/>
        <v>204216.25235290852</v>
      </c>
      <c r="J994" s="78">
        <f t="shared" si="491"/>
        <v>3288452.0027987352</v>
      </c>
      <c r="K994" s="78">
        <f t="shared" si="491"/>
        <v>3082236.7976743043</v>
      </c>
      <c r="L994" s="78">
        <f t="shared" si="491"/>
        <v>2548932.4816778139</v>
      </c>
      <c r="M994" s="78">
        <f t="shared" si="491"/>
        <v>1576837.976146932</v>
      </c>
      <c r="N994" s="78">
        <f t="shared" si="491"/>
        <v>88534.01476008819</v>
      </c>
      <c r="O994" s="78">
        <f t="shared" si="491"/>
        <v>96728.44284840305</v>
      </c>
      <c r="P994" s="78">
        <f t="shared" si="491"/>
        <v>3369.0536377551016</v>
      </c>
      <c r="Q994" s="78">
        <f t="shared" si="491"/>
        <v>4639.6571469178079</v>
      </c>
      <c r="R994" s="78">
        <f t="shared" si="491"/>
        <v>4.5050016304045979</v>
      </c>
      <c r="S994" s="78">
        <f t="shared" si="491"/>
        <v>40.023499999999999</v>
      </c>
      <c r="T994" s="78">
        <f t="shared" si="491"/>
        <v>0</v>
      </c>
      <c r="U994" s="78">
        <f t="shared" si="491"/>
        <v>0</v>
      </c>
      <c r="V994" s="78">
        <v>0</v>
      </c>
      <c r="W994" s="78">
        <v>0</v>
      </c>
      <c r="X994" s="78"/>
      <c r="Y994" s="78"/>
      <c r="Z994" s="78"/>
      <c r="AA994" s="78">
        <v>34305.024476596634</v>
      </c>
      <c r="AB994" s="92" t="str">
        <f t="shared" si="489"/>
        <v>err</v>
      </c>
    </row>
    <row r="995" spans="1:29">
      <c r="A995" s="60" t="s">
        <v>1367</v>
      </c>
      <c r="D995" s="60" t="s">
        <v>1368</v>
      </c>
      <c r="F995" s="78">
        <v>23513673.142904144</v>
      </c>
      <c r="G995" s="78">
        <v>9798978.2762596365</v>
      </c>
      <c r="H995" s="78">
        <v>2820703.6590990154</v>
      </c>
      <c r="I995" s="78">
        <v>204216.25235290852</v>
      </c>
      <c r="J995" s="78">
        <v>3288452.0027987352</v>
      </c>
      <c r="K995" s="78">
        <v>3082236.7976743043</v>
      </c>
      <c r="L995" s="78">
        <v>2548932.4816778139</v>
      </c>
      <c r="M995" s="78">
        <v>1576837.976146932</v>
      </c>
      <c r="N995" s="78">
        <v>88534.01476008819</v>
      </c>
      <c r="O995" s="78">
        <v>96728.44284840305</v>
      </c>
      <c r="P995" s="78">
        <v>3369.0536377551016</v>
      </c>
      <c r="Q995" s="78">
        <v>4639.6571469178079</v>
      </c>
      <c r="R995" s="78">
        <v>4.5050016304045979</v>
      </c>
      <c r="S995" s="78">
        <v>40.023499999999999</v>
      </c>
      <c r="T995" s="78">
        <v>0</v>
      </c>
      <c r="U995" s="78">
        <v>0</v>
      </c>
      <c r="V995" s="78">
        <v>0</v>
      </c>
      <c r="W995" s="78">
        <v>0</v>
      </c>
      <c r="X995" s="78"/>
      <c r="Y995" s="78"/>
      <c r="Z995" s="78"/>
      <c r="AA995" s="78">
        <f t="shared" ref="AA995" si="492">SUM(G995:Z995)</f>
        <v>23513673.142904144</v>
      </c>
      <c r="AB995" s="92" t="str">
        <f t="shared" si="489"/>
        <v>ok</v>
      </c>
      <c r="AC995" s="435"/>
    </row>
    <row r="996" spans="1:29">
      <c r="F996" s="109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92"/>
    </row>
    <row r="997" spans="1:29" ht="15">
      <c r="A997" s="65" t="s">
        <v>1164</v>
      </c>
      <c r="F997" s="109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92"/>
    </row>
    <row r="998" spans="1:29">
      <c r="F998" s="109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92"/>
    </row>
    <row r="999" spans="1:29" ht="15">
      <c r="A999" s="192" t="s">
        <v>1321</v>
      </c>
      <c r="F999" s="109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92"/>
    </row>
    <row r="1000" spans="1:29">
      <c r="A1000" s="60" t="s">
        <v>1369</v>
      </c>
      <c r="D1000" s="60" t="s">
        <v>1404</v>
      </c>
      <c r="F1000" s="78">
        <f>F995</f>
        <v>23513673.142904144</v>
      </c>
      <c r="G1000" s="78">
        <f t="shared" ref="G1000:Z1000" si="493">G994</f>
        <v>9798978.2762596365</v>
      </c>
      <c r="H1000" s="78">
        <f t="shared" si="493"/>
        <v>2820703.6590990154</v>
      </c>
      <c r="I1000" s="78">
        <f t="shared" si="493"/>
        <v>204216.25235290852</v>
      </c>
      <c r="J1000" s="78">
        <f t="shared" si="493"/>
        <v>3288452.0027987352</v>
      </c>
      <c r="K1000" s="78">
        <f t="shared" si="493"/>
        <v>3082236.7976743043</v>
      </c>
      <c r="L1000" s="78">
        <f t="shared" si="493"/>
        <v>2548932.4816778139</v>
      </c>
      <c r="M1000" s="78">
        <f t="shared" si="493"/>
        <v>1576837.976146932</v>
      </c>
      <c r="N1000" s="78">
        <f t="shared" si="493"/>
        <v>88534.01476008819</v>
      </c>
      <c r="O1000" s="78">
        <f>O994</f>
        <v>96728.44284840305</v>
      </c>
      <c r="P1000" s="78">
        <f t="shared" si="493"/>
        <v>3369.0536377551016</v>
      </c>
      <c r="Q1000" s="78">
        <f t="shared" si="493"/>
        <v>4639.6571469178079</v>
      </c>
      <c r="R1000" s="78">
        <f t="shared" si="493"/>
        <v>4.5050016304045979</v>
      </c>
      <c r="S1000" s="78">
        <f t="shared" si="493"/>
        <v>40.023499999999999</v>
      </c>
      <c r="T1000" s="78">
        <f t="shared" si="493"/>
        <v>0</v>
      </c>
      <c r="U1000" s="78">
        <f t="shared" si="493"/>
        <v>0</v>
      </c>
      <c r="V1000" s="78">
        <f t="shared" si="493"/>
        <v>0</v>
      </c>
      <c r="W1000" s="78">
        <f t="shared" si="493"/>
        <v>0</v>
      </c>
      <c r="X1000" s="78">
        <f t="shared" si="493"/>
        <v>0</v>
      </c>
      <c r="Y1000" s="78">
        <f t="shared" si="493"/>
        <v>0</v>
      </c>
      <c r="Z1000" s="78">
        <f t="shared" si="493"/>
        <v>0</v>
      </c>
      <c r="AA1000" s="78">
        <f>SUM(G1000:Z1000)</f>
        <v>23513673.142904144</v>
      </c>
      <c r="AB1000" s="92" t="str">
        <f t="shared" ref="AB1000:AB1005" si="494">IF(ABS(F1000-AA1000)&lt;0.01,"ok","err")</f>
        <v>ok</v>
      </c>
    </row>
    <row r="1001" spans="1:29">
      <c r="A1001" s="60" t="s">
        <v>1370</v>
      </c>
      <c r="F1001" s="79">
        <f>F9</f>
        <v>3865573604.4296021</v>
      </c>
      <c r="AA1001" s="79">
        <f>F1001</f>
        <v>3865573604.4296021</v>
      </c>
      <c r="AB1001" s="92" t="str">
        <f t="shared" si="494"/>
        <v>ok</v>
      </c>
    </row>
    <row r="1002" spans="1:29">
      <c r="A1002" s="60" t="s">
        <v>152</v>
      </c>
      <c r="F1002" s="79">
        <v>2715714.11</v>
      </c>
      <c r="H1002" s="78">
        <v>0</v>
      </c>
      <c r="I1002" s="75">
        <v>0</v>
      </c>
      <c r="J1002" s="78">
        <v>0</v>
      </c>
      <c r="K1002" s="78">
        <v>0</v>
      </c>
      <c r="L1002" s="111">
        <v>0</v>
      </c>
      <c r="M1002" s="78">
        <v>0</v>
      </c>
      <c r="N1002" s="78">
        <v>0</v>
      </c>
      <c r="O1002" s="78">
        <v>0</v>
      </c>
      <c r="P1002" s="78">
        <v>0</v>
      </c>
      <c r="T1002" s="78">
        <f>2200391.61+430350.97</f>
        <v>2630742.58</v>
      </c>
      <c r="U1002" s="342">
        <v>84971.530000000013</v>
      </c>
      <c r="V1002" s="78">
        <v>0</v>
      </c>
      <c r="W1002" s="78">
        <v>0</v>
      </c>
      <c r="AA1002" s="79">
        <f>SUM(G1002:Z1002)</f>
        <v>2715714.11</v>
      </c>
      <c r="AB1002" s="92" t="str">
        <f t="shared" si="494"/>
        <v>ok</v>
      </c>
    </row>
    <row r="1003" spans="1:29">
      <c r="A1003" s="60" t="s">
        <v>1371</v>
      </c>
      <c r="E1003" s="60" t="s">
        <v>1404</v>
      </c>
      <c r="F1003" s="79">
        <f>F1001-F1002</f>
        <v>3862857890.319602</v>
      </c>
      <c r="G1003" s="75">
        <f t="shared" ref="G1003:Z1003" si="495">IF(VLOOKUP($E1003,$D$6:$AN$1148,3,)=0,0,(VLOOKUP($E1003,$D$6:$AN$1148,G$2,)/VLOOKUP($E1003,$D$6:$AN$1148,3,))*$F1003)</f>
        <v>1609789347.7328846</v>
      </c>
      <c r="H1003" s="75">
        <f t="shared" si="495"/>
        <v>463388995.82314497</v>
      </c>
      <c r="I1003" s="75">
        <f t="shared" si="495"/>
        <v>33548920.959250044</v>
      </c>
      <c r="J1003" s="75">
        <f t="shared" si="495"/>
        <v>540231323.65356517</v>
      </c>
      <c r="K1003" s="75">
        <f t="shared" si="495"/>
        <v>506354012.0409739</v>
      </c>
      <c r="L1003" s="75">
        <f t="shared" si="495"/>
        <v>418742060.79590762</v>
      </c>
      <c r="M1003" s="75">
        <f t="shared" si="495"/>
        <v>259045066.28531215</v>
      </c>
      <c r="N1003" s="75">
        <f t="shared" si="495"/>
        <v>14544487.175577005</v>
      </c>
      <c r="O1003" s="75">
        <f t="shared" si="495"/>
        <v>15890678.857549757</v>
      </c>
      <c r="P1003" s="75">
        <f t="shared" si="495"/>
        <v>553472.66879226884</v>
      </c>
      <c r="Q1003" s="75">
        <f t="shared" si="495"/>
        <v>762209.12442842696</v>
      </c>
      <c r="R1003" s="75">
        <f t="shared" si="495"/>
        <v>740.08773483196217</v>
      </c>
      <c r="S1003" s="75">
        <f t="shared" si="495"/>
        <v>6575.1144805660724</v>
      </c>
      <c r="T1003" s="75">
        <f t="shared" si="495"/>
        <v>0</v>
      </c>
      <c r="U1003" s="75">
        <f t="shared" si="495"/>
        <v>0</v>
      </c>
      <c r="V1003" s="75">
        <f t="shared" si="495"/>
        <v>0</v>
      </c>
      <c r="W1003" s="75">
        <f t="shared" si="495"/>
        <v>0</v>
      </c>
      <c r="X1003" s="75">
        <f t="shared" si="495"/>
        <v>0</v>
      </c>
      <c r="Y1003" s="75">
        <f t="shared" si="495"/>
        <v>0</v>
      </c>
      <c r="Z1003" s="75">
        <f t="shared" si="495"/>
        <v>0</v>
      </c>
      <c r="AA1003" s="79">
        <f>SUM(G1003:Z1003)</f>
        <v>3862857890.3196011</v>
      </c>
      <c r="AB1003" s="92" t="str">
        <f t="shared" si="494"/>
        <v>ok</v>
      </c>
    </row>
    <row r="1004" spans="1:29">
      <c r="A1004" s="60" t="s">
        <v>1372</v>
      </c>
      <c r="D1004" s="60" t="s">
        <v>1405</v>
      </c>
      <c r="F1004" s="79">
        <f t="shared" ref="F1004" si="496">F1002+F1003</f>
        <v>3865573604.4296021</v>
      </c>
      <c r="G1004" s="79">
        <f t="shared" ref="G1004:W1004" si="497">G1002+G1003</f>
        <v>1609789347.7328846</v>
      </c>
      <c r="H1004" s="79">
        <f t="shared" si="497"/>
        <v>463388995.82314497</v>
      </c>
      <c r="I1004" s="79">
        <f t="shared" si="497"/>
        <v>33548920.959250044</v>
      </c>
      <c r="J1004" s="79">
        <f t="shared" si="497"/>
        <v>540231323.65356517</v>
      </c>
      <c r="K1004" s="79">
        <f t="shared" si="497"/>
        <v>506354012.0409739</v>
      </c>
      <c r="L1004" s="79">
        <f t="shared" si="497"/>
        <v>418742060.79590762</v>
      </c>
      <c r="M1004" s="79">
        <f t="shared" si="497"/>
        <v>259045066.28531215</v>
      </c>
      <c r="N1004" s="79">
        <f t="shared" si="497"/>
        <v>14544487.175577005</v>
      </c>
      <c r="O1004" s="79">
        <f>O1002+O1003</f>
        <v>15890678.857549757</v>
      </c>
      <c r="P1004" s="79">
        <f t="shared" si="497"/>
        <v>553472.66879226884</v>
      </c>
      <c r="Q1004" s="79">
        <f t="shared" si="497"/>
        <v>762209.12442842696</v>
      </c>
      <c r="R1004" s="79">
        <f t="shared" si="497"/>
        <v>740.08773483196217</v>
      </c>
      <c r="S1004" s="79">
        <f t="shared" si="497"/>
        <v>6575.1144805660724</v>
      </c>
      <c r="T1004" s="79">
        <f t="shared" si="497"/>
        <v>2630742.58</v>
      </c>
      <c r="U1004" s="79">
        <f t="shared" si="497"/>
        <v>84971.530000000013</v>
      </c>
      <c r="V1004" s="79">
        <f t="shared" si="497"/>
        <v>0</v>
      </c>
      <c r="W1004" s="79">
        <f t="shared" si="497"/>
        <v>0</v>
      </c>
      <c r="X1004" s="79">
        <f>X1002+X1003</f>
        <v>0</v>
      </c>
      <c r="Y1004" s="79">
        <f>Y1002+Y1003</f>
        <v>0</v>
      </c>
      <c r="Z1004" s="79">
        <f>Z1002+Z1003</f>
        <v>0</v>
      </c>
      <c r="AA1004" s="79">
        <f>SUM(G1004:Z1004)</f>
        <v>3865573604.4296012</v>
      </c>
      <c r="AB1004" s="92" t="str">
        <f t="shared" si="494"/>
        <v>ok</v>
      </c>
    </row>
    <row r="1005" spans="1:29">
      <c r="A1005" s="60" t="s">
        <v>1373</v>
      </c>
      <c r="D1005" s="60" t="s">
        <v>1406</v>
      </c>
      <c r="E1005" s="60" t="s">
        <v>1405</v>
      </c>
      <c r="F1005" s="109">
        <v>1</v>
      </c>
      <c r="G1005" s="82">
        <f t="shared" ref="G1005:Z1005" si="498">IF(VLOOKUP($E1005,$D$6:$AN$1148,3,)=0,0,(VLOOKUP($E1005,$D$6:$AN$1148,G$2,)/VLOOKUP($E1005,$D$6:$AN$1148,3,))*$F1005)</f>
        <v>0.41644255483538323</v>
      </c>
      <c r="H1005" s="82">
        <f t="shared" si="498"/>
        <v>0.1198758692092016</v>
      </c>
      <c r="I1005" s="82">
        <f t="shared" si="498"/>
        <v>8.6788985005500797E-3</v>
      </c>
      <c r="J1005" s="82">
        <f t="shared" si="498"/>
        <v>0.1397545044891936</v>
      </c>
      <c r="K1005" s="82">
        <f t="shared" si="498"/>
        <v>0.13099065335626708</v>
      </c>
      <c r="L1005" s="82">
        <f t="shared" si="498"/>
        <v>0.10832598306136679</v>
      </c>
      <c r="M1005" s="82">
        <f t="shared" si="498"/>
        <v>6.701335760065974E-2</v>
      </c>
      <c r="N1005" s="82">
        <f t="shared" si="498"/>
        <v>3.7625689390341248E-3</v>
      </c>
      <c r="O1005" s="82">
        <f t="shared" si="498"/>
        <v>4.1108204069223928E-3</v>
      </c>
      <c r="P1005" s="82">
        <f t="shared" si="498"/>
        <v>1.4317995863745515E-4</v>
      </c>
      <c r="Q1005" s="82">
        <f t="shared" si="498"/>
        <v>1.9717878959929863E-4</v>
      </c>
      <c r="R1005" s="82">
        <f t="shared" si="498"/>
        <v>1.9145612283359129E-7</v>
      </c>
      <c r="S1005" s="82">
        <f t="shared" si="498"/>
        <v>1.7009414781370554E-6</v>
      </c>
      <c r="T1005" s="82">
        <f t="shared" si="498"/>
        <v>6.8055684594529615E-4</v>
      </c>
      <c r="U1005" s="82">
        <f t="shared" si="498"/>
        <v>2.198160963812207E-5</v>
      </c>
      <c r="V1005" s="82">
        <f t="shared" si="498"/>
        <v>0</v>
      </c>
      <c r="W1005" s="82">
        <f t="shared" si="498"/>
        <v>0</v>
      </c>
      <c r="X1005" s="82">
        <f t="shared" si="498"/>
        <v>0</v>
      </c>
      <c r="Y1005" s="82">
        <f t="shared" si="498"/>
        <v>0</v>
      </c>
      <c r="Z1005" s="82">
        <f t="shared" si="498"/>
        <v>0</v>
      </c>
      <c r="AA1005" s="82">
        <f>SUM(G1005:Z1005)</f>
        <v>0.99999999999999967</v>
      </c>
      <c r="AB1005" s="92" t="str">
        <f t="shared" si="494"/>
        <v>ok</v>
      </c>
    </row>
    <row r="1006" spans="1:29">
      <c r="F1006" s="109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  <c r="Z1006" s="82"/>
      <c r="AA1006" s="82"/>
      <c r="AB1006" s="92"/>
    </row>
    <row r="1007" spans="1:29">
      <c r="A1007" s="60" t="s">
        <v>1374</v>
      </c>
      <c r="D1007" s="60" t="s">
        <v>1407</v>
      </c>
      <c r="F1007" s="78">
        <f t="shared" ref="F1007:Z1007" si="499">F993</f>
        <v>23513673.142904144</v>
      </c>
      <c r="G1007" s="78">
        <f t="shared" si="499"/>
        <v>9798978.2762596365</v>
      </c>
      <c r="H1007" s="78">
        <f t="shared" si="499"/>
        <v>2820703.6590990154</v>
      </c>
      <c r="I1007" s="78">
        <f t="shared" si="499"/>
        <v>204216.25235290852</v>
      </c>
      <c r="J1007" s="78">
        <f t="shared" si="499"/>
        <v>3288452.0027987352</v>
      </c>
      <c r="K1007" s="78">
        <f t="shared" si="499"/>
        <v>3082236.7976743043</v>
      </c>
      <c r="L1007" s="78">
        <f t="shared" si="499"/>
        <v>2548932.4816778139</v>
      </c>
      <c r="M1007" s="78">
        <f t="shared" si="499"/>
        <v>1576837.976146932</v>
      </c>
      <c r="N1007" s="78">
        <f t="shared" si="499"/>
        <v>88534.01476008819</v>
      </c>
      <c r="O1007" s="78">
        <f>O993</f>
        <v>96728.44284840305</v>
      </c>
      <c r="P1007" s="78">
        <f t="shared" si="499"/>
        <v>3369.0536377551016</v>
      </c>
      <c r="Q1007" s="78">
        <f t="shared" si="499"/>
        <v>4639.6571469178079</v>
      </c>
      <c r="R1007" s="78">
        <f t="shared" si="499"/>
        <v>4.5050016304045979</v>
      </c>
      <c r="S1007" s="78">
        <f t="shared" si="499"/>
        <v>40.023499999999999</v>
      </c>
      <c r="T1007" s="78">
        <f t="shared" si="499"/>
        <v>0</v>
      </c>
      <c r="U1007" s="78">
        <f t="shared" si="499"/>
        <v>0</v>
      </c>
      <c r="V1007" s="78">
        <f t="shared" si="499"/>
        <v>0</v>
      </c>
      <c r="W1007" s="78">
        <f t="shared" si="499"/>
        <v>0</v>
      </c>
      <c r="X1007" s="78">
        <f t="shared" si="499"/>
        <v>0</v>
      </c>
      <c r="Y1007" s="78">
        <f t="shared" si="499"/>
        <v>0</v>
      </c>
      <c r="Z1007" s="78">
        <f t="shared" si="499"/>
        <v>0</v>
      </c>
      <c r="AA1007" s="78">
        <f>SUM(G1007:Z1007)</f>
        <v>23513673.142904144</v>
      </c>
      <c r="AB1007" s="92" t="str">
        <f t="shared" ref="AB1007:AB1012" si="500">IF(ABS(F1007-AA1007)&lt;0.01,"ok","err")</f>
        <v>ok</v>
      </c>
    </row>
    <row r="1008" spans="1:29">
      <c r="A1008" s="60" t="s">
        <v>1375</v>
      </c>
      <c r="F1008" s="79">
        <f>F68</f>
        <v>2495383412.90588</v>
      </c>
      <c r="AA1008" s="79">
        <f>F1008</f>
        <v>2495383412.90588</v>
      </c>
      <c r="AB1008" s="92" t="str">
        <f t="shared" si="500"/>
        <v>ok</v>
      </c>
    </row>
    <row r="1009" spans="1:28">
      <c r="A1009" s="60" t="s">
        <v>152</v>
      </c>
      <c r="F1009" s="79">
        <v>2559062.9700000002</v>
      </c>
      <c r="H1009" s="78">
        <v>0</v>
      </c>
      <c r="I1009" s="75">
        <v>0</v>
      </c>
      <c r="J1009" s="78">
        <v>0</v>
      </c>
      <c r="K1009" s="78">
        <v>0</v>
      </c>
      <c r="L1009" s="111">
        <v>0</v>
      </c>
      <c r="M1009" s="78">
        <v>0</v>
      </c>
      <c r="N1009" s="78">
        <v>0</v>
      </c>
      <c r="O1009" s="78">
        <v>0</v>
      </c>
      <c r="P1009" s="78">
        <v>0</v>
      </c>
      <c r="T1009" s="78">
        <f>T1002-144008.4</f>
        <v>2486734.1800000002</v>
      </c>
      <c r="U1009" s="342">
        <f>U1002-12642.74</f>
        <v>72328.790000000008</v>
      </c>
      <c r="V1009" s="78">
        <v>0</v>
      </c>
      <c r="W1009" s="78">
        <v>0</v>
      </c>
      <c r="AA1009" s="79">
        <f>SUM(G1009:Z1009)</f>
        <v>2559062.9700000002</v>
      </c>
      <c r="AB1009" s="92" t="str">
        <f t="shared" si="500"/>
        <v>ok</v>
      </c>
    </row>
    <row r="1010" spans="1:28">
      <c r="A1010" s="60" t="s">
        <v>1376</v>
      </c>
      <c r="E1010" s="60" t="s">
        <v>1407</v>
      </c>
      <c r="F1010" s="79">
        <f>F1008-F1009</f>
        <v>2492824349.9358802</v>
      </c>
      <c r="G1010" s="75">
        <f t="shared" ref="G1010:Z1010" si="501">IF(VLOOKUP($E1010,$D$6:$AN$1148,3,)=0,0,(VLOOKUP($E1010,$D$6:$AN$1148,G$2,)/VLOOKUP($E1010,$D$6:$AN$1148,3,))*$F1010)</f>
        <v>1038847971.6927704</v>
      </c>
      <c r="H1010" s="75">
        <f t="shared" si="501"/>
        <v>299039572.53387284</v>
      </c>
      <c r="I1010" s="75">
        <f t="shared" si="501"/>
        <v>21650179.596530091</v>
      </c>
      <c r="J1010" s="75">
        <f t="shared" si="501"/>
        <v>348628356.63112533</v>
      </c>
      <c r="K1010" s="75">
        <f t="shared" si="501"/>
        <v>326766256.16145313</v>
      </c>
      <c r="L1010" s="75">
        <f t="shared" si="501"/>
        <v>270227493.51206499</v>
      </c>
      <c r="M1010" s="75">
        <f t="shared" si="501"/>
        <v>167169972.93248922</v>
      </c>
      <c r="N1010" s="75">
        <f t="shared" si="501"/>
        <v>9386017.5077806711</v>
      </c>
      <c r="O1010" s="75">
        <f t="shared" si="501"/>
        <v>10254757.570135169</v>
      </c>
      <c r="P1010" s="75">
        <f t="shared" si="501"/>
        <v>357173.41537387262</v>
      </c>
      <c r="Q1010" s="75">
        <f t="shared" si="501"/>
        <v>491877.65096926328</v>
      </c>
      <c r="R1010" s="75">
        <f t="shared" si="501"/>
        <v>477.60201872851235</v>
      </c>
      <c r="S1010" s="75">
        <f t="shared" si="501"/>
        <v>4243.1292960184455</v>
      </c>
      <c r="T1010" s="75">
        <f t="shared" si="501"/>
        <v>0</v>
      </c>
      <c r="U1010" s="75">
        <f t="shared" si="501"/>
        <v>0</v>
      </c>
      <c r="V1010" s="75">
        <f t="shared" si="501"/>
        <v>0</v>
      </c>
      <c r="W1010" s="75">
        <f t="shared" si="501"/>
        <v>0</v>
      </c>
      <c r="X1010" s="75">
        <f t="shared" si="501"/>
        <v>0</v>
      </c>
      <c r="Y1010" s="75">
        <f t="shared" si="501"/>
        <v>0</v>
      </c>
      <c r="Z1010" s="75">
        <f t="shared" si="501"/>
        <v>0</v>
      </c>
      <c r="AA1010" s="79">
        <f>SUM(G1010:Z1010)</f>
        <v>2492824349.9358792</v>
      </c>
      <c r="AB1010" s="92" t="str">
        <f t="shared" si="500"/>
        <v>ok</v>
      </c>
    </row>
    <row r="1011" spans="1:28">
      <c r="A1011" s="60" t="s">
        <v>1377</v>
      </c>
      <c r="D1011" s="60" t="s">
        <v>1408</v>
      </c>
      <c r="F1011" s="79">
        <f t="shared" ref="F1011:Z1011" si="502">F1009+F1010</f>
        <v>2495383412.90588</v>
      </c>
      <c r="G1011" s="79">
        <f t="shared" si="502"/>
        <v>1038847971.6927704</v>
      </c>
      <c r="H1011" s="79">
        <f t="shared" si="502"/>
        <v>299039572.53387284</v>
      </c>
      <c r="I1011" s="79">
        <f t="shared" si="502"/>
        <v>21650179.596530091</v>
      </c>
      <c r="J1011" s="79">
        <f t="shared" si="502"/>
        <v>348628356.63112533</v>
      </c>
      <c r="K1011" s="79">
        <f t="shared" si="502"/>
        <v>326766256.16145313</v>
      </c>
      <c r="L1011" s="79">
        <f t="shared" si="502"/>
        <v>270227493.51206499</v>
      </c>
      <c r="M1011" s="79">
        <f t="shared" si="502"/>
        <v>167169972.93248922</v>
      </c>
      <c r="N1011" s="79">
        <f t="shared" si="502"/>
        <v>9386017.5077806711</v>
      </c>
      <c r="O1011" s="79">
        <f>O1009+O1010</f>
        <v>10254757.570135169</v>
      </c>
      <c r="P1011" s="79">
        <f t="shared" si="502"/>
        <v>357173.41537387262</v>
      </c>
      <c r="Q1011" s="79">
        <f t="shared" si="502"/>
        <v>491877.65096926328</v>
      </c>
      <c r="R1011" s="79">
        <f t="shared" si="502"/>
        <v>477.60201872851235</v>
      </c>
      <c r="S1011" s="79">
        <f t="shared" si="502"/>
        <v>4243.1292960184455</v>
      </c>
      <c r="T1011" s="79">
        <f t="shared" si="502"/>
        <v>2486734.1800000002</v>
      </c>
      <c r="U1011" s="79">
        <f t="shared" si="502"/>
        <v>72328.790000000008</v>
      </c>
      <c r="V1011" s="79">
        <f t="shared" si="502"/>
        <v>0</v>
      </c>
      <c r="W1011" s="79">
        <f t="shared" si="502"/>
        <v>0</v>
      </c>
      <c r="X1011" s="79">
        <f t="shared" si="502"/>
        <v>0</v>
      </c>
      <c r="Y1011" s="79">
        <f t="shared" si="502"/>
        <v>0</v>
      </c>
      <c r="Z1011" s="79">
        <f t="shared" si="502"/>
        <v>0</v>
      </c>
      <c r="AA1011" s="79">
        <f>SUM(G1011:Z1011)</f>
        <v>2495383412.905879</v>
      </c>
      <c r="AB1011" s="92" t="str">
        <f t="shared" si="500"/>
        <v>ok</v>
      </c>
    </row>
    <row r="1012" spans="1:28">
      <c r="A1012" s="60" t="s">
        <v>1378</v>
      </c>
      <c r="D1012" s="60" t="s">
        <v>1409</v>
      </c>
      <c r="E1012" s="60" t="s">
        <v>1408</v>
      </c>
      <c r="F1012" s="109">
        <v>1</v>
      </c>
      <c r="G1012" s="82">
        <f t="shared" ref="G1012:Z1012" si="503">IF(VLOOKUP($E1012,$D$6:$AN$1148,3,)=0,0,(VLOOKUP($E1012,$D$6:$AN$1148,G$2,)/VLOOKUP($E1012,$D$6:$AN$1148,3,))*$F1012)</f>
        <v>0.41630795745453375</v>
      </c>
      <c r="H1012" s="82">
        <f t="shared" si="503"/>
        <v>0.119837124422351</v>
      </c>
      <c r="I1012" s="82">
        <f t="shared" si="503"/>
        <v>8.6760934149668033E-3</v>
      </c>
      <c r="J1012" s="82">
        <f t="shared" si="503"/>
        <v>0.13970933477719433</v>
      </c>
      <c r="K1012" s="82">
        <f t="shared" si="503"/>
        <v>0.13094831618718386</v>
      </c>
      <c r="L1012" s="82">
        <f t="shared" si="503"/>
        <v>0.10829097128500363</v>
      </c>
      <c r="M1012" s="82">
        <f t="shared" si="503"/>
        <v>6.6991698377051961E-2</v>
      </c>
      <c r="N1012" s="82">
        <f t="shared" si="503"/>
        <v>3.7613528483186605E-3</v>
      </c>
      <c r="O1012" s="82">
        <f t="shared" si="503"/>
        <v>4.1094917587007115E-3</v>
      </c>
      <c r="P1012" s="82">
        <f t="shared" si="503"/>
        <v>1.4313368179278845E-4</v>
      </c>
      <c r="Q1012" s="82">
        <f t="shared" si="503"/>
        <v>1.9711505992438675E-4</v>
      </c>
      <c r="R1012" s="82">
        <f t="shared" si="503"/>
        <v>1.9139424276782526E-7</v>
      </c>
      <c r="S1012" s="82">
        <f t="shared" si="503"/>
        <v>1.7003917209970195E-6</v>
      </c>
      <c r="T1012" s="82">
        <f t="shared" si="503"/>
        <v>9.9653390622813851E-4</v>
      </c>
      <c r="U1012" s="82">
        <f t="shared" si="503"/>
        <v>2.8985040786086237E-5</v>
      </c>
      <c r="V1012" s="82">
        <f t="shared" si="503"/>
        <v>0</v>
      </c>
      <c r="W1012" s="82">
        <f t="shared" si="503"/>
        <v>0</v>
      </c>
      <c r="X1012" s="82">
        <f t="shared" si="503"/>
        <v>0</v>
      </c>
      <c r="Y1012" s="82">
        <f t="shared" si="503"/>
        <v>0</v>
      </c>
      <c r="Z1012" s="82">
        <f t="shared" si="503"/>
        <v>0</v>
      </c>
      <c r="AA1012" s="82">
        <f>SUM(G1012:Z1012)</f>
        <v>0.99999999999999967</v>
      </c>
      <c r="AB1012" s="92" t="str">
        <f t="shared" si="500"/>
        <v>ok</v>
      </c>
    </row>
    <row r="1013" spans="1:28">
      <c r="F1013" s="109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  <c r="Z1013" s="82"/>
      <c r="AA1013" s="82"/>
      <c r="AB1013" s="92"/>
    </row>
    <row r="1014" spans="1:28">
      <c r="A1014" s="60" t="s">
        <v>1379</v>
      </c>
      <c r="D1014" s="60" t="s">
        <v>1410</v>
      </c>
      <c r="F1014" s="78">
        <f>F1007</f>
        <v>23513673.142904144</v>
      </c>
      <c r="G1014" s="78">
        <f t="shared" ref="G1014:U1014" si="504">G1007</f>
        <v>9798978.2762596365</v>
      </c>
      <c r="H1014" s="78">
        <f t="shared" si="504"/>
        <v>2820703.6590990154</v>
      </c>
      <c r="I1014" s="78">
        <f t="shared" si="504"/>
        <v>204216.25235290852</v>
      </c>
      <c r="J1014" s="78">
        <f t="shared" si="504"/>
        <v>3288452.0027987352</v>
      </c>
      <c r="K1014" s="78">
        <f t="shared" si="504"/>
        <v>3082236.7976743043</v>
      </c>
      <c r="L1014" s="78">
        <f t="shared" si="504"/>
        <v>2548932.4816778139</v>
      </c>
      <c r="M1014" s="78">
        <f t="shared" si="504"/>
        <v>1576837.976146932</v>
      </c>
      <c r="N1014" s="78">
        <f t="shared" si="504"/>
        <v>88534.01476008819</v>
      </c>
      <c r="O1014" s="78">
        <f t="shared" si="504"/>
        <v>96728.44284840305</v>
      </c>
      <c r="P1014" s="78">
        <f t="shared" si="504"/>
        <v>3369.0536377551016</v>
      </c>
      <c r="Q1014" s="78">
        <f t="shared" si="504"/>
        <v>4639.6571469178079</v>
      </c>
      <c r="R1014" s="78">
        <f t="shared" si="504"/>
        <v>4.5050016304045979</v>
      </c>
      <c r="S1014" s="78">
        <f t="shared" si="504"/>
        <v>40.023499999999999</v>
      </c>
      <c r="T1014" s="78">
        <f t="shared" si="504"/>
        <v>0</v>
      </c>
      <c r="U1014" s="78">
        <f t="shared" si="504"/>
        <v>0</v>
      </c>
      <c r="V1014" s="78">
        <f t="shared" ref="V1014:Z1014" si="505">V1000</f>
        <v>0</v>
      </c>
      <c r="W1014" s="78">
        <f t="shared" si="505"/>
        <v>0</v>
      </c>
      <c r="X1014" s="78">
        <f t="shared" si="505"/>
        <v>0</v>
      </c>
      <c r="Y1014" s="78">
        <f t="shared" si="505"/>
        <v>0</v>
      </c>
      <c r="Z1014" s="78">
        <f t="shared" si="505"/>
        <v>0</v>
      </c>
      <c r="AA1014" s="78">
        <f>SUM(G1014:Z1014)</f>
        <v>23513673.142904144</v>
      </c>
      <c r="AB1014" s="92" t="str">
        <f t="shared" ref="AB1014:AB1019" si="506">IF(ABS(F1014-AA1014)&lt;0.01,"ok","err")</f>
        <v>ok</v>
      </c>
    </row>
    <row r="1015" spans="1:28">
      <c r="A1015" s="60" t="s">
        <v>1380</v>
      </c>
      <c r="F1015" s="79">
        <f>F125</f>
        <v>2009588145.2784369</v>
      </c>
      <c r="AA1015" s="79">
        <f>F1015</f>
        <v>2009588145.2784369</v>
      </c>
      <c r="AB1015" s="92" t="str">
        <f t="shared" si="506"/>
        <v>ok</v>
      </c>
    </row>
    <row r="1016" spans="1:28">
      <c r="A1016" s="60" t="s">
        <v>152</v>
      </c>
      <c r="F1016" s="79">
        <v>2375298.6300000004</v>
      </c>
      <c r="H1016" s="78">
        <v>0</v>
      </c>
      <c r="I1016" s="75">
        <v>0</v>
      </c>
      <c r="J1016" s="78">
        <v>0</v>
      </c>
      <c r="K1016" s="78">
        <v>0</v>
      </c>
      <c r="L1016" s="111">
        <v>0</v>
      </c>
      <c r="M1016" s="78">
        <v>0</v>
      </c>
      <c r="N1016" s="78">
        <v>0</v>
      </c>
      <c r="O1016" s="78">
        <v>0</v>
      </c>
      <c r="P1016" s="78">
        <v>0</v>
      </c>
      <c r="T1016" s="78">
        <f>T1009-172112.34</f>
        <v>2314621.8400000003</v>
      </c>
      <c r="U1016" s="342">
        <f>U1009-11652</f>
        <v>60676.790000000008</v>
      </c>
      <c r="V1016" s="78">
        <v>0</v>
      </c>
      <c r="W1016" s="78">
        <v>0</v>
      </c>
      <c r="AA1016" s="79">
        <f>SUM(G1016:Z1016)</f>
        <v>2375298.6300000004</v>
      </c>
      <c r="AB1016" s="92" t="str">
        <f t="shared" si="506"/>
        <v>ok</v>
      </c>
    </row>
    <row r="1017" spans="1:28">
      <c r="A1017" s="60" t="s">
        <v>1381</v>
      </c>
      <c r="E1017" s="60" t="s">
        <v>1410</v>
      </c>
      <c r="F1017" s="79">
        <f>F1015-F1016</f>
        <v>2007212846.6484368</v>
      </c>
      <c r="G1017" s="75">
        <f t="shared" ref="G1017:Z1017" si="507">IF(VLOOKUP($E1017,$D$6:$AN$1148,3,)=0,0,(VLOOKUP($E1017,$D$6:$AN$1148,G$2,)/VLOOKUP($E1017,$D$6:$AN$1148,3,))*$F1017)</f>
        <v>836476502.8671335</v>
      </c>
      <c r="H1017" s="75">
        <f t="shared" si="507"/>
        <v>240785545.78532007</v>
      </c>
      <c r="I1017" s="75">
        <f t="shared" si="507"/>
        <v>17432643.667620964</v>
      </c>
      <c r="J1017" s="75">
        <f t="shared" si="507"/>
        <v>280714249.34288967</v>
      </c>
      <c r="K1017" s="75">
        <f t="shared" si="507"/>
        <v>263110967.78052303</v>
      </c>
      <c r="L1017" s="75">
        <f t="shared" si="507"/>
        <v>217586167.47665173</v>
      </c>
      <c r="M1017" s="75">
        <f t="shared" si="507"/>
        <v>134604637.2070277</v>
      </c>
      <c r="N1017" s="75">
        <f t="shared" si="507"/>
        <v>7557586.2057706146</v>
      </c>
      <c r="O1017" s="75">
        <f t="shared" si="507"/>
        <v>8257092.4560208432</v>
      </c>
      <c r="P1017" s="75">
        <f t="shared" si="507"/>
        <v>287594.69869514706</v>
      </c>
      <c r="Q1017" s="75">
        <f t="shared" si="507"/>
        <v>396058.04557796317</v>
      </c>
      <c r="R1017" s="75">
        <f t="shared" si="507"/>
        <v>384.56335987000261</v>
      </c>
      <c r="S1017" s="75">
        <f t="shared" si="507"/>
        <v>3416.5518453707464</v>
      </c>
      <c r="T1017" s="75">
        <f t="shared" si="507"/>
        <v>0</v>
      </c>
      <c r="U1017" s="75">
        <f t="shared" si="507"/>
        <v>0</v>
      </c>
      <c r="V1017" s="75">
        <f t="shared" si="507"/>
        <v>0</v>
      </c>
      <c r="W1017" s="75">
        <f t="shared" si="507"/>
        <v>0</v>
      </c>
      <c r="X1017" s="75">
        <f t="shared" si="507"/>
        <v>0</v>
      </c>
      <c r="Y1017" s="75">
        <f t="shared" si="507"/>
        <v>0</v>
      </c>
      <c r="Z1017" s="75">
        <f t="shared" si="507"/>
        <v>0</v>
      </c>
      <c r="AA1017" s="79">
        <f>SUM(G1017:Z1017)</f>
        <v>2007212846.6484368</v>
      </c>
      <c r="AB1017" s="92" t="str">
        <f t="shared" si="506"/>
        <v>ok</v>
      </c>
    </row>
    <row r="1018" spans="1:28">
      <c r="A1018" s="60" t="s">
        <v>1382</v>
      </c>
      <c r="D1018" s="60" t="s">
        <v>1411</v>
      </c>
      <c r="F1018" s="79">
        <f t="shared" ref="F1018:N1018" si="508">F1016+F1017</f>
        <v>2009588145.2784369</v>
      </c>
      <c r="G1018" s="79">
        <f t="shared" si="508"/>
        <v>836476502.8671335</v>
      </c>
      <c r="H1018" s="79">
        <f t="shared" si="508"/>
        <v>240785545.78532007</v>
      </c>
      <c r="I1018" s="79">
        <f t="shared" si="508"/>
        <v>17432643.667620964</v>
      </c>
      <c r="J1018" s="79">
        <f t="shared" si="508"/>
        <v>280714249.34288967</v>
      </c>
      <c r="K1018" s="79">
        <f t="shared" si="508"/>
        <v>263110967.78052303</v>
      </c>
      <c r="L1018" s="79">
        <f t="shared" si="508"/>
        <v>217586167.47665173</v>
      </c>
      <c r="M1018" s="79">
        <f t="shared" si="508"/>
        <v>134604637.2070277</v>
      </c>
      <c r="N1018" s="79">
        <f t="shared" si="508"/>
        <v>7557586.2057706146</v>
      </c>
      <c r="O1018" s="79">
        <f>O1016+O1017</f>
        <v>8257092.4560208432</v>
      </c>
      <c r="P1018" s="79">
        <f t="shared" ref="P1018:Z1018" si="509">P1016+P1017</f>
        <v>287594.69869514706</v>
      </c>
      <c r="Q1018" s="79">
        <f t="shared" si="509"/>
        <v>396058.04557796317</v>
      </c>
      <c r="R1018" s="79">
        <f t="shared" si="509"/>
        <v>384.56335987000261</v>
      </c>
      <c r="S1018" s="79">
        <f t="shared" si="509"/>
        <v>3416.5518453707464</v>
      </c>
      <c r="T1018" s="79">
        <f t="shared" si="509"/>
        <v>2314621.8400000003</v>
      </c>
      <c r="U1018" s="79">
        <f t="shared" si="509"/>
        <v>60676.790000000008</v>
      </c>
      <c r="V1018" s="79">
        <f t="shared" si="509"/>
        <v>0</v>
      </c>
      <c r="W1018" s="79">
        <f t="shared" si="509"/>
        <v>0</v>
      </c>
      <c r="X1018" s="79">
        <f t="shared" si="509"/>
        <v>0</v>
      </c>
      <c r="Y1018" s="79">
        <f t="shared" si="509"/>
        <v>0</v>
      </c>
      <c r="Z1018" s="79">
        <f t="shared" si="509"/>
        <v>0</v>
      </c>
      <c r="AA1018" s="79">
        <f>SUM(G1018:Z1018)</f>
        <v>2009588145.2784367</v>
      </c>
      <c r="AB1018" s="92" t="str">
        <f t="shared" si="506"/>
        <v>ok</v>
      </c>
    </row>
    <row r="1019" spans="1:28">
      <c r="A1019" s="60" t="s">
        <v>1383</v>
      </c>
      <c r="D1019" s="60" t="s">
        <v>1412</v>
      </c>
      <c r="E1019" s="60" t="s">
        <v>1411</v>
      </c>
      <c r="F1019" s="109">
        <v>1</v>
      </c>
      <c r="G1019" s="82">
        <f t="shared" ref="G1019:Z1019" si="510">IF(VLOOKUP($E1019,$D$6:$AN$1148,3,)=0,0,(VLOOKUP($E1019,$D$6:$AN$1148,G$2,)/VLOOKUP($E1019,$D$6:$AN$1148,3,))*$F1019)</f>
        <v>0.41624275343803652</v>
      </c>
      <c r="H1019" s="82">
        <f t="shared" si="510"/>
        <v>0.1198183549953009</v>
      </c>
      <c r="I1019" s="82">
        <f t="shared" si="510"/>
        <v>8.674734526365151E-3</v>
      </c>
      <c r="J1019" s="82">
        <f t="shared" si="510"/>
        <v>0.13968745287557194</v>
      </c>
      <c r="K1019" s="82">
        <f t="shared" si="510"/>
        <v>0.13092780647552432</v>
      </c>
      <c r="L1019" s="82">
        <f t="shared" si="510"/>
        <v>0.10827401026816082</v>
      </c>
      <c r="M1019" s="82">
        <f t="shared" si="510"/>
        <v>6.6981205837267549E-2</v>
      </c>
      <c r="N1019" s="82">
        <f t="shared" si="510"/>
        <v>3.760763728392456E-3</v>
      </c>
      <c r="O1019" s="82">
        <f t="shared" si="510"/>
        <v>4.1088481116994188E-3</v>
      </c>
      <c r="P1019" s="82">
        <f t="shared" si="510"/>
        <v>1.4311126355460242E-4</v>
      </c>
      <c r="Q1019" s="82">
        <f t="shared" si="510"/>
        <v>1.9708418688103261E-4</v>
      </c>
      <c r="R1019" s="82">
        <f t="shared" si="510"/>
        <v>1.913642657444716E-7</v>
      </c>
      <c r="S1019" s="82">
        <f t="shared" si="510"/>
        <v>1.7001253980314303E-6</v>
      </c>
      <c r="T1019" s="82">
        <f t="shared" si="510"/>
        <v>1.1517891591061808E-3</v>
      </c>
      <c r="U1019" s="82">
        <f t="shared" si="510"/>
        <v>3.0193644475143429E-5</v>
      </c>
      <c r="V1019" s="82">
        <f t="shared" si="510"/>
        <v>0</v>
      </c>
      <c r="W1019" s="82">
        <f t="shared" si="510"/>
        <v>0</v>
      </c>
      <c r="X1019" s="82">
        <f t="shared" si="510"/>
        <v>0</v>
      </c>
      <c r="Y1019" s="82">
        <f t="shared" si="510"/>
        <v>0</v>
      </c>
      <c r="Z1019" s="82">
        <f t="shared" si="510"/>
        <v>0</v>
      </c>
      <c r="AA1019" s="82">
        <f>SUM(G1019:Z1019)</f>
        <v>0.99999999999999978</v>
      </c>
      <c r="AB1019" s="92" t="str">
        <f t="shared" si="506"/>
        <v>ok</v>
      </c>
    </row>
    <row r="1020" spans="1:28">
      <c r="F1020" s="109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2"/>
      <c r="AA1020" s="82"/>
      <c r="AB1020" s="92"/>
    </row>
    <row r="1021" spans="1:28">
      <c r="A1021" s="60" t="s">
        <v>1384</v>
      </c>
      <c r="D1021" s="60" t="s">
        <v>1413</v>
      </c>
      <c r="F1021" s="78">
        <f>F1007</f>
        <v>23513673.142904144</v>
      </c>
      <c r="G1021" s="78">
        <f t="shared" ref="G1021:U1021" si="511">G1007</f>
        <v>9798978.2762596365</v>
      </c>
      <c r="H1021" s="78">
        <f t="shared" si="511"/>
        <v>2820703.6590990154</v>
      </c>
      <c r="I1021" s="78">
        <f t="shared" si="511"/>
        <v>204216.25235290852</v>
      </c>
      <c r="J1021" s="78">
        <f t="shared" si="511"/>
        <v>3288452.0027987352</v>
      </c>
      <c r="K1021" s="78">
        <f t="shared" si="511"/>
        <v>3082236.7976743043</v>
      </c>
      <c r="L1021" s="78">
        <f t="shared" si="511"/>
        <v>2548932.4816778139</v>
      </c>
      <c r="M1021" s="78">
        <f t="shared" si="511"/>
        <v>1576837.976146932</v>
      </c>
      <c r="N1021" s="78">
        <f t="shared" si="511"/>
        <v>88534.01476008819</v>
      </c>
      <c r="O1021" s="78">
        <f t="shared" si="511"/>
        <v>96728.44284840305</v>
      </c>
      <c r="P1021" s="78">
        <f t="shared" si="511"/>
        <v>3369.0536377551016</v>
      </c>
      <c r="Q1021" s="78">
        <f t="shared" si="511"/>
        <v>4639.6571469178079</v>
      </c>
      <c r="R1021" s="78">
        <f t="shared" si="511"/>
        <v>4.5050016304045979</v>
      </c>
      <c r="S1021" s="78">
        <f t="shared" si="511"/>
        <v>40.023499999999999</v>
      </c>
      <c r="T1021" s="78">
        <f t="shared" si="511"/>
        <v>0</v>
      </c>
      <c r="U1021" s="78">
        <f t="shared" si="511"/>
        <v>0</v>
      </c>
      <c r="V1021" s="78">
        <f>V1002</f>
        <v>0</v>
      </c>
      <c r="W1021" s="78">
        <f>W1002</f>
        <v>0</v>
      </c>
      <c r="X1021" s="78">
        <f>X1002</f>
        <v>0</v>
      </c>
      <c r="Y1021" s="78">
        <f>Y1002</f>
        <v>0</v>
      </c>
      <c r="Z1021" s="78">
        <f>Z1002</f>
        <v>0</v>
      </c>
      <c r="AA1021" s="78">
        <f>SUM(G1021:Z1021)</f>
        <v>23513673.142904144</v>
      </c>
      <c r="AB1021" s="92" t="str">
        <f t="shared" ref="AB1021:AB1026" si="512">IF(ABS(F1021-AA1021)&lt;0.01,"ok","err")</f>
        <v>ok</v>
      </c>
    </row>
    <row r="1022" spans="1:28">
      <c r="A1022" s="60" t="s">
        <v>1385</v>
      </c>
      <c r="F1022" s="79">
        <f>F182</f>
        <v>111958098.21523491</v>
      </c>
      <c r="AA1022" s="79">
        <f>F1022</f>
        <v>111958098.21523491</v>
      </c>
      <c r="AB1022" s="92" t="str">
        <f t="shared" si="512"/>
        <v>ok</v>
      </c>
    </row>
    <row r="1023" spans="1:28">
      <c r="A1023" s="60" t="s">
        <v>152</v>
      </c>
      <c r="F1023" s="79">
        <v>71903</v>
      </c>
      <c r="H1023" s="78">
        <v>0</v>
      </c>
      <c r="I1023" s="75">
        <v>0</v>
      </c>
      <c r="J1023" s="78">
        <v>0</v>
      </c>
      <c r="K1023" s="78">
        <v>0</v>
      </c>
      <c r="L1023" s="111">
        <v>0</v>
      </c>
      <c r="M1023" s="78">
        <v>0</v>
      </c>
      <c r="N1023" s="78">
        <v>0</v>
      </c>
      <c r="O1023" s="78">
        <v>0</v>
      </c>
      <c r="P1023" s="78">
        <v>0</v>
      </c>
      <c r="T1023" s="78">
        <v>71903</v>
      </c>
      <c r="U1023" s="78">
        <v>0</v>
      </c>
      <c r="V1023" s="78">
        <v>0</v>
      </c>
      <c r="W1023" s="78">
        <v>0</v>
      </c>
      <c r="AA1023" s="79">
        <f>SUM(G1023:Z1023)</f>
        <v>71903</v>
      </c>
      <c r="AB1023" s="92" t="str">
        <f t="shared" si="512"/>
        <v>ok</v>
      </c>
    </row>
    <row r="1024" spans="1:28">
      <c r="A1024" s="60" t="s">
        <v>1386</v>
      </c>
      <c r="E1024" s="60" t="s">
        <v>1413</v>
      </c>
      <c r="F1024" s="79">
        <f>F1022-F1023</f>
        <v>111886195.21523491</v>
      </c>
      <c r="G1024" s="75">
        <f t="shared" ref="G1024:Z1024" si="513">IF(VLOOKUP($E1024,$D$6:$AN$1148,3,)=0,0,(VLOOKUP($E1024,$D$6:$AN$1148,G$2,)/VLOOKUP($E1024,$D$6:$AN$1148,3,))*$F1024)</f>
        <v>46626930.1977726</v>
      </c>
      <c r="H1024" s="75">
        <f t="shared" si="513"/>
        <v>13421884.293799482</v>
      </c>
      <c r="I1024" s="75">
        <f t="shared" si="513"/>
        <v>971731.61071078619</v>
      </c>
      <c r="J1024" s="75">
        <f t="shared" si="513"/>
        <v>15647592.807170687</v>
      </c>
      <c r="K1024" s="75">
        <f t="shared" si="513"/>
        <v>14666349.487308323</v>
      </c>
      <c r="L1024" s="75">
        <f t="shared" si="513"/>
        <v>12128702.967937639</v>
      </c>
      <c r="M1024" s="75">
        <f t="shared" si="513"/>
        <v>7503140.8555244273</v>
      </c>
      <c r="N1024" s="75">
        <f t="shared" si="513"/>
        <v>421275.48505219509</v>
      </c>
      <c r="O1024" s="75">
        <f t="shared" si="513"/>
        <v>460267.41009913664</v>
      </c>
      <c r="P1024" s="75">
        <f t="shared" si="513"/>
        <v>16031.123283612504</v>
      </c>
      <c r="Q1024" s="75">
        <f t="shared" si="513"/>
        <v>22077.09455332212</v>
      </c>
      <c r="R1024" s="75">
        <f t="shared" si="513"/>
        <v>21.436356999651061</v>
      </c>
      <c r="S1024" s="75">
        <f t="shared" si="513"/>
        <v>190.44566567636963</v>
      </c>
      <c r="T1024" s="75">
        <f t="shared" si="513"/>
        <v>0</v>
      </c>
      <c r="U1024" s="75">
        <f t="shared" si="513"/>
        <v>0</v>
      </c>
      <c r="V1024" s="75">
        <f t="shared" si="513"/>
        <v>0</v>
      </c>
      <c r="W1024" s="75">
        <f t="shared" si="513"/>
        <v>0</v>
      </c>
      <c r="X1024" s="75">
        <f t="shared" si="513"/>
        <v>0</v>
      </c>
      <c r="Y1024" s="75">
        <f t="shared" si="513"/>
        <v>0</v>
      </c>
      <c r="Z1024" s="75">
        <f t="shared" si="513"/>
        <v>0</v>
      </c>
      <c r="AA1024" s="79">
        <f>SUM(G1024:Z1024)</f>
        <v>111886195.21523488</v>
      </c>
      <c r="AB1024" s="92" t="str">
        <f t="shared" si="512"/>
        <v>ok</v>
      </c>
    </row>
    <row r="1025" spans="1:28">
      <c r="A1025" s="60" t="s">
        <v>1387</v>
      </c>
      <c r="D1025" s="60" t="s">
        <v>1414</v>
      </c>
      <c r="F1025" s="79">
        <f t="shared" ref="F1025:N1025" si="514">F1023+F1024</f>
        <v>111958098.21523491</v>
      </c>
      <c r="G1025" s="79">
        <f t="shared" si="514"/>
        <v>46626930.1977726</v>
      </c>
      <c r="H1025" s="79">
        <f t="shared" si="514"/>
        <v>13421884.293799482</v>
      </c>
      <c r="I1025" s="79">
        <f t="shared" si="514"/>
        <v>971731.61071078619</v>
      </c>
      <c r="J1025" s="79">
        <f t="shared" si="514"/>
        <v>15647592.807170687</v>
      </c>
      <c r="K1025" s="79">
        <f t="shared" si="514"/>
        <v>14666349.487308323</v>
      </c>
      <c r="L1025" s="79">
        <f t="shared" si="514"/>
        <v>12128702.967937639</v>
      </c>
      <c r="M1025" s="79">
        <f t="shared" si="514"/>
        <v>7503140.8555244273</v>
      </c>
      <c r="N1025" s="79">
        <f t="shared" si="514"/>
        <v>421275.48505219509</v>
      </c>
      <c r="O1025" s="79">
        <f>O1023+O1024</f>
        <v>460267.41009913664</v>
      </c>
      <c r="P1025" s="79">
        <f t="shared" ref="P1025:Z1025" si="515">P1023+P1024</f>
        <v>16031.123283612504</v>
      </c>
      <c r="Q1025" s="79">
        <f t="shared" si="515"/>
        <v>22077.09455332212</v>
      </c>
      <c r="R1025" s="79">
        <f t="shared" si="515"/>
        <v>21.436356999651061</v>
      </c>
      <c r="S1025" s="79">
        <f t="shared" si="515"/>
        <v>190.44566567636963</v>
      </c>
      <c r="T1025" s="79">
        <f t="shared" si="515"/>
        <v>71903</v>
      </c>
      <c r="U1025" s="79">
        <f t="shared" si="515"/>
        <v>0</v>
      </c>
      <c r="V1025" s="79">
        <f t="shared" si="515"/>
        <v>0</v>
      </c>
      <c r="W1025" s="79">
        <f t="shared" si="515"/>
        <v>0</v>
      </c>
      <c r="X1025" s="79">
        <f t="shared" si="515"/>
        <v>0</v>
      </c>
      <c r="Y1025" s="79">
        <f t="shared" si="515"/>
        <v>0</v>
      </c>
      <c r="Z1025" s="79">
        <f t="shared" si="515"/>
        <v>0</v>
      </c>
      <c r="AA1025" s="79">
        <f>SUM(G1025:Z1025)</f>
        <v>111958098.21523488</v>
      </c>
      <c r="AB1025" s="92" t="str">
        <f t="shared" si="512"/>
        <v>ok</v>
      </c>
    </row>
    <row r="1026" spans="1:28">
      <c r="A1026" s="60" t="s">
        <v>1388</v>
      </c>
      <c r="D1026" s="60" t="s">
        <v>1415</v>
      </c>
      <c r="E1026" s="60" t="s">
        <v>1414</v>
      </c>
      <c r="F1026" s="109">
        <v>1</v>
      </c>
      <c r="G1026" s="82">
        <f t="shared" ref="G1026:Z1026" si="516">IF(VLOOKUP($E1026,$D$6:$AN$1148,3,)=0,0,(VLOOKUP($E1026,$D$6:$AN$1148,G$2,)/VLOOKUP($E1026,$D$6:$AN$1148,3,))*$F1026)</f>
        <v>0.4164676869388601</v>
      </c>
      <c r="H1026" s="82">
        <f t="shared" si="516"/>
        <v>0.1198831036589819</v>
      </c>
      <c r="I1026" s="82">
        <f t="shared" si="516"/>
        <v>8.6794222678083684E-3</v>
      </c>
      <c r="J1026" s="82">
        <f t="shared" si="516"/>
        <v>0.13976293860484146</v>
      </c>
      <c r="K1026" s="82">
        <f t="shared" si="516"/>
        <v>0.13099855857780704</v>
      </c>
      <c r="L1026" s="82">
        <f t="shared" si="516"/>
        <v>0.10833252048119556</v>
      </c>
      <c r="M1026" s="82">
        <f t="shared" si="516"/>
        <v>6.7017401823849701E-2</v>
      </c>
      <c r="N1026" s="82">
        <f t="shared" si="516"/>
        <v>3.762796008220058E-3</v>
      </c>
      <c r="O1026" s="82">
        <f t="shared" si="516"/>
        <v>4.1110684929132257E-3</v>
      </c>
      <c r="P1026" s="82">
        <f t="shared" si="516"/>
        <v>1.4318859947757705E-4</v>
      </c>
      <c r="Q1026" s="82">
        <f t="shared" si="516"/>
        <v>1.971906892423253E-4</v>
      </c>
      <c r="R1026" s="82">
        <f t="shared" si="516"/>
        <v>1.9146767711649167E-7</v>
      </c>
      <c r="S1026" s="82">
        <f t="shared" si="516"/>
        <v>1.7010441291191419E-6</v>
      </c>
      <c r="T1026" s="82">
        <f t="shared" si="516"/>
        <v>6.422313449963164E-4</v>
      </c>
      <c r="U1026" s="82">
        <f t="shared" si="516"/>
        <v>0</v>
      </c>
      <c r="V1026" s="82">
        <f t="shared" si="516"/>
        <v>0</v>
      </c>
      <c r="W1026" s="82">
        <f t="shared" si="516"/>
        <v>0</v>
      </c>
      <c r="X1026" s="75">
        <f t="shared" si="516"/>
        <v>0</v>
      </c>
      <c r="Y1026" s="75">
        <f t="shared" si="516"/>
        <v>0</v>
      </c>
      <c r="Z1026" s="75">
        <f t="shared" si="516"/>
        <v>0</v>
      </c>
      <c r="AA1026" s="82">
        <f>SUM(G1026:Z1026)</f>
        <v>0.99999999999999989</v>
      </c>
      <c r="AB1026" s="92" t="str">
        <f t="shared" si="512"/>
        <v>ok</v>
      </c>
    </row>
    <row r="1027" spans="1:28">
      <c r="F1027" s="109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  <c r="V1027" s="82"/>
      <c r="W1027" s="82"/>
      <c r="X1027" s="82"/>
      <c r="Y1027" s="82"/>
      <c r="Z1027" s="82"/>
      <c r="AA1027" s="82"/>
      <c r="AB1027" s="92"/>
    </row>
    <row r="1028" spans="1:28">
      <c r="A1028" s="60" t="s">
        <v>1389</v>
      </c>
      <c r="D1028" s="60" t="s">
        <v>1416</v>
      </c>
      <c r="F1028" s="78">
        <f>F995</f>
        <v>23513673.142904144</v>
      </c>
      <c r="G1028" s="78">
        <f>G1007</f>
        <v>9798978.2762596365</v>
      </c>
      <c r="H1028" s="78">
        <f t="shared" ref="H1028:U1028" si="517">H1007</f>
        <v>2820703.6590990154</v>
      </c>
      <c r="I1028" s="78">
        <f t="shared" si="517"/>
        <v>204216.25235290852</v>
      </c>
      <c r="J1028" s="78">
        <f t="shared" si="517"/>
        <v>3288452.0027987352</v>
      </c>
      <c r="K1028" s="78">
        <f t="shared" si="517"/>
        <v>3082236.7976743043</v>
      </c>
      <c r="L1028" s="78">
        <f t="shared" si="517"/>
        <v>2548932.4816778139</v>
      </c>
      <c r="M1028" s="78">
        <f t="shared" si="517"/>
        <v>1576837.976146932</v>
      </c>
      <c r="N1028" s="78">
        <f t="shared" si="517"/>
        <v>88534.01476008819</v>
      </c>
      <c r="O1028" s="78">
        <f t="shared" si="517"/>
        <v>96728.44284840305</v>
      </c>
      <c r="P1028" s="78">
        <f t="shared" si="517"/>
        <v>3369.0536377551016</v>
      </c>
      <c r="Q1028" s="78">
        <f t="shared" si="517"/>
        <v>4639.6571469178079</v>
      </c>
      <c r="R1028" s="78">
        <f t="shared" si="517"/>
        <v>4.5050016304045979</v>
      </c>
      <c r="S1028" s="78">
        <f t="shared" si="517"/>
        <v>40.023499999999999</v>
      </c>
      <c r="T1028" s="78">
        <f t="shared" si="517"/>
        <v>0</v>
      </c>
      <c r="U1028" s="78">
        <f t="shared" si="517"/>
        <v>0</v>
      </c>
      <c r="V1028" s="78">
        <f t="shared" ref="V1028:Z1028" si="518">V995</f>
        <v>0</v>
      </c>
      <c r="W1028" s="78">
        <f t="shared" si="518"/>
        <v>0</v>
      </c>
      <c r="X1028" s="78">
        <f t="shared" si="518"/>
        <v>0</v>
      </c>
      <c r="Y1028" s="78">
        <f t="shared" si="518"/>
        <v>0</v>
      </c>
      <c r="Z1028" s="78">
        <f t="shared" si="518"/>
        <v>0</v>
      </c>
      <c r="AA1028" s="78">
        <f>SUM(G1028:Z1028)</f>
        <v>23513673.142904144</v>
      </c>
      <c r="AB1028" s="92" t="str">
        <f t="shared" ref="AB1028:AB1033" si="519">IF(ABS(F1028-AA1028)&lt;0.01,"ok","err")</f>
        <v>ok</v>
      </c>
    </row>
    <row r="1029" spans="1:28">
      <c r="A1029" s="60" t="s">
        <v>1390</v>
      </c>
      <c r="F1029" s="79">
        <f>F302</f>
        <v>212733072.11107191</v>
      </c>
      <c r="G1029" s="111"/>
      <c r="AA1029" s="79">
        <f>F1029</f>
        <v>212733072.11107191</v>
      </c>
      <c r="AB1029" s="92" t="str">
        <f t="shared" si="519"/>
        <v>ok</v>
      </c>
    </row>
    <row r="1030" spans="1:28">
      <c r="A1030" s="60" t="s">
        <v>152</v>
      </c>
      <c r="F1030" s="79">
        <v>87023.934208333303</v>
      </c>
      <c r="H1030" s="78">
        <v>0</v>
      </c>
      <c r="I1030" s="75">
        <v>0</v>
      </c>
      <c r="J1030" s="78">
        <v>0</v>
      </c>
      <c r="K1030" s="78">
        <v>0</v>
      </c>
      <c r="L1030" s="111">
        <v>0</v>
      </c>
      <c r="M1030" s="78">
        <v>0</v>
      </c>
      <c r="N1030" s="78">
        <v>0</v>
      </c>
      <c r="O1030" s="78">
        <v>0</v>
      </c>
      <c r="P1030" s="78">
        <v>0</v>
      </c>
      <c r="T1030" s="342">
        <v>83869.534208333309</v>
      </c>
      <c r="U1030" s="342">
        <f>3154.4</f>
        <v>3154.4</v>
      </c>
      <c r="V1030" s="78">
        <v>0</v>
      </c>
      <c r="W1030" s="78">
        <v>0</v>
      </c>
      <c r="AA1030" s="79">
        <f>SUM(G1030:Z1030)</f>
        <v>87023.934208333303</v>
      </c>
      <c r="AB1030" s="92" t="str">
        <f t="shared" si="519"/>
        <v>ok</v>
      </c>
    </row>
    <row r="1031" spans="1:28">
      <c r="A1031" s="60" t="s">
        <v>1391</v>
      </c>
      <c r="E1031" s="60" t="s">
        <v>1416</v>
      </c>
      <c r="F1031" s="79">
        <f>F1029-F1030</f>
        <v>212646048.17686358</v>
      </c>
      <c r="G1031" s="75">
        <f t="shared" ref="G1031:Z1031" si="520">IF(VLOOKUP($E1031,$D$6:$AN$1148,3,)=0,0,(VLOOKUP($E1031,$D$6:$AN$1148,G$2,)/VLOOKUP($E1031,$D$6:$AN$1148,3,))*$F1031)</f>
        <v>88617120.513404801</v>
      </c>
      <c r="H1031" s="75">
        <f t="shared" si="520"/>
        <v>25509050.94835994</v>
      </c>
      <c r="I1031" s="75">
        <f t="shared" si="520"/>
        <v>1846830.9384252867</v>
      </c>
      <c r="J1031" s="75">
        <f t="shared" si="520"/>
        <v>29739135.981205385</v>
      </c>
      <c r="K1031" s="75">
        <f t="shared" si="520"/>
        <v>27874227.501054779</v>
      </c>
      <c r="L1031" s="75">
        <f t="shared" si="520"/>
        <v>23051286.628180481</v>
      </c>
      <c r="M1031" s="75">
        <f t="shared" si="520"/>
        <v>14260143.968363211</v>
      </c>
      <c r="N1031" s="75">
        <f t="shared" si="520"/>
        <v>800657.9088493546</v>
      </c>
      <c r="O1031" s="75">
        <f t="shared" si="520"/>
        <v>874764.26983598317</v>
      </c>
      <c r="P1031" s="75">
        <f t="shared" si="520"/>
        <v>30468.057364347002</v>
      </c>
      <c r="Q1031" s="75">
        <f t="shared" si="520"/>
        <v>41958.768040685594</v>
      </c>
      <c r="R1031" s="75">
        <f t="shared" si="520"/>
        <v>40.741010046104066</v>
      </c>
      <c r="S1031" s="75">
        <f t="shared" si="520"/>
        <v>361.95276924545766</v>
      </c>
      <c r="T1031" s="75">
        <f t="shared" si="520"/>
        <v>0</v>
      </c>
      <c r="U1031" s="75">
        <f t="shared" si="520"/>
        <v>0</v>
      </c>
      <c r="V1031" s="75">
        <f t="shared" si="520"/>
        <v>0</v>
      </c>
      <c r="W1031" s="75">
        <f t="shared" si="520"/>
        <v>0</v>
      </c>
      <c r="X1031" s="75">
        <f t="shared" si="520"/>
        <v>0</v>
      </c>
      <c r="Y1031" s="75">
        <f t="shared" si="520"/>
        <v>0</v>
      </c>
      <c r="Z1031" s="75">
        <f t="shared" si="520"/>
        <v>0</v>
      </c>
      <c r="AA1031" s="79">
        <f>SUM(G1031:Z1031)</f>
        <v>212646048.17686349</v>
      </c>
      <c r="AB1031" s="92" t="str">
        <f t="shared" si="519"/>
        <v>ok</v>
      </c>
    </row>
    <row r="1032" spans="1:28">
      <c r="A1032" s="60" t="s">
        <v>1392</v>
      </c>
      <c r="D1032" s="60" t="s">
        <v>1417</v>
      </c>
      <c r="F1032" s="79">
        <f t="shared" ref="F1032:Z1032" si="521">F1030+F1031</f>
        <v>212733072.11107191</v>
      </c>
      <c r="G1032" s="79">
        <f t="shared" si="521"/>
        <v>88617120.513404801</v>
      </c>
      <c r="H1032" s="79">
        <f t="shared" si="521"/>
        <v>25509050.94835994</v>
      </c>
      <c r="I1032" s="79">
        <f t="shared" si="521"/>
        <v>1846830.9384252867</v>
      </c>
      <c r="J1032" s="79">
        <f t="shared" si="521"/>
        <v>29739135.981205385</v>
      </c>
      <c r="K1032" s="79">
        <f t="shared" si="521"/>
        <v>27874227.501054779</v>
      </c>
      <c r="L1032" s="79">
        <f t="shared" si="521"/>
        <v>23051286.628180481</v>
      </c>
      <c r="M1032" s="79">
        <f t="shared" si="521"/>
        <v>14260143.968363211</v>
      </c>
      <c r="N1032" s="79">
        <f t="shared" si="521"/>
        <v>800657.9088493546</v>
      </c>
      <c r="O1032" s="79">
        <f>O1030+O1031</f>
        <v>874764.26983598317</v>
      </c>
      <c r="P1032" s="79">
        <f t="shared" si="521"/>
        <v>30468.057364347002</v>
      </c>
      <c r="Q1032" s="79">
        <f t="shared" si="521"/>
        <v>41958.768040685594</v>
      </c>
      <c r="R1032" s="79">
        <f t="shared" si="521"/>
        <v>40.741010046104066</v>
      </c>
      <c r="S1032" s="79">
        <f t="shared" si="521"/>
        <v>361.95276924545766</v>
      </c>
      <c r="T1032" s="79">
        <f t="shared" si="521"/>
        <v>83869.534208333309</v>
      </c>
      <c r="U1032" s="79">
        <f t="shared" si="521"/>
        <v>3154.4</v>
      </c>
      <c r="V1032" s="79">
        <f t="shared" si="521"/>
        <v>0</v>
      </c>
      <c r="W1032" s="79">
        <f t="shared" si="521"/>
        <v>0</v>
      </c>
      <c r="X1032" s="79">
        <f t="shared" si="521"/>
        <v>0</v>
      </c>
      <c r="Y1032" s="79">
        <f t="shared" si="521"/>
        <v>0</v>
      </c>
      <c r="Z1032" s="79">
        <f t="shared" si="521"/>
        <v>0</v>
      </c>
      <c r="AA1032" s="79">
        <f>SUM(G1032:Z1032)</f>
        <v>212733072.11107183</v>
      </c>
      <c r="AB1032" s="92" t="str">
        <f t="shared" si="519"/>
        <v>ok</v>
      </c>
    </row>
    <row r="1033" spans="1:28">
      <c r="A1033" s="60" t="s">
        <v>1393</v>
      </c>
      <c r="D1033" s="60" t="s">
        <v>1418</v>
      </c>
      <c r="E1033" s="60" t="s">
        <v>1417</v>
      </c>
      <c r="F1033" s="109">
        <v>1</v>
      </c>
      <c r="G1033" s="82">
        <f t="shared" ref="G1033:Z1033" si="522">IF(VLOOKUP($E1033,$D$6:$AN$1148,3,)=0,0,(VLOOKUP($E1033,$D$6:$AN$1148,G$2,)/VLOOKUP($E1033,$D$6:$AN$1148,3,))*$F1033)</f>
        <v>0.41656485112543362</v>
      </c>
      <c r="H1033" s="82">
        <f t="shared" si="522"/>
        <v>0.11991107304200067</v>
      </c>
      <c r="I1033" s="82">
        <f t="shared" si="522"/>
        <v>8.6814472244401263E-3</v>
      </c>
      <c r="J1033" s="82">
        <f t="shared" si="522"/>
        <v>0.13979554606195893</v>
      </c>
      <c r="K1033" s="82">
        <f t="shared" si="522"/>
        <v>0.13102912125718338</v>
      </c>
      <c r="L1033" s="82">
        <f t="shared" si="522"/>
        <v>0.10835779505005678</v>
      </c>
      <c r="M1033" s="82">
        <f t="shared" si="522"/>
        <v>6.7033037349818941E-2</v>
      </c>
      <c r="N1033" s="82">
        <f t="shared" si="522"/>
        <v>3.7636738890853613E-3</v>
      </c>
      <c r="O1033" s="82">
        <f t="shared" si="522"/>
        <v>4.11202762765186E-3</v>
      </c>
      <c r="P1033" s="82">
        <f t="shared" si="522"/>
        <v>1.4322200616009089E-4</v>
      </c>
      <c r="Q1033" s="82">
        <f t="shared" si="522"/>
        <v>1.9723669490740085E-4</v>
      </c>
      <c r="R1033" s="82">
        <f t="shared" si="522"/>
        <v>1.9151234757157279E-7</v>
      </c>
      <c r="S1033" s="82">
        <f t="shared" si="522"/>
        <v>1.7014409920074644E-6</v>
      </c>
      <c r="T1033" s="82">
        <f t="shared" si="522"/>
        <v>3.9424774613579336E-4</v>
      </c>
      <c r="U1033" s="82">
        <f t="shared" si="522"/>
        <v>1.4827971827309619E-5</v>
      </c>
      <c r="V1033" s="82">
        <f t="shared" si="522"/>
        <v>0</v>
      </c>
      <c r="W1033" s="82">
        <f t="shared" si="522"/>
        <v>0</v>
      </c>
      <c r="X1033" s="75">
        <f t="shared" si="522"/>
        <v>0</v>
      </c>
      <c r="Y1033" s="75">
        <f t="shared" si="522"/>
        <v>0</v>
      </c>
      <c r="Z1033" s="75">
        <f t="shared" si="522"/>
        <v>0</v>
      </c>
      <c r="AA1033" s="82">
        <f>SUM(G1033:Z1033)</f>
        <v>0.99999999999999989</v>
      </c>
      <c r="AB1033" s="92" t="str">
        <f t="shared" si="519"/>
        <v>ok</v>
      </c>
    </row>
    <row r="1034" spans="1:28">
      <c r="F1034" s="109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  <c r="V1034" s="82"/>
      <c r="W1034" s="82"/>
      <c r="X1034" s="82"/>
      <c r="Y1034" s="82"/>
      <c r="Z1034" s="82"/>
      <c r="AA1034" s="82"/>
      <c r="AB1034" s="92"/>
    </row>
    <row r="1035" spans="1:28">
      <c r="A1035" s="60" t="s">
        <v>1394</v>
      </c>
      <c r="D1035" s="60" t="s">
        <v>1419</v>
      </c>
      <c r="F1035" s="78">
        <f>F1028</f>
        <v>23513673.142904144</v>
      </c>
      <c r="G1035" s="78">
        <f t="shared" ref="G1035:U1035" si="523">G1028</f>
        <v>9798978.2762596365</v>
      </c>
      <c r="H1035" s="78">
        <f t="shared" si="523"/>
        <v>2820703.6590990154</v>
      </c>
      <c r="I1035" s="78">
        <f t="shared" si="523"/>
        <v>204216.25235290852</v>
      </c>
      <c r="J1035" s="78">
        <f t="shared" si="523"/>
        <v>3288452.0027987352</v>
      </c>
      <c r="K1035" s="78">
        <f t="shared" si="523"/>
        <v>3082236.7976743043</v>
      </c>
      <c r="L1035" s="78">
        <f t="shared" si="523"/>
        <v>2548932.4816778139</v>
      </c>
      <c r="M1035" s="78">
        <f t="shared" si="523"/>
        <v>1576837.976146932</v>
      </c>
      <c r="N1035" s="78">
        <f t="shared" si="523"/>
        <v>88534.01476008819</v>
      </c>
      <c r="O1035" s="78">
        <f t="shared" si="523"/>
        <v>96728.44284840305</v>
      </c>
      <c r="P1035" s="78">
        <f t="shared" si="523"/>
        <v>3369.0536377551016</v>
      </c>
      <c r="Q1035" s="78">
        <f t="shared" si="523"/>
        <v>4639.6571469178079</v>
      </c>
      <c r="R1035" s="78">
        <f t="shared" si="523"/>
        <v>4.5050016304045979</v>
      </c>
      <c r="S1035" s="78">
        <f t="shared" si="523"/>
        <v>40.023499999999999</v>
      </c>
      <c r="T1035" s="78">
        <f t="shared" si="523"/>
        <v>0</v>
      </c>
      <c r="U1035" s="78">
        <f t="shared" si="523"/>
        <v>0</v>
      </c>
      <c r="V1035" s="78">
        <f>V1009</f>
        <v>0</v>
      </c>
      <c r="W1035" s="78">
        <f>W1009</f>
        <v>0</v>
      </c>
      <c r="X1035" s="78">
        <f>X1009</f>
        <v>0</v>
      </c>
      <c r="Y1035" s="78">
        <f>Y1009</f>
        <v>0</v>
      </c>
      <c r="Z1035" s="78">
        <f>Z1009</f>
        <v>0</v>
      </c>
      <c r="AA1035" s="78">
        <f>SUM(G1035:Z1035)</f>
        <v>23513673.142904144</v>
      </c>
      <c r="AB1035" s="92" t="str">
        <f t="shared" ref="AB1035:AB1040" si="524">IF(ABS(F1035-AA1035)&lt;0.01,"ok","err")</f>
        <v>ok</v>
      </c>
    </row>
    <row r="1036" spans="1:28">
      <c r="A1036" s="60" t="s">
        <v>1395</v>
      </c>
      <c r="F1036" s="79">
        <f>F468</f>
        <v>25721710.883164674</v>
      </c>
      <c r="AA1036" s="79">
        <f>F1036</f>
        <v>25721710.883164674</v>
      </c>
      <c r="AB1036" s="92" t="str">
        <f t="shared" si="524"/>
        <v>ok</v>
      </c>
    </row>
    <row r="1037" spans="1:28">
      <c r="A1037" s="60" t="s">
        <v>152</v>
      </c>
      <c r="F1037" s="79">
        <v>3301.3913727228128</v>
      </c>
      <c r="H1037" s="78">
        <v>0</v>
      </c>
      <c r="I1037" s="75">
        <v>0</v>
      </c>
      <c r="J1037" s="78">
        <v>0</v>
      </c>
      <c r="K1037" s="78">
        <v>0</v>
      </c>
      <c r="L1037" s="111">
        <v>0</v>
      </c>
      <c r="M1037" s="78">
        <v>0</v>
      </c>
      <c r="N1037" s="78">
        <v>0</v>
      </c>
      <c r="O1037" s="78">
        <v>0</v>
      </c>
      <c r="P1037" s="78">
        <v>0</v>
      </c>
      <c r="T1037" s="78">
        <v>3190.2719496980626</v>
      </c>
      <c r="U1037" s="78">
        <v>111.11942302474998</v>
      </c>
      <c r="V1037" s="78">
        <v>0</v>
      </c>
      <c r="W1037" s="78">
        <v>0</v>
      </c>
      <c r="AA1037" s="79">
        <f>SUM(G1037:Z1037)</f>
        <v>3301.3913727228128</v>
      </c>
      <c r="AB1037" s="92" t="str">
        <f t="shared" si="524"/>
        <v>ok</v>
      </c>
    </row>
    <row r="1038" spans="1:28">
      <c r="A1038" s="60" t="s">
        <v>1396</v>
      </c>
      <c r="E1038" s="60" t="s">
        <v>1419</v>
      </c>
      <c r="F1038" s="79">
        <f>F1036-F1037</f>
        <v>25718409.491791952</v>
      </c>
      <c r="G1038" s="75">
        <f t="shared" ref="G1038:Z1038" si="525">IF(VLOOKUP($E1038,$D$6:$AN$1148,3,)=0,0,(VLOOKUP($E1038,$D$6:$AN$1148,G$2,)/VLOOKUP($E1038,$D$6:$AN$1148,3,))*$F1038)</f>
        <v>10717769.800507359</v>
      </c>
      <c r="H1038" s="75">
        <f t="shared" si="525"/>
        <v>3085184.1530167917</v>
      </c>
      <c r="I1038" s="75">
        <f t="shared" si="525"/>
        <v>223364.38764677584</v>
      </c>
      <c r="J1038" s="75">
        <f t="shared" si="525"/>
        <v>3596790.458389252</v>
      </c>
      <c r="K1038" s="75">
        <f t="shared" si="525"/>
        <v>3371239.6881377543</v>
      </c>
      <c r="L1038" s="75">
        <f t="shared" si="525"/>
        <v>2787930.6194448085</v>
      </c>
      <c r="M1038" s="75">
        <f t="shared" si="525"/>
        <v>1724688.6322817414</v>
      </c>
      <c r="N1038" s="75">
        <f t="shared" si="525"/>
        <v>96835.319250809203</v>
      </c>
      <c r="O1038" s="75">
        <f t="shared" si="525"/>
        <v>105798.08979905602</v>
      </c>
      <c r="P1038" s="75">
        <f t="shared" si="525"/>
        <v>3684.9496260751116</v>
      </c>
      <c r="Q1038" s="75">
        <f t="shared" si="525"/>
        <v>5074.690018899093</v>
      </c>
      <c r="R1038" s="75">
        <f t="shared" si="525"/>
        <v>4.9274086608157184</v>
      </c>
      <c r="S1038" s="75">
        <f t="shared" si="525"/>
        <v>43.776263965179986</v>
      </c>
      <c r="T1038" s="75">
        <f t="shared" si="525"/>
        <v>0</v>
      </c>
      <c r="U1038" s="75">
        <f t="shared" si="525"/>
        <v>0</v>
      </c>
      <c r="V1038" s="75">
        <f t="shared" si="525"/>
        <v>0</v>
      </c>
      <c r="W1038" s="75">
        <f t="shared" si="525"/>
        <v>0</v>
      </c>
      <c r="X1038" s="75">
        <f t="shared" si="525"/>
        <v>0</v>
      </c>
      <c r="Y1038" s="75">
        <f t="shared" si="525"/>
        <v>0</v>
      </c>
      <c r="Z1038" s="75">
        <f t="shared" si="525"/>
        <v>0</v>
      </c>
      <c r="AA1038" s="79">
        <f>SUM(G1038:Z1038)</f>
        <v>25718409.491791956</v>
      </c>
      <c r="AB1038" s="92" t="str">
        <f t="shared" si="524"/>
        <v>ok</v>
      </c>
    </row>
    <row r="1039" spans="1:28">
      <c r="A1039" s="60" t="s">
        <v>1397</v>
      </c>
      <c r="D1039" s="60" t="s">
        <v>1420</v>
      </c>
      <c r="F1039" s="79">
        <f t="shared" ref="F1039:N1039" si="526">F1037+F1038</f>
        <v>25721710.883164674</v>
      </c>
      <c r="G1039" s="79">
        <f t="shared" si="526"/>
        <v>10717769.800507359</v>
      </c>
      <c r="H1039" s="79">
        <f t="shared" si="526"/>
        <v>3085184.1530167917</v>
      </c>
      <c r="I1039" s="79">
        <f t="shared" si="526"/>
        <v>223364.38764677584</v>
      </c>
      <c r="J1039" s="79">
        <f t="shared" si="526"/>
        <v>3596790.458389252</v>
      </c>
      <c r="K1039" s="79">
        <f t="shared" si="526"/>
        <v>3371239.6881377543</v>
      </c>
      <c r="L1039" s="79">
        <f t="shared" si="526"/>
        <v>2787930.6194448085</v>
      </c>
      <c r="M1039" s="79">
        <f t="shared" si="526"/>
        <v>1724688.6322817414</v>
      </c>
      <c r="N1039" s="79">
        <f t="shared" si="526"/>
        <v>96835.319250809203</v>
      </c>
      <c r="O1039" s="79">
        <f>O1037+O1038</f>
        <v>105798.08979905602</v>
      </c>
      <c r="P1039" s="79">
        <f t="shared" ref="P1039:Z1039" si="527">P1037+P1038</f>
        <v>3684.9496260751116</v>
      </c>
      <c r="Q1039" s="79">
        <f t="shared" si="527"/>
        <v>5074.690018899093</v>
      </c>
      <c r="R1039" s="79">
        <f t="shared" si="527"/>
        <v>4.9274086608157184</v>
      </c>
      <c r="S1039" s="79">
        <f t="shared" si="527"/>
        <v>43.776263965179986</v>
      </c>
      <c r="T1039" s="79">
        <f t="shared" si="527"/>
        <v>3190.2719496980626</v>
      </c>
      <c r="U1039" s="79">
        <f t="shared" si="527"/>
        <v>111.11942302474998</v>
      </c>
      <c r="V1039" s="79">
        <f t="shared" si="527"/>
        <v>0</v>
      </c>
      <c r="W1039" s="79">
        <f t="shared" si="527"/>
        <v>0</v>
      </c>
      <c r="X1039" s="79">
        <f t="shared" si="527"/>
        <v>0</v>
      </c>
      <c r="Y1039" s="79">
        <f t="shared" si="527"/>
        <v>0</v>
      </c>
      <c r="Z1039" s="79">
        <f t="shared" si="527"/>
        <v>0</v>
      </c>
      <c r="AA1039" s="79">
        <f>SUM(G1039:Z1039)</f>
        <v>25721710.883164678</v>
      </c>
      <c r="AB1039" s="92" t="str">
        <f t="shared" si="524"/>
        <v>ok</v>
      </c>
    </row>
    <row r="1040" spans="1:28">
      <c r="A1040" s="60" t="s">
        <v>1398</v>
      </c>
      <c r="D1040" s="60" t="s">
        <v>1421</v>
      </c>
      <c r="E1040" s="60" t="s">
        <v>1420</v>
      </c>
      <c r="F1040" s="109">
        <v>1</v>
      </c>
      <c r="G1040" s="82">
        <f t="shared" ref="G1040:Z1040" si="528">IF(VLOOKUP($E1040,$D$6:$AN$1148,3,)=0,0,(VLOOKUP($E1040,$D$6:$AN$1148,G$2,)/VLOOKUP($E1040,$D$6:$AN$1148,3,))*$F1040)</f>
        <v>0.41668183929095998</v>
      </c>
      <c r="H1040" s="82">
        <f t="shared" si="528"/>
        <v>0.11994474889444856</v>
      </c>
      <c r="I1040" s="82">
        <f t="shared" si="528"/>
        <v>8.6838853240113149E-3</v>
      </c>
      <c r="J1040" s="82">
        <f t="shared" si="528"/>
        <v>0.13983480627423647</v>
      </c>
      <c r="K1040" s="82">
        <f t="shared" si="528"/>
        <v>0.13106591950476715</v>
      </c>
      <c r="L1040" s="82">
        <f t="shared" si="528"/>
        <v>0.10838822627734143</v>
      </c>
      <c r="M1040" s="82">
        <f t="shared" si="528"/>
        <v>6.7051862922951261E-2</v>
      </c>
      <c r="N1040" s="82">
        <f t="shared" si="528"/>
        <v>3.7647308800982469E-3</v>
      </c>
      <c r="O1040" s="82">
        <f t="shared" si="528"/>
        <v>4.1131824504062357E-3</v>
      </c>
      <c r="P1040" s="82">
        <f t="shared" si="528"/>
        <v>1.432622286601852E-4</v>
      </c>
      <c r="Q1040" s="82">
        <f t="shared" si="528"/>
        <v>1.972920869047078E-4</v>
      </c>
      <c r="R1040" s="82">
        <f t="shared" si="528"/>
        <v>1.9156613194189959E-7</v>
      </c>
      <c r="S1040" s="82">
        <f t="shared" si="528"/>
        <v>1.7019188250744372E-6</v>
      </c>
      <c r="T1040" s="82">
        <f t="shared" si="528"/>
        <v>1.2403031680859741E-4</v>
      </c>
      <c r="U1040" s="82">
        <f t="shared" si="528"/>
        <v>4.3200634487140453E-6</v>
      </c>
      <c r="V1040" s="82">
        <f t="shared" si="528"/>
        <v>0</v>
      </c>
      <c r="W1040" s="82">
        <f t="shared" si="528"/>
        <v>0</v>
      </c>
      <c r="X1040" s="75">
        <f t="shared" si="528"/>
        <v>0</v>
      </c>
      <c r="Y1040" s="75">
        <f t="shared" si="528"/>
        <v>0</v>
      </c>
      <c r="Z1040" s="75">
        <f t="shared" si="528"/>
        <v>0</v>
      </c>
      <c r="AA1040" s="82">
        <f>SUM(G1040:Z1040)</f>
        <v>1</v>
      </c>
      <c r="AB1040" s="92" t="str">
        <f t="shared" si="524"/>
        <v>ok</v>
      </c>
    </row>
    <row r="1041" spans="1:28">
      <c r="F1041" s="109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  <c r="V1041" s="82"/>
      <c r="W1041" s="82"/>
      <c r="X1041" s="75"/>
      <c r="Y1041" s="75"/>
      <c r="Z1041" s="75"/>
      <c r="AA1041" s="82"/>
      <c r="AB1041" s="92"/>
    </row>
    <row r="1042" spans="1:28">
      <c r="A1042" s="60" t="s">
        <v>1399</v>
      </c>
      <c r="D1042" s="60" t="s">
        <v>1422</v>
      </c>
      <c r="F1042" s="78">
        <f>F1035</f>
        <v>23513673.142904144</v>
      </c>
      <c r="G1042" s="78">
        <f t="shared" ref="G1042:U1042" si="529">G1035</f>
        <v>9798978.2762596365</v>
      </c>
      <c r="H1042" s="78">
        <f t="shared" si="529"/>
        <v>2820703.6590990154</v>
      </c>
      <c r="I1042" s="78">
        <f t="shared" si="529"/>
        <v>204216.25235290852</v>
      </c>
      <c r="J1042" s="78">
        <f t="shared" si="529"/>
        <v>3288452.0027987352</v>
      </c>
      <c r="K1042" s="78">
        <f t="shared" si="529"/>
        <v>3082236.7976743043</v>
      </c>
      <c r="L1042" s="78">
        <f t="shared" si="529"/>
        <v>2548932.4816778139</v>
      </c>
      <c r="M1042" s="78">
        <f t="shared" si="529"/>
        <v>1576837.976146932</v>
      </c>
      <c r="N1042" s="78">
        <f t="shared" si="529"/>
        <v>88534.01476008819</v>
      </c>
      <c r="O1042" s="78">
        <f t="shared" si="529"/>
        <v>96728.44284840305</v>
      </c>
      <c r="P1042" s="78">
        <f t="shared" si="529"/>
        <v>3369.0536377551016</v>
      </c>
      <c r="Q1042" s="78">
        <f t="shared" si="529"/>
        <v>4639.6571469178079</v>
      </c>
      <c r="R1042" s="78">
        <f t="shared" si="529"/>
        <v>4.5050016304045979</v>
      </c>
      <c r="S1042" s="78">
        <f t="shared" si="529"/>
        <v>40.023499999999999</v>
      </c>
      <c r="T1042" s="78">
        <f t="shared" si="529"/>
        <v>0</v>
      </c>
      <c r="U1042" s="78">
        <f t="shared" si="529"/>
        <v>0</v>
      </c>
      <c r="V1042" s="78">
        <f>V1023</f>
        <v>0</v>
      </c>
      <c r="W1042" s="78">
        <f>W1023</f>
        <v>0</v>
      </c>
      <c r="X1042" s="78">
        <f>X1023</f>
        <v>0</v>
      </c>
      <c r="Y1042" s="78">
        <f>Y1023</f>
        <v>0</v>
      </c>
      <c r="Z1042" s="78">
        <f>Z1023</f>
        <v>0</v>
      </c>
      <c r="AA1042" s="78">
        <f>SUM(G1042:Z1042)</f>
        <v>23513673.142904144</v>
      </c>
      <c r="AB1042" s="92" t="str">
        <f t="shared" ref="AB1042:AB1047" si="530">IF(ABS(F1042-AA1042)&lt;0.01,"ok","err")</f>
        <v>ok</v>
      </c>
    </row>
    <row r="1043" spans="1:28">
      <c r="A1043" s="60" t="s">
        <v>1400</v>
      </c>
      <c r="F1043" s="79">
        <f>'Functional Assignment'!H600</f>
        <v>-557121.68574702344</v>
      </c>
      <c r="AA1043" s="79">
        <f>F1043</f>
        <v>-557121.68574702344</v>
      </c>
      <c r="AB1043" s="92" t="str">
        <f t="shared" si="530"/>
        <v>ok</v>
      </c>
    </row>
    <row r="1044" spans="1:28">
      <c r="A1044" s="60" t="s">
        <v>152</v>
      </c>
      <c r="F1044" s="79">
        <v>-14127</v>
      </c>
      <c r="H1044" s="78">
        <v>0</v>
      </c>
      <c r="I1044" s="75">
        <v>0</v>
      </c>
      <c r="J1044" s="78">
        <v>0</v>
      </c>
      <c r="K1044" s="78">
        <v>0</v>
      </c>
      <c r="L1044" s="111">
        <v>0</v>
      </c>
      <c r="M1044" s="78">
        <v>0</v>
      </c>
      <c r="N1044" s="78">
        <v>0</v>
      </c>
      <c r="O1044" s="78">
        <v>0</v>
      </c>
      <c r="P1044" s="78">
        <v>0</v>
      </c>
      <c r="T1044" s="78">
        <f>T1009/($T$1009+$U$1009)*(-16140+2013)</f>
        <v>-13727.717595343111</v>
      </c>
      <c r="U1044" s="78">
        <f>U1009/($T$1009+$U$1009)*(-16140+2013)</f>
        <v>-399.28240465688896</v>
      </c>
      <c r="V1044" s="78">
        <v>0</v>
      </c>
      <c r="W1044" s="78">
        <v>0</v>
      </c>
      <c r="AA1044" s="79">
        <f>SUM(G1044:Z1044)</f>
        <v>-14127</v>
      </c>
      <c r="AB1044" s="92" t="str">
        <f t="shared" si="530"/>
        <v>ok</v>
      </c>
    </row>
    <row r="1045" spans="1:28">
      <c r="A1045" s="60" t="s">
        <v>1401</v>
      </c>
      <c r="E1045" s="60" t="s">
        <v>1422</v>
      </c>
      <c r="F1045" s="79">
        <f>F1043-F1044</f>
        <v>-542994.68574702344</v>
      </c>
      <c r="G1045" s="75">
        <f t="shared" ref="G1045:Z1045" si="531">IF(VLOOKUP($E1045,$D$6:$AN$1148,3,)=0,0,(VLOOKUP($E1045,$D$6:$AN$1148,G$2,)/VLOOKUP($E1045,$D$6:$AN$1148,3,))*$F1045)</f>
        <v>-226285.068156831</v>
      </c>
      <c r="H1045" s="75">
        <f t="shared" si="531"/>
        <v>-65137.721684294011</v>
      </c>
      <c r="I1045" s="75">
        <f t="shared" si="531"/>
        <v>-4715.9088712715993</v>
      </c>
      <c r="J1045" s="75">
        <f t="shared" si="531"/>
        <v>-75939.303527859214</v>
      </c>
      <c r="K1045" s="75">
        <f t="shared" si="531"/>
        <v>-71177.233398608078</v>
      </c>
      <c r="L1045" s="75">
        <f t="shared" si="531"/>
        <v>-58861.785798732169</v>
      </c>
      <c r="M1045" s="75">
        <f t="shared" si="531"/>
        <v>-36413.478920466347</v>
      </c>
      <c r="N1045" s="75">
        <f t="shared" si="531"/>
        <v>-2044.4912723933069</v>
      </c>
      <c r="O1045" s="75">
        <f t="shared" si="531"/>
        <v>-2233.7229112635559</v>
      </c>
      <c r="P1045" s="75">
        <f t="shared" si="531"/>
        <v>-77.800614569219675</v>
      </c>
      <c r="Q1045" s="75">
        <f t="shared" si="531"/>
        <v>-107.14230648497522</v>
      </c>
      <c r="R1045" s="75">
        <f t="shared" si="531"/>
        <v>-0.10403274425584905</v>
      </c>
      <c r="S1045" s="75">
        <f t="shared" si="531"/>
        <v>-0.92425150562043712</v>
      </c>
      <c r="T1045" s="75">
        <f t="shared" si="531"/>
        <v>0</v>
      </c>
      <c r="U1045" s="75">
        <f t="shared" si="531"/>
        <v>0</v>
      </c>
      <c r="V1045" s="75">
        <f t="shared" si="531"/>
        <v>0</v>
      </c>
      <c r="W1045" s="75">
        <f t="shared" si="531"/>
        <v>0</v>
      </c>
      <c r="X1045" s="75">
        <f t="shared" si="531"/>
        <v>0</v>
      </c>
      <c r="Y1045" s="75">
        <f t="shared" si="531"/>
        <v>0</v>
      </c>
      <c r="Z1045" s="75">
        <f t="shared" si="531"/>
        <v>0</v>
      </c>
      <c r="AA1045" s="79">
        <f>SUM(G1045:Z1045)</f>
        <v>-542994.68574702344</v>
      </c>
      <c r="AB1045" s="92" t="str">
        <f t="shared" si="530"/>
        <v>ok</v>
      </c>
    </row>
    <row r="1046" spans="1:28">
      <c r="A1046" s="60" t="s">
        <v>1402</v>
      </c>
      <c r="D1046" s="60" t="s">
        <v>1423</v>
      </c>
      <c r="F1046" s="79">
        <f t="shared" ref="F1046:N1046" si="532">F1044+F1045</f>
        <v>-557121.68574702344</v>
      </c>
      <c r="G1046" s="79">
        <f t="shared" si="532"/>
        <v>-226285.068156831</v>
      </c>
      <c r="H1046" s="79">
        <f t="shared" si="532"/>
        <v>-65137.721684294011</v>
      </c>
      <c r="I1046" s="79">
        <f t="shared" si="532"/>
        <v>-4715.9088712715993</v>
      </c>
      <c r="J1046" s="79">
        <f t="shared" si="532"/>
        <v>-75939.303527859214</v>
      </c>
      <c r="K1046" s="79">
        <f t="shared" si="532"/>
        <v>-71177.233398608078</v>
      </c>
      <c r="L1046" s="79">
        <f t="shared" si="532"/>
        <v>-58861.785798732169</v>
      </c>
      <c r="M1046" s="79">
        <f t="shared" si="532"/>
        <v>-36413.478920466347</v>
      </c>
      <c r="N1046" s="79">
        <f t="shared" si="532"/>
        <v>-2044.4912723933069</v>
      </c>
      <c r="O1046" s="79">
        <f>O1044+O1045</f>
        <v>-2233.7229112635559</v>
      </c>
      <c r="P1046" s="79">
        <f t="shared" ref="P1046:Z1046" si="533">P1044+P1045</f>
        <v>-77.800614569219675</v>
      </c>
      <c r="Q1046" s="79">
        <f t="shared" si="533"/>
        <v>-107.14230648497522</v>
      </c>
      <c r="R1046" s="79">
        <f t="shared" si="533"/>
        <v>-0.10403274425584905</v>
      </c>
      <c r="S1046" s="79">
        <f t="shared" si="533"/>
        <v>-0.92425150562043712</v>
      </c>
      <c r="T1046" s="79">
        <f t="shared" si="533"/>
        <v>-13727.717595343111</v>
      </c>
      <c r="U1046" s="79">
        <f t="shared" si="533"/>
        <v>-399.28240465688896</v>
      </c>
      <c r="V1046" s="79">
        <f t="shared" si="533"/>
        <v>0</v>
      </c>
      <c r="W1046" s="79">
        <f t="shared" si="533"/>
        <v>0</v>
      </c>
      <c r="X1046" s="79">
        <f t="shared" si="533"/>
        <v>0</v>
      </c>
      <c r="Y1046" s="79">
        <f t="shared" si="533"/>
        <v>0</v>
      </c>
      <c r="Z1046" s="79">
        <f t="shared" si="533"/>
        <v>0</v>
      </c>
      <c r="AA1046" s="79">
        <f>SUM(G1046:Z1046)</f>
        <v>-557121.68574702344</v>
      </c>
      <c r="AB1046" s="92" t="str">
        <f t="shared" si="530"/>
        <v>ok</v>
      </c>
    </row>
    <row r="1047" spans="1:28">
      <c r="A1047" s="60" t="s">
        <v>1403</v>
      </c>
      <c r="D1047" s="60" t="s">
        <v>1424</v>
      </c>
      <c r="E1047" s="60" t="s">
        <v>1423</v>
      </c>
      <c r="F1047" s="109">
        <v>1</v>
      </c>
      <c r="G1047" s="82">
        <f t="shared" ref="G1047:Z1047" si="534">IF(VLOOKUP($E1047,$D$6:$AN$1148,3,)=0,0,(VLOOKUP($E1047,$D$6:$AN$1148,G$2,)/VLOOKUP($E1047,$D$6:$AN$1148,3,))*$F1047)</f>
        <v>0.40616812080006165</v>
      </c>
      <c r="H1047" s="82">
        <f t="shared" si="534"/>
        <v>0.11691830232196634</v>
      </c>
      <c r="I1047" s="82">
        <f t="shared" si="534"/>
        <v>8.464773481125969E-3</v>
      </c>
      <c r="J1047" s="82">
        <f t="shared" si="534"/>
        <v>0.13630649366311251</v>
      </c>
      <c r="K1047" s="82">
        <f t="shared" si="534"/>
        <v>0.12775886349347398</v>
      </c>
      <c r="L1047" s="82">
        <f t="shared" si="534"/>
        <v>0.10565337394793137</v>
      </c>
      <c r="M1047" s="82">
        <f t="shared" si="534"/>
        <v>6.5360009944041023E-2</v>
      </c>
      <c r="N1047" s="82">
        <f t="shared" si="534"/>
        <v>3.6697391695531033E-3</v>
      </c>
      <c r="O1047" s="82">
        <f t="shared" si="534"/>
        <v>4.0093986078973774E-3</v>
      </c>
      <c r="P1047" s="82">
        <f t="shared" si="534"/>
        <v>1.3964743530832006E-4</v>
      </c>
      <c r="Q1047" s="82">
        <f t="shared" si="534"/>
        <v>1.9231401186854205E-4</v>
      </c>
      <c r="R1047" s="82">
        <f t="shared" si="534"/>
        <v>1.8673253423326264E-7</v>
      </c>
      <c r="S1047" s="82">
        <f t="shared" si="534"/>
        <v>1.6589759997964236E-6</v>
      </c>
      <c r="T1047" s="82">
        <f t="shared" si="534"/>
        <v>2.4640429454718015E-2</v>
      </c>
      <c r="U1047" s="82">
        <f t="shared" si="534"/>
        <v>7.1668796040761946E-4</v>
      </c>
      <c r="V1047" s="82">
        <f t="shared" si="534"/>
        <v>0</v>
      </c>
      <c r="W1047" s="82">
        <f t="shared" si="534"/>
        <v>0</v>
      </c>
      <c r="X1047" s="75">
        <f t="shared" si="534"/>
        <v>0</v>
      </c>
      <c r="Y1047" s="75">
        <f t="shared" si="534"/>
        <v>0</v>
      </c>
      <c r="Z1047" s="75">
        <f t="shared" si="534"/>
        <v>0</v>
      </c>
      <c r="AA1047" s="82">
        <f>SUM(G1047:Z1047)</f>
        <v>1</v>
      </c>
      <c r="AB1047" s="92" t="str">
        <f t="shared" si="530"/>
        <v>ok</v>
      </c>
    </row>
    <row r="1048" spans="1:28">
      <c r="F1048" s="109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  <c r="V1048" s="82"/>
      <c r="W1048" s="82"/>
      <c r="X1048" s="75"/>
      <c r="Y1048" s="75"/>
      <c r="Z1048" s="75"/>
      <c r="AA1048" s="82"/>
      <c r="AB1048" s="92"/>
    </row>
    <row r="1049" spans="1:28" ht="15">
      <c r="A1049" s="192" t="s">
        <v>1320</v>
      </c>
      <c r="F1049" s="109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  <c r="V1049" s="82"/>
      <c r="W1049" s="82"/>
      <c r="X1049" s="75"/>
      <c r="Y1049" s="75"/>
      <c r="Z1049" s="75"/>
      <c r="AA1049" s="82"/>
      <c r="AB1049" s="92"/>
    </row>
    <row r="1050" spans="1:28">
      <c r="A1050" s="60" t="s">
        <v>1258</v>
      </c>
      <c r="D1050" s="60" t="s">
        <v>1263</v>
      </c>
      <c r="F1050" s="78">
        <f>Meters!G40</f>
        <v>38550020.395773493</v>
      </c>
      <c r="G1050" s="78">
        <f>Meters!$G10</f>
        <v>26350721.800905541</v>
      </c>
      <c r="H1050" s="78">
        <f>Meters!$G12</f>
        <v>8187269.3747446639</v>
      </c>
      <c r="I1050" s="78">
        <f>Meters!$G14</f>
        <v>267611.02627090533</v>
      </c>
      <c r="J1050" s="78">
        <f>Meters!$G16</f>
        <v>2289549.7684639604</v>
      </c>
      <c r="K1050" s="78">
        <f>Meters!$G18</f>
        <v>534525.43351125007</v>
      </c>
      <c r="L1050" s="78">
        <f>Meters!$G20</f>
        <v>452629.81202564127</v>
      </c>
      <c r="M1050" s="78">
        <f>Meters!$G22</f>
        <v>377746.13303369086</v>
      </c>
      <c r="N1050" s="78">
        <f>Meters!$G24</f>
        <v>8123.8250845938655</v>
      </c>
      <c r="O1050" s="78">
        <f>Meters!$G26</f>
        <v>0</v>
      </c>
      <c r="P1050" s="78">
        <f>Meters!$G28</f>
        <v>11235.380459799999</v>
      </c>
      <c r="Q1050" s="78">
        <f>Meters!$G30</f>
        <v>69784.971799999999</v>
      </c>
      <c r="R1050" s="78">
        <f>Meters!$G32</f>
        <v>822.86947344050952</v>
      </c>
      <c r="S1050" s="78">
        <f>Meters!$G34</f>
        <v>0</v>
      </c>
      <c r="T1050" s="78">
        <f>Meters!$G36</f>
        <v>0</v>
      </c>
      <c r="U1050" s="78">
        <f>Meters!$G38</f>
        <v>0</v>
      </c>
      <c r="V1050" s="78">
        <f>V1036</f>
        <v>0</v>
      </c>
      <c r="W1050" s="78">
        <f>W1036</f>
        <v>0</v>
      </c>
      <c r="X1050" s="78">
        <f>X1036</f>
        <v>0</v>
      </c>
      <c r="Y1050" s="78">
        <f>Y1036</f>
        <v>0</v>
      </c>
      <c r="Z1050" s="78">
        <f>Z1036</f>
        <v>0</v>
      </c>
      <c r="AA1050" s="78">
        <f>SUM(G1050:Z1050)</f>
        <v>38550020.395773493</v>
      </c>
      <c r="AB1050" s="92" t="str">
        <f t="shared" ref="AB1050:AB1055" si="535">IF(ABS(F1050-AA1050)&lt;0.01,"ok","err")</f>
        <v>ok</v>
      </c>
    </row>
    <row r="1051" spans="1:28">
      <c r="A1051" s="60" t="s">
        <v>1259</v>
      </c>
      <c r="F1051" s="79">
        <f>F46</f>
        <v>44815612.309450604</v>
      </c>
      <c r="AA1051" s="79">
        <f>F1051</f>
        <v>44815612.309450604</v>
      </c>
      <c r="AB1051" s="92" t="str">
        <f t="shared" si="535"/>
        <v>ok</v>
      </c>
    </row>
    <row r="1052" spans="1:28">
      <c r="A1052" s="60" t="s">
        <v>152</v>
      </c>
      <c r="F1052" s="79">
        <v>183387.58000000005</v>
      </c>
      <c r="H1052" s="78">
        <v>0</v>
      </c>
      <c r="I1052" s="75">
        <v>0</v>
      </c>
      <c r="J1052" s="78">
        <v>0</v>
      </c>
      <c r="K1052" s="78">
        <v>0</v>
      </c>
      <c r="L1052" s="111">
        <v>0</v>
      </c>
      <c r="M1052" s="78">
        <v>0</v>
      </c>
      <c r="N1052" s="78">
        <v>0</v>
      </c>
      <c r="O1052" s="78">
        <v>0</v>
      </c>
      <c r="P1052" s="78">
        <v>0</v>
      </c>
      <c r="S1052" s="362">
        <v>183387.58000000005</v>
      </c>
      <c r="T1052" s="78"/>
      <c r="U1052" s="342"/>
      <c r="V1052" s="78">
        <v>0</v>
      </c>
      <c r="W1052" s="78">
        <v>0</v>
      </c>
      <c r="AA1052" s="79">
        <f>SUM(G1052:Z1052)</f>
        <v>183387.58000000005</v>
      </c>
      <c r="AB1052" s="92" t="str">
        <f t="shared" si="535"/>
        <v>ok</v>
      </c>
    </row>
    <row r="1053" spans="1:28">
      <c r="A1053" s="60" t="s">
        <v>1260</v>
      </c>
      <c r="E1053" s="60" t="s">
        <v>1263</v>
      </c>
      <c r="F1053" s="79">
        <f>F1051-F1052</f>
        <v>44632224.729450606</v>
      </c>
      <c r="G1053" s="75">
        <f t="shared" ref="G1053:Z1053" si="536">IF(VLOOKUP($E1053,$D$6:$AN$1148,3,)=0,0,(VLOOKUP($E1053,$D$6:$AN$1148,G$2,)/VLOOKUP($E1053,$D$6:$AN$1148,3,))*$F1053)</f>
        <v>30508189.752610158</v>
      </c>
      <c r="H1053" s="75">
        <f t="shared" si="536"/>
        <v>9479010.4623191208</v>
      </c>
      <c r="I1053" s="75">
        <f t="shared" si="536"/>
        <v>309833.18146081886</v>
      </c>
      <c r="J1053" s="75">
        <f t="shared" si="536"/>
        <v>2650781.9904175363</v>
      </c>
      <c r="K1053" s="75">
        <f t="shared" si="536"/>
        <v>618859.83527771977</v>
      </c>
      <c r="L1053" s="75">
        <f t="shared" si="536"/>
        <v>524043.18550742656</v>
      </c>
      <c r="M1053" s="75">
        <f t="shared" si="536"/>
        <v>437344.78288600536</v>
      </c>
      <c r="N1053" s="75">
        <f t="shared" si="536"/>
        <v>9405.5562906548857</v>
      </c>
      <c r="O1053" s="75">
        <f t="shared" si="536"/>
        <v>0</v>
      </c>
      <c r="P1053" s="75">
        <f t="shared" si="536"/>
        <v>13008.035286478089</v>
      </c>
      <c r="Q1053" s="75">
        <f t="shared" si="536"/>
        <v>80795.250226571981</v>
      </c>
      <c r="R1053" s="75">
        <f t="shared" si="536"/>
        <v>952.69716810910143</v>
      </c>
      <c r="S1053" s="75">
        <f t="shared" si="536"/>
        <v>0</v>
      </c>
      <c r="T1053" s="75">
        <f t="shared" si="536"/>
        <v>0</v>
      </c>
      <c r="U1053" s="75">
        <f t="shared" si="536"/>
        <v>0</v>
      </c>
      <c r="V1053" s="75">
        <f t="shared" si="536"/>
        <v>0</v>
      </c>
      <c r="W1053" s="75">
        <f t="shared" si="536"/>
        <v>0</v>
      </c>
      <c r="X1053" s="75">
        <f t="shared" si="536"/>
        <v>0</v>
      </c>
      <c r="Y1053" s="75">
        <f t="shared" si="536"/>
        <v>0</v>
      </c>
      <c r="Z1053" s="75">
        <f t="shared" si="536"/>
        <v>0</v>
      </c>
      <c r="AA1053" s="79">
        <f>SUM(G1053:Z1053)</f>
        <v>44632224.729450606</v>
      </c>
      <c r="AB1053" s="92" t="str">
        <f t="shared" si="535"/>
        <v>ok</v>
      </c>
    </row>
    <row r="1054" spans="1:28">
      <c r="A1054" s="60" t="s">
        <v>1261</v>
      </c>
      <c r="D1054" s="60" t="s">
        <v>1264</v>
      </c>
      <c r="F1054" s="79">
        <f t="shared" ref="F1054:N1054" si="537">F1052+F1053</f>
        <v>44815612.309450604</v>
      </c>
      <c r="G1054" s="79">
        <f t="shared" si="537"/>
        <v>30508189.752610158</v>
      </c>
      <c r="H1054" s="79">
        <f t="shared" si="537"/>
        <v>9479010.4623191208</v>
      </c>
      <c r="I1054" s="79">
        <f t="shared" si="537"/>
        <v>309833.18146081886</v>
      </c>
      <c r="J1054" s="79">
        <f t="shared" si="537"/>
        <v>2650781.9904175363</v>
      </c>
      <c r="K1054" s="79">
        <f t="shared" si="537"/>
        <v>618859.83527771977</v>
      </c>
      <c r="L1054" s="79">
        <f t="shared" si="537"/>
        <v>524043.18550742656</v>
      </c>
      <c r="M1054" s="79">
        <f t="shared" si="537"/>
        <v>437344.78288600536</v>
      </c>
      <c r="N1054" s="79">
        <f t="shared" si="537"/>
        <v>9405.5562906548857</v>
      </c>
      <c r="O1054" s="79">
        <f>O1052+O1053</f>
        <v>0</v>
      </c>
      <c r="P1054" s="79">
        <f t="shared" ref="P1054:W1054" si="538">P1052+P1053</f>
        <v>13008.035286478089</v>
      </c>
      <c r="Q1054" s="79">
        <f t="shared" si="538"/>
        <v>80795.250226571981</v>
      </c>
      <c r="R1054" s="79">
        <f t="shared" si="538"/>
        <v>952.69716810910143</v>
      </c>
      <c r="S1054" s="79">
        <f t="shared" si="538"/>
        <v>183387.58000000005</v>
      </c>
      <c r="T1054" s="79">
        <f t="shared" si="538"/>
        <v>0</v>
      </c>
      <c r="U1054" s="79">
        <f t="shared" si="538"/>
        <v>0</v>
      </c>
      <c r="V1054" s="79">
        <f t="shared" si="538"/>
        <v>0</v>
      </c>
      <c r="W1054" s="79">
        <f t="shared" si="538"/>
        <v>0</v>
      </c>
      <c r="X1054" s="79">
        <f>X1052+X1053</f>
        <v>0</v>
      </c>
      <c r="Y1054" s="79">
        <f>Y1052+Y1053</f>
        <v>0</v>
      </c>
      <c r="Z1054" s="79">
        <f>Z1052+Z1053</f>
        <v>0</v>
      </c>
      <c r="AA1054" s="79">
        <f>SUM(G1054:Z1054)</f>
        <v>44815612.309450604</v>
      </c>
      <c r="AB1054" s="92" t="str">
        <f t="shared" si="535"/>
        <v>ok</v>
      </c>
    </row>
    <row r="1055" spans="1:28">
      <c r="A1055" s="60" t="s">
        <v>1262</v>
      </c>
      <c r="D1055" s="60" t="s">
        <v>1265</v>
      </c>
      <c r="E1055" s="60" t="s">
        <v>1264</v>
      </c>
      <c r="F1055" s="109">
        <v>1</v>
      </c>
      <c r="G1055" s="82">
        <f t="shared" ref="G1055:Z1055" si="539">IF(VLOOKUP($E1055,$D$6:$AN$1148,3,)=0,0,(VLOOKUP($E1055,$D$6:$AN$1148,G$2,)/VLOOKUP($E1055,$D$6:$AN$1148,3,))*$F1055)</f>
        <v>0.68074914478356163</v>
      </c>
      <c r="H1055" s="82">
        <f t="shared" si="539"/>
        <v>0.21151134557454682</v>
      </c>
      <c r="I1055" s="82">
        <f t="shared" si="539"/>
        <v>6.9135099465210698E-3</v>
      </c>
      <c r="J1055" s="82">
        <f t="shared" si="539"/>
        <v>5.914862820826719E-2</v>
      </c>
      <c r="K1055" s="82">
        <f t="shared" si="539"/>
        <v>1.3809023315457773E-2</v>
      </c>
      <c r="L1055" s="82">
        <f t="shared" si="539"/>
        <v>1.1693317540524101E-2</v>
      </c>
      <c r="M1055" s="82">
        <f t="shared" si="539"/>
        <v>9.7587595114432737E-3</v>
      </c>
      <c r="N1055" s="82">
        <f t="shared" si="539"/>
        <v>2.0987231471277846E-4</v>
      </c>
      <c r="O1055" s="82">
        <f t="shared" si="539"/>
        <v>0</v>
      </c>
      <c r="P1055" s="82">
        <f t="shared" si="539"/>
        <v>2.9025677919243754E-4</v>
      </c>
      <c r="Q1055" s="82">
        <f t="shared" si="539"/>
        <v>1.8028371378412268E-3</v>
      </c>
      <c r="R1055" s="82">
        <f t="shared" si="539"/>
        <v>2.1258153554407625E-5</v>
      </c>
      <c r="S1055" s="82">
        <f t="shared" si="539"/>
        <v>4.0920467343771565E-3</v>
      </c>
      <c r="T1055" s="82">
        <f t="shared" si="539"/>
        <v>0</v>
      </c>
      <c r="U1055" s="82">
        <f t="shared" si="539"/>
        <v>0</v>
      </c>
      <c r="V1055" s="82">
        <f t="shared" si="539"/>
        <v>0</v>
      </c>
      <c r="W1055" s="82">
        <f t="shared" si="539"/>
        <v>0</v>
      </c>
      <c r="X1055" s="82">
        <f t="shared" si="539"/>
        <v>0</v>
      </c>
      <c r="Y1055" s="82">
        <f t="shared" si="539"/>
        <v>0</v>
      </c>
      <c r="Z1055" s="82">
        <f t="shared" si="539"/>
        <v>0</v>
      </c>
      <c r="AA1055" s="82">
        <f>SUM(G1055:Z1055)</f>
        <v>0.99999999999999967</v>
      </c>
      <c r="AB1055" s="92" t="str">
        <f t="shared" si="535"/>
        <v>ok</v>
      </c>
    </row>
    <row r="1056" spans="1:28">
      <c r="F1056" s="109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  <c r="V1056" s="82"/>
      <c r="W1056" s="82"/>
      <c r="X1056" s="82"/>
      <c r="Y1056" s="82"/>
      <c r="Z1056" s="82"/>
      <c r="AA1056" s="82"/>
      <c r="AB1056" s="92"/>
    </row>
    <row r="1057" spans="1:28">
      <c r="A1057" s="60" t="s">
        <v>1266</v>
      </c>
      <c r="D1057" s="60" t="s">
        <v>1271</v>
      </c>
      <c r="F1057" s="78">
        <f>F$1050</f>
        <v>38550020.395773493</v>
      </c>
      <c r="G1057" s="78">
        <f t="shared" ref="G1057:U1057" si="540">G$1050</f>
        <v>26350721.800905541</v>
      </c>
      <c r="H1057" s="78">
        <f t="shared" si="540"/>
        <v>8187269.3747446639</v>
      </c>
      <c r="I1057" s="78">
        <f t="shared" si="540"/>
        <v>267611.02627090533</v>
      </c>
      <c r="J1057" s="78">
        <f t="shared" si="540"/>
        <v>2289549.7684639604</v>
      </c>
      <c r="K1057" s="78">
        <f t="shared" si="540"/>
        <v>534525.43351125007</v>
      </c>
      <c r="L1057" s="78">
        <f t="shared" si="540"/>
        <v>452629.81202564127</v>
      </c>
      <c r="M1057" s="78">
        <f t="shared" si="540"/>
        <v>377746.13303369086</v>
      </c>
      <c r="N1057" s="78">
        <f t="shared" si="540"/>
        <v>8123.8250845938655</v>
      </c>
      <c r="O1057" s="78">
        <f t="shared" si="540"/>
        <v>0</v>
      </c>
      <c r="P1057" s="78">
        <f t="shared" si="540"/>
        <v>11235.380459799999</v>
      </c>
      <c r="Q1057" s="78">
        <f t="shared" si="540"/>
        <v>69784.971799999999</v>
      </c>
      <c r="R1057" s="78">
        <f t="shared" si="540"/>
        <v>822.86947344050952</v>
      </c>
      <c r="S1057" s="78">
        <f t="shared" si="540"/>
        <v>0</v>
      </c>
      <c r="T1057" s="78">
        <f t="shared" si="540"/>
        <v>0</v>
      </c>
      <c r="U1057" s="78">
        <f t="shared" si="540"/>
        <v>0</v>
      </c>
      <c r="V1057" s="78">
        <f t="shared" ref="V1057:Z1057" si="541">V1051</f>
        <v>0</v>
      </c>
      <c r="W1057" s="78">
        <f t="shared" si="541"/>
        <v>0</v>
      </c>
      <c r="X1057" s="78">
        <f t="shared" si="541"/>
        <v>0</v>
      </c>
      <c r="Y1057" s="78">
        <f t="shared" si="541"/>
        <v>0</v>
      </c>
      <c r="Z1057" s="78">
        <f t="shared" si="541"/>
        <v>0</v>
      </c>
      <c r="AA1057" s="78">
        <f>SUM(G1057:Z1057)</f>
        <v>38550020.395773493</v>
      </c>
      <c r="AB1057" s="92" t="str">
        <f t="shared" ref="AB1057:AB1062" si="542">IF(ABS(F1057-AA1057)&lt;0.01,"ok","err")</f>
        <v>ok</v>
      </c>
    </row>
    <row r="1058" spans="1:28">
      <c r="A1058" s="60" t="s">
        <v>1267</v>
      </c>
      <c r="F1058" s="79">
        <f>F105</f>
        <v>30149961.984803911</v>
      </c>
      <c r="AA1058" s="79">
        <f>F1058</f>
        <v>30149961.984803911</v>
      </c>
      <c r="AB1058" s="92" t="str">
        <f t="shared" si="542"/>
        <v>ok</v>
      </c>
    </row>
    <row r="1059" spans="1:28">
      <c r="A1059" s="60" t="s">
        <v>152</v>
      </c>
      <c r="F1059" s="79">
        <v>139193.68000000005</v>
      </c>
      <c r="H1059" s="78">
        <v>0</v>
      </c>
      <c r="I1059" s="75">
        <v>0</v>
      </c>
      <c r="J1059" s="78">
        <v>0</v>
      </c>
      <c r="K1059" s="78">
        <v>0</v>
      </c>
      <c r="L1059" s="111">
        <v>0</v>
      </c>
      <c r="M1059" s="78">
        <v>0</v>
      </c>
      <c r="N1059" s="78">
        <v>0</v>
      </c>
      <c r="O1059" s="78">
        <v>0</v>
      </c>
      <c r="P1059" s="78">
        <v>0</v>
      </c>
      <c r="S1059" s="362">
        <f>S1052-44193.9</f>
        <v>139193.68000000005</v>
      </c>
      <c r="T1059" s="78"/>
      <c r="U1059" s="342"/>
      <c r="V1059" s="78">
        <v>0</v>
      </c>
      <c r="W1059" s="78">
        <v>0</v>
      </c>
      <c r="AA1059" s="79">
        <f>SUM(G1059:Z1059)</f>
        <v>139193.68000000005</v>
      </c>
      <c r="AB1059" s="92" t="str">
        <f t="shared" si="542"/>
        <v>ok</v>
      </c>
    </row>
    <row r="1060" spans="1:28">
      <c r="A1060" s="60" t="s">
        <v>1268</v>
      </c>
      <c r="E1060" s="60" t="s">
        <v>1271</v>
      </c>
      <c r="F1060" s="79">
        <f>F1058-F1059</f>
        <v>30010768.304803912</v>
      </c>
      <c r="G1060" s="75">
        <f t="shared" ref="G1060:Z1060" si="543">IF(VLOOKUP($E1060,$D$6:$AN$1148,3,)=0,0,(VLOOKUP($E1060,$D$6:$AN$1148,G$2,)/VLOOKUP($E1060,$D$6:$AN$1148,3,))*$F1060)</f>
        <v>20513748.073607322</v>
      </c>
      <c r="H1060" s="75">
        <f t="shared" si="543"/>
        <v>6373699.4619441861</v>
      </c>
      <c r="I1060" s="75">
        <f t="shared" si="543"/>
        <v>208332.25048325656</v>
      </c>
      <c r="J1060" s="75">
        <f t="shared" si="543"/>
        <v>1782389.3974183898</v>
      </c>
      <c r="K1060" s="75">
        <f t="shared" si="543"/>
        <v>416122.19068734231</v>
      </c>
      <c r="L1060" s="75">
        <f t="shared" si="543"/>
        <v>352367.34707506798</v>
      </c>
      <c r="M1060" s="75">
        <f t="shared" si="543"/>
        <v>294071.22383137897</v>
      </c>
      <c r="N1060" s="75">
        <f t="shared" si="543"/>
        <v>6324.3087775183194</v>
      </c>
      <c r="O1060" s="75">
        <f t="shared" si="543"/>
        <v>0</v>
      </c>
      <c r="P1060" s="75">
        <f t="shared" si="543"/>
        <v>8746.6205292162867</v>
      </c>
      <c r="Q1060" s="75">
        <f t="shared" si="543"/>
        <v>54326.835585194334</v>
      </c>
      <c r="R1060" s="75">
        <f t="shared" si="543"/>
        <v>640.59486503479536</v>
      </c>
      <c r="S1060" s="75">
        <f t="shared" si="543"/>
        <v>0</v>
      </c>
      <c r="T1060" s="75">
        <f t="shared" si="543"/>
        <v>0</v>
      </c>
      <c r="U1060" s="75">
        <f t="shared" si="543"/>
        <v>0</v>
      </c>
      <c r="V1060" s="75">
        <f t="shared" si="543"/>
        <v>0</v>
      </c>
      <c r="W1060" s="75">
        <f t="shared" si="543"/>
        <v>0</v>
      </c>
      <c r="X1060" s="75">
        <f t="shared" si="543"/>
        <v>0</v>
      </c>
      <c r="Y1060" s="75">
        <f t="shared" si="543"/>
        <v>0</v>
      </c>
      <c r="Z1060" s="75">
        <f t="shared" si="543"/>
        <v>0</v>
      </c>
      <c r="AA1060" s="79">
        <f>SUM(G1060:Z1060)</f>
        <v>30010768.304803908</v>
      </c>
      <c r="AB1060" s="92" t="str">
        <f t="shared" si="542"/>
        <v>ok</v>
      </c>
    </row>
    <row r="1061" spans="1:28">
      <c r="A1061" s="60" t="s">
        <v>1269</v>
      </c>
      <c r="D1061" s="60" t="s">
        <v>1272</v>
      </c>
      <c r="F1061" s="79">
        <f t="shared" ref="F1061:N1061" si="544">F1059+F1060</f>
        <v>30149961.984803911</v>
      </c>
      <c r="G1061" s="79">
        <f t="shared" si="544"/>
        <v>20513748.073607322</v>
      </c>
      <c r="H1061" s="79">
        <f t="shared" si="544"/>
        <v>6373699.4619441861</v>
      </c>
      <c r="I1061" s="79">
        <f t="shared" si="544"/>
        <v>208332.25048325656</v>
      </c>
      <c r="J1061" s="79">
        <f t="shared" si="544"/>
        <v>1782389.3974183898</v>
      </c>
      <c r="K1061" s="79">
        <f t="shared" si="544"/>
        <v>416122.19068734231</v>
      </c>
      <c r="L1061" s="79">
        <f t="shared" si="544"/>
        <v>352367.34707506798</v>
      </c>
      <c r="M1061" s="79">
        <f t="shared" si="544"/>
        <v>294071.22383137897</v>
      </c>
      <c r="N1061" s="79">
        <f t="shared" si="544"/>
        <v>6324.3087775183194</v>
      </c>
      <c r="O1061" s="79">
        <f>O1059+O1060</f>
        <v>0</v>
      </c>
      <c r="P1061" s="79">
        <f t="shared" ref="P1061:W1061" si="545">P1059+P1060</f>
        <v>8746.6205292162867</v>
      </c>
      <c r="Q1061" s="79">
        <f t="shared" si="545"/>
        <v>54326.835585194334</v>
      </c>
      <c r="R1061" s="79">
        <f t="shared" si="545"/>
        <v>640.59486503479536</v>
      </c>
      <c r="S1061" s="79">
        <f t="shared" si="545"/>
        <v>139193.68000000005</v>
      </c>
      <c r="T1061" s="79">
        <f t="shared" si="545"/>
        <v>0</v>
      </c>
      <c r="U1061" s="79">
        <f t="shared" si="545"/>
        <v>0</v>
      </c>
      <c r="V1061" s="79">
        <f t="shared" si="545"/>
        <v>0</v>
      </c>
      <c r="W1061" s="79">
        <f t="shared" si="545"/>
        <v>0</v>
      </c>
      <c r="X1061" s="79">
        <f>X1059+X1060</f>
        <v>0</v>
      </c>
      <c r="Y1061" s="79">
        <f>Y1059+Y1060</f>
        <v>0</v>
      </c>
      <c r="Z1061" s="79">
        <f>Z1059+Z1060</f>
        <v>0</v>
      </c>
      <c r="AA1061" s="79">
        <f>SUM(G1061:Z1061)</f>
        <v>30149961.984803908</v>
      </c>
      <c r="AB1061" s="92" t="str">
        <f t="shared" si="542"/>
        <v>ok</v>
      </c>
    </row>
    <row r="1062" spans="1:28">
      <c r="A1062" s="60" t="s">
        <v>1270</v>
      </c>
      <c r="D1062" s="60" t="s">
        <v>1273</v>
      </c>
      <c r="E1062" s="60" t="s">
        <v>1272</v>
      </c>
      <c r="F1062" s="109">
        <v>1</v>
      </c>
      <c r="G1062" s="82">
        <f t="shared" ref="G1062:Z1062" si="546">IF(VLOOKUP($E1062,$D$6:$AN$1148,3,)=0,0,(VLOOKUP($E1062,$D$6:$AN$1148,G$2,)/VLOOKUP($E1062,$D$6:$AN$1148,3,))*$F1062)</f>
        <v>0.68039051206587242</v>
      </c>
      <c r="H1062" s="82">
        <f t="shared" si="546"/>
        <v>0.21139991702664959</v>
      </c>
      <c r="I1062" s="82">
        <f t="shared" si="546"/>
        <v>6.9098677666081148E-3</v>
      </c>
      <c r="J1062" s="82">
        <f t="shared" si="546"/>
        <v>5.9117467488574084E-2</v>
      </c>
      <c r="K1062" s="82">
        <f t="shared" si="546"/>
        <v>1.3801748436600845E-2</v>
      </c>
      <c r="L1062" s="82">
        <f t="shared" si="546"/>
        <v>1.1687157259192137E-2</v>
      </c>
      <c r="M1062" s="82">
        <f t="shared" si="546"/>
        <v>9.753618395260193E-3</v>
      </c>
      <c r="N1062" s="82">
        <f t="shared" si="546"/>
        <v>2.0976174964021108E-4</v>
      </c>
      <c r="O1062" s="82">
        <f t="shared" si="546"/>
        <v>0</v>
      </c>
      <c r="P1062" s="82">
        <f t="shared" si="546"/>
        <v>2.9010386592277397E-4</v>
      </c>
      <c r="Q1062" s="82">
        <f t="shared" si="546"/>
        <v>1.801887365979963E-3</v>
      </c>
      <c r="R1062" s="82">
        <f t="shared" si="546"/>
        <v>2.1246954319798678E-5</v>
      </c>
      <c r="S1062" s="82">
        <f t="shared" si="546"/>
        <v>4.6167116253796941E-3</v>
      </c>
      <c r="T1062" s="82">
        <f t="shared" si="546"/>
        <v>0</v>
      </c>
      <c r="U1062" s="82">
        <f t="shared" si="546"/>
        <v>0</v>
      </c>
      <c r="V1062" s="82">
        <f t="shared" si="546"/>
        <v>0</v>
      </c>
      <c r="W1062" s="82">
        <f t="shared" si="546"/>
        <v>0</v>
      </c>
      <c r="X1062" s="82">
        <f t="shared" si="546"/>
        <v>0</v>
      </c>
      <c r="Y1062" s="82">
        <f t="shared" si="546"/>
        <v>0</v>
      </c>
      <c r="Z1062" s="82">
        <f t="shared" si="546"/>
        <v>0</v>
      </c>
      <c r="AA1062" s="82">
        <f>SUM(G1062:Z1062)</f>
        <v>0.99999999999999978</v>
      </c>
      <c r="AB1062" s="92" t="str">
        <f t="shared" si="542"/>
        <v>ok</v>
      </c>
    </row>
    <row r="1063" spans="1:28">
      <c r="F1063" s="109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2"/>
      <c r="AA1063" s="82"/>
      <c r="AB1063" s="92"/>
    </row>
    <row r="1064" spans="1:28">
      <c r="A1064" s="60" t="s">
        <v>1322</v>
      </c>
      <c r="D1064" s="60" t="s">
        <v>1315</v>
      </c>
      <c r="F1064" s="78">
        <f>F1057</f>
        <v>38550020.395773493</v>
      </c>
      <c r="G1064" s="78">
        <f t="shared" ref="G1064:U1064" si="547">G1057</f>
        <v>26350721.800905541</v>
      </c>
      <c r="H1064" s="78">
        <f t="shared" si="547"/>
        <v>8187269.3747446639</v>
      </c>
      <c r="I1064" s="78">
        <f t="shared" si="547"/>
        <v>267611.02627090533</v>
      </c>
      <c r="J1064" s="78">
        <f t="shared" si="547"/>
        <v>2289549.7684639604</v>
      </c>
      <c r="K1064" s="78">
        <f t="shared" si="547"/>
        <v>534525.43351125007</v>
      </c>
      <c r="L1064" s="78">
        <f t="shared" si="547"/>
        <v>452629.81202564127</v>
      </c>
      <c r="M1064" s="78">
        <f t="shared" si="547"/>
        <v>377746.13303369086</v>
      </c>
      <c r="N1064" s="78">
        <f t="shared" si="547"/>
        <v>8123.8250845938655</v>
      </c>
      <c r="O1064" s="78">
        <f t="shared" si="547"/>
        <v>0</v>
      </c>
      <c r="P1064" s="78">
        <f t="shared" si="547"/>
        <v>11235.380459799999</v>
      </c>
      <c r="Q1064" s="78">
        <f t="shared" si="547"/>
        <v>69784.971799999999</v>
      </c>
      <c r="R1064" s="78">
        <f t="shared" si="547"/>
        <v>822.86947344050952</v>
      </c>
      <c r="S1064" s="78">
        <f t="shared" si="547"/>
        <v>0</v>
      </c>
      <c r="T1064" s="78">
        <f t="shared" si="547"/>
        <v>0</v>
      </c>
      <c r="U1064" s="78">
        <f t="shared" si="547"/>
        <v>0</v>
      </c>
      <c r="V1064" s="78">
        <f t="shared" ref="V1064:Z1064" si="548">V1050</f>
        <v>0</v>
      </c>
      <c r="W1064" s="78">
        <f t="shared" si="548"/>
        <v>0</v>
      </c>
      <c r="X1064" s="78">
        <f t="shared" si="548"/>
        <v>0</v>
      </c>
      <c r="Y1064" s="78">
        <f t="shared" si="548"/>
        <v>0</v>
      </c>
      <c r="Z1064" s="78">
        <f t="shared" si="548"/>
        <v>0</v>
      </c>
      <c r="AA1064" s="78">
        <f>SUM(G1064:Z1064)</f>
        <v>38550020.395773493</v>
      </c>
      <c r="AB1064" s="92" t="str">
        <f t="shared" ref="AB1064:AB1069" si="549">IF(ABS(F1064-AA1064)&lt;0.01,"ok","err")</f>
        <v>ok</v>
      </c>
    </row>
    <row r="1065" spans="1:28">
      <c r="A1065" s="60" t="s">
        <v>1323</v>
      </c>
      <c r="F1065" s="79">
        <f>F162</f>
        <v>26834744.844464965</v>
      </c>
      <c r="AA1065" s="79">
        <f>F1065</f>
        <v>26834744.844464965</v>
      </c>
      <c r="AB1065" s="92" t="str">
        <f t="shared" si="549"/>
        <v>ok</v>
      </c>
    </row>
    <row r="1066" spans="1:28">
      <c r="A1066" s="60" t="s">
        <v>152</v>
      </c>
      <c r="F1066" s="79">
        <v>105258.68000000005</v>
      </c>
      <c r="H1066" s="78">
        <v>0</v>
      </c>
      <c r="I1066" s="75">
        <v>0</v>
      </c>
      <c r="J1066" s="78">
        <v>0</v>
      </c>
      <c r="K1066" s="78">
        <v>0</v>
      </c>
      <c r="L1066" s="111">
        <v>0</v>
      </c>
      <c r="M1066" s="78">
        <v>0</v>
      </c>
      <c r="N1066" s="78">
        <v>0</v>
      </c>
      <c r="O1066" s="78">
        <v>0</v>
      </c>
      <c r="P1066" s="78">
        <v>0</v>
      </c>
      <c r="S1066" s="362">
        <f>S1059-33935</f>
        <v>105258.68000000005</v>
      </c>
      <c r="T1066" s="78"/>
      <c r="U1066" s="342"/>
      <c r="V1066" s="78">
        <v>0</v>
      </c>
      <c r="W1066" s="78">
        <v>0</v>
      </c>
      <c r="AA1066" s="79">
        <f>SUM(G1066:Z1066)</f>
        <v>105258.68000000005</v>
      </c>
      <c r="AB1066" s="92" t="str">
        <f t="shared" si="549"/>
        <v>ok</v>
      </c>
    </row>
    <row r="1067" spans="1:28">
      <c r="A1067" s="60" t="s">
        <v>1324</v>
      </c>
      <c r="E1067" s="60" t="s">
        <v>1315</v>
      </c>
      <c r="F1067" s="79">
        <f>F1065-F1066</f>
        <v>26729486.164464965</v>
      </c>
      <c r="G1067" s="75">
        <f t="shared" ref="G1067:Z1067" si="550">IF(VLOOKUP($E1067,$D$6:$AN$1148,3,)=0,0,(VLOOKUP($E1067,$D$6:$AN$1148,G$2,)/VLOOKUP($E1067,$D$6:$AN$1148,3,))*$F1067)</f>
        <v>18270839.978029996</v>
      </c>
      <c r="H1067" s="75">
        <f t="shared" si="550"/>
        <v>5676819.3954309383</v>
      </c>
      <c r="I1067" s="75">
        <f t="shared" si="550"/>
        <v>185553.8635447954</v>
      </c>
      <c r="J1067" s="75">
        <f t="shared" si="550"/>
        <v>1587508.5987171361</v>
      </c>
      <c r="K1067" s="75">
        <f t="shared" si="550"/>
        <v>370624.71129483613</v>
      </c>
      <c r="L1067" s="75">
        <f t="shared" si="550"/>
        <v>313840.61989991076</v>
      </c>
      <c r="M1067" s="75">
        <f t="shared" si="550"/>
        <v>261918.40971661801</v>
      </c>
      <c r="N1067" s="75">
        <f t="shared" si="550"/>
        <v>5632.8289316545306</v>
      </c>
      <c r="O1067" s="75">
        <f t="shared" si="550"/>
        <v>0</v>
      </c>
      <c r="P1067" s="75">
        <f t="shared" si="550"/>
        <v>7790.2928058022462</v>
      </c>
      <c r="Q1067" s="75">
        <f t="shared" si="550"/>
        <v>48386.911837281034</v>
      </c>
      <c r="R1067" s="75">
        <f t="shared" si="550"/>
        <v>570.55425599463808</v>
      </c>
      <c r="S1067" s="75">
        <f t="shared" si="550"/>
        <v>0</v>
      </c>
      <c r="T1067" s="75">
        <f t="shared" si="550"/>
        <v>0</v>
      </c>
      <c r="U1067" s="75">
        <f t="shared" si="550"/>
        <v>0</v>
      </c>
      <c r="V1067" s="75">
        <f t="shared" si="550"/>
        <v>0</v>
      </c>
      <c r="W1067" s="75">
        <f t="shared" si="550"/>
        <v>0</v>
      </c>
      <c r="X1067" s="75">
        <f t="shared" si="550"/>
        <v>0</v>
      </c>
      <c r="Y1067" s="75">
        <f t="shared" si="550"/>
        <v>0</v>
      </c>
      <c r="Z1067" s="75">
        <f t="shared" si="550"/>
        <v>0</v>
      </c>
      <c r="AA1067" s="79">
        <f>SUM(G1067:Z1067)</f>
        <v>26729486.164464962</v>
      </c>
      <c r="AB1067" s="92" t="str">
        <f t="shared" si="549"/>
        <v>ok</v>
      </c>
    </row>
    <row r="1068" spans="1:28">
      <c r="A1068" s="60" t="s">
        <v>1325</v>
      </c>
      <c r="D1068" s="60" t="s">
        <v>1316</v>
      </c>
      <c r="F1068" s="79">
        <f t="shared" ref="F1068:N1068" si="551">F1066+F1067</f>
        <v>26834744.844464965</v>
      </c>
      <c r="G1068" s="79">
        <f t="shared" si="551"/>
        <v>18270839.978029996</v>
      </c>
      <c r="H1068" s="79">
        <f t="shared" si="551"/>
        <v>5676819.3954309383</v>
      </c>
      <c r="I1068" s="79">
        <f t="shared" si="551"/>
        <v>185553.8635447954</v>
      </c>
      <c r="J1068" s="79">
        <f t="shared" si="551"/>
        <v>1587508.5987171361</v>
      </c>
      <c r="K1068" s="79">
        <f t="shared" si="551"/>
        <v>370624.71129483613</v>
      </c>
      <c r="L1068" s="79">
        <f t="shared" si="551"/>
        <v>313840.61989991076</v>
      </c>
      <c r="M1068" s="79">
        <f t="shared" si="551"/>
        <v>261918.40971661801</v>
      </c>
      <c r="N1068" s="79">
        <f t="shared" si="551"/>
        <v>5632.8289316545306</v>
      </c>
      <c r="O1068" s="79">
        <f>O1066+O1067</f>
        <v>0</v>
      </c>
      <c r="P1068" s="79">
        <f t="shared" ref="P1068:Z1068" si="552">P1066+P1067</f>
        <v>7790.2928058022462</v>
      </c>
      <c r="Q1068" s="79">
        <f t="shared" si="552"/>
        <v>48386.911837281034</v>
      </c>
      <c r="R1068" s="79">
        <f t="shared" si="552"/>
        <v>570.55425599463808</v>
      </c>
      <c r="S1068" s="79">
        <f t="shared" si="552"/>
        <v>105258.68000000005</v>
      </c>
      <c r="T1068" s="79">
        <f t="shared" si="552"/>
        <v>0</v>
      </c>
      <c r="U1068" s="79">
        <f t="shared" si="552"/>
        <v>0</v>
      </c>
      <c r="V1068" s="79">
        <f t="shared" si="552"/>
        <v>0</v>
      </c>
      <c r="W1068" s="79">
        <f t="shared" si="552"/>
        <v>0</v>
      </c>
      <c r="X1068" s="79">
        <f t="shared" si="552"/>
        <v>0</v>
      </c>
      <c r="Y1068" s="79">
        <f t="shared" si="552"/>
        <v>0</v>
      </c>
      <c r="Z1068" s="79">
        <f t="shared" si="552"/>
        <v>0</v>
      </c>
      <c r="AA1068" s="79">
        <f>SUM(G1068:Z1068)</f>
        <v>26834744.844464961</v>
      </c>
      <c r="AB1068" s="92" t="str">
        <f t="shared" si="549"/>
        <v>ok</v>
      </c>
    </row>
    <row r="1069" spans="1:28">
      <c r="A1069" s="60" t="s">
        <v>1326</v>
      </c>
      <c r="D1069" s="60" t="s">
        <v>1317</v>
      </c>
      <c r="E1069" s="60" t="s">
        <v>1316</v>
      </c>
      <c r="F1069" s="109">
        <v>1</v>
      </c>
      <c r="G1069" s="82">
        <f t="shared" ref="G1069:Z1069" si="553">IF(VLOOKUP($E1069,$D$6:$AN$1148,3,)=0,0,(VLOOKUP($E1069,$D$6:$AN$1148,G$2,)/VLOOKUP($E1069,$D$6:$AN$1148,3,))*$F1069)</f>
        <v>0.68086505327061486</v>
      </c>
      <c r="H1069" s="82">
        <f t="shared" si="553"/>
        <v>0.2115473587818317</v>
      </c>
      <c r="I1069" s="82">
        <f t="shared" si="553"/>
        <v>6.9146870827455787E-3</v>
      </c>
      <c r="J1069" s="82">
        <f t="shared" si="553"/>
        <v>5.9158699213217286E-2</v>
      </c>
      <c r="K1069" s="82">
        <f t="shared" si="553"/>
        <v>1.3811374523700104E-2</v>
      </c>
      <c r="L1069" s="82">
        <f t="shared" si="553"/>
        <v>1.1695308515841718E-2</v>
      </c>
      <c r="M1069" s="82">
        <f t="shared" si="553"/>
        <v>9.7604210971524216E-3</v>
      </c>
      <c r="N1069" s="82">
        <f t="shared" si="553"/>
        <v>2.0990804884870665E-4</v>
      </c>
      <c r="O1069" s="82">
        <f t="shared" si="553"/>
        <v>0</v>
      </c>
      <c r="P1069" s="82">
        <f t="shared" si="553"/>
        <v>2.9030620007587296E-4</v>
      </c>
      <c r="Q1069" s="82">
        <f t="shared" si="553"/>
        <v>1.8031440998501425E-3</v>
      </c>
      <c r="R1069" s="82">
        <f t="shared" si="553"/>
        <v>2.1261773096841006E-5</v>
      </c>
      <c r="S1069" s="82">
        <f t="shared" si="553"/>
        <v>3.9224773930247037E-3</v>
      </c>
      <c r="T1069" s="82">
        <f t="shared" si="553"/>
        <v>0</v>
      </c>
      <c r="U1069" s="82">
        <f t="shared" si="553"/>
        <v>0</v>
      </c>
      <c r="V1069" s="82">
        <f t="shared" si="553"/>
        <v>0</v>
      </c>
      <c r="W1069" s="82">
        <f t="shared" si="553"/>
        <v>0</v>
      </c>
      <c r="X1069" s="82">
        <f t="shared" si="553"/>
        <v>0</v>
      </c>
      <c r="Y1069" s="82">
        <f t="shared" si="553"/>
        <v>0</v>
      </c>
      <c r="Z1069" s="82">
        <f t="shared" si="553"/>
        <v>0</v>
      </c>
      <c r="AA1069" s="82">
        <f>SUM(G1069:Z1069)</f>
        <v>1</v>
      </c>
      <c r="AB1069" s="92" t="str">
        <f t="shared" si="549"/>
        <v>ok</v>
      </c>
    </row>
    <row r="1070" spans="1:28">
      <c r="F1070" s="109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2"/>
      <c r="AA1070" s="82"/>
      <c r="AB1070" s="92"/>
    </row>
    <row r="1071" spans="1:28">
      <c r="A1071" s="60" t="s">
        <v>1274</v>
      </c>
      <c r="D1071" s="60" t="s">
        <v>1293</v>
      </c>
      <c r="F1071" s="78">
        <f>F$1050</f>
        <v>38550020.395773493</v>
      </c>
      <c r="G1071" s="78">
        <f t="shared" ref="G1071:U1071" si="554">G$1050</f>
        <v>26350721.800905541</v>
      </c>
      <c r="H1071" s="78">
        <f t="shared" si="554"/>
        <v>8187269.3747446639</v>
      </c>
      <c r="I1071" s="78">
        <f t="shared" si="554"/>
        <v>267611.02627090533</v>
      </c>
      <c r="J1071" s="78">
        <f t="shared" si="554"/>
        <v>2289549.7684639604</v>
      </c>
      <c r="K1071" s="78">
        <f t="shared" si="554"/>
        <v>534525.43351125007</v>
      </c>
      <c r="L1071" s="78">
        <f t="shared" si="554"/>
        <v>452629.81202564127</v>
      </c>
      <c r="M1071" s="78">
        <f t="shared" si="554"/>
        <v>377746.13303369086</v>
      </c>
      <c r="N1071" s="78">
        <f t="shared" si="554"/>
        <v>8123.8250845938655</v>
      </c>
      <c r="O1071" s="78">
        <f t="shared" si="554"/>
        <v>0</v>
      </c>
      <c r="P1071" s="78">
        <f t="shared" si="554"/>
        <v>11235.380459799999</v>
      </c>
      <c r="Q1071" s="78">
        <f t="shared" si="554"/>
        <v>69784.971799999999</v>
      </c>
      <c r="R1071" s="78">
        <f t="shared" si="554"/>
        <v>822.86947344050952</v>
      </c>
      <c r="S1071" s="78">
        <f t="shared" si="554"/>
        <v>0</v>
      </c>
      <c r="T1071" s="78">
        <f t="shared" si="554"/>
        <v>0</v>
      </c>
      <c r="U1071" s="78">
        <f t="shared" si="554"/>
        <v>0</v>
      </c>
      <c r="V1071" s="78">
        <f t="shared" ref="V1071:Z1071" si="555">V1058</f>
        <v>0</v>
      </c>
      <c r="W1071" s="78">
        <f t="shared" si="555"/>
        <v>0</v>
      </c>
      <c r="X1071" s="78">
        <f t="shared" si="555"/>
        <v>0</v>
      </c>
      <c r="Y1071" s="78">
        <f t="shared" si="555"/>
        <v>0</v>
      </c>
      <c r="Z1071" s="78">
        <f t="shared" si="555"/>
        <v>0</v>
      </c>
      <c r="AA1071" s="78">
        <f>SUM(G1071:Z1071)</f>
        <v>38550020.395773493</v>
      </c>
      <c r="AB1071" s="92" t="str">
        <f t="shared" ref="AB1071:AB1076" si="556">IF(ABS(F1071-AA1071)&lt;0.01,"ok","err")</f>
        <v>ok</v>
      </c>
    </row>
    <row r="1072" spans="1:28">
      <c r="A1072" s="60" t="s">
        <v>1275</v>
      </c>
      <c r="F1072" s="79">
        <f>F219</f>
        <v>13918315.257724669</v>
      </c>
      <c r="AA1072" s="79">
        <f>F1072</f>
        <v>13918315.257724669</v>
      </c>
      <c r="AB1072" s="92" t="str">
        <f t="shared" si="556"/>
        <v>ok</v>
      </c>
    </row>
    <row r="1073" spans="1:28">
      <c r="A1073" s="60" t="s">
        <v>152</v>
      </c>
      <c r="F1073" s="79">
        <v>0</v>
      </c>
      <c r="H1073" s="78">
        <v>0</v>
      </c>
      <c r="I1073" s="75">
        <v>0</v>
      </c>
      <c r="J1073" s="78">
        <v>0</v>
      </c>
      <c r="K1073" s="78">
        <v>0</v>
      </c>
      <c r="L1073" s="111">
        <v>0</v>
      </c>
      <c r="M1073" s="78">
        <v>0</v>
      </c>
      <c r="N1073" s="78">
        <v>0</v>
      </c>
      <c r="O1073" s="78">
        <v>0</v>
      </c>
      <c r="P1073" s="78">
        <v>0</v>
      </c>
      <c r="S1073" s="362">
        <v>0</v>
      </c>
      <c r="T1073" s="78"/>
      <c r="U1073" s="342"/>
      <c r="V1073" s="78">
        <v>0</v>
      </c>
      <c r="W1073" s="78">
        <v>0</v>
      </c>
      <c r="AA1073" s="79">
        <f>SUM(G1073:Z1073)</f>
        <v>0</v>
      </c>
      <c r="AB1073" s="92" t="str">
        <f t="shared" si="556"/>
        <v>ok</v>
      </c>
    </row>
    <row r="1074" spans="1:28">
      <c r="A1074" s="60" t="s">
        <v>1276</v>
      </c>
      <c r="E1074" s="60" t="s">
        <v>1293</v>
      </c>
      <c r="F1074" s="79">
        <f>F1072-F1073</f>
        <v>13918315.257724669</v>
      </c>
      <c r="G1074" s="75">
        <f t="shared" ref="G1074:Z1074" si="557">IF(VLOOKUP($E1074,$D$6:$AN$1148,3,)=0,0,(VLOOKUP($E1074,$D$6:$AN$1148,G$2,)/VLOOKUP($E1074,$D$6:$AN$1148,3,))*$F1074)</f>
        <v>9513812.1725562532</v>
      </c>
      <c r="H1074" s="75">
        <f t="shared" si="557"/>
        <v>2955977.5867227307</v>
      </c>
      <c r="I1074" s="75">
        <f t="shared" si="557"/>
        <v>96619.783643228962</v>
      </c>
      <c r="J1074" s="75">
        <f t="shared" si="557"/>
        <v>826631.87071168679</v>
      </c>
      <c r="K1074" s="75">
        <f t="shared" si="557"/>
        <v>192988.0560503462</v>
      </c>
      <c r="L1074" s="75">
        <f t="shared" si="557"/>
        <v>163420.00222412925</v>
      </c>
      <c r="M1074" s="75">
        <f t="shared" si="557"/>
        <v>136383.57938523268</v>
      </c>
      <c r="N1074" s="75">
        <f t="shared" si="557"/>
        <v>2933.0713048957518</v>
      </c>
      <c r="O1074" s="75">
        <f t="shared" si="557"/>
        <v>0</v>
      </c>
      <c r="P1074" s="75">
        <f t="shared" si="557"/>
        <v>4056.4846833938559</v>
      </c>
      <c r="Q1074" s="75">
        <f t="shared" si="557"/>
        <v>25195.557039713392</v>
      </c>
      <c r="R1074" s="75">
        <f t="shared" si="557"/>
        <v>297.09340305715051</v>
      </c>
      <c r="S1074" s="75">
        <f t="shared" si="557"/>
        <v>0</v>
      </c>
      <c r="T1074" s="75">
        <f t="shared" si="557"/>
        <v>0</v>
      </c>
      <c r="U1074" s="75">
        <f t="shared" si="557"/>
        <v>0</v>
      </c>
      <c r="V1074" s="75">
        <f t="shared" si="557"/>
        <v>0</v>
      </c>
      <c r="W1074" s="75">
        <f t="shared" si="557"/>
        <v>0</v>
      </c>
      <c r="X1074" s="75">
        <f t="shared" si="557"/>
        <v>0</v>
      </c>
      <c r="Y1074" s="75">
        <f t="shared" si="557"/>
        <v>0</v>
      </c>
      <c r="Z1074" s="75">
        <f t="shared" si="557"/>
        <v>0</v>
      </c>
      <c r="AA1074" s="79">
        <f>SUM(G1074:Z1074)</f>
        <v>13918315.257724663</v>
      </c>
      <c r="AB1074" s="92" t="str">
        <f t="shared" si="556"/>
        <v>ok</v>
      </c>
    </row>
    <row r="1075" spans="1:28">
      <c r="A1075" s="60" t="s">
        <v>1277</v>
      </c>
      <c r="D1075" s="60" t="s">
        <v>1294</v>
      </c>
      <c r="F1075" s="79">
        <f t="shared" ref="F1075:N1075" si="558">F1073+F1074</f>
        <v>13918315.257724669</v>
      </c>
      <c r="G1075" s="79">
        <f t="shared" si="558"/>
        <v>9513812.1725562532</v>
      </c>
      <c r="H1075" s="79">
        <f t="shared" si="558"/>
        <v>2955977.5867227307</v>
      </c>
      <c r="I1075" s="79">
        <f t="shared" si="558"/>
        <v>96619.783643228962</v>
      </c>
      <c r="J1075" s="79">
        <f t="shared" si="558"/>
        <v>826631.87071168679</v>
      </c>
      <c r="K1075" s="79">
        <f t="shared" si="558"/>
        <v>192988.0560503462</v>
      </c>
      <c r="L1075" s="79">
        <f t="shared" si="558"/>
        <v>163420.00222412925</v>
      </c>
      <c r="M1075" s="79">
        <f t="shared" si="558"/>
        <v>136383.57938523268</v>
      </c>
      <c r="N1075" s="79">
        <f t="shared" si="558"/>
        <v>2933.0713048957518</v>
      </c>
      <c r="O1075" s="79">
        <f>O1073+O1074</f>
        <v>0</v>
      </c>
      <c r="P1075" s="79">
        <f t="shared" ref="P1075:W1075" si="559">P1073+P1074</f>
        <v>4056.4846833938559</v>
      </c>
      <c r="Q1075" s="79">
        <f t="shared" si="559"/>
        <v>25195.557039713392</v>
      </c>
      <c r="R1075" s="79">
        <f t="shared" si="559"/>
        <v>297.09340305715051</v>
      </c>
      <c r="S1075" s="79">
        <f t="shared" si="559"/>
        <v>0</v>
      </c>
      <c r="T1075" s="79">
        <f t="shared" si="559"/>
        <v>0</v>
      </c>
      <c r="U1075" s="79">
        <f t="shared" si="559"/>
        <v>0</v>
      </c>
      <c r="V1075" s="79">
        <f t="shared" si="559"/>
        <v>0</v>
      </c>
      <c r="W1075" s="79">
        <f t="shared" si="559"/>
        <v>0</v>
      </c>
      <c r="X1075" s="79">
        <f>X1073+X1074</f>
        <v>0</v>
      </c>
      <c r="Y1075" s="79">
        <f>Y1073+Y1074</f>
        <v>0</v>
      </c>
      <c r="Z1075" s="79">
        <f>Z1073+Z1074</f>
        <v>0</v>
      </c>
      <c r="AA1075" s="79">
        <f>SUM(G1075:Z1075)</f>
        <v>13918315.257724663</v>
      </c>
      <c r="AB1075" s="92" t="str">
        <f t="shared" si="556"/>
        <v>ok</v>
      </c>
    </row>
    <row r="1076" spans="1:28">
      <c r="A1076" s="60" t="s">
        <v>1278</v>
      </c>
      <c r="D1076" s="60" t="s">
        <v>1295</v>
      </c>
      <c r="E1076" s="60" t="s">
        <v>1294</v>
      </c>
      <c r="F1076" s="109">
        <v>1</v>
      </c>
      <c r="G1076" s="82">
        <f t="shared" ref="G1076:Z1076" si="560">IF(VLOOKUP($E1076,$D$6:$AN$1148,3,)=0,0,(VLOOKUP($E1076,$D$6:$AN$1148,G$2,)/VLOOKUP($E1076,$D$6:$AN$1148,3,))*$F1076)</f>
        <v>0.6835462479753851</v>
      </c>
      <c r="H1076" s="82">
        <f t="shared" si="560"/>
        <v>0.21238041616295206</v>
      </c>
      <c r="I1076" s="82">
        <f t="shared" si="560"/>
        <v>6.9419165936484267E-3</v>
      </c>
      <c r="J1076" s="82">
        <f t="shared" si="560"/>
        <v>5.9391661663426243E-2</v>
      </c>
      <c r="K1076" s="82">
        <f t="shared" si="560"/>
        <v>1.3865762664287819E-2</v>
      </c>
      <c r="L1076" s="82">
        <f t="shared" si="560"/>
        <v>1.1741363749713249E-2</v>
      </c>
      <c r="M1076" s="82">
        <f t="shared" si="560"/>
        <v>9.7988568917879455E-3</v>
      </c>
      <c r="N1076" s="82">
        <f t="shared" si="560"/>
        <v>2.1073465075220914E-4</v>
      </c>
      <c r="O1076" s="82">
        <f t="shared" si="560"/>
        <v>0</v>
      </c>
      <c r="P1076" s="82">
        <f t="shared" si="560"/>
        <v>2.9144940377338457E-4</v>
      </c>
      <c r="Q1076" s="82">
        <f t="shared" si="560"/>
        <v>1.8102447439340657E-3</v>
      </c>
      <c r="R1076" s="82">
        <f t="shared" si="560"/>
        <v>2.1345500339364968E-5</v>
      </c>
      <c r="S1076" s="82">
        <f t="shared" si="560"/>
        <v>0</v>
      </c>
      <c r="T1076" s="82">
        <f t="shared" si="560"/>
        <v>0</v>
      </c>
      <c r="U1076" s="82">
        <f t="shared" si="560"/>
        <v>0</v>
      </c>
      <c r="V1076" s="82">
        <f t="shared" si="560"/>
        <v>0</v>
      </c>
      <c r="W1076" s="82">
        <f t="shared" si="560"/>
        <v>0</v>
      </c>
      <c r="X1076" s="82">
        <f t="shared" si="560"/>
        <v>0</v>
      </c>
      <c r="Y1076" s="82">
        <f t="shared" si="560"/>
        <v>0</v>
      </c>
      <c r="Z1076" s="82">
        <f t="shared" si="560"/>
        <v>0</v>
      </c>
      <c r="AA1076" s="82">
        <f>SUM(G1076:Z1076)</f>
        <v>0.99999999999999989</v>
      </c>
      <c r="AB1076" s="92" t="str">
        <f t="shared" si="556"/>
        <v>ok</v>
      </c>
    </row>
    <row r="1077" spans="1:28">
      <c r="F1077" s="109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2"/>
      <c r="AA1077" s="82"/>
      <c r="AB1077" s="92"/>
    </row>
    <row r="1078" spans="1:28">
      <c r="A1078" s="60" t="s">
        <v>1279</v>
      </c>
      <c r="D1078" s="60" t="s">
        <v>1296</v>
      </c>
      <c r="F1078" s="78">
        <f>F$1050</f>
        <v>38550020.395773493</v>
      </c>
      <c r="G1078" s="78">
        <f t="shared" ref="G1078:U1078" si="561">G$1050</f>
        <v>26350721.800905541</v>
      </c>
      <c r="H1078" s="78">
        <f t="shared" si="561"/>
        <v>8187269.3747446639</v>
      </c>
      <c r="I1078" s="78">
        <f t="shared" si="561"/>
        <v>267611.02627090533</v>
      </c>
      <c r="J1078" s="78">
        <f t="shared" si="561"/>
        <v>2289549.7684639604</v>
      </c>
      <c r="K1078" s="78">
        <f t="shared" si="561"/>
        <v>534525.43351125007</v>
      </c>
      <c r="L1078" s="78">
        <f t="shared" si="561"/>
        <v>452629.81202564127</v>
      </c>
      <c r="M1078" s="78">
        <f t="shared" si="561"/>
        <v>377746.13303369086</v>
      </c>
      <c r="N1078" s="78">
        <f t="shared" si="561"/>
        <v>8123.8250845938655</v>
      </c>
      <c r="O1078" s="78">
        <f t="shared" si="561"/>
        <v>0</v>
      </c>
      <c r="P1078" s="78">
        <f t="shared" si="561"/>
        <v>11235.380459799999</v>
      </c>
      <c r="Q1078" s="78">
        <f t="shared" si="561"/>
        <v>69784.971799999999</v>
      </c>
      <c r="R1078" s="78">
        <f t="shared" si="561"/>
        <v>822.86947344050952</v>
      </c>
      <c r="S1078" s="78">
        <f t="shared" si="561"/>
        <v>0</v>
      </c>
      <c r="T1078" s="78">
        <f t="shared" si="561"/>
        <v>0</v>
      </c>
      <c r="U1078" s="78">
        <f t="shared" si="561"/>
        <v>0</v>
      </c>
      <c r="V1078" s="78">
        <f t="shared" ref="V1078:Z1078" si="562">V1072</f>
        <v>0</v>
      </c>
      <c r="W1078" s="78">
        <f t="shared" si="562"/>
        <v>0</v>
      </c>
      <c r="X1078" s="78">
        <f t="shared" si="562"/>
        <v>0</v>
      </c>
      <c r="Y1078" s="78">
        <f t="shared" si="562"/>
        <v>0</v>
      </c>
      <c r="Z1078" s="78">
        <f t="shared" si="562"/>
        <v>0</v>
      </c>
      <c r="AA1078" s="78">
        <f>SUM(G1078:Z1078)</f>
        <v>38550020.395773493</v>
      </c>
      <c r="AB1078" s="92" t="str">
        <f t="shared" ref="AB1078:AB1083" si="563">IF(ABS(F1078-AA1078)&lt;0.01,"ok","err")</f>
        <v>ok</v>
      </c>
    </row>
    <row r="1079" spans="1:28">
      <c r="A1079" s="60" t="s">
        <v>1280</v>
      </c>
      <c r="F1079" s="79">
        <f>F333</f>
        <v>1184750.9707206148</v>
      </c>
      <c r="AA1079" s="79">
        <f>F1079</f>
        <v>1184750.9707206148</v>
      </c>
      <c r="AB1079" s="92" t="str">
        <f t="shared" si="563"/>
        <v>ok</v>
      </c>
    </row>
    <row r="1080" spans="1:28">
      <c r="A1080" s="60" t="s">
        <v>152</v>
      </c>
      <c r="F1080" s="79">
        <v>18338.759999999998</v>
      </c>
      <c r="H1080" s="78">
        <v>0</v>
      </c>
      <c r="I1080" s="75">
        <v>0</v>
      </c>
      <c r="J1080" s="78">
        <v>0</v>
      </c>
      <c r="K1080" s="78">
        <v>0</v>
      </c>
      <c r="L1080" s="111">
        <v>0</v>
      </c>
      <c r="M1080" s="78">
        <v>0</v>
      </c>
      <c r="N1080" s="78">
        <v>0</v>
      </c>
      <c r="O1080" s="78">
        <v>0</v>
      </c>
      <c r="P1080" s="78">
        <v>0</v>
      </c>
      <c r="S1080" s="362">
        <f>18338.76</f>
        <v>18338.759999999998</v>
      </c>
      <c r="T1080" s="78"/>
      <c r="U1080" s="342"/>
      <c r="V1080" s="78">
        <v>0</v>
      </c>
      <c r="W1080" s="78">
        <v>0</v>
      </c>
      <c r="AA1080" s="79">
        <f>SUM(G1080:Z1080)</f>
        <v>18338.759999999998</v>
      </c>
      <c r="AB1080" s="92" t="str">
        <f t="shared" si="563"/>
        <v>ok</v>
      </c>
    </row>
    <row r="1081" spans="1:28">
      <c r="A1081" s="60" t="s">
        <v>1281</v>
      </c>
      <c r="E1081" s="60" t="s">
        <v>1296</v>
      </c>
      <c r="F1081" s="79">
        <f>F1079-F1080</f>
        <v>1166412.2107206148</v>
      </c>
      <c r="G1081" s="75">
        <f t="shared" ref="G1081:Z1081" si="564">IF(VLOOKUP($E1081,$D$6:$AN$1148,3,)=0,0,(VLOOKUP($E1081,$D$6:$AN$1148,G$2,)/VLOOKUP($E1081,$D$6:$AN$1148,3,))*$F1081)</f>
        <v>797296.69023075048</v>
      </c>
      <c r="H1081" s="75">
        <f t="shared" si="564"/>
        <v>247723.11073039309</v>
      </c>
      <c r="I1081" s="75">
        <f t="shared" si="564"/>
        <v>8097.1362806355819</v>
      </c>
      <c r="J1081" s="75">
        <f t="shared" si="564"/>
        <v>69275.159379207791</v>
      </c>
      <c r="K1081" s="75">
        <f t="shared" si="564"/>
        <v>16173.194882579317</v>
      </c>
      <c r="L1081" s="75">
        <f t="shared" si="564"/>
        <v>13695.270048177917</v>
      </c>
      <c r="M1081" s="75">
        <f t="shared" si="564"/>
        <v>11429.506329685308</v>
      </c>
      <c r="N1081" s="75">
        <f t="shared" si="564"/>
        <v>245.80346985932093</v>
      </c>
      <c r="O1081" s="75">
        <f t="shared" si="564"/>
        <v>0</v>
      </c>
      <c r="P1081" s="75">
        <f t="shared" si="564"/>
        <v>339.95014336851858</v>
      </c>
      <c r="Q1081" s="75">
        <f t="shared" si="564"/>
        <v>2111.491573717507</v>
      </c>
      <c r="R1081" s="75">
        <f t="shared" si="564"/>
        <v>24.897652239776324</v>
      </c>
      <c r="S1081" s="75">
        <f t="shared" si="564"/>
        <v>0</v>
      </c>
      <c r="T1081" s="75">
        <f t="shared" si="564"/>
        <v>0</v>
      </c>
      <c r="U1081" s="75">
        <f t="shared" si="564"/>
        <v>0</v>
      </c>
      <c r="V1081" s="75">
        <f t="shared" si="564"/>
        <v>0</v>
      </c>
      <c r="W1081" s="75">
        <f t="shared" si="564"/>
        <v>0</v>
      </c>
      <c r="X1081" s="75">
        <f t="shared" si="564"/>
        <v>0</v>
      </c>
      <c r="Y1081" s="75">
        <f t="shared" si="564"/>
        <v>0</v>
      </c>
      <c r="Z1081" s="75">
        <f t="shared" si="564"/>
        <v>0</v>
      </c>
      <c r="AA1081" s="79">
        <f>SUM(G1081:Z1081)</f>
        <v>1166412.2107206143</v>
      </c>
      <c r="AB1081" s="92" t="str">
        <f t="shared" si="563"/>
        <v>ok</v>
      </c>
    </row>
    <row r="1082" spans="1:28">
      <c r="A1082" s="60" t="s">
        <v>1282</v>
      </c>
      <c r="D1082" s="60" t="s">
        <v>1297</v>
      </c>
      <c r="F1082" s="79">
        <f t="shared" ref="F1082:N1082" si="565">F1080+F1081</f>
        <v>1184750.9707206148</v>
      </c>
      <c r="G1082" s="79">
        <f t="shared" si="565"/>
        <v>797296.69023075048</v>
      </c>
      <c r="H1082" s="79">
        <f t="shared" si="565"/>
        <v>247723.11073039309</v>
      </c>
      <c r="I1082" s="79">
        <f t="shared" si="565"/>
        <v>8097.1362806355819</v>
      </c>
      <c r="J1082" s="79">
        <f t="shared" si="565"/>
        <v>69275.159379207791</v>
      </c>
      <c r="K1082" s="79">
        <f t="shared" si="565"/>
        <v>16173.194882579317</v>
      </c>
      <c r="L1082" s="79">
        <f t="shared" si="565"/>
        <v>13695.270048177917</v>
      </c>
      <c r="M1082" s="79">
        <f t="shared" si="565"/>
        <v>11429.506329685308</v>
      </c>
      <c r="N1082" s="79">
        <f t="shared" si="565"/>
        <v>245.80346985932093</v>
      </c>
      <c r="O1082" s="79">
        <f>O1080+O1081</f>
        <v>0</v>
      </c>
      <c r="P1082" s="79">
        <f t="shared" ref="P1082:W1082" si="566">P1080+P1081</f>
        <v>339.95014336851858</v>
      </c>
      <c r="Q1082" s="79">
        <f t="shared" si="566"/>
        <v>2111.491573717507</v>
      </c>
      <c r="R1082" s="79">
        <f t="shared" si="566"/>
        <v>24.897652239776324</v>
      </c>
      <c r="S1082" s="79">
        <f t="shared" si="566"/>
        <v>18338.759999999998</v>
      </c>
      <c r="T1082" s="79">
        <f t="shared" si="566"/>
        <v>0</v>
      </c>
      <c r="U1082" s="79">
        <f t="shared" si="566"/>
        <v>0</v>
      </c>
      <c r="V1082" s="79">
        <f t="shared" si="566"/>
        <v>0</v>
      </c>
      <c r="W1082" s="79">
        <f t="shared" si="566"/>
        <v>0</v>
      </c>
      <c r="X1082" s="79">
        <f>X1080+X1081</f>
        <v>0</v>
      </c>
      <c r="Y1082" s="79">
        <f>Y1080+Y1081</f>
        <v>0</v>
      </c>
      <c r="Z1082" s="79">
        <f>Z1080+Z1081</f>
        <v>0</v>
      </c>
      <c r="AA1082" s="79">
        <f>SUM(G1082:Z1082)</f>
        <v>1184750.9707206143</v>
      </c>
      <c r="AB1082" s="92" t="str">
        <f t="shared" si="563"/>
        <v>ok</v>
      </c>
    </row>
    <row r="1083" spans="1:28">
      <c r="A1083" s="60" t="s">
        <v>1283</v>
      </c>
      <c r="D1083" s="60" t="s">
        <v>1298</v>
      </c>
      <c r="E1083" s="60" t="s">
        <v>1297</v>
      </c>
      <c r="F1083" s="109">
        <v>1</v>
      </c>
      <c r="G1083" s="82">
        <f t="shared" ref="G1083:Z1083" si="567">IF(VLOOKUP($E1083,$D$6:$AN$1148,3,)=0,0,(VLOOKUP($E1083,$D$6:$AN$1148,G$2,)/VLOOKUP($E1083,$D$6:$AN$1148,3,))*$F1083)</f>
        <v>0.6729656357620889</v>
      </c>
      <c r="H1083" s="82">
        <f t="shared" si="567"/>
        <v>0.20909297975060329</v>
      </c>
      <c r="I1083" s="82">
        <f t="shared" si="567"/>
        <v>6.8344626683112713E-3</v>
      </c>
      <c r="J1083" s="82">
        <f t="shared" si="567"/>
        <v>5.8472338146363163E-2</v>
      </c>
      <c r="K1083" s="82">
        <f t="shared" si="567"/>
        <v>1.3651134527234958E-2</v>
      </c>
      <c r="L1083" s="82">
        <f t="shared" si="567"/>
        <v>1.1559619182964572E-2</v>
      </c>
      <c r="M1083" s="82">
        <f t="shared" si="567"/>
        <v>9.6471803882409203E-3</v>
      </c>
      <c r="N1083" s="82">
        <f t="shared" si="567"/>
        <v>2.0747268914227015E-4</v>
      </c>
      <c r="O1083" s="82">
        <f t="shared" si="567"/>
        <v>0</v>
      </c>
      <c r="P1083" s="82">
        <f t="shared" si="567"/>
        <v>2.8693805852021947E-4</v>
      </c>
      <c r="Q1083" s="82">
        <f t="shared" si="567"/>
        <v>1.7822239659640964E-3</v>
      </c>
      <c r="R1083" s="82">
        <f t="shared" si="567"/>
        <v>2.1015093344580706E-5</v>
      </c>
      <c r="S1083" s="82">
        <f t="shared" si="567"/>
        <v>1.5478999767221632E-2</v>
      </c>
      <c r="T1083" s="82">
        <f t="shared" si="567"/>
        <v>0</v>
      </c>
      <c r="U1083" s="82">
        <f t="shared" si="567"/>
        <v>0</v>
      </c>
      <c r="V1083" s="82">
        <f t="shared" si="567"/>
        <v>0</v>
      </c>
      <c r="W1083" s="82">
        <f t="shared" si="567"/>
        <v>0</v>
      </c>
      <c r="X1083" s="82">
        <f t="shared" si="567"/>
        <v>0</v>
      </c>
      <c r="Y1083" s="82">
        <f t="shared" si="567"/>
        <v>0</v>
      </c>
      <c r="Z1083" s="82">
        <f t="shared" si="567"/>
        <v>0</v>
      </c>
      <c r="AA1083" s="82">
        <f>SUM(G1083:Z1083)</f>
        <v>0.99999999999999989</v>
      </c>
      <c r="AB1083" s="92" t="str">
        <f t="shared" si="563"/>
        <v>ok</v>
      </c>
    </row>
    <row r="1084" spans="1:28">
      <c r="F1084" s="109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2"/>
      <c r="AA1084" s="82"/>
      <c r="AB1084" s="92"/>
    </row>
    <row r="1085" spans="1:28">
      <c r="A1085" s="60" t="s">
        <v>1284</v>
      </c>
      <c r="D1085" s="60" t="s">
        <v>1299</v>
      </c>
      <c r="F1085" s="78">
        <f>F$1050</f>
        <v>38550020.395773493</v>
      </c>
      <c r="G1085" s="78">
        <f t="shared" ref="G1085:U1085" si="568">G$1050</f>
        <v>26350721.800905541</v>
      </c>
      <c r="H1085" s="78">
        <f t="shared" si="568"/>
        <v>8187269.3747446639</v>
      </c>
      <c r="I1085" s="78">
        <f t="shared" si="568"/>
        <v>267611.02627090533</v>
      </c>
      <c r="J1085" s="78">
        <f t="shared" si="568"/>
        <v>2289549.7684639604</v>
      </c>
      <c r="K1085" s="78">
        <f t="shared" si="568"/>
        <v>534525.43351125007</v>
      </c>
      <c r="L1085" s="78">
        <f t="shared" si="568"/>
        <v>452629.81202564127</v>
      </c>
      <c r="M1085" s="78">
        <f t="shared" si="568"/>
        <v>377746.13303369086</v>
      </c>
      <c r="N1085" s="78">
        <f t="shared" si="568"/>
        <v>8123.8250845938655</v>
      </c>
      <c r="O1085" s="78">
        <f t="shared" si="568"/>
        <v>0</v>
      </c>
      <c r="P1085" s="78">
        <f t="shared" si="568"/>
        <v>11235.380459799999</v>
      </c>
      <c r="Q1085" s="78">
        <f t="shared" si="568"/>
        <v>69784.971799999999</v>
      </c>
      <c r="R1085" s="78">
        <f t="shared" si="568"/>
        <v>822.86947344050952</v>
      </c>
      <c r="S1085" s="78">
        <f t="shared" si="568"/>
        <v>0</v>
      </c>
      <c r="T1085" s="78">
        <f t="shared" si="568"/>
        <v>0</v>
      </c>
      <c r="U1085" s="78">
        <f t="shared" si="568"/>
        <v>0</v>
      </c>
      <c r="V1085" s="78">
        <f t="shared" ref="V1085:Z1085" si="569">V1079</f>
        <v>0</v>
      </c>
      <c r="W1085" s="78">
        <f t="shared" si="569"/>
        <v>0</v>
      </c>
      <c r="X1085" s="78">
        <f t="shared" si="569"/>
        <v>0</v>
      </c>
      <c r="Y1085" s="78">
        <f t="shared" si="569"/>
        <v>0</v>
      </c>
      <c r="Z1085" s="78">
        <f t="shared" si="569"/>
        <v>0</v>
      </c>
      <c r="AA1085" s="78">
        <f>SUM(G1085:Z1085)</f>
        <v>38550020.395773493</v>
      </c>
      <c r="AB1085" s="92" t="str">
        <f t="shared" ref="AB1085:AB1090" si="570">IF(ABS(F1085-AA1085)&lt;0.01,"ok","err")</f>
        <v>ok</v>
      </c>
    </row>
    <row r="1086" spans="1:28">
      <c r="A1086" s="60" t="s">
        <v>1285</v>
      </c>
      <c r="F1086" s="79">
        <f>F505</f>
        <v>298205.21889810968</v>
      </c>
      <c r="AA1086" s="79">
        <f>F1086</f>
        <v>298205.21889810968</v>
      </c>
      <c r="AB1086" s="92" t="str">
        <f t="shared" si="570"/>
        <v>ok</v>
      </c>
    </row>
    <row r="1087" spans="1:28">
      <c r="A1087" s="60" t="s">
        <v>152</v>
      </c>
      <c r="F1087" s="79">
        <v>2689.4624638430369</v>
      </c>
      <c r="H1087" s="78">
        <v>0</v>
      </c>
      <c r="I1087" s="75">
        <v>0</v>
      </c>
      <c r="J1087" s="78">
        <v>0</v>
      </c>
      <c r="K1087" s="78">
        <v>0</v>
      </c>
      <c r="L1087" s="111">
        <v>0</v>
      </c>
      <c r="M1087" s="78">
        <v>0</v>
      </c>
      <c r="N1087" s="78">
        <v>0</v>
      </c>
      <c r="O1087" s="78">
        <v>0</v>
      </c>
      <c r="P1087" s="78">
        <v>0</v>
      </c>
      <c r="S1087" s="362">
        <v>2689.4624638430369</v>
      </c>
      <c r="T1087" s="78"/>
      <c r="U1087" s="342"/>
      <c r="V1087" s="78">
        <v>0</v>
      </c>
      <c r="W1087" s="78">
        <v>0</v>
      </c>
      <c r="AA1087" s="79">
        <f>SUM(G1087:Z1087)</f>
        <v>2689.4624638430369</v>
      </c>
      <c r="AB1087" s="92" t="str">
        <f t="shared" si="570"/>
        <v>ok</v>
      </c>
    </row>
    <row r="1088" spans="1:28">
      <c r="A1088" s="60" t="s">
        <v>1286</v>
      </c>
      <c r="E1088" s="60" t="s">
        <v>1299</v>
      </c>
      <c r="F1088" s="79">
        <f>F1086-F1087</f>
        <v>295515.75643426663</v>
      </c>
      <c r="G1088" s="75">
        <f t="shared" ref="G1088:Z1088" si="571">IF(VLOOKUP($E1088,$D$6:$AN$1148,3,)=0,0,(VLOOKUP($E1088,$D$6:$AN$1148,G$2,)/VLOOKUP($E1088,$D$6:$AN$1148,3,))*$F1088)</f>
        <v>201998.68652825072</v>
      </c>
      <c r="H1088" s="75">
        <f t="shared" si="571"/>
        <v>62761.759334219125</v>
      </c>
      <c r="I1088" s="75">
        <f t="shared" si="571"/>
        <v>2051.4457332756024</v>
      </c>
      <c r="J1088" s="75">
        <f t="shared" si="571"/>
        <v>17551.171822355442</v>
      </c>
      <c r="K1088" s="75">
        <f t="shared" si="571"/>
        <v>4097.5513422750273</v>
      </c>
      <c r="L1088" s="75">
        <f t="shared" si="571"/>
        <v>3469.7579900663882</v>
      </c>
      <c r="M1088" s="75">
        <f t="shared" si="571"/>
        <v>2895.7166065678412</v>
      </c>
      <c r="N1088" s="75">
        <f t="shared" si="571"/>
        <v>62.275409723950077</v>
      </c>
      <c r="O1088" s="75">
        <f t="shared" si="571"/>
        <v>0</v>
      </c>
      <c r="P1088" s="75">
        <f t="shared" si="571"/>
        <v>86.127891018407738</v>
      </c>
      <c r="Q1088" s="75">
        <f t="shared" si="571"/>
        <v>534.95584483483071</v>
      </c>
      <c r="R1088" s="75">
        <f t="shared" si="571"/>
        <v>6.3079316792553337</v>
      </c>
      <c r="S1088" s="75">
        <f t="shared" si="571"/>
        <v>0</v>
      </c>
      <c r="T1088" s="75">
        <f t="shared" si="571"/>
        <v>0</v>
      </c>
      <c r="U1088" s="75">
        <f t="shared" si="571"/>
        <v>0</v>
      </c>
      <c r="V1088" s="75">
        <f t="shared" si="571"/>
        <v>0</v>
      </c>
      <c r="W1088" s="75">
        <f t="shared" si="571"/>
        <v>0</v>
      </c>
      <c r="X1088" s="75">
        <f t="shared" si="571"/>
        <v>0</v>
      </c>
      <c r="Y1088" s="75">
        <f t="shared" si="571"/>
        <v>0</v>
      </c>
      <c r="Z1088" s="75">
        <f t="shared" si="571"/>
        <v>0</v>
      </c>
      <c r="AA1088" s="79">
        <f>SUM(G1088:Z1088)</f>
        <v>295515.75643426657</v>
      </c>
      <c r="AB1088" s="92" t="str">
        <f t="shared" si="570"/>
        <v>ok</v>
      </c>
    </row>
    <row r="1089" spans="1:29">
      <c r="A1089" s="60" t="s">
        <v>1287</v>
      </c>
      <c r="D1089" s="60" t="s">
        <v>1300</v>
      </c>
      <c r="F1089" s="79">
        <f t="shared" ref="F1089:N1089" si="572">F1087+F1088</f>
        <v>298205.21889810968</v>
      </c>
      <c r="G1089" s="79">
        <f t="shared" si="572"/>
        <v>201998.68652825072</v>
      </c>
      <c r="H1089" s="79">
        <f t="shared" si="572"/>
        <v>62761.759334219125</v>
      </c>
      <c r="I1089" s="79">
        <f t="shared" si="572"/>
        <v>2051.4457332756024</v>
      </c>
      <c r="J1089" s="79">
        <f t="shared" si="572"/>
        <v>17551.171822355442</v>
      </c>
      <c r="K1089" s="79">
        <f t="shared" si="572"/>
        <v>4097.5513422750273</v>
      </c>
      <c r="L1089" s="79">
        <f t="shared" si="572"/>
        <v>3469.7579900663882</v>
      </c>
      <c r="M1089" s="79">
        <f t="shared" si="572"/>
        <v>2895.7166065678412</v>
      </c>
      <c r="N1089" s="79">
        <f t="shared" si="572"/>
        <v>62.275409723950077</v>
      </c>
      <c r="O1089" s="79">
        <f>O1087+O1088</f>
        <v>0</v>
      </c>
      <c r="P1089" s="79">
        <f t="shared" ref="P1089:W1089" si="573">P1087+P1088</f>
        <v>86.127891018407738</v>
      </c>
      <c r="Q1089" s="79">
        <f t="shared" si="573"/>
        <v>534.95584483483071</v>
      </c>
      <c r="R1089" s="79">
        <f t="shared" si="573"/>
        <v>6.3079316792553337</v>
      </c>
      <c r="S1089" s="79">
        <f t="shared" si="573"/>
        <v>2689.4624638430369</v>
      </c>
      <c r="T1089" s="79">
        <f t="shared" si="573"/>
        <v>0</v>
      </c>
      <c r="U1089" s="79">
        <f t="shared" si="573"/>
        <v>0</v>
      </c>
      <c r="V1089" s="79">
        <f t="shared" si="573"/>
        <v>0</v>
      </c>
      <c r="W1089" s="79">
        <f t="shared" si="573"/>
        <v>0</v>
      </c>
      <c r="X1089" s="79">
        <f>X1087+X1088</f>
        <v>0</v>
      </c>
      <c r="Y1089" s="79">
        <f>Y1087+Y1088</f>
        <v>0</v>
      </c>
      <c r="Z1089" s="79">
        <f>Z1087+Z1088</f>
        <v>0</v>
      </c>
      <c r="AA1089" s="79">
        <f>SUM(G1089:Z1089)</f>
        <v>298205.21889810963</v>
      </c>
      <c r="AB1089" s="92" t="str">
        <f t="shared" si="570"/>
        <v>ok</v>
      </c>
    </row>
    <row r="1090" spans="1:29">
      <c r="A1090" s="60" t="s">
        <v>1288</v>
      </c>
      <c r="D1090" s="60" t="s">
        <v>1301</v>
      </c>
      <c r="E1090" s="60" t="s">
        <v>1300</v>
      </c>
      <c r="F1090" s="109">
        <v>1</v>
      </c>
      <c r="G1090" s="82">
        <f t="shared" ref="G1090:Z1090" si="574">IF(VLOOKUP($E1090,$D$6:$AN$1148,3,)=0,0,(VLOOKUP($E1090,$D$6:$AN$1148,G$2,)/VLOOKUP($E1090,$D$6:$AN$1148,3,))*$F1090)</f>
        <v>0.67738145990419207</v>
      </c>
      <c r="H1090" s="82">
        <f t="shared" si="574"/>
        <v>0.21046499308807692</v>
      </c>
      <c r="I1090" s="82">
        <f t="shared" si="574"/>
        <v>6.8793086212771389E-3</v>
      </c>
      <c r="J1090" s="82">
        <f t="shared" si="574"/>
        <v>5.8856018305810741E-2</v>
      </c>
      <c r="K1090" s="82">
        <f t="shared" si="574"/>
        <v>1.3740709694537816E-2</v>
      </c>
      <c r="L1090" s="82">
        <f t="shared" si="574"/>
        <v>1.1635470374688277E-2</v>
      </c>
      <c r="M1090" s="82">
        <f t="shared" si="574"/>
        <v>9.7104826577741592E-3</v>
      </c>
      <c r="N1090" s="82">
        <f t="shared" si="574"/>
        <v>2.0883407055739104E-4</v>
      </c>
      <c r="O1090" s="82">
        <f t="shared" si="574"/>
        <v>0</v>
      </c>
      <c r="P1090" s="82">
        <f t="shared" si="574"/>
        <v>2.8882087086422114E-4</v>
      </c>
      <c r="Q1090" s="82">
        <f t="shared" si="574"/>
        <v>1.7939184525728024E-3</v>
      </c>
      <c r="R1090" s="82">
        <f t="shared" si="574"/>
        <v>2.1152988879817757E-5</v>
      </c>
      <c r="S1090" s="82">
        <f t="shared" si="574"/>
        <v>9.0188309707683843E-3</v>
      </c>
      <c r="T1090" s="82">
        <f t="shared" si="574"/>
        <v>0</v>
      </c>
      <c r="U1090" s="82">
        <f t="shared" si="574"/>
        <v>0</v>
      </c>
      <c r="V1090" s="82">
        <f t="shared" si="574"/>
        <v>0</v>
      </c>
      <c r="W1090" s="82">
        <f t="shared" si="574"/>
        <v>0</v>
      </c>
      <c r="X1090" s="82">
        <f t="shared" si="574"/>
        <v>0</v>
      </c>
      <c r="Y1090" s="82">
        <f t="shared" si="574"/>
        <v>0</v>
      </c>
      <c r="Z1090" s="82">
        <f t="shared" si="574"/>
        <v>0</v>
      </c>
      <c r="AA1090" s="82">
        <f>SUM(G1090:Z1090)</f>
        <v>0.99999999999999978</v>
      </c>
      <c r="AB1090" s="92" t="str">
        <f t="shared" si="570"/>
        <v>ok</v>
      </c>
    </row>
    <row r="1091" spans="1:29">
      <c r="F1091" s="109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  <c r="AA1091" s="82"/>
      <c r="AB1091" s="92"/>
    </row>
    <row r="1092" spans="1:29" s="437" customFormat="1" ht="12" customHeight="1">
      <c r="A1092" s="436" t="s">
        <v>1358</v>
      </c>
      <c r="F1092" s="413"/>
      <c r="G1092" s="414"/>
      <c r="H1092" s="414"/>
      <c r="I1092" s="414"/>
      <c r="J1092" s="414"/>
      <c r="K1092" s="414"/>
      <c r="L1092" s="414"/>
      <c r="M1092" s="414"/>
      <c r="N1092" s="414"/>
      <c r="O1092" s="414"/>
      <c r="P1092" s="414"/>
      <c r="Q1092" s="414"/>
      <c r="R1092" s="414"/>
      <c r="S1092" s="414"/>
      <c r="T1092" s="414"/>
      <c r="U1092" s="414"/>
      <c r="V1092" s="414"/>
      <c r="W1092" s="438"/>
      <c r="X1092" s="439"/>
      <c r="Y1092" s="360"/>
    </row>
    <row r="1093" spans="1:29" s="437" customFormat="1" ht="12" customHeight="1">
      <c r="A1093" s="437" t="s">
        <v>1359</v>
      </c>
      <c r="D1093" s="437" t="s">
        <v>1360</v>
      </c>
      <c r="F1093" s="78">
        <v>436714.23439878249</v>
      </c>
      <c r="G1093" s="78">
        <f>G972</f>
        <v>377598.80273972609</v>
      </c>
      <c r="H1093" s="78">
        <f t="shared" ref="H1093:S1093" si="575">H972</f>
        <v>45359.323287671228</v>
      </c>
      <c r="I1093" s="78">
        <f t="shared" si="575"/>
        <v>70</v>
      </c>
      <c r="J1093" s="78">
        <f t="shared" si="575"/>
        <v>2782.3972602739727</v>
      </c>
      <c r="K1093" s="78">
        <f t="shared" si="575"/>
        <v>131.59452054794519</v>
      </c>
      <c r="L1093" s="78">
        <f t="shared" si="575"/>
        <v>505.00547945205477</v>
      </c>
      <c r="M1093" s="78">
        <f t="shared" si="575"/>
        <v>13</v>
      </c>
      <c r="N1093" s="78">
        <f t="shared" si="575"/>
        <v>2</v>
      </c>
      <c r="O1093" s="78">
        <f t="shared" si="575"/>
        <v>10112.111111111111</v>
      </c>
      <c r="P1093" s="78">
        <f t="shared" si="575"/>
        <v>17.888888888888889</v>
      </c>
      <c r="Q1093" s="78">
        <f t="shared" si="575"/>
        <v>111.11111111111111</v>
      </c>
      <c r="R1093" s="78">
        <f t="shared" si="575"/>
        <v>1</v>
      </c>
      <c r="S1093" s="78">
        <f t="shared" si="575"/>
        <v>10</v>
      </c>
      <c r="T1093" s="78">
        <v>0</v>
      </c>
      <c r="U1093" s="78">
        <v>0</v>
      </c>
      <c r="V1093" s="414"/>
      <c r="W1093" s="440"/>
      <c r="X1093" s="439"/>
      <c r="Y1093" s="360"/>
      <c r="AA1093" s="78">
        <f>SUM(G1093:Z1093)</f>
        <v>436714.23439878249</v>
      </c>
      <c r="AB1093" s="92" t="str">
        <f t="shared" ref="AB1093:AB1098" si="576">IF(ABS(F1093-AA1093)&lt;0.01,"ok","err")</f>
        <v>ok</v>
      </c>
    </row>
    <row r="1094" spans="1:29" s="437" customFormat="1" ht="12" customHeight="1">
      <c r="A1094" s="437" t="s">
        <v>1361</v>
      </c>
      <c r="F1094" s="79">
        <f>F228</f>
        <v>4888693.2695076521</v>
      </c>
      <c r="G1094" s="347"/>
      <c r="H1094" s="347"/>
      <c r="I1094" s="347"/>
      <c r="J1094" s="347"/>
      <c r="K1094" s="347"/>
      <c r="L1094" s="347"/>
      <c r="M1094" s="347"/>
      <c r="N1094" s="347"/>
      <c r="O1094" s="347"/>
      <c r="P1094" s="347"/>
      <c r="Q1094" s="347"/>
      <c r="R1094" s="347"/>
      <c r="S1094" s="347"/>
      <c r="T1094" s="347"/>
      <c r="U1094" s="347"/>
      <c r="V1094" s="347"/>
      <c r="W1094" s="440"/>
      <c r="X1094" s="439"/>
      <c r="Y1094" s="360"/>
      <c r="AA1094" s="79">
        <f>F1094</f>
        <v>4888693.2695076521</v>
      </c>
      <c r="AB1094" s="92" t="str">
        <f t="shared" si="576"/>
        <v>ok</v>
      </c>
    </row>
    <row r="1095" spans="1:29" s="437" customFormat="1" ht="12" customHeight="1">
      <c r="A1095" s="437" t="s">
        <v>152</v>
      </c>
      <c r="F1095" s="79">
        <v>34000</v>
      </c>
      <c r="G1095" s="360"/>
      <c r="H1095" s="360"/>
      <c r="I1095" s="360"/>
      <c r="J1095" s="360"/>
      <c r="K1095" s="360"/>
      <c r="L1095" s="360"/>
      <c r="M1095" s="360"/>
      <c r="N1095" s="360"/>
      <c r="O1095" s="360"/>
      <c r="P1095" s="360"/>
      <c r="Q1095" s="360"/>
      <c r="R1095" s="360"/>
      <c r="S1095" s="362">
        <v>24000</v>
      </c>
      <c r="T1095" s="360">
        <v>0</v>
      </c>
      <c r="U1095" s="362">
        <v>10000</v>
      </c>
      <c r="V1095" s="360">
        <v>0</v>
      </c>
      <c r="W1095" s="440"/>
      <c r="X1095" s="439"/>
      <c r="Y1095" s="360"/>
      <c r="AA1095" s="79">
        <f>SUM(G1095:Z1095)</f>
        <v>34000</v>
      </c>
      <c r="AB1095" s="92" t="str">
        <f t="shared" si="576"/>
        <v>ok</v>
      </c>
    </row>
    <row r="1096" spans="1:29" s="437" customFormat="1" ht="12" customHeight="1">
      <c r="A1096" s="437" t="s">
        <v>1362</v>
      </c>
      <c r="E1096" s="437" t="s">
        <v>1360</v>
      </c>
      <c r="F1096" s="79">
        <f>F1094-F1095</f>
        <v>4854693.2695076521</v>
      </c>
      <c r="G1096" s="75">
        <f t="shared" ref="G1096:Z1096" si="577">IF(VLOOKUP($E1096,$D$6:$AN$1148,3,)=0,0,(VLOOKUP($E1096,$D$6:$AN$1148,G$2,)/VLOOKUP($E1096,$D$6:$AN$1148,3,))*$F1096)</f>
        <v>4197542.0580424443</v>
      </c>
      <c r="H1096" s="75">
        <f t="shared" si="577"/>
        <v>504232.70900989237</v>
      </c>
      <c r="I1096" s="75">
        <f t="shared" si="577"/>
        <v>778.14850558597459</v>
      </c>
      <c r="J1096" s="75">
        <f t="shared" si="577"/>
        <v>30930.261000410032</v>
      </c>
      <c r="K1096" s="75">
        <f t="shared" si="577"/>
        <v>1462.858278681234</v>
      </c>
      <c r="L1096" s="75">
        <f t="shared" si="577"/>
        <v>5613.8465592620732</v>
      </c>
      <c r="M1096" s="75">
        <f t="shared" si="577"/>
        <v>144.51329389453815</v>
      </c>
      <c r="N1096" s="75">
        <f t="shared" si="577"/>
        <v>22.232814445313561</v>
      </c>
      <c r="O1096" s="75">
        <f t="shared" si="577"/>
        <v>112410.34499186346</v>
      </c>
      <c r="P1096" s="75">
        <f t="shared" si="577"/>
        <v>198.86017364974907</v>
      </c>
      <c r="Q1096" s="75">
        <f t="shared" si="577"/>
        <v>1235.1563580729758</v>
      </c>
      <c r="R1096" s="75">
        <f t="shared" si="577"/>
        <v>11.116407222656781</v>
      </c>
      <c r="S1096" s="75">
        <f t="shared" si="577"/>
        <v>111.16407222656782</v>
      </c>
      <c r="T1096" s="75">
        <f t="shared" si="577"/>
        <v>0</v>
      </c>
      <c r="U1096" s="75">
        <f t="shared" si="577"/>
        <v>0</v>
      </c>
      <c r="V1096" s="75">
        <f t="shared" si="577"/>
        <v>0</v>
      </c>
      <c r="W1096" s="75">
        <f t="shared" si="577"/>
        <v>0</v>
      </c>
      <c r="X1096" s="75">
        <f t="shared" si="577"/>
        <v>0</v>
      </c>
      <c r="Y1096" s="75">
        <f t="shared" si="577"/>
        <v>0</v>
      </c>
      <c r="Z1096" s="75">
        <f t="shared" si="577"/>
        <v>0</v>
      </c>
      <c r="AA1096" s="79">
        <f>SUM(G1096:Z1096)</f>
        <v>4854693.2695076521</v>
      </c>
      <c r="AB1096" s="92" t="str">
        <f t="shared" si="576"/>
        <v>ok</v>
      </c>
    </row>
    <row r="1097" spans="1:29" s="437" customFormat="1" ht="12" customHeight="1">
      <c r="A1097" s="437" t="s">
        <v>1363</v>
      </c>
      <c r="D1097" s="437" t="s">
        <v>1364</v>
      </c>
      <c r="F1097" s="79">
        <f>F1095+F1096</f>
        <v>4888693.2695076521</v>
      </c>
      <c r="G1097" s="79">
        <f t="shared" ref="G1097:N1097" si="578">G1095+G1096</f>
        <v>4197542.0580424443</v>
      </c>
      <c r="H1097" s="79">
        <f t="shared" si="578"/>
        <v>504232.70900989237</v>
      </c>
      <c r="I1097" s="79">
        <f t="shared" si="578"/>
        <v>778.14850558597459</v>
      </c>
      <c r="J1097" s="79">
        <f t="shared" si="578"/>
        <v>30930.261000410032</v>
      </c>
      <c r="K1097" s="79">
        <f t="shared" si="578"/>
        <v>1462.858278681234</v>
      </c>
      <c r="L1097" s="79">
        <f t="shared" si="578"/>
        <v>5613.8465592620732</v>
      </c>
      <c r="M1097" s="79">
        <f t="shared" si="578"/>
        <v>144.51329389453815</v>
      </c>
      <c r="N1097" s="79">
        <f t="shared" si="578"/>
        <v>22.232814445313561</v>
      </c>
      <c r="O1097" s="79">
        <f>O1095+O1096</f>
        <v>112410.34499186346</v>
      </c>
      <c r="P1097" s="79">
        <f t="shared" ref="P1097:W1097" si="579">P1095+P1096</f>
        <v>198.86017364974907</v>
      </c>
      <c r="Q1097" s="79">
        <f t="shared" si="579"/>
        <v>1235.1563580729758</v>
      </c>
      <c r="R1097" s="79">
        <f t="shared" si="579"/>
        <v>11.116407222656781</v>
      </c>
      <c r="S1097" s="79">
        <f t="shared" si="579"/>
        <v>24111.164072226569</v>
      </c>
      <c r="T1097" s="79">
        <f t="shared" si="579"/>
        <v>0</v>
      </c>
      <c r="U1097" s="79">
        <f t="shared" si="579"/>
        <v>10000</v>
      </c>
      <c r="V1097" s="79">
        <f t="shared" si="579"/>
        <v>0</v>
      </c>
      <c r="W1097" s="79">
        <f t="shared" si="579"/>
        <v>0</v>
      </c>
      <c r="X1097" s="79">
        <f>X1095+X1096</f>
        <v>0</v>
      </c>
      <c r="Y1097" s="79">
        <f>Y1095+Y1096</f>
        <v>0</v>
      </c>
      <c r="Z1097" s="79">
        <f>Z1095+Z1096</f>
        <v>0</v>
      </c>
      <c r="AA1097" s="79">
        <f>SUM(G1097:Z1097)</f>
        <v>4888693.2695076521</v>
      </c>
      <c r="AB1097" s="92" t="str">
        <f t="shared" si="576"/>
        <v>ok</v>
      </c>
    </row>
    <row r="1098" spans="1:29" s="437" customFormat="1" ht="12" customHeight="1">
      <c r="A1098" s="437" t="s">
        <v>1365</v>
      </c>
      <c r="D1098" s="437" t="s">
        <v>1366</v>
      </c>
      <c r="E1098" s="437" t="s">
        <v>1364</v>
      </c>
      <c r="F1098" s="109">
        <v>1</v>
      </c>
      <c r="G1098" s="82">
        <f t="shared" ref="G1098:Z1098" si="580">IF(VLOOKUP($E1098,$D$6:$AN$1148,3,)=0,0,(VLOOKUP($E1098,$D$6:$AN$1148,G$2,)/VLOOKUP($E1098,$D$6:$AN$1148,3,))*$F1098)</f>
        <v>0.85862250434566234</v>
      </c>
      <c r="H1098" s="82">
        <f t="shared" si="580"/>
        <v>0.10314263571309608</v>
      </c>
      <c r="I1098" s="82">
        <f t="shared" si="580"/>
        <v>1.591731087813458E-4</v>
      </c>
      <c r="J1098" s="82">
        <f t="shared" si="580"/>
        <v>6.3268974540358234E-3</v>
      </c>
      <c r="K1098" s="82">
        <f t="shared" si="580"/>
        <v>2.9923298477438749E-4</v>
      </c>
      <c r="L1098" s="82">
        <f t="shared" si="580"/>
        <v>1.1483327445142519E-3</v>
      </c>
      <c r="M1098" s="82">
        <f t="shared" si="580"/>
        <v>2.9560720202249937E-5</v>
      </c>
      <c r="N1098" s="82">
        <f t="shared" si="580"/>
        <v>4.5478031080384516E-6</v>
      </c>
      <c r="O1098" s="82">
        <f t="shared" si="580"/>
        <v>2.299394516997064E-2</v>
      </c>
      <c r="P1098" s="82">
        <f t="shared" si="580"/>
        <v>4.0677572244121707E-5</v>
      </c>
      <c r="Q1098" s="82">
        <f t="shared" si="580"/>
        <v>2.5265572822435849E-4</v>
      </c>
      <c r="R1098" s="82">
        <f t="shared" si="580"/>
        <v>2.2739015540192258E-6</v>
      </c>
      <c r="S1098" s="82">
        <f t="shared" si="580"/>
        <v>4.9320263602168771E-3</v>
      </c>
      <c r="T1098" s="82">
        <f t="shared" si="580"/>
        <v>0</v>
      </c>
      <c r="U1098" s="82">
        <f t="shared" si="580"/>
        <v>2.045536393615285E-3</v>
      </c>
      <c r="V1098" s="82">
        <f t="shared" si="580"/>
        <v>0</v>
      </c>
      <c r="W1098" s="82">
        <f t="shared" si="580"/>
        <v>0</v>
      </c>
      <c r="X1098" s="82">
        <f t="shared" si="580"/>
        <v>0</v>
      </c>
      <c r="Y1098" s="82">
        <f t="shared" si="580"/>
        <v>0</v>
      </c>
      <c r="Z1098" s="82">
        <f t="shared" si="580"/>
        <v>0</v>
      </c>
      <c r="AA1098" s="82">
        <f>SUM(G1098:Z1098)</f>
        <v>0.99999999999999967</v>
      </c>
      <c r="AB1098" s="92" t="str">
        <f t="shared" si="576"/>
        <v>ok</v>
      </c>
    </row>
    <row r="1099" spans="1:29">
      <c r="F1099" s="109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2"/>
      <c r="AA1099" s="82"/>
      <c r="AB1099" s="92"/>
    </row>
    <row r="1100" spans="1:29" ht="15">
      <c r="A1100" s="65" t="s">
        <v>656</v>
      </c>
      <c r="F1100" s="109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  <c r="AA1100" s="82"/>
      <c r="AB1100" s="92"/>
    </row>
    <row r="1101" spans="1:29">
      <c r="F1101" s="78"/>
      <c r="G1101" s="78"/>
      <c r="H1101" s="78"/>
      <c r="I1101" s="78"/>
      <c r="J1101" s="78"/>
      <c r="K1101" s="78"/>
      <c r="L1101" s="78"/>
      <c r="M1101" s="78"/>
      <c r="N1101" s="78"/>
      <c r="O1101" s="82"/>
      <c r="P1101" s="82"/>
      <c r="Q1101" s="82"/>
      <c r="R1101" s="82"/>
      <c r="S1101" s="78"/>
      <c r="T1101" s="78"/>
      <c r="U1101" s="78"/>
      <c r="V1101" s="82"/>
      <c r="W1101" s="82"/>
      <c r="X1101" s="82"/>
      <c r="Y1101" s="82"/>
      <c r="Z1101" s="82"/>
      <c r="AA1101" s="79"/>
      <c r="AB1101" s="92"/>
    </row>
    <row r="1102" spans="1:29">
      <c r="A1102" s="60" t="s">
        <v>685</v>
      </c>
      <c r="D1102" s="60" t="s">
        <v>686</v>
      </c>
      <c r="F1102" s="78">
        <v>2707235</v>
      </c>
      <c r="G1102" s="78">
        <v>2147669.9300000002</v>
      </c>
      <c r="H1102" s="78">
        <v>209067.33</v>
      </c>
      <c r="I1102" s="78">
        <f>(I966/($I$966+$J$966+$K$966+$L$966+$M$966))*(69682.16+260842.5+19972.58)</f>
        <v>7005.9468858866458</v>
      </c>
      <c r="J1102" s="78">
        <f>(J966/($I$966+$J$966+$K$966+$L$966+$M$966))*(69682.16+260842.5+19972.58)</f>
        <v>278476.10601308534</v>
      </c>
      <c r="K1102" s="78">
        <f>(K966/($I$966+$J$966+$K$966+$L$966+$M$966))*(69682.16+260842.5+19972.58)</f>
        <v>13170.631734751754</v>
      </c>
      <c r="L1102" s="78">
        <f>(L966/($I$966+$J$966+$K$966+$L$966+$M$966))*(69682.16+260842.5+19972.58)</f>
        <v>50543.45094461165</v>
      </c>
      <c r="M1102" s="78">
        <f>(M966/($I$966+$J$966+$K$966+$L$966+$M$966))*(69682.16+260842.5+19972.58)</f>
        <v>1301.1044216646628</v>
      </c>
      <c r="N1102" s="78">
        <v>0</v>
      </c>
      <c r="O1102" s="78">
        <v>0.5</v>
      </c>
      <c r="P1102" s="78">
        <v>0</v>
      </c>
      <c r="Q1102" s="78">
        <v>0</v>
      </c>
      <c r="R1102" s="78">
        <v>0</v>
      </c>
      <c r="S1102" s="78">
        <v>0</v>
      </c>
      <c r="T1102" s="78">
        <v>0</v>
      </c>
      <c r="U1102" s="78">
        <v>0</v>
      </c>
      <c r="V1102" s="78"/>
      <c r="W1102" s="78"/>
      <c r="X1102" s="78"/>
      <c r="Y1102" s="78"/>
      <c r="Z1102" s="78"/>
      <c r="AA1102" s="111">
        <f t="shared" ref="AA1102:AA1106" si="581">SUM(G1102:Z1102)</f>
        <v>2707235</v>
      </c>
      <c r="AB1102" s="92" t="str">
        <f>IF(ABS(F1102-AA1102)&lt;0.01,"ok","err")</f>
        <v>ok</v>
      </c>
    </row>
    <row r="1103" spans="1:29">
      <c r="A1103" s="60" t="s">
        <v>1184</v>
      </c>
      <c r="D1103" s="60" t="s">
        <v>179</v>
      </c>
      <c r="F1103" s="78">
        <v>1837729.84</v>
      </c>
      <c r="G1103" s="78">
        <f>235820+975+153.89+1516592</f>
        <v>1753540.8900000001</v>
      </c>
      <c r="H1103" s="78">
        <f>7252+61516.95+880</f>
        <v>69648.95</v>
      </c>
      <c r="I1103" s="78">
        <f>(I966/($I$966+$J$966+$K$966+$L$966+$M$966))*(84+10612+644+150+3050)</f>
        <v>290.63415084464521</v>
      </c>
      <c r="J1103" s="78">
        <f>(J966/($I$966+$J$966+$K$966+$L$966+$M$966))*(84+10612+644+150+3050)</f>
        <v>11552.280929317047</v>
      </c>
      <c r="K1103" s="78">
        <f>(K966/($I$966+$J$966+$K$966+$L$966+$M$966))*(84+10612+644+150+3050)</f>
        <v>546.36945336086092</v>
      </c>
      <c r="L1103" s="78">
        <f>(L966/($I$966+$J$966+$K$966+$L$966+$M$966))*(84+10612+644+150+3050)</f>
        <v>2096.7405527491551</v>
      </c>
      <c r="M1103" s="78">
        <f>(M966/($I$966+$J$966+$K$966+$L$966+$M$966))*(84+10612+644+150+3050)</f>
        <v>53.974913728291256</v>
      </c>
      <c r="N1103" s="78">
        <v>0</v>
      </c>
      <c r="O1103" s="78">
        <v>0</v>
      </c>
      <c r="P1103" s="78">
        <v>0</v>
      </c>
      <c r="Q1103" s="78">
        <v>0</v>
      </c>
      <c r="R1103" s="78">
        <v>0</v>
      </c>
      <c r="S1103" s="78">
        <v>0</v>
      </c>
      <c r="T1103" s="78">
        <v>0</v>
      </c>
      <c r="U1103" s="78">
        <v>0</v>
      </c>
      <c r="V1103" s="78"/>
      <c r="W1103" s="78"/>
      <c r="X1103" s="78"/>
      <c r="Y1103" s="78"/>
      <c r="Z1103" s="78"/>
      <c r="AA1103" s="111">
        <f t="shared" si="581"/>
        <v>1837729.8399999999</v>
      </c>
      <c r="AB1103" s="92" t="str">
        <f>IF(ABS(F1103-AA1103)&lt;0.01,"ok","err")</f>
        <v>ok</v>
      </c>
      <c r="AC1103" s="150"/>
    </row>
    <row r="1104" spans="1:29" hidden="1">
      <c r="A1104" s="60" t="s">
        <v>1158</v>
      </c>
      <c r="D1104" s="60" t="s">
        <v>1159</v>
      </c>
      <c r="F1104" s="79">
        <f>SUM(F751:F752)-SUM(F772:F772)</f>
        <v>0</v>
      </c>
      <c r="G1104" s="79">
        <f>SUM(G751:G752)-SUM(G772:G772)</f>
        <v>0</v>
      </c>
      <c r="H1104" s="79">
        <f>SUM(H751:H752)-SUM(H772:H772)</f>
        <v>0</v>
      </c>
      <c r="I1104" s="79">
        <v>0</v>
      </c>
      <c r="J1104" s="79">
        <f>SUM(J751:J752)-SUM(J772:J772)</f>
        <v>0</v>
      </c>
      <c r="K1104" s="79">
        <f>SUM(K751:K752)-SUM(K772:K772)</f>
        <v>0</v>
      </c>
      <c r="L1104" s="79">
        <f>SUM(L751:L752)-SUM(L772:L772)</f>
        <v>0</v>
      </c>
      <c r="M1104" s="79">
        <v>0</v>
      </c>
      <c r="N1104" s="79">
        <f t="shared" ref="N1104:Z1104" si="582">SUM(N751:N752)-SUM(N772:N772)</f>
        <v>0</v>
      </c>
      <c r="O1104" s="79">
        <f t="shared" si="582"/>
        <v>0</v>
      </c>
      <c r="P1104" s="79">
        <f t="shared" si="582"/>
        <v>0</v>
      </c>
      <c r="Q1104" s="79">
        <f t="shared" si="582"/>
        <v>0</v>
      </c>
      <c r="R1104" s="79">
        <f t="shared" si="582"/>
        <v>0</v>
      </c>
      <c r="S1104" s="79">
        <f t="shared" si="582"/>
        <v>0</v>
      </c>
      <c r="T1104" s="79">
        <f t="shared" si="582"/>
        <v>0</v>
      </c>
      <c r="U1104" s="79">
        <f t="shared" si="582"/>
        <v>0</v>
      </c>
      <c r="V1104" s="79">
        <f t="shared" si="582"/>
        <v>0</v>
      </c>
      <c r="W1104" s="79">
        <f t="shared" si="582"/>
        <v>0</v>
      </c>
      <c r="X1104" s="79">
        <f t="shared" si="582"/>
        <v>0</v>
      </c>
      <c r="Y1104" s="79">
        <f t="shared" si="582"/>
        <v>0</v>
      </c>
      <c r="Z1104" s="79">
        <f t="shared" si="582"/>
        <v>0</v>
      </c>
      <c r="AA1104" s="75">
        <f t="shared" si="581"/>
        <v>0</v>
      </c>
      <c r="AB1104" s="92" t="str">
        <f>IF(ABS(F1104-AA1104)&lt;0.01,"ok","err")</f>
        <v>ok</v>
      </c>
    </row>
    <row r="1105" spans="1:29">
      <c r="A1105" s="60" t="s">
        <v>1305</v>
      </c>
      <c r="D1105" s="60" t="s">
        <v>1307</v>
      </c>
      <c r="F1105" s="78">
        <v>3457582104.1458254</v>
      </c>
      <c r="G1105" s="78">
        <f t="shared" ref="G1105:R1105" si="583">G176</f>
        <v>1709217009.5216761</v>
      </c>
      <c r="H1105" s="78">
        <f t="shared" si="583"/>
        <v>398697503.46332896</v>
      </c>
      <c r="I1105" s="78">
        <f t="shared" si="583"/>
        <v>23605515.638910923</v>
      </c>
      <c r="J1105" s="78">
        <f t="shared" si="583"/>
        <v>397022294.40015203</v>
      </c>
      <c r="K1105" s="78">
        <f t="shared" si="583"/>
        <v>351297120.6955809</v>
      </c>
      <c r="L1105" s="78">
        <f t="shared" si="583"/>
        <v>303389934.2634303</v>
      </c>
      <c r="M1105" s="78">
        <f t="shared" si="583"/>
        <v>160366121.29716793</v>
      </c>
      <c r="N1105" s="78">
        <f t="shared" si="583"/>
        <v>10299117.756014783</v>
      </c>
      <c r="O1105" s="78">
        <f t="shared" si="583"/>
        <v>102450326.03465796</v>
      </c>
      <c r="P1105" s="78">
        <f t="shared" si="583"/>
        <v>553419.98421918578</v>
      </c>
      <c r="Q1105" s="78">
        <f t="shared" si="583"/>
        <v>670881.43252931838</v>
      </c>
      <c r="R1105" s="78">
        <f t="shared" si="583"/>
        <v>12859.658157203232</v>
      </c>
      <c r="S1105" s="78">
        <v>0</v>
      </c>
      <c r="T1105" s="78">
        <v>0</v>
      </c>
      <c r="U1105" s="78">
        <v>0</v>
      </c>
      <c r="V1105" s="78"/>
      <c r="W1105" s="78"/>
      <c r="X1105" s="78"/>
      <c r="Y1105" s="78"/>
      <c r="Z1105" s="78"/>
      <c r="AA1105" s="78">
        <f t="shared" si="581"/>
        <v>3457582104.1458254</v>
      </c>
      <c r="AB1105" s="92" t="str">
        <f>IF(ABS(F1105-AA1105)&lt;0.01,"ok","err")</f>
        <v>ok</v>
      </c>
    </row>
    <row r="1106" spans="1:29">
      <c r="A1106" s="60" t="s">
        <v>1306</v>
      </c>
      <c r="D1106" s="60" t="s">
        <v>1308</v>
      </c>
      <c r="F1106" s="78">
        <v>3457582104.1458254</v>
      </c>
      <c r="G1106" s="78">
        <f t="shared" ref="G1106:R1106" si="584">G1105</f>
        <v>1709217009.5216761</v>
      </c>
      <c r="H1106" s="78">
        <f t="shared" si="584"/>
        <v>398697503.46332896</v>
      </c>
      <c r="I1106" s="78">
        <f t="shared" si="584"/>
        <v>23605515.638910923</v>
      </c>
      <c r="J1106" s="78">
        <f t="shared" si="584"/>
        <v>397022294.40015203</v>
      </c>
      <c r="K1106" s="78">
        <f t="shared" si="584"/>
        <v>351297120.6955809</v>
      </c>
      <c r="L1106" s="78">
        <f t="shared" si="584"/>
        <v>303389934.2634303</v>
      </c>
      <c r="M1106" s="78">
        <f t="shared" si="584"/>
        <v>160366121.29716793</v>
      </c>
      <c r="N1106" s="78">
        <f t="shared" si="584"/>
        <v>10299117.756014783</v>
      </c>
      <c r="O1106" s="78">
        <f t="shared" si="584"/>
        <v>102450326.03465796</v>
      </c>
      <c r="P1106" s="78">
        <f t="shared" si="584"/>
        <v>553419.98421918578</v>
      </c>
      <c r="Q1106" s="78">
        <f t="shared" si="584"/>
        <v>670881.43252931838</v>
      </c>
      <c r="R1106" s="78">
        <f t="shared" si="584"/>
        <v>12859.658157203232</v>
      </c>
      <c r="S1106" s="78"/>
      <c r="T1106" s="78"/>
      <c r="U1106" s="78"/>
      <c r="V1106" s="78"/>
      <c r="W1106" s="78"/>
      <c r="X1106" s="78"/>
      <c r="Y1106" s="78"/>
      <c r="Z1106" s="78"/>
      <c r="AA1106" s="78">
        <f t="shared" si="581"/>
        <v>3457582104.1458254</v>
      </c>
      <c r="AB1106" s="92" t="str">
        <f t="shared" ref="AB1106:AB1108" si="585">IF(ABS(F1106-AA1106)&lt;0.01,"ok","err")</f>
        <v>ok</v>
      </c>
    </row>
    <row r="1107" spans="1:29" hidden="1">
      <c r="A1107" s="60" t="s">
        <v>612</v>
      </c>
      <c r="D1107" s="60" t="s">
        <v>655</v>
      </c>
      <c r="F1107" s="78"/>
      <c r="G1107" s="78"/>
      <c r="H1107" s="78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78"/>
      <c r="V1107" s="78">
        <v>0</v>
      </c>
      <c r="W1107" s="78">
        <v>0</v>
      </c>
      <c r="X1107" s="78"/>
      <c r="Y1107" s="78"/>
      <c r="Z1107" s="78"/>
      <c r="AA1107" s="78">
        <f t="shared" ref="AA1107" si="586">SUM(G1107:Z1107)</f>
        <v>0</v>
      </c>
      <c r="AB1107" s="92" t="str">
        <f t="shared" si="585"/>
        <v>ok</v>
      </c>
    </row>
    <row r="1108" spans="1:29" hidden="1">
      <c r="A1108" s="60" t="s">
        <v>1156</v>
      </c>
      <c r="D1108" s="60" t="s">
        <v>1155</v>
      </c>
      <c r="F1108" s="78">
        <v>0</v>
      </c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  <c r="R1108" s="78"/>
      <c r="S1108" s="78"/>
      <c r="T1108" s="78"/>
      <c r="U1108" s="78"/>
      <c r="V1108" s="78"/>
      <c r="W1108" s="78"/>
      <c r="X1108" s="78"/>
      <c r="Y1108" s="78"/>
      <c r="Z1108" s="78"/>
      <c r="AA1108" s="78">
        <f>SUM(G1108:Z1108)</f>
        <v>0</v>
      </c>
      <c r="AB1108" s="92" t="str">
        <f t="shared" si="585"/>
        <v>ok</v>
      </c>
    </row>
    <row r="1109" spans="1:29">
      <c r="F1109" s="109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2"/>
      <c r="AA1109" s="82"/>
      <c r="AB1109" s="92"/>
    </row>
    <row r="1110" spans="1:29">
      <c r="F1110" s="109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  <c r="AA1110" s="82"/>
      <c r="AB1110" s="92"/>
    </row>
    <row r="1111" spans="1:29" ht="15">
      <c r="A1111" s="65" t="s">
        <v>657</v>
      </c>
      <c r="F1111" s="109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  <c r="AA1111" s="82"/>
      <c r="AB1111" s="92"/>
    </row>
    <row r="1112" spans="1:29">
      <c r="A1112" s="60" t="s">
        <v>1309</v>
      </c>
      <c r="D1112" s="60" t="s">
        <v>663</v>
      </c>
      <c r="F1112" s="78">
        <v>3862851315.2051206</v>
      </c>
      <c r="G1112" s="78">
        <f t="shared" ref="G1112:R1112" si="587">G9</f>
        <v>1609789347.7328846</v>
      </c>
      <c r="H1112" s="78">
        <f t="shared" si="587"/>
        <v>463388995.82314497</v>
      </c>
      <c r="I1112" s="78">
        <f t="shared" si="587"/>
        <v>33548920.95925004</v>
      </c>
      <c r="J1112" s="78">
        <f t="shared" si="587"/>
        <v>540231323.65356517</v>
      </c>
      <c r="K1112" s="78">
        <f t="shared" si="587"/>
        <v>506354012.0409739</v>
      </c>
      <c r="L1112" s="78">
        <f t="shared" si="587"/>
        <v>418742060.79590762</v>
      </c>
      <c r="M1112" s="78">
        <f t="shared" si="587"/>
        <v>259045066.28531215</v>
      </c>
      <c r="N1112" s="78">
        <f t="shared" si="587"/>
        <v>14544487.175577005</v>
      </c>
      <c r="O1112" s="78">
        <f t="shared" si="587"/>
        <v>15890678.857549757</v>
      </c>
      <c r="P1112" s="78">
        <f t="shared" si="587"/>
        <v>553472.66879226884</v>
      </c>
      <c r="Q1112" s="78">
        <f t="shared" si="587"/>
        <v>762209.12442842696</v>
      </c>
      <c r="R1112" s="78">
        <f t="shared" si="587"/>
        <v>740.08773483196217</v>
      </c>
      <c r="S1112" s="78">
        <v>0</v>
      </c>
      <c r="T1112" s="78">
        <v>0</v>
      </c>
      <c r="U1112" s="78">
        <v>0</v>
      </c>
      <c r="V1112" s="78">
        <f>V10+V11</f>
        <v>0</v>
      </c>
      <c r="W1112" s="78">
        <f>W10+W11</f>
        <v>0</v>
      </c>
      <c r="X1112" s="78">
        <f>X10+X11</f>
        <v>0</v>
      </c>
      <c r="Y1112" s="78">
        <f>Y10+Y11</f>
        <v>0</v>
      </c>
      <c r="Z1112" s="78">
        <f>Z10+Z11</f>
        <v>0</v>
      </c>
      <c r="AA1112" s="79">
        <f>SUM(G1112:Z1112)</f>
        <v>3862851315.2051206</v>
      </c>
      <c r="AB1112" s="92" t="str">
        <f>IF(ABS(F1112-AA1112)&lt;0.01,"ok","err")</f>
        <v>ok</v>
      </c>
    </row>
    <row r="1113" spans="1:29">
      <c r="A1113" s="60" t="s">
        <v>664</v>
      </c>
      <c r="D1113" s="60" t="s">
        <v>665</v>
      </c>
      <c r="F1113" s="78">
        <f t="shared" ref="F1113:Z1113" si="588">F233-F185</f>
        <v>245941142.69950116</v>
      </c>
      <c r="G1113" s="78">
        <f t="shared" si="588"/>
        <v>133902125.69810674</v>
      </c>
      <c r="H1113" s="78">
        <f t="shared" si="588"/>
        <v>31203923.32813745</v>
      </c>
      <c r="I1113" s="78">
        <f t="shared" si="588"/>
        <v>1519873.3354215156</v>
      </c>
      <c r="J1113" s="78">
        <f t="shared" si="588"/>
        <v>25177779.031486683</v>
      </c>
      <c r="K1113" s="78">
        <f t="shared" si="588"/>
        <v>21151020.473306313</v>
      </c>
      <c r="L1113" s="78">
        <f t="shared" si="588"/>
        <v>18786385.551198594</v>
      </c>
      <c r="M1113" s="78">
        <f t="shared" si="588"/>
        <v>9488864.2263467237</v>
      </c>
      <c r="N1113" s="78">
        <f t="shared" si="588"/>
        <v>619568.45611292333</v>
      </c>
      <c r="O1113" s="78">
        <f t="shared" si="588"/>
        <v>3874023.4669318278</v>
      </c>
      <c r="P1113" s="78">
        <f t="shared" si="588"/>
        <v>39423.888391830202</v>
      </c>
      <c r="Q1113" s="78">
        <f t="shared" si="588"/>
        <v>68848.858321104301</v>
      </c>
      <c r="R1113" s="78">
        <f t="shared" si="588"/>
        <v>1456.9187863113036</v>
      </c>
      <c r="S1113" s="78">
        <f t="shared" si="588"/>
        <v>25946.466953328763</v>
      </c>
      <c r="T1113" s="78">
        <f t="shared" si="588"/>
        <v>71903</v>
      </c>
      <c r="U1113" s="81">
        <f t="shared" si="588"/>
        <v>10000</v>
      </c>
      <c r="V1113" s="81">
        <f t="shared" si="588"/>
        <v>0</v>
      </c>
      <c r="W1113" s="81">
        <f t="shared" si="588"/>
        <v>0</v>
      </c>
      <c r="X1113" s="81">
        <f t="shared" si="588"/>
        <v>0</v>
      </c>
      <c r="Y1113" s="81">
        <f t="shared" si="588"/>
        <v>0</v>
      </c>
      <c r="Z1113" s="81">
        <f t="shared" si="588"/>
        <v>0</v>
      </c>
      <c r="AA1113" s="79">
        <f>SUM(G1113:Z1113)</f>
        <v>245941142.69950137</v>
      </c>
      <c r="AB1113" s="92" t="str">
        <f>IF(ABS(F1113-AA1113)&lt;0.01,"ok","err")</f>
        <v>ok</v>
      </c>
    </row>
    <row r="1114" spans="1:29">
      <c r="A1114" s="60" t="s">
        <v>805</v>
      </c>
      <c r="F1114" s="78">
        <v>1066653012.4400001</v>
      </c>
      <c r="G1114" s="78">
        <f>'Billing Det'!$D$8</f>
        <v>431824736.44999999</v>
      </c>
      <c r="H1114" s="78">
        <f>'Billing Det'!$D$10</f>
        <v>148100588.18000001</v>
      </c>
      <c r="I1114" s="78">
        <f>'Billing Det'!$D$12</f>
        <v>10054861.74</v>
      </c>
      <c r="J1114" s="78">
        <f>'Billing Det'!$D$14</f>
        <v>147448878.13999999</v>
      </c>
      <c r="K1114" s="78">
        <f>'Billing Det'!$D$16</f>
        <v>136688084.54999998</v>
      </c>
      <c r="L1114" s="78">
        <f>'Billing Det'!$D$18</f>
        <v>101626163.23</v>
      </c>
      <c r="M1114" s="78">
        <f>'Billing Det'!$D$20</f>
        <v>64286866.589999996</v>
      </c>
      <c r="N1114" s="78">
        <f>'Billing Det'!$D$22</f>
        <v>3635159.88</v>
      </c>
      <c r="O1114" s="78">
        <f>'Billing Det'!$D$24</f>
        <v>22160939.829999998</v>
      </c>
      <c r="P1114" s="78">
        <f>'Billing Det'!$D$26</f>
        <v>243958.97</v>
      </c>
      <c r="Q1114" s="78">
        <f>'Billing Det'!$D$28</f>
        <v>318741.55000000005</v>
      </c>
      <c r="R1114" s="78">
        <f>'Billing Det'!$D$30</f>
        <v>15468.33</v>
      </c>
      <c r="S1114" s="78">
        <f>'Billing Det'!$D$32</f>
        <v>1533</v>
      </c>
      <c r="T1114" s="78">
        <f>'Billing Det'!$D$34</f>
        <v>237096</v>
      </c>
      <c r="U1114" s="78">
        <f>'Billing Det'!$D$36</f>
        <v>9936</v>
      </c>
      <c r="V1114" s="78">
        <v>0</v>
      </c>
      <c r="W1114" s="78">
        <v>0</v>
      </c>
      <c r="X1114" s="78">
        <v>0</v>
      </c>
      <c r="Y1114" s="78">
        <v>0</v>
      </c>
      <c r="Z1114" s="78">
        <v>0</v>
      </c>
      <c r="AA1114" s="78">
        <f>SUM(G1114:Z1114)</f>
        <v>1066653012.4400001</v>
      </c>
      <c r="AB1114" s="92" t="str">
        <f>IF(ABS(F1114-AA1114)&lt;0.01,"ok","err")</f>
        <v>ok</v>
      </c>
    </row>
    <row r="1115" spans="1:29">
      <c r="F1115" s="109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2"/>
      <c r="AA1115" s="82"/>
      <c r="AB1115" s="92"/>
    </row>
    <row r="1116" spans="1:29" ht="15">
      <c r="A1116" s="65" t="s">
        <v>814</v>
      </c>
      <c r="F1116" s="109"/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109"/>
      <c r="Q1116" s="109"/>
      <c r="R1116" s="109"/>
      <c r="S1116" s="109"/>
      <c r="T1116" s="109"/>
      <c r="U1116" s="109"/>
      <c r="V1116" s="109"/>
      <c r="W1116" s="109"/>
      <c r="X1116" s="109"/>
      <c r="Y1116" s="109"/>
      <c r="Z1116" s="109"/>
      <c r="AA1116" s="255"/>
      <c r="AB1116" s="92"/>
    </row>
    <row r="1117" spans="1:29">
      <c r="A1117" s="60" t="s">
        <v>815</v>
      </c>
      <c r="F1117" s="78">
        <f>SUM(G1117:Z1117)</f>
        <v>433038.15254237287</v>
      </c>
      <c r="G1117" s="109"/>
      <c r="H1117" s="109"/>
      <c r="I1117" s="109"/>
      <c r="J1117" s="109"/>
      <c r="K1117" s="78">
        <v>38819</v>
      </c>
      <c r="L1117" s="109"/>
      <c r="M1117" s="78">
        <f>M1119/M1118</f>
        <v>394219.15254237287</v>
      </c>
      <c r="N1117" s="78"/>
      <c r="O1117" s="78"/>
      <c r="P1117" s="78"/>
      <c r="Q1117" s="109"/>
      <c r="R1117" s="109"/>
      <c r="S1117" s="109"/>
      <c r="T1117" s="109"/>
      <c r="U1117" s="109"/>
      <c r="V1117" s="109"/>
      <c r="W1117" s="109"/>
      <c r="X1117" s="109"/>
      <c r="Y1117" s="109"/>
      <c r="Z1117" s="109"/>
      <c r="AA1117" s="255"/>
      <c r="AB1117" s="92"/>
    </row>
    <row r="1118" spans="1:29">
      <c r="A1118" s="60" t="s">
        <v>816</v>
      </c>
      <c r="F1118" s="78"/>
      <c r="G1118" s="109"/>
      <c r="H1118" s="109"/>
      <c r="I1118" s="109"/>
      <c r="J1118" s="109"/>
      <c r="K1118" s="263">
        <f>K1119/K1117</f>
        <v>3.6700327159380715</v>
      </c>
      <c r="L1118" s="109"/>
      <c r="M1118" s="263">
        <v>5.9</v>
      </c>
      <c r="N1118" s="263"/>
      <c r="O1118" s="263"/>
      <c r="P1118" s="263"/>
      <c r="Q1118" s="109"/>
      <c r="R1118" s="109"/>
      <c r="S1118" s="109"/>
      <c r="T1118" s="109"/>
      <c r="U1118" s="109"/>
      <c r="V1118" s="109"/>
      <c r="W1118" s="109"/>
      <c r="X1118" s="109"/>
      <c r="Y1118" s="109"/>
      <c r="Z1118" s="109"/>
      <c r="AA1118" s="255"/>
      <c r="AB1118" s="92"/>
    </row>
    <row r="1119" spans="1:29">
      <c r="A1119" s="60" t="s">
        <v>817</v>
      </c>
      <c r="F1119" s="78">
        <f>SUM(G1119:Z1119)</f>
        <v>2468360</v>
      </c>
      <c r="G1119" s="109"/>
      <c r="H1119" s="109"/>
      <c r="I1119" s="109"/>
      <c r="J1119" s="109"/>
      <c r="K1119" s="78">
        <v>142467</v>
      </c>
      <c r="L1119" s="109"/>
      <c r="M1119" s="78">
        <v>2325893</v>
      </c>
      <c r="N1119" s="78"/>
      <c r="O1119" s="78"/>
      <c r="P1119" s="78"/>
      <c r="Q1119" s="109"/>
      <c r="R1119" s="109"/>
      <c r="S1119" s="109"/>
      <c r="T1119" s="109"/>
      <c r="U1119" s="109"/>
      <c r="V1119" s="109"/>
      <c r="W1119" s="109"/>
      <c r="X1119" s="109"/>
      <c r="Y1119" s="109"/>
      <c r="Z1119" s="109"/>
      <c r="AA1119" s="255"/>
      <c r="AB1119" s="92"/>
    </row>
    <row r="1120" spans="1:29">
      <c r="D1120" s="151"/>
      <c r="F1120" s="78"/>
      <c r="G1120" s="75"/>
      <c r="H1120" s="75"/>
      <c r="I1120" s="75"/>
      <c r="J1120" s="75"/>
      <c r="K1120" s="75"/>
      <c r="L1120" s="75"/>
      <c r="M1120" s="75"/>
      <c r="N1120" s="75"/>
      <c r="O1120" s="75"/>
      <c r="P1120" s="75"/>
      <c r="Q1120" s="75"/>
      <c r="R1120" s="75"/>
      <c r="S1120" s="75"/>
      <c r="T1120" s="75"/>
      <c r="U1120" s="75"/>
      <c r="V1120" s="75"/>
      <c r="W1120" s="75"/>
      <c r="X1120" s="75"/>
      <c r="Y1120" s="75"/>
      <c r="Z1120" s="75"/>
      <c r="AA1120" s="78"/>
      <c r="AB1120" s="92"/>
      <c r="AC1120" s="131"/>
    </row>
    <row r="1121" spans="1:28" ht="15">
      <c r="A1121" s="136"/>
      <c r="B1121" s="70"/>
      <c r="C1121" s="70"/>
      <c r="D1121" s="70"/>
      <c r="E1121" s="70"/>
      <c r="F1121" s="70"/>
      <c r="G1121" s="70"/>
      <c r="H1121" s="70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</row>
    <row r="1122" spans="1:28" ht="15">
      <c r="A1122" s="136"/>
      <c r="B1122" s="70"/>
      <c r="C1122" s="70"/>
      <c r="D1122" s="70"/>
      <c r="E1122" s="70"/>
      <c r="F1122" s="70"/>
      <c r="G1122" s="70"/>
      <c r="H1122" s="70"/>
      <c r="I1122" s="70"/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</row>
    <row r="1123" spans="1:28" ht="15">
      <c r="A1123" s="136"/>
      <c r="B1123" s="70"/>
      <c r="C1123" s="70"/>
      <c r="D1123" s="70"/>
      <c r="E1123" s="407"/>
      <c r="F1123" s="190"/>
      <c r="G1123" s="190"/>
      <c r="H1123" s="190"/>
      <c r="I1123" s="190"/>
      <c r="J1123" s="190"/>
      <c r="K1123" s="190"/>
      <c r="L1123" s="190"/>
      <c r="M1123" s="190"/>
      <c r="N1123" s="190"/>
      <c r="O1123" s="190"/>
      <c r="P1123" s="190"/>
      <c r="Q1123" s="190"/>
      <c r="R1123" s="190"/>
      <c r="S1123" s="190"/>
      <c r="T1123" s="70"/>
      <c r="U1123" s="70"/>
      <c r="V1123" s="70"/>
      <c r="W1123" s="70"/>
      <c r="X1123" s="70"/>
      <c r="Y1123" s="70"/>
      <c r="Z1123" s="70"/>
      <c r="AA1123" s="70"/>
      <c r="AB1123" s="70"/>
    </row>
    <row r="1124" spans="1:28">
      <c r="A1124" s="70"/>
      <c r="B1124" s="70"/>
      <c r="C1124" s="70"/>
      <c r="D1124" s="70"/>
      <c r="E1124" s="408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Q1124" s="190"/>
      <c r="R1124" s="190"/>
      <c r="S1124" s="190"/>
      <c r="T1124" s="148"/>
      <c r="U1124" s="148"/>
      <c r="V1124" s="148"/>
      <c r="W1124" s="148"/>
      <c r="X1124" s="148"/>
      <c r="Y1124" s="148"/>
      <c r="Z1124" s="148"/>
      <c r="AA1124" s="148"/>
      <c r="AB1124" s="140"/>
    </row>
    <row r="1125" spans="1:28">
      <c r="A1125" s="70"/>
      <c r="B1125" s="70"/>
      <c r="C1125" s="70"/>
      <c r="D1125" s="70"/>
      <c r="E1125" s="408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148"/>
      <c r="U1125" s="148"/>
      <c r="V1125" s="148"/>
      <c r="W1125" s="148"/>
      <c r="X1125" s="148"/>
      <c r="Y1125" s="148"/>
      <c r="Z1125" s="148"/>
      <c r="AA1125" s="148"/>
      <c r="AB1125" s="140"/>
    </row>
    <row r="1126" spans="1:28">
      <c r="A1126" s="70"/>
      <c r="B1126" s="70"/>
      <c r="C1126" s="70"/>
      <c r="D1126" s="70"/>
      <c r="E1126" s="408"/>
      <c r="T1126" s="148"/>
      <c r="U1126" s="148"/>
      <c r="V1126" s="148"/>
      <c r="W1126" s="148"/>
      <c r="X1126" s="148"/>
      <c r="Y1126" s="148"/>
      <c r="Z1126" s="148"/>
      <c r="AA1126" s="148"/>
      <c r="AB1126" s="140"/>
    </row>
    <row r="1127" spans="1:28">
      <c r="A1127" s="70"/>
      <c r="B1127" s="70"/>
      <c r="C1127" s="70"/>
      <c r="D1127" s="70"/>
      <c r="E1127" s="408"/>
      <c r="T1127" s="148"/>
      <c r="U1127" s="148"/>
      <c r="V1127" s="148"/>
      <c r="W1127" s="148"/>
      <c r="X1127" s="148"/>
      <c r="Y1127" s="148"/>
      <c r="Z1127" s="148"/>
      <c r="AA1127" s="148"/>
      <c r="AB1127" s="140"/>
    </row>
    <row r="1128" spans="1:28">
      <c r="A1128" s="70"/>
      <c r="B1128" s="70"/>
      <c r="C1128" s="70"/>
      <c r="D1128" s="70"/>
      <c r="E1128" s="408"/>
      <c r="F1128" s="409"/>
      <c r="G1128" s="409"/>
      <c r="H1128" s="409"/>
      <c r="I1128" s="409"/>
      <c r="J1128" s="409"/>
      <c r="K1128" s="409"/>
      <c r="L1128" s="409"/>
      <c r="M1128" s="409"/>
      <c r="N1128" s="409"/>
      <c r="O1128" s="409"/>
      <c r="P1128" s="409"/>
      <c r="Q1128" s="409"/>
      <c r="R1128" s="409"/>
      <c r="S1128" s="409"/>
      <c r="T1128" s="148"/>
      <c r="U1128" s="148"/>
      <c r="V1128" s="148"/>
      <c r="W1128" s="148"/>
      <c r="X1128" s="148"/>
      <c r="Y1128" s="148"/>
      <c r="Z1128" s="148"/>
      <c r="AA1128" s="148"/>
      <c r="AB1128" s="140"/>
    </row>
    <row r="1129" spans="1:28">
      <c r="A1129" s="70"/>
      <c r="B1129" s="70"/>
      <c r="C1129" s="70"/>
      <c r="D1129" s="70"/>
      <c r="E1129" s="408"/>
      <c r="F1129" s="141"/>
      <c r="G1129" s="141"/>
      <c r="H1129" s="141"/>
      <c r="I1129" s="141"/>
      <c r="J1129" s="141"/>
      <c r="K1129" s="141"/>
      <c r="L1129" s="141"/>
      <c r="M1129" s="141"/>
      <c r="N1129" s="141"/>
      <c r="O1129" s="141"/>
      <c r="P1129" s="141"/>
      <c r="Q1129" s="141"/>
      <c r="R1129" s="141"/>
      <c r="S1129" s="141"/>
      <c r="T1129" s="148"/>
      <c r="U1129" s="148"/>
      <c r="V1129" s="148"/>
      <c r="W1129" s="148"/>
      <c r="X1129" s="148"/>
      <c r="Y1129" s="148"/>
      <c r="Z1129" s="148"/>
      <c r="AA1129" s="148"/>
      <c r="AB1129" s="140"/>
    </row>
    <row r="1130" spans="1:28">
      <c r="A1130" s="70"/>
      <c r="B1130" s="70"/>
      <c r="C1130" s="70"/>
      <c r="D1130" s="70"/>
      <c r="E1130" s="70"/>
      <c r="F1130" s="148"/>
      <c r="G1130" s="148"/>
      <c r="H1130" s="148"/>
      <c r="I1130" s="148"/>
      <c r="J1130" s="148"/>
      <c r="K1130" s="148"/>
      <c r="L1130" s="148"/>
      <c r="M1130" s="148"/>
      <c r="N1130" s="148"/>
      <c r="O1130" s="148"/>
      <c r="P1130" s="148"/>
      <c r="Q1130" s="148"/>
      <c r="R1130" s="148"/>
      <c r="S1130" s="148"/>
      <c r="T1130" s="148"/>
      <c r="U1130" s="148"/>
      <c r="V1130" s="148"/>
      <c r="W1130" s="148"/>
      <c r="X1130" s="148"/>
      <c r="Y1130" s="148"/>
      <c r="Z1130" s="148"/>
      <c r="AA1130" s="148"/>
      <c r="AB1130" s="140"/>
    </row>
    <row r="1131" spans="1:28">
      <c r="A1131" s="70"/>
      <c r="B1131" s="70"/>
      <c r="C1131" s="70"/>
      <c r="D1131" s="70"/>
      <c r="E1131" s="70"/>
      <c r="F1131" s="148"/>
      <c r="G1131" s="148"/>
      <c r="H1131" s="148"/>
      <c r="I1131" s="148"/>
      <c r="J1131" s="148"/>
      <c r="K1131" s="148"/>
      <c r="L1131" s="148"/>
      <c r="M1131" s="148"/>
      <c r="N1131" s="148"/>
      <c r="O1131" s="148"/>
      <c r="P1131" s="148"/>
      <c r="Q1131" s="148"/>
      <c r="R1131" s="148"/>
      <c r="S1131" s="148"/>
      <c r="T1131" s="148"/>
      <c r="U1131" s="148"/>
      <c r="V1131" s="148"/>
      <c r="W1131" s="148"/>
      <c r="X1131" s="148"/>
      <c r="Y1131" s="148"/>
      <c r="Z1131" s="148"/>
      <c r="AA1131" s="148"/>
      <c r="AB1131" s="140"/>
    </row>
    <row r="1132" spans="1:28">
      <c r="A1132" s="70"/>
      <c r="B1132" s="70"/>
      <c r="C1132" s="70"/>
      <c r="D1132" s="70"/>
      <c r="E1132" s="70"/>
      <c r="F1132" s="265"/>
      <c r="G1132" s="265"/>
      <c r="H1132" s="265"/>
      <c r="I1132" s="265"/>
      <c r="J1132" s="265"/>
      <c r="K1132" s="265"/>
      <c r="L1132" s="265"/>
      <c r="M1132" s="265"/>
      <c r="N1132" s="265"/>
      <c r="O1132" s="265"/>
      <c r="P1132" s="265"/>
      <c r="Q1132" s="265"/>
      <c r="R1132" s="265"/>
      <c r="S1132" s="265"/>
      <c r="T1132" s="265"/>
      <c r="U1132" s="265"/>
      <c r="V1132" s="265"/>
      <c r="W1132" s="265"/>
      <c r="X1132" s="265"/>
      <c r="Y1132" s="265"/>
      <c r="Z1132" s="265"/>
      <c r="AA1132" s="148"/>
      <c r="AB1132" s="140"/>
    </row>
    <row r="1133" spans="1:28">
      <c r="A1133" s="70"/>
      <c r="B1133" s="70"/>
      <c r="C1133" s="70"/>
      <c r="D1133" s="70"/>
      <c r="E1133" s="267"/>
      <c r="F1133" s="148"/>
      <c r="G1133" s="148"/>
      <c r="H1133" s="148"/>
      <c r="I1133" s="148"/>
      <c r="J1133" s="148"/>
      <c r="K1133" s="148"/>
      <c r="L1133" s="148"/>
      <c r="M1133" s="148"/>
      <c r="N1133" s="148"/>
      <c r="O1133" s="148"/>
      <c r="P1133" s="148"/>
      <c r="Q1133" s="148"/>
      <c r="R1133" s="148"/>
      <c r="S1133" s="148"/>
      <c r="T1133" s="148"/>
      <c r="U1133" s="148"/>
      <c r="V1133" s="148"/>
      <c r="W1133" s="148"/>
      <c r="X1133" s="148"/>
      <c r="Y1133" s="148"/>
      <c r="Z1133" s="148"/>
      <c r="AA1133" s="148"/>
      <c r="AB1133" s="140"/>
    </row>
    <row r="1134" spans="1:28">
      <c r="A1134" s="70"/>
      <c r="B1134" s="70"/>
      <c r="C1134" s="70"/>
      <c r="D1134" s="70"/>
      <c r="E1134" s="70"/>
      <c r="F1134" s="148"/>
      <c r="G1134" s="70"/>
      <c r="H1134" s="70"/>
      <c r="I1134" s="70"/>
      <c r="J1134" s="70"/>
      <c r="K1134" s="70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</row>
    <row r="1135" spans="1:28" ht="15">
      <c r="A1135" s="136"/>
      <c r="B1135" s="70"/>
      <c r="C1135" s="70"/>
      <c r="D1135" s="70"/>
      <c r="E1135" s="268"/>
      <c r="F1135" s="148"/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</row>
    <row r="1136" spans="1:28">
      <c r="A1136" s="70"/>
      <c r="B1136" s="70"/>
      <c r="C1136" s="70"/>
      <c r="D1136" s="70"/>
      <c r="E1136" s="267"/>
      <c r="F1136" s="194"/>
      <c r="G1136" s="148"/>
      <c r="H1136" s="148"/>
      <c r="I1136" s="148"/>
      <c r="J1136" s="148"/>
      <c r="K1136" s="148"/>
      <c r="L1136" s="148"/>
      <c r="M1136" s="148"/>
      <c r="N1136" s="148"/>
      <c r="O1136" s="148"/>
      <c r="P1136" s="148"/>
      <c r="Q1136" s="148"/>
      <c r="R1136" s="148"/>
      <c r="S1136" s="148"/>
      <c r="T1136" s="148"/>
      <c r="U1136" s="148"/>
      <c r="V1136" s="148"/>
      <c r="W1136" s="148"/>
      <c r="X1136" s="148"/>
      <c r="Y1136" s="148"/>
      <c r="Z1136" s="148"/>
      <c r="AA1136" s="148"/>
      <c r="AB1136" s="140"/>
    </row>
    <row r="1137" spans="1:29">
      <c r="A1137" s="70"/>
      <c r="B1137" s="70"/>
      <c r="C1137" s="70"/>
      <c r="D1137" s="70"/>
      <c r="E1137" s="70"/>
      <c r="F1137" s="148"/>
      <c r="G1137" s="148"/>
      <c r="H1137" s="148"/>
      <c r="I1137" s="148"/>
      <c r="J1137" s="148"/>
      <c r="K1137" s="148"/>
      <c r="L1137" s="148"/>
      <c r="M1137" s="148"/>
      <c r="N1137" s="148"/>
      <c r="O1137" s="148"/>
      <c r="P1137" s="148"/>
      <c r="Q1137" s="148"/>
      <c r="R1137" s="148"/>
      <c r="S1137" s="148"/>
      <c r="T1137" s="148"/>
      <c r="U1137" s="148"/>
      <c r="V1137" s="148"/>
      <c r="W1137" s="148"/>
      <c r="X1137" s="148"/>
      <c r="Y1137" s="148"/>
      <c r="Z1137" s="148"/>
      <c r="AA1137" s="148"/>
      <c r="AB1137" s="140"/>
    </row>
    <row r="1138" spans="1:29">
      <c r="A1138" s="70"/>
      <c r="B1138" s="70"/>
      <c r="C1138" s="70"/>
      <c r="D1138" s="70"/>
      <c r="E1138" s="70"/>
      <c r="F1138" s="148"/>
      <c r="G1138" s="148"/>
      <c r="H1138" s="148"/>
      <c r="I1138" s="148"/>
      <c r="J1138" s="148"/>
      <c r="K1138" s="148"/>
      <c r="L1138" s="148"/>
      <c r="M1138" s="148"/>
      <c r="N1138" s="148"/>
      <c r="O1138" s="148"/>
      <c r="P1138" s="148"/>
      <c r="Q1138" s="148"/>
      <c r="R1138" s="148"/>
      <c r="S1138" s="148"/>
      <c r="T1138" s="148"/>
      <c r="U1138" s="148"/>
      <c r="V1138" s="148"/>
      <c r="W1138" s="148"/>
      <c r="X1138" s="148"/>
      <c r="Y1138" s="148"/>
      <c r="Z1138" s="148"/>
      <c r="AA1138" s="148"/>
      <c r="AB1138" s="140"/>
    </row>
    <row r="1139" spans="1:29">
      <c r="A1139" s="70"/>
      <c r="B1139" s="70"/>
      <c r="C1139" s="70"/>
      <c r="D1139" s="70"/>
      <c r="E1139" s="70"/>
      <c r="F1139" s="148"/>
      <c r="G1139" s="148"/>
      <c r="H1139" s="148"/>
      <c r="I1139" s="148"/>
      <c r="J1139" s="148"/>
      <c r="K1139" s="148"/>
      <c r="L1139" s="148"/>
      <c r="M1139" s="148"/>
      <c r="N1139" s="148"/>
      <c r="O1139" s="148"/>
      <c r="P1139" s="148"/>
      <c r="Q1139" s="148"/>
      <c r="R1139" s="148"/>
      <c r="S1139" s="148"/>
      <c r="T1139" s="148"/>
      <c r="U1139" s="148"/>
      <c r="V1139" s="148"/>
      <c r="W1139" s="148"/>
      <c r="X1139" s="148"/>
      <c r="Y1139" s="148"/>
      <c r="Z1139" s="148"/>
      <c r="AA1139" s="148"/>
      <c r="AB1139" s="140"/>
    </row>
    <row r="1140" spans="1:29">
      <c r="A1140" s="70"/>
      <c r="B1140" s="70"/>
      <c r="C1140" s="70"/>
      <c r="D1140" s="70"/>
      <c r="E1140" s="70"/>
      <c r="F1140" s="148"/>
      <c r="G1140" s="148"/>
      <c r="H1140" s="148"/>
      <c r="I1140" s="148"/>
      <c r="J1140" s="148"/>
      <c r="K1140" s="148"/>
      <c r="L1140" s="148"/>
      <c r="M1140" s="148"/>
      <c r="N1140" s="148"/>
      <c r="O1140" s="148"/>
      <c r="P1140" s="148"/>
      <c r="Q1140" s="148"/>
      <c r="R1140" s="148"/>
      <c r="S1140" s="148"/>
      <c r="T1140" s="148"/>
      <c r="U1140" s="148"/>
      <c r="V1140" s="148"/>
      <c r="W1140" s="148"/>
      <c r="X1140" s="148"/>
      <c r="Y1140" s="148"/>
      <c r="Z1140" s="148"/>
      <c r="AA1140" s="148"/>
      <c r="AB1140" s="140"/>
    </row>
    <row r="1141" spans="1:29">
      <c r="A1141" s="70"/>
      <c r="B1141" s="70"/>
      <c r="C1141" s="70"/>
      <c r="D1141" s="70"/>
      <c r="E1141" s="70"/>
      <c r="F1141" s="148"/>
      <c r="G1141" s="148"/>
      <c r="H1141" s="148"/>
      <c r="I1141" s="148"/>
      <c r="J1141" s="148"/>
      <c r="K1141" s="148"/>
      <c r="L1141" s="148"/>
      <c r="M1141" s="148"/>
      <c r="N1141" s="148"/>
      <c r="O1141" s="148"/>
      <c r="P1141" s="148"/>
      <c r="Q1141" s="148"/>
      <c r="R1141" s="148"/>
      <c r="S1141" s="148"/>
      <c r="T1141" s="148"/>
      <c r="U1141" s="148"/>
      <c r="V1141" s="148"/>
      <c r="W1141" s="148"/>
      <c r="X1141" s="148"/>
      <c r="Y1141" s="148"/>
      <c r="Z1141" s="148"/>
      <c r="AA1141" s="148"/>
      <c r="AB1141" s="140"/>
    </row>
    <row r="1142" spans="1:29">
      <c r="A1142" s="70"/>
      <c r="B1142" s="70"/>
      <c r="C1142" s="70"/>
      <c r="D1142" s="70"/>
      <c r="E1142" s="70"/>
      <c r="F1142" s="148"/>
      <c r="G1142" s="148"/>
      <c r="H1142" s="148"/>
      <c r="I1142" s="148"/>
      <c r="J1142" s="148"/>
      <c r="K1142" s="148"/>
      <c r="L1142" s="148"/>
      <c r="M1142" s="148"/>
      <c r="N1142" s="148"/>
      <c r="O1142" s="148"/>
      <c r="P1142" s="148"/>
      <c r="Q1142" s="148"/>
      <c r="R1142" s="148"/>
      <c r="S1142" s="148"/>
      <c r="T1142" s="148"/>
      <c r="U1142" s="148"/>
      <c r="V1142" s="148"/>
      <c r="W1142" s="148"/>
      <c r="X1142" s="148"/>
      <c r="Y1142" s="148"/>
      <c r="Z1142" s="148"/>
      <c r="AA1142" s="148"/>
      <c r="AB1142" s="140"/>
      <c r="AC1142" s="79"/>
    </row>
    <row r="1143" spans="1:29">
      <c r="A1143" s="70"/>
      <c r="B1143" s="70"/>
      <c r="C1143" s="70"/>
      <c r="D1143" s="70"/>
      <c r="E1143" s="70"/>
      <c r="F1143" s="148"/>
      <c r="G1143" s="148"/>
      <c r="H1143" s="148"/>
      <c r="I1143" s="148"/>
      <c r="J1143" s="148"/>
      <c r="K1143" s="148"/>
      <c r="L1143" s="148"/>
      <c r="M1143" s="148"/>
      <c r="N1143" s="148"/>
      <c r="O1143" s="148"/>
      <c r="P1143" s="148"/>
      <c r="Q1143" s="148"/>
      <c r="R1143" s="148"/>
      <c r="S1143" s="148"/>
      <c r="T1143" s="148"/>
      <c r="U1143" s="148"/>
      <c r="V1143" s="148"/>
      <c r="W1143" s="148"/>
      <c r="X1143" s="148"/>
      <c r="Y1143" s="148"/>
      <c r="Z1143" s="148"/>
      <c r="AA1143" s="148"/>
      <c r="AB1143" s="140"/>
    </row>
    <row r="1144" spans="1:29">
      <c r="A1144" s="70"/>
      <c r="B1144" s="70"/>
      <c r="C1144" s="70"/>
      <c r="D1144" s="70"/>
      <c r="E1144" s="70"/>
      <c r="F1144" s="265"/>
      <c r="G1144" s="265"/>
      <c r="H1144" s="265"/>
      <c r="I1144" s="265"/>
      <c r="J1144" s="265"/>
      <c r="K1144" s="265"/>
      <c r="L1144" s="265"/>
      <c r="M1144" s="265"/>
      <c r="N1144" s="265"/>
      <c r="O1144" s="265"/>
      <c r="P1144" s="265"/>
      <c r="Q1144" s="265"/>
      <c r="R1144" s="265"/>
      <c r="S1144" s="265"/>
      <c r="T1144" s="265"/>
      <c r="U1144" s="265"/>
      <c r="V1144" s="265"/>
      <c r="W1144" s="265"/>
      <c r="X1144" s="265"/>
      <c r="Y1144" s="265"/>
      <c r="Z1144" s="265"/>
      <c r="AA1144" s="148"/>
      <c r="AB1144" s="140"/>
    </row>
    <row r="1145" spans="1:29">
      <c r="A1145" s="70"/>
      <c r="B1145" s="70"/>
      <c r="C1145" s="70"/>
      <c r="D1145" s="70"/>
      <c r="E1145" s="70"/>
      <c r="F1145" s="148"/>
      <c r="G1145" s="148"/>
      <c r="H1145" s="148"/>
      <c r="I1145" s="148"/>
      <c r="J1145" s="148"/>
      <c r="K1145" s="148"/>
      <c r="L1145" s="148"/>
      <c r="M1145" s="148"/>
      <c r="N1145" s="148"/>
      <c r="O1145" s="148"/>
      <c r="P1145" s="148"/>
      <c r="Q1145" s="148"/>
      <c r="R1145" s="148"/>
      <c r="S1145" s="148"/>
      <c r="T1145" s="148"/>
      <c r="U1145" s="148"/>
      <c r="V1145" s="148"/>
      <c r="W1145" s="148"/>
      <c r="X1145" s="148"/>
      <c r="Y1145" s="148"/>
      <c r="Z1145" s="148"/>
      <c r="AA1145" s="148"/>
      <c r="AB1145" s="140"/>
      <c r="AC1145" s="60" t="s">
        <v>1225</v>
      </c>
    </row>
    <row r="1146" spans="1:29">
      <c r="A1146" s="70"/>
      <c r="B1146" s="70"/>
      <c r="C1146" s="70"/>
      <c r="D1146" s="70"/>
      <c r="E1146" s="70"/>
      <c r="F1146" s="148"/>
      <c r="G1146" s="70"/>
      <c r="H1146" s="70"/>
      <c r="I1146" s="70"/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</row>
    <row r="1147" spans="1:29">
      <c r="A1147" s="70"/>
      <c r="B1147" s="70"/>
      <c r="C1147" s="70"/>
      <c r="D1147" s="70"/>
      <c r="E1147" s="70"/>
      <c r="F1147" s="148"/>
      <c r="G1147" s="70"/>
      <c r="H1147" s="70"/>
      <c r="I1147" s="70"/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</row>
    <row r="1148" spans="1:29" ht="15">
      <c r="A1148" s="136"/>
      <c r="B1148" s="70"/>
      <c r="C1148" s="70"/>
      <c r="D1148" s="70"/>
      <c r="E1148" s="70"/>
      <c r="F1148" s="148"/>
      <c r="G1148" s="148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</row>
    <row r="1149" spans="1:29">
      <c r="A1149" s="70"/>
      <c r="B1149" s="70"/>
      <c r="C1149" s="70"/>
      <c r="D1149" s="70"/>
      <c r="E1149" s="70"/>
      <c r="F1149" s="148"/>
      <c r="G1149" s="148"/>
      <c r="H1149" s="148"/>
      <c r="I1149" s="148"/>
      <c r="J1149" s="148"/>
      <c r="K1149" s="148"/>
      <c r="L1149" s="148"/>
      <c r="M1149" s="148"/>
      <c r="N1149" s="148"/>
      <c r="O1149" s="148"/>
      <c r="P1149" s="148"/>
      <c r="Q1149" s="148"/>
      <c r="R1149" s="148"/>
      <c r="S1149" s="148"/>
      <c r="T1149" s="148"/>
      <c r="U1149" s="148"/>
      <c r="V1149" s="148"/>
      <c r="W1149" s="148"/>
      <c r="X1149" s="148"/>
      <c r="Y1149" s="148"/>
      <c r="Z1149" s="148"/>
      <c r="AA1149" s="148"/>
      <c r="AB1149" s="140"/>
    </row>
    <row r="1150" spans="1:29">
      <c r="A1150" s="70"/>
      <c r="B1150" s="70"/>
      <c r="C1150" s="70"/>
      <c r="D1150" s="70"/>
      <c r="E1150" s="70"/>
      <c r="F1150" s="148"/>
      <c r="G1150" s="148"/>
      <c r="H1150" s="148"/>
      <c r="I1150" s="148"/>
      <c r="J1150" s="148"/>
      <c r="K1150" s="148"/>
      <c r="L1150" s="148"/>
      <c r="M1150" s="148"/>
      <c r="N1150" s="148"/>
      <c r="O1150" s="148"/>
      <c r="P1150" s="148"/>
      <c r="Q1150" s="148"/>
      <c r="R1150" s="148"/>
      <c r="S1150" s="148"/>
      <c r="T1150" s="148"/>
      <c r="U1150" s="148"/>
      <c r="V1150" s="148"/>
      <c r="W1150" s="148"/>
      <c r="X1150" s="148"/>
      <c r="Y1150" s="148"/>
      <c r="Z1150" s="148"/>
      <c r="AA1150" s="148"/>
      <c r="AB1150" s="140"/>
    </row>
    <row r="1151" spans="1:29">
      <c r="A1151" s="70"/>
      <c r="B1151" s="70"/>
      <c r="C1151" s="70"/>
      <c r="D1151" s="70"/>
      <c r="E1151" s="70"/>
      <c r="F1151" s="148"/>
      <c r="G1151" s="148"/>
      <c r="H1151" s="148"/>
      <c r="I1151" s="148"/>
      <c r="J1151" s="148"/>
      <c r="K1151" s="148"/>
      <c r="L1151" s="148"/>
      <c r="M1151" s="148"/>
      <c r="N1151" s="148"/>
      <c r="O1151" s="148"/>
      <c r="P1151" s="148"/>
      <c r="Q1151" s="148"/>
      <c r="R1151" s="148"/>
      <c r="S1151" s="148"/>
      <c r="T1151" s="148"/>
      <c r="U1151" s="148"/>
      <c r="V1151" s="148"/>
      <c r="W1151" s="148"/>
      <c r="X1151" s="148"/>
      <c r="Y1151" s="148"/>
      <c r="Z1151" s="148"/>
      <c r="AA1151" s="148"/>
      <c r="AB1151" s="140"/>
    </row>
    <row r="1152" spans="1:29">
      <c r="A1152" s="70"/>
      <c r="B1152" s="70"/>
      <c r="C1152" s="70"/>
      <c r="D1152" s="70"/>
      <c r="E1152" s="70"/>
      <c r="F1152" s="148"/>
      <c r="G1152" s="148"/>
      <c r="H1152" s="148"/>
      <c r="I1152" s="148"/>
      <c r="J1152" s="148"/>
      <c r="K1152" s="148"/>
      <c r="L1152" s="148"/>
      <c r="M1152" s="148"/>
      <c r="N1152" s="148"/>
      <c r="O1152" s="148"/>
      <c r="P1152" s="148"/>
      <c r="Q1152" s="148"/>
      <c r="R1152" s="148"/>
      <c r="S1152" s="148"/>
      <c r="T1152" s="148"/>
      <c r="U1152" s="148"/>
      <c r="V1152" s="148"/>
      <c r="W1152" s="148"/>
      <c r="X1152" s="148"/>
      <c r="Y1152" s="148"/>
      <c r="Z1152" s="148"/>
      <c r="AA1152" s="148"/>
      <c r="AB1152" s="140"/>
    </row>
    <row r="1153" spans="1:28">
      <c r="A1153" s="70"/>
      <c r="B1153" s="70"/>
      <c r="C1153" s="70"/>
      <c r="D1153" s="70"/>
      <c r="E1153" s="70"/>
      <c r="F1153" s="148"/>
      <c r="G1153" s="148"/>
      <c r="H1153" s="148"/>
      <c r="I1153" s="148"/>
      <c r="J1153" s="148"/>
      <c r="K1153" s="148"/>
      <c r="L1153" s="148"/>
      <c r="M1153" s="148"/>
      <c r="N1153" s="148"/>
      <c r="O1153" s="148"/>
      <c r="P1153" s="148"/>
      <c r="Q1153" s="148"/>
      <c r="R1153" s="148"/>
      <c r="S1153" s="148"/>
      <c r="T1153" s="148"/>
      <c r="U1153" s="148"/>
      <c r="V1153" s="148"/>
      <c r="W1153" s="148"/>
      <c r="X1153" s="148"/>
      <c r="Y1153" s="148"/>
      <c r="Z1153" s="148"/>
      <c r="AA1153" s="148"/>
      <c r="AB1153" s="140"/>
    </row>
    <row r="1154" spans="1:28">
      <c r="A1154" s="70"/>
      <c r="B1154" s="70"/>
      <c r="C1154" s="70"/>
      <c r="D1154" s="70"/>
      <c r="E1154" s="70"/>
      <c r="F1154" s="148"/>
      <c r="G1154" s="148"/>
      <c r="H1154" s="148"/>
      <c r="I1154" s="148"/>
      <c r="J1154" s="148"/>
      <c r="K1154" s="148"/>
      <c r="L1154" s="148"/>
      <c r="M1154" s="148"/>
      <c r="N1154" s="148"/>
      <c r="O1154" s="148"/>
      <c r="P1154" s="148"/>
      <c r="Q1154" s="148"/>
      <c r="R1154" s="148"/>
      <c r="S1154" s="148"/>
      <c r="T1154" s="148"/>
      <c r="U1154" s="148"/>
      <c r="V1154" s="148"/>
      <c r="W1154" s="148"/>
      <c r="X1154" s="148"/>
      <c r="Y1154" s="148"/>
      <c r="Z1154" s="148"/>
      <c r="AA1154" s="148"/>
      <c r="AB1154" s="140"/>
    </row>
    <row r="1155" spans="1:28">
      <c r="A1155" s="70"/>
      <c r="B1155" s="70"/>
      <c r="C1155" s="70"/>
      <c r="D1155" s="70"/>
      <c r="E1155" s="70"/>
      <c r="F1155" s="148"/>
      <c r="G1155" s="148"/>
      <c r="H1155" s="148"/>
      <c r="I1155" s="148"/>
      <c r="J1155" s="148"/>
      <c r="K1155" s="148"/>
      <c r="L1155" s="148"/>
      <c r="M1155" s="148"/>
      <c r="N1155" s="148"/>
      <c r="O1155" s="148"/>
      <c r="P1155" s="148"/>
      <c r="Q1155" s="148"/>
      <c r="R1155" s="148"/>
      <c r="S1155" s="148"/>
      <c r="T1155" s="148"/>
      <c r="U1155" s="148"/>
      <c r="V1155" s="148"/>
      <c r="W1155" s="148"/>
      <c r="X1155" s="148"/>
      <c r="Y1155" s="148"/>
      <c r="Z1155" s="148"/>
      <c r="AA1155" s="148"/>
      <c r="AB1155" s="140"/>
    </row>
    <row r="1156" spans="1:28">
      <c r="A1156" s="70"/>
      <c r="B1156" s="70"/>
      <c r="C1156" s="70"/>
      <c r="D1156" s="70"/>
      <c r="E1156" s="70"/>
      <c r="F1156" s="148"/>
      <c r="G1156" s="148"/>
      <c r="H1156" s="148"/>
      <c r="I1156" s="148"/>
      <c r="J1156" s="148"/>
      <c r="K1156" s="148"/>
      <c r="L1156" s="148"/>
      <c r="M1156" s="148"/>
      <c r="N1156" s="148"/>
      <c r="O1156" s="148"/>
      <c r="P1156" s="148"/>
      <c r="Q1156" s="148"/>
      <c r="R1156" s="148"/>
      <c r="S1156" s="148"/>
      <c r="T1156" s="148"/>
      <c r="U1156" s="148"/>
      <c r="V1156" s="148"/>
      <c r="W1156" s="148"/>
      <c r="X1156" s="148"/>
      <c r="Y1156" s="148"/>
      <c r="Z1156" s="148"/>
      <c r="AA1156" s="148"/>
      <c r="AB1156" s="140"/>
    </row>
    <row r="1157" spans="1:28">
      <c r="A1157" s="70"/>
      <c r="B1157" s="70"/>
      <c r="C1157" s="70"/>
      <c r="D1157" s="70"/>
      <c r="E1157" s="70"/>
      <c r="F1157" s="265"/>
      <c r="G1157" s="265"/>
      <c r="H1157" s="265"/>
      <c r="I1157" s="265"/>
      <c r="J1157" s="265"/>
      <c r="K1157" s="265"/>
      <c r="L1157" s="265"/>
      <c r="M1157" s="265"/>
      <c r="N1157" s="265"/>
      <c r="O1157" s="265"/>
      <c r="P1157" s="265"/>
      <c r="Q1157" s="265"/>
      <c r="R1157" s="265"/>
      <c r="S1157" s="265"/>
      <c r="T1157" s="265"/>
      <c r="U1157" s="265"/>
      <c r="V1157" s="265"/>
      <c r="W1157" s="265"/>
      <c r="X1157" s="265"/>
      <c r="Y1157" s="265"/>
      <c r="Z1157" s="265"/>
      <c r="AA1157" s="148"/>
      <c r="AB1157" s="140"/>
    </row>
    <row r="1158" spans="1:28">
      <c r="A1158" s="70"/>
      <c r="B1158" s="70"/>
      <c r="C1158" s="70"/>
      <c r="D1158" s="70"/>
      <c r="E1158" s="70"/>
      <c r="F1158" s="148"/>
      <c r="G1158" s="148"/>
      <c r="H1158" s="148"/>
      <c r="I1158" s="148"/>
      <c r="J1158" s="148"/>
      <c r="K1158" s="148"/>
      <c r="L1158" s="148"/>
      <c r="M1158" s="148"/>
      <c r="N1158" s="148"/>
      <c r="O1158" s="148"/>
      <c r="P1158" s="148"/>
      <c r="Q1158" s="148"/>
      <c r="R1158" s="148"/>
      <c r="S1158" s="148"/>
      <c r="T1158" s="148"/>
      <c r="U1158" s="148"/>
      <c r="V1158" s="148"/>
      <c r="W1158" s="148"/>
      <c r="X1158" s="148"/>
      <c r="Y1158" s="148"/>
      <c r="Z1158" s="148"/>
      <c r="AA1158" s="148"/>
      <c r="AB1158" s="140"/>
    </row>
    <row r="1159" spans="1:28">
      <c r="A1159" s="70"/>
      <c r="B1159" s="70"/>
      <c r="C1159" s="70"/>
      <c r="D1159" s="70"/>
      <c r="E1159" s="70"/>
      <c r="F1159" s="148"/>
      <c r="G1159" s="70"/>
      <c r="H1159" s="70"/>
      <c r="I1159" s="70"/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</row>
    <row r="1160" spans="1:28">
      <c r="A1160" s="70"/>
      <c r="B1160" s="70"/>
      <c r="C1160" s="70"/>
      <c r="D1160" s="70"/>
      <c r="E1160" s="70"/>
      <c r="F1160" s="148"/>
      <c r="G1160" s="70"/>
      <c r="H1160" s="70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</row>
    <row r="1161" spans="1:28" ht="15">
      <c r="A1161" s="136"/>
      <c r="B1161" s="70"/>
      <c r="C1161" s="70"/>
      <c r="D1161" s="70"/>
      <c r="E1161" s="70"/>
      <c r="F1161" s="194"/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</row>
    <row r="1162" spans="1:28">
      <c r="A1162" s="70"/>
      <c r="B1162" s="70"/>
      <c r="C1162" s="70"/>
      <c r="D1162" s="70"/>
      <c r="E1162" s="70"/>
      <c r="F1162" s="70"/>
      <c r="G1162" s="149"/>
      <c r="H1162" s="149"/>
      <c r="I1162" s="269"/>
      <c r="J1162" s="269"/>
      <c r="K1162" s="269"/>
      <c r="L1162" s="269"/>
      <c r="M1162" s="269"/>
      <c r="N1162" s="269"/>
      <c r="O1162" s="269"/>
      <c r="P1162" s="269"/>
      <c r="Q1162" s="269"/>
      <c r="R1162" s="269"/>
      <c r="S1162" s="270"/>
      <c r="T1162" s="270"/>
      <c r="U1162" s="270"/>
      <c r="V1162" s="269"/>
      <c r="W1162" s="269"/>
      <c r="X1162" s="149"/>
      <c r="Y1162" s="149"/>
      <c r="Z1162" s="149"/>
      <c r="AA1162" s="70"/>
      <c r="AB1162" s="70"/>
    </row>
    <row r="1163" spans="1:28">
      <c r="A1163" s="70"/>
      <c r="B1163" s="70"/>
      <c r="C1163" s="70"/>
      <c r="D1163" s="70"/>
      <c r="E1163" s="70"/>
      <c r="F1163" s="70"/>
      <c r="G1163" s="149"/>
      <c r="H1163" s="149"/>
      <c r="I1163" s="269"/>
      <c r="J1163" s="269"/>
      <c r="K1163" s="269"/>
      <c r="L1163" s="269"/>
      <c r="M1163" s="269"/>
      <c r="N1163" s="269"/>
      <c r="O1163" s="269"/>
      <c r="P1163" s="269"/>
      <c r="Q1163" s="269"/>
      <c r="R1163" s="269"/>
      <c r="S1163" s="270"/>
      <c r="T1163" s="270"/>
      <c r="U1163" s="270"/>
      <c r="V1163" s="269"/>
      <c r="W1163" s="269"/>
      <c r="X1163" s="70"/>
      <c r="Y1163" s="70"/>
      <c r="Z1163" s="70"/>
      <c r="AA1163" s="70"/>
      <c r="AB1163" s="70"/>
    </row>
    <row r="1164" spans="1:28">
      <c r="A1164" s="70"/>
      <c r="B1164" s="70"/>
      <c r="C1164" s="70"/>
      <c r="D1164" s="70"/>
      <c r="E1164" s="70"/>
      <c r="F1164" s="70"/>
      <c r="G1164" s="271"/>
      <c r="H1164" s="271"/>
      <c r="I1164" s="269"/>
      <c r="J1164" s="269"/>
      <c r="K1164" s="269"/>
      <c r="L1164" s="269"/>
      <c r="M1164" s="269"/>
      <c r="N1164" s="269"/>
      <c r="O1164" s="269"/>
      <c r="P1164" s="269"/>
      <c r="Q1164" s="269"/>
      <c r="R1164" s="269"/>
      <c r="S1164" s="270"/>
      <c r="T1164" s="270"/>
      <c r="U1164" s="270"/>
      <c r="V1164" s="269"/>
      <c r="W1164" s="269"/>
      <c r="X1164" s="70"/>
      <c r="Y1164" s="70"/>
      <c r="Z1164" s="70"/>
      <c r="AA1164" s="70"/>
      <c r="AB1164" s="70"/>
    </row>
    <row r="1165" spans="1:28">
      <c r="A1165" s="70"/>
      <c r="B1165" s="70"/>
      <c r="C1165" s="70"/>
      <c r="D1165" s="70"/>
      <c r="E1165" s="70"/>
      <c r="F1165" s="70"/>
      <c r="G1165" s="149"/>
      <c r="H1165" s="149"/>
      <c r="I1165" s="269"/>
      <c r="J1165" s="269"/>
      <c r="K1165" s="269"/>
      <c r="L1165" s="269"/>
      <c r="M1165" s="269"/>
      <c r="N1165" s="269"/>
      <c r="O1165" s="269"/>
      <c r="P1165" s="269"/>
      <c r="Q1165" s="269"/>
      <c r="R1165" s="269"/>
      <c r="S1165" s="270"/>
      <c r="T1165" s="270"/>
      <c r="U1165" s="270"/>
      <c r="V1165" s="269"/>
      <c r="W1165" s="269"/>
      <c r="X1165" s="70"/>
      <c r="Y1165" s="70"/>
      <c r="Z1165" s="70"/>
      <c r="AA1165" s="70"/>
      <c r="AB1165" s="70"/>
    </row>
    <row r="1166" spans="1:28">
      <c r="A1166" s="70"/>
      <c r="B1166" s="70"/>
      <c r="C1166" s="70"/>
      <c r="D1166" s="70"/>
      <c r="E1166" s="70"/>
      <c r="F1166" s="70"/>
      <c r="G1166" s="149"/>
      <c r="H1166" s="149"/>
      <c r="I1166" s="269"/>
      <c r="J1166" s="269"/>
      <c r="K1166" s="269"/>
      <c r="L1166" s="269"/>
      <c r="M1166" s="269"/>
      <c r="N1166" s="269"/>
      <c r="O1166" s="269"/>
      <c r="P1166" s="269"/>
      <c r="Q1166" s="269"/>
      <c r="R1166" s="269"/>
      <c r="S1166" s="270"/>
      <c r="T1166" s="270"/>
      <c r="U1166" s="270"/>
      <c r="V1166" s="269"/>
      <c r="W1166" s="269"/>
      <c r="X1166" s="70"/>
      <c r="Y1166" s="70"/>
      <c r="Z1166" s="70"/>
      <c r="AA1166" s="70"/>
      <c r="AB1166" s="70"/>
    </row>
    <row r="1167" spans="1:28">
      <c r="A1167" s="70"/>
      <c r="B1167" s="70"/>
      <c r="C1167" s="70"/>
      <c r="D1167" s="70"/>
      <c r="E1167" s="70"/>
      <c r="F1167" s="70"/>
      <c r="G1167" s="271"/>
      <c r="H1167" s="271"/>
      <c r="I1167" s="269"/>
      <c r="J1167" s="269"/>
      <c r="K1167" s="269"/>
      <c r="L1167" s="269"/>
      <c r="M1167" s="269"/>
      <c r="N1167" s="269"/>
      <c r="O1167" s="269"/>
      <c r="P1167" s="269"/>
      <c r="Q1167" s="269"/>
      <c r="R1167" s="269"/>
      <c r="S1167" s="270"/>
      <c r="T1167" s="270"/>
      <c r="U1167" s="270"/>
      <c r="V1167" s="269"/>
      <c r="W1167" s="269"/>
      <c r="X1167" s="70"/>
      <c r="Y1167" s="70"/>
      <c r="Z1167" s="70"/>
      <c r="AA1167" s="70"/>
      <c r="AB1167" s="70"/>
    </row>
    <row r="1168" spans="1:28">
      <c r="A1168" s="70"/>
      <c r="B1168" s="70"/>
      <c r="C1168" s="70"/>
      <c r="D1168" s="70"/>
      <c r="E1168" s="70"/>
      <c r="F1168" s="70"/>
      <c r="G1168" s="149"/>
      <c r="H1168" s="149"/>
      <c r="I1168" s="70"/>
      <c r="J1168" s="70"/>
      <c r="K1168" s="70"/>
      <c r="L1168" s="70"/>
      <c r="M1168" s="70"/>
      <c r="N1168" s="70"/>
      <c r="O1168" s="70"/>
      <c r="P1168" s="70"/>
      <c r="Q1168" s="70"/>
      <c r="R1168" s="70"/>
      <c r="S1168" s="270"/>
      <c r="T1168" s="270"/>
      <c r="U1168" s="270"/>
      <c r="V1168" s="70"/>
      <c r="W1168" s="70"/>
      <c r="X1168" s="70"/>
      <c r="Y1168" s="70"/>
      <c r="Z1168" s="70"/>
      <c r="AA1168" s="70"/>
      <c r="AB1168" s="70"/>
    </row>
    <row r="1169" spans="1:28">
      <c r="A1169" s="70"/>
      <c r="B1169" s="70"/>
      <c r="C1169" s="70"/>
      <c r="D1169" s="70"/>
      <c r="E1169" s="70"/>
      <c r="F1169" s="70"/>
      <c r="G1169" s="149"/>
      <c r="H1169" s="149"/>
      <c r="I1169" s="269"/>
      <c r="J1169" s="269"/>
      <c r="K1169" s="269"/>
      <c r="L1169" s="269"/>
      <c r="M1169" s="269"/>
      <c r="N1169" s="269"/>
      <c r="O1169" s="269"/>
      <c r="P1169" s="269"/>
      <c r="Q1169" s="269"/>
      <c r="R1169" s="269"/>
      <c r="S1169" s="270"/>
      <c r="T1169" s="270"/>
      <c r="U1169" s="270"/>
      <c r="V1169" s="269"/>
      <c r="W1169" s="269"/>
      <c r="X1169" s="70"/>
      <c r="Y1169" s="70"/>
      <c r="Z1169" s="70"/>
      <c r="AA1169" s="70"/>
      <c r="AB1169" s="70"/>
    </row>
    <row r="1170" spans="1:28">
      <c r="A1170" s="70"/>
      <c r="B1170" s="70"/>
      <c r="C1170" s="70"/>
      <c r="D1170" s="70"/>
      <c r="E1170" s="70"/>
      <c r="F1170" s="70"/>
      <c r="G1170" s="193"/>
      <c r="H1170" s="193"/>
      <c r="I1170" s="193"/>
      <c r="J1170" s="193"/>
      <c r="K1170" s="193"/>
      <c r="L1170" s="193"/>
      <c r="M1170" s="193"/>
      <c r="N1170" s="193"/>
      <c r="O1170" s="193"/>
      <c r="P1170" s="193"/>
      <c r="Q1170" s="193"/>
      <c r="R1170" s="193"/>
      <c r="S1170" s="193"/>
      <c r="T1170" s="270"/>
      <c r="U1170" s="270"/>
      <c r="V1170" s="193"/>
      <c r="W1170" s="193"/>
      <c r="X1170" s="193"/>
      <c r="Y1170" s="193"/>
      <c r="Z1170" s="193"/>
      <c r="AA1170" s="70"/>
      <c r="AB1170" s="70"/>
    </row>
    <row r="1171" spans="1:28">
      <c r="A1171" s="70"/>
      <c r="B1171" s="70"/>
      <c r="C1171" s="70"/>
      <c r="D1171" s="70"/>
      <c r="E1171" s="70"/>
      <c r="F1171" s="70"/>
      <c r="G1171" s="193"/>
      <c r="H1171" s="193"/>
      <c r="I1171" s="193"/>
      <c r="J1171" s="193"/>
      <c r="K1171" s="193"/>
      <c r="L1171" s="193"/>
      <c r="M1171" s="193"/>
      <c r="N1171" s="193"/>
      <c r="O1171" s="193"/>
      <c r="P1171" s="193"/>
      <c r="Q1171" s="193"/>
      <c r="R1171" s="193"/>
      <c r="S1171" s="193"/>
      <c r="T1171" s="270"/>
      <c r="U1171" s="270"/>
      <c r="V1171" s="193"/>
      <c r="W1171" s="193"/>
      <c r="X1171" s="193"/>
      <c r="Y1171" s="193"/>
      <c r="Z1171" s="193"/>
      <c r="AA1171" s="70"/>
      <c r="AB1171" s="70"/>
    </row>
    <row r="1172" spans="1:28">
      <c r="A1172" s="70"/>
      <c r="B1172" s="70"/>
      <c r="C1172" s="70"/>
      <c r="D1172" s="70"/>
      <c r="E1172" s="70"/>
      <c r="F1172" s="70"/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</row>
    <row r="1173" spans="1:28">
      <c r="A1173" s="70"/>
      <c r="B1173" s="70"/>
      <c r="C1173" s="70"/>
      <c r="D1173" s="70"/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</row>
    <row r="1174" spans="1:28" ht="15">
      <c r="A1174" s="136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</row>
    <row r="1175" spans="1:28">
      <c r="A1175" s="70"/>
      <c r="B1175" s="70"/>
      <c r="C1175" s="70"/>
      <c r="D1175" s="70"/>
      <c r="E1175" s="70"/>
      <c r="F1175" s="70"/>
      <c r="G1175" s="273"/>
      <c r="H1175" s="273"/>
      <c r="I1175" s="269"/>
      <c r="J1175" s="269"/>
      <c r="K1175" s="269"/>
      <c r="L1175" s="269"/>
      <c r="M1175" s="269"/>
      <c r="N1175" s="269"/>
      <c r="O1175" s="269"/>
      <c r="P1175" s="269"/>
      <c r="Q1175" s="269"/>
      <c r="R1175" s="269"/>
      <c r="S1175" s="273"/>
      <c r="T1175" s="273"/>
      <c r="U1175" s="273"/>
      <c r="V1175" s="269"/>
      <c r="W1175" s="269"/>
      <c r="X1175" s="70"/>
      <c r="Y1175" s="70"/>
      <c r="Z1175" s="70"/>
      <c r="AA1175" s="70"/>
      <c r="AB1175" s="70"/>
    </row>
    <row r="1176" spans="1:28">
      <c r="A1176" s="70"/>
      <c r="B1176" s="70"/>
      <c r="C1176" s="70"/>
      <c r="D1176" s="70"/>
      <c r="E1176" s="70"/>
      <c r="F1176" s="70"/>
      <c r="G1176" s="273"/>
      <c r="H1176" s="273"/>
      <c r="I1176" s="269"/>
      <c r="J1176" s="269"/>
      <c r="K1176" s="269"/>
      <c r="L1176" s="269"/>
      <c r="M1176" s="269"/>
      <c r="N1176" s="269"/>
      <c r="O1176" s="269"/>
      <c r="P1176" s="269"/>
      <c r="Q1176" s="269"/>
      <c r="R1176" s="269"/>
      <c r="S1176" s="273"/>
      <c r="T1176" s="274"/>
      <c r="U1176" s="274"/>
      <c r="V1176" s="269"/>
      <c r="W1176" s="269"/>
      <c r="X1176" s="273"/>
      <c r="Y1176" s="273"/>
      <c r="Z1176" s="273"/>
      <c r="AA1176" s="70"/>
      <c r="AB1176" s="70"/>
    </row>
    <row r="1177" spans="1:28">
      <c r="A1177" s="70"/>
      <c r="B1177" s="70"/>
      <c r="C1177" s="70"/>
      <c r="D1177" s="70"/>
      <c r="E1177" s="70"/>
      <c r="F1177" s="70"/>
      <c r="G1177" s="273"/>
      <c r="H1177" s="273"/>
      <c r="I1177" s="273"/>
      <c r="J1177" s="273"/>
      <c r="K1177" s="273"/>
      <c r="L1177" s="273"/>
      <c r="M1177" s="273"/>
      <c r="N1177" s="273"/>
      <c r="O1177" s="273"/>
      <c r="P1177" s="273"/>
      <c r="Q1177" s="273"/>
      <c r="R1177" s="273"/>
      <c r="S1177" s="273"/>
      <c r="T1177" s="273"/>
      <c r="U1177" s="273"/>
      <c r="V1177" s="273"/>
      <c r="W1177" s="273"/>
      <c r="X1177" s="273"/>
      <c r="Y1177" s="273"/>
      <c r="Z1177" s="273"/>
      <c r="AA1177" s="70"/>
      <c r="AB1177" s="70"/>
    </row>
    <row r="1178" spans="1:28">
      <c r="A1178" s="70"/>
      <c r="B1178" s="70"/>
      <c r="C1178" s="70"/>
      <c r="D1178" s="70"/>
      <c r="E1178" s="70"/>
      <c r="F1178" s="70"/>
      <c r="G1178" s="273"/>
      <c r="H1178" s="273"/>
      <c r="I1178" s="269"/>
      <c r="J1178" s="269"/>
      <c r="K1178" s="269"/>
      <c r="L1178" s="269"/>
      <c r="M1178" s="269"/>
      <c r="N1178" s="269"/>
      <c r="O1178" s="269"/>
      <c r="P1178" s="269"/>
      <c r="Q1178" s="269"/>
      <c r="R1178" s="269"/>
      <c r="S1178" s="273"/>
      <c r="T1178" s="273"/>
      <c r="U1178" s="273"/>
      <c r="V1178" s="269"/>
      <c r="W1178" s="269"/>
      <c r="X1178" s="273"/>
      <c r="Y1178" s="273"/>
      <c r="Z1178" s="273"/>
      <c r="AA1178" s="70"/>
      <c r="AB1178" s="70"/>
    </row>
    <row r="1179" spans="1:28">
      <c r="A1179" s="70"/>
      <c r="B1179" s="70"/>
      <c r="C1179" s="70"/>
      <c r="D1179" s="70"/>
      <c r="E1179" s="70"/>
      <c r="F1179" s="70"/>
      <c r="G1179" s="273"/>
      <c r="H1179" s="273"/>
      <c r="I1179" s="269"/>
      <c r="J1179" s="269"/>
      <c r="K1179" s="269"/>
      <c r="L1179" s="269"/>
      <c r="M1179" s="269"/>
      <c r="N1179" s="269"/>
      <c r="O1179" s="269"/>
      <c r="P1179" s="269"/>
      <c r="Q1179" s="269"/>
      <c r="R1179" s="269"/>
      <c r="S1179" s="273"/>
      <c r="T1179" s="273"/>
      <c r="U1179" s="273"/>
      <c r="V1179" s="269"/>
      <c r="W1179" s="269"/>
      <c r="X1179" s="70"/>
      <c r="Y1179" s="70"/>
      <c r="Z1179" s="70"/>
      <c r="AA1179" s="70"/>
      <c r="AB1179" s="70"/>
    </row>
    <row r="1180" spans="1:28">
      <c r="A1180" s="70"/>
      <c r="B1180" s="70"/>
      <c r="C1180" s="70"/>
      <c r="D1180" s="70"/>
      <c r="E1180" s="70"/>
      <c r="F1180" s="70"/>
      <c r="G1180" s="273"/>
      <c r="H1180" s="273"/>
      <c r="I1180" s="269"/>
      <c r="J1180" s="269"/>
      <c r="K1180" s="269"/>
      <c r="L1180" s="269"/>
      <c r="M1180" s="269"/>
      <c r="N1180" s="269"/>
      <c r="O1180" s="269"/>
      <c r="P1180" s="269"/>
      <c r="Q1180" s="269"/>
      <c r="R1180" s="269"/>
      <c r="S1180" s="273"/>
      <c r="T1180" s="273"/>
      <c r="U1180" s="273"/>
      <c r="V1180" s="269"/>
      <c r="W1180" s="269"/>
      <c r="X1180" s="70"/>
      <c r="Y1180" s="70"/>
      <c r="Z1180" s="70"/>
      <c r="AA1180" s="70"/>
      <c r="AB1180" s="70"/>
    </row>
    <row r="1181" spans="1:28">
      <c r="A1181" s="70"/>
      <c r="B1181" s="70"/>
      <c r="C1181" s="70"/>
      <c r="D1181" s="70"/>
      <c r="E1181" s="70"/>
      <c r="F1181" s="70"/>
      <c r="G1181" s="273"/>
      <c r="H1181" s="273"/>
      <c r="I1181" s="70"/>
      <c r="J1181" s="70"/>
      <c r="K1181" s="70"/>
      <c r="L1181" s="70"/>
      <c r="M1181" s="70"/>
      <c r="N1181" s="70"/>
      <c r="O1181" s="70"/>
      <c r="P1181" s="70"/>
      <c r="Q1181" s="70"/>
      <c r="R1181" s="70"/>
      <c r="S1181" s="273"/>
      <c r="T1181" s="273"/>
      <c r="U1181" s="273"/>
      <c r="V1181" s="70"/>
      <c r="W1181" s="70"/>
      <c r="X1181" s="70"/>
      <c r="Y1181" s="70"/>
      <c r="Z1181" s="70"/>
      <c r="AA1181" s="70"/>
      <c r="AB1181" s="70"/>
    </row>
    <row r="1182" spans="1:28">
      <c r="A1182" s="70"/>
      <c r="B1182" s="70"/>
      <c r="C1182" s="70"/>
      <c r="D1182" s="70"/>
      <c r="E1182" s="70"/>
      <c r="F1182" s="70"/>
      <c r="G1182" s="273"/>
      <c r="H1182" s="273"/>
      <c r="I1182" s="267"/>
      <c r="J1182" s="267"/>
      <c r="K1182" s="267"/>
      <c r="L1182" s="267"/>
      <c r="M1182" s="267"/>
      <c r="N1182" s="267"/>
      <c r="O1182" s="267"/>
      <c r="P1182" s="267"/>
      <c r="Q1182" s="267"/>
      <c r="R1182" s="267"/>
      <c r="S1182" s="273"/>
      <c r="T1182" s="273"/>
      <c r="U1182" s="273"/>
      <c r="V1182" s="267"/>
      <c r="W1182" s="267"/>
      <c r="X1182" s="70"/>
      <c r="Y1182" s="70"/>
      <c r="Z1182" s="70"/>
      <c r="AA1182" s="70"/>
      <c r="AB1182" s="70"/>
    </row>
    <row r="1183" spans="1:28">
      <c r="A1183" s="70"/>
      <c r="B1183" s="70"/>
      <c r="C1183" s="70"/>
      <c r="D1183" s="70"/>
      <c r="E1183" s="70"/>
      <c r="F1183" s="70"/>
      <c r="G1183" s="273"/>
      <c r="H1183" s="273"/>
      <c r="I1183" s="273"/>
      <c r="J1183" s="273"/>
      <c r="K1183" s="273"/>
      <c r="L1183" s="273"/>
      <c r="M1183" s="273"/>
      <c r="N1183" s="273"/>
      <c r="O1183" s="273"/>
      <c r="P1183" s="273"/>
      <c r="Q1183" s="273"/>
      <c r="R1183" s="273"/>
      <c r="S1183" s="273"/>
      <c r="T1183" s="273"/>
      <c r="U1183" s="273"/>
      <c r="V1183" s="273"/>
      <c r="W1183" s="273"/>
      <c r="X1183" s="70"/>
      <c r="Y1183" s="70"/>
      <c r="Z1183" s="70"/>
      <c r="AA1183" s="70"/>
      <c r="AB1183" s="70"/>
    </row>
    <row r="1184" spans="1:28">
      <c r="A1184" s="70"/>
      <c r="B1184" s="70"/>
      <c r="C1184" s="70"/>
      <c r="D1184" s="70"/>
      <c r="E1184" s="70"/>
      <c r="F1184" s="70"/>
      <c r="G1184" s="268"/>
      <c r="H1184" s="268"/>
      <c r="I1184" s="268"/>
      <c r="J1184" s="268"/>
      <c r="K1184" s="268"/>
      <c r="L1184" s="268"/>
      <c r="M1184" s="268"/>
      <c r="N1184" s="268"/>
      <c r="O1184" s="268"/>
      <c r="P1184" s="268"/>
      <c r="Q1184" s="268"/>
      <c r="R1184" s="268"/>
      <c r="S1184" s="268"/>
      <c r="T1184" s="268"/>
      <c r="U1184" s="268"/>
      <c r="V1184" s="268"/>
      <c r="W1184" s="268"/>
      <c r="X1184" s="70"/>
      <c r="Y1184" s="70"/>
      <c r="Z1184" s="70"/>
      <c r="AA1184" s="70"/>
      <c r="AB1184" s="70"/>
    </row>
    <row r="1185" spans="1:28">
      <c r="A1185" s="70"/>
      <c r="B1185" s="70"/>
      <c r="C1185" s="70"/>
      <c r="D1185" s="70"/>
      <c r="E1185" s="70"/>
      <c r="F1185" s="70"/>
      <c r="G1185" s="268"/>
      <c r="H1185" s="268"/>
      <c r="I1185" s="268"/>
      <c r="J1185" s="268"/>
      <c r="K1185" s="268"/>
      <c r="L1185" s="268"/>
      <c r="M1185" s="268"/>
      <c r="N1185" s="268"/>
      <c r="O1185" s="268"/>
      <c r="P1185" s="268"/>
      <c r="Q1185" s="268"/>
      <c r="R1185" s="268"/>
      <c r="S1185" s="268"/>
      <c r="T1185" s="268"/>
      <c r="U1185" s="268"/>
      <c r="V1185" s="268"/>
      <c r="W1185" s="268"/>
      <c r="X1185" s="70"/>
      <c r="Y1185" s="70"/>
      <c r="Z1185" s="70"/>
      <c r="AA1185" s="70"/>
      <c r="AB1185" s="70"/>
    </row>
    <row r="1186" spans="1:28">
      <c r="A1186" s="275"/>
      <c r="B1186" s="70"/>
      <c r="C1186" s="70"/>
      <c r="D1186" s="70"/>
      <c r="E1186" s="70"/>
      <c r="F1186" s="70"/>
      <c r="G1186" s="268"/>
      <c r="H1186" s="268"/>
      <c r="I1186" s="268"/>
      <c r="J1186" s="268"/>
      <c r="K1186" s="268"/>
      <c r="L1186" s="268"/>
      <c r="M1186" s="268"/>
      <c r="N1186" s="268"/>
      <c r="O1186" s="268"/>
      <c r="P1186" s="268"/>
      <c r="Q1186" s="268"/>
      <c r="R1186" s="268"/>
      <c r="S1186" s="268"/>
      <c r="T1186" s="268"/>
      <c r="U1186" s="268"/>
      <c r="V1186" s="268"/>
      <c r="W1186" s="268"/>
      <c r="X1186" s="70"/>
      <c r="Y1186" s="70"/>
      <c r="Z1186" s="70"/>
      <c r="AA1186" s="70"/>
      <c r="AB1186" s="70"/>
    </row>
    <row r="1187" spans="1:28">
      <c r="A1187" s="275"/>
      <c r="B1187" s="70"/>
      <c r="C1187" s="70"/>
      <c r="D1187" s="70"/>
      <c r="E1187" s="70"/>
      <c r="F1187" s="70"/>
      <c r="G1187" s="268"/>
      <c r="H1187" s="268"/>
      <c r="I1187" s="268"/>
      <c r="J1187" s="268"/>
      <c r="K1187" s="268"/>
      <c r="L1187" s="268"/>
      <c r="M1187" s="268"/>
      <c r="N1187" s="268"/>
      <c r="O1187" s="268"/>
      <c r="P1187" s="268"/>
      <c r="Q1187" s="268"/>
      <c r="R1187" s="268"/>
      <c r="S1187" s="268"/>
      <c r="T1187" s="268"/>
      <c r="U1187" s="268"/>
      <c r="V1187" s="268"/>
      <c r="W1187" s="268"/>
      <c r="X1187" s="70"/>
      <c r="Y1187" s="70"/>
      <c r="Z1187" s="70"/>
      <c r="AA1187" s="70"/>
      <c r="AB1187" s="70"/>
    </row>
    <row r="1188" spans="1:28">
      <c r="A1188" s="275"/>
      <c r="B1188" s="70"/>
      <c r="C1188" s="70"/>
      <c r="D1188" s="70"/>
      <c r="E1188" s="70"/>
      <c r="F1188" s="70"/>
      <c r="G1188" s="268"/>
      <c r="H1188" s="268"/>
      <c r="I1188" s="268"/>
      <c r="J1188" s="268"/>
      <c r="K1188" s="268"/>
      <c r="L1188" s="268"/>
      <c r="M1188" s="268"/>
      <c r="N1188" s="268"/>
      <c r="O1188" s="268"/>
      <c r="P1188" s="268"/>
      <c r="Q1188" s="268"/>
      <c r="R1188" s="268"/>
      <c r="S1188" s="268"/>
      <c r="T1188" s="268"/>
      <c r="U1188" s="268"/>
      <c r="V1188" s="268"/>
      <c r="W1188" s="268"/>
      <c r="X1188" s="70"/>
      <c r="Y1188" s="70"/>
      <c r="Z1188" s="70"/>
      <c r="AA1188" s="70"/>
      <c r="AB1188" s="70"/>
    </row>
    <row r="1189" spans="1:28">
      <c r="A1189" s="275"/>
      <c r="B1189" s="70"/>
      <c r="C1189" s="70"/>
      <c r="D1189" s="70"/>
      <c r="E1189" s="70"/>
      <c r="F1189" s="70"/>
      <c r="G1189" s="268"/>
      <c r="H1189" s="268"/>
      <c r="I1189" s="268"/>
      <c r="J1189" s="268"/>
      <c r="K1189" s="268"/>
      <c r="L1189" s="268"/>
      <c r="M1189" s="268"/>
      <c r="N1189" s="268"/>
      <c r="O1189" s="268"/>
      <c r="P1189" s="268"/>
      <c r="Q1189" s="268"/>
      <c r="R1189" s="268"/>
      <c r="S1189" s="268"/>
      <c r="T1189" s="268"/>
      <c r="U1189" s="268"/>
      <c r="V1189" s="268"/>
      <c r="W1189" s="268"/>
      <c r="X1189" s="70"/>
      <c r="Y1189" s="70"/>
      <c r="Z1189" s="70"/>
      <c r="AA1189" s="70"/>
      <c r="AB1189" s="70"/>
    </row>
    <row r="1190" spans="1:28" ht="15">
      <c r="A1190" s="136"/>
      <c r="B1190" s="70"/>
      <c r="C1190" s="70"/>
      <c r="D1190" s="70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</row>
    <row r="1191" spans="1:28" ht="15">
      <c r="A1191" s="136"/>
      <c r="B1191" s="70"/>
      <c r="C1191" s="70"/>
      <c r="D1191" s="70"/>
      <c r="E1191" s="70"/>
      <c r="F1191" s="70"/>
      <c r="G1191" s="70"/>
      <c r="H1191" s="70"/>
      <c r="I1191" s="70"/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</row>
    <row r="1192" spans="1:28" ht="15">
      <c r="A1192" s="136"/>
      <c r="B1192" s="70"/>
      <c r="C1192" s="70"/>
      <c r="D1192" s="70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</row>
    <row r="1193" spans="1:28">
      <c r="A1193" s="70"/>
      <c r="B1193" s="70"/>
      <c r="C1193" s="70"/>
      <c r="D1193" s="70"/>
      <c r="E1193" s="70"/>
      <c r="F1193" s="70"/>
      <c r="G1193" s="149"/>
      <c r="H1193" s="149"/>
      <c r="I1193" s="149"/>
      <c r="J1193" s="149"/>
      <c r="K1193" s="149"/>
      <c r="L1193" s="149"/>
      <c r="M1193" s="149"/>
      <c r="N1193" s="149"/>
      <c r="O1193" s="149"/>
      <c r="P1193" s="149"/>
      <c r="Q1193" s="149"/>
      <c r="R1193" s="149"/>
      <c r="S1193" s="149"/>
      <c r="T1193" s="149"/>
      <c r="U1193" s="149"/>
      <c r="V1193" s="149"/>
      <c r="W1193" s="149"/>
      <c r="X1193" s="149"/>
      <c r="Y1193" s="149"/>
      <c r="Z1193" s="149"/>
      <c r="AA1193" s="70"/>
      <c r="AB1193" s="70"/>
    </row>
    <row r="1194" spans="1:28" ht="16.5">
      <c r="A1194" s="70"/>
      <c r="B1194" s="70"/>
      <c r="C1194" s="70"/>
      <c r="D1194" s="70"/>
      <c r="E1194" s="70"/>
      <c r="F1194" s="70"/>
      <c r="G1194" s="276"/>
      <c r="H1194" s="276"/>
      <c r="I1194" s="276"/>
      <c r="J1194" s="276"/>
      <c r="K1194" s="276"/>
      <c r="L1194" s="276"/>
      <c r="M1194" s="276"/>
      <c r="N1194" s="276"/>
      <c r="O1194" s="276"/>
      <c r="P1194" s="276"/>
      <c r="Q1194" s="276"/>
      <c r="R1194" s="276"/>
      <c r="S1194" s="276"/>
      <c r="T1194" s="276"/>
      <c r="U1194" s="276"/>
      <c r="V1194" s="276"/>
      <c r="W1194" s="276"/>
      <c r="X1194" s="149"/>
      <c r="Y1194" s="149"/>
      <c r="Z1194" s="149"/>
      <c r="AA1194" s="70"/>
      <c r="AB1194" s="70"/>
    </row>
    <row r="1195" spans="1:28">
      <c r="A1195" s="70"/>
      <c r="B1195" s="70"/>
      <c r="C1195" s="70"/>
      <c r="D1195" s="70"/>
      <c r="E1195" s="70"/>
      <c r="F1195" s="70"/>
      <c r="G1195" s="149"/>
      <c r="H1195" s="149"/>
      <c r="I1195" s="149"/>
      <c r="J1195" s="149"/>
      <c r="K1195" s="149"/>
      <c r="L1195" s="149"/>
      <c r="M1195" s="149"/>
      <c r="N1195" s="149"/>
      <c r="O1195" s="149"/>
      <c r="P1195" s="149"/>
      <c r="Q1195" s="149"/>
      <c r="R1195" s="149"/>
      <c r="S1195" s="149"/>
      <c r="T1195" s="149"/>
      <c r="U1195" s="149"/>
      <c r="V1195" s="149"/>
      <c r="W1195" s="149"/>
      <c r="X1195" s="149"/>
      <c r="Y1195" s="149"/>
      <c r="Z1195" s="149"/>
      <c r="AA1195" s="70"/>
      <c r="AB1195" s="70"/>
    </row>
    <row r="1196" spans="1:28" ht="15">
      <c r="A1196" s="136"/>
      <c r="B1196" s="70"/>
      <c r="C1196" s="70"/>
      <c r="D1196" s="70"/>
      <c r="E1196" s="70"/>
      <c r="F1196" s="70"/>
      <c r="G1196" s="70"/>
      <c r="H1196" s="70"/>
      <c r="I1196" s="70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</row>
    <row r="1197" spans="1:28" ht="15">
      <c r="A1197" s="136"/>
      <c r="B1197" s="70"/>
      <c r="C1197" s="70"/>
      <c r="D1197" s="70"/>
      <c r="E1197" s="70"/>
      <c r="F1197" s="70"/>
      <c r="G1197" s="70"/>
      <c r="H1197" s="70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</row>
    <row r="1198" spans="1:28">
      <c r="A1198" s="70"/>
      <c r="B1198" s="70"/>
      <c r="C1198" s="70"/>
      <c r="D1198" s="70"/>
      <c r="E1198" s="70"/>
      <c r="F1198" s="70"/>
      <c r="G1198" s="149"/>
      <c r="H1198" s="149"/>
      <c r="I1198" s="149"/>
      <c r="J1198" s="149"/>
      <c r="K1198" s="149"/>
      <c r="L1198" s="149"/>
      <c r="M1198" s="149"/>
      <c r="N1198" s="149"/>
      <c r="O1198" s="149"/>
      <c r="P1198" s="149"/>
      <c r="Q1198" s="149"/>
      <c r="R1198" s="149"/>
      <c r="S1198" s="149"/>
      <c r="T1198" s="149"/>
      <c r="U1198" s="149"/>
      <c r="V1198" s="149"/>
      <c r="W1198" s="149"/>
      <c r="X1198" s="149"/>
      <c r="Y1198" s="149"/>
      <c r="Z1198" s="149"/>
      <c r="AA1198" s="70"/>
      <c r="AB1198" s="70"/>
    </row>
    <row r="1199" spans="1:28" ht="16.5">
      <c r="A1199" s="70"/>
      <c r="B1199" s="70"/>
      <c r="C1199" s="70"/>
      <c r="D1199" s="70"/>
      <c r="E1199" s="70"/>
      <c r="F1199" s="70"/>
      <c r="G1199" s="276"/>
      <c r="H1199" s="276"/>
      <c r="I1199" s="276"/>
      <c r="J1199" s="276"/>
      <c r="K1199" s="276"/>
      <c r="L1199" s="276"/>
      <c r="M1199" s="276"/>
      <c r="N1199" s="276"/>
      <c r="O1199" s="276"/>
      <c r="P1199" s="276"/>
      <c r="Q1199" s="276"/>
      <c r="R1199" s="276"/>
      <c r="S1199" s="276"/>
      <c r="T1199" s="276"/>
      <c r="U1199" s="276"/>
      <c r="V1199" s="276"/>
      <c r="W1199" s="276"/>
      <c r="X1199" s="149"/>
      <c r="Y1199" s="149"/>
      <c r="Z1199" s="149"/>
      <c r="AA1199" s="70"/>
      <c r="AB1199" s="70"/>
    </row>
    <row r="1200" spans="1:28">
      <c r="A1200" s="70"/>
      <c r="B1200" s="70"/>
      <c r="C1200" s="70"/>
      <c r="D1200" s="70"/>
      <c r="E1200" s="70"/>
      <c r="F1200" s="70"/>
      <c r="G1200" s="149"/>
      <c r="H1200" s="149"/>
      <c r="I1200" s="149"/>
      <c r="J1200" s="149"/>
      <c r="K1200" s="149"/>
      <c r="L1200" s="149"/>
      <c r="M1200" s="149"/>
      <c r="N1200" s="149"/>
      <c r="O1200" s="149"/>
      <c r="P1200" s="149"/>
      <c r="Q1200" s="149"/>
      <c r="R1200" s="149"/>
      <c r="S1200" s="149"/>
      <c r="T1200" s="149"/>
      <c r="U1200" s="149"/>
      <c r="V1200" s="149"/>
      <c r="W1200" s="149"/>
      <c r="X1200" s="149"/>
      <c r="Y1200" s="149"/>
      <c r="Z1200" s="149"/>
      <c r="AA1200" s="70"/>
      <c r="AB1200" s="70"/>
    </row>
    <row r="1201" spans="1:28">
      <c r="A1201" s="70"/>
      <c r="B1201" s="70"/>
      <c r="C1201" s="70"/>
      <c r="D1201" s="70"/>
      <c r="E1201" s="70"/>
      <c r="F1201" s="70"/>
      <c r="G1201" s="70"/>
      <c r="H1201" s="70"/>
      <c r="I1201" s="70"/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</row>
    <row r="1202" spans="1:28" ht="15">
      <c r="A1202" s="136"/>
      <c r="B1202" s="70"/>
      <c r="C1202" s="70"/>
      <c r="D1202" s="70"/>
      <c r="E1202" s="70"/>
      <c r="F1202" s="70"/>
      <c r="G1202" s="70"/>
      <c r="H1202" s="70"/>
      <c r="I1202" s="70"/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</row>
    <row r="1203" spans="1:28">
      <c r="A1203" s="70"/>
      <c r="B1203" s="70"/>
      <c r="C1203" s="70"/>
      <c r="D1203" s="70"/>
      <c r="E1203" s="70"/>
      <c r="F1203" s="70"/>
      <c r="G1203" s="149"/>
      <c r="H1203" s="149"/>
      <c r="I1203" s="149"/>
      <c r="J1203" s="149"/>
      <c r="K1203" s="149"/>
      <c r="L1203" s="149"/>
      <c r="M1203" s="149"/>
      <c r="N1203" s="149"/>
      <c r="O1203" s="149"/>
      <c r="P1203" s="149"/>
      <c r="Q1203" s="149"/>
      <c r="R1203" s="149"/>
      <c r="S1203" s="149"/>
      <c r="T1203" s="149"/>
      <c r="U1203" s="149"/>
      <c r="V1203" s="149"/>
      <c r="W1203" s="149"/>
      <c r="X1203" s="149"/>
      <c r="Y1203" s="149"/>
      <c r="Z1203" s="149"/>
      <c r="AA1203" s="70"/>
      <c r="AB1203" s="70"/>
    </row>
    <row r="1204" spans="1:28" ht="16.5">
      <c r="A1204" s="70"/>
      <c r="B1204" s="70"/>
      <c r="C1204" s="70"/>
      <c r="D1204" s="70"/>
      <c r="E1204" s="70"/>
      <c r="F1204" s="70"/>
      <c r="G1204" s="276"/>
      <c r="H1204" s="276"/>
      <c r="I1204" s="276"/>
      <c r="J1204" s="276"/>
      <c r="K1204" s="276"/>
      <c r="L1204" s="276"/>
      <c r="M1204" s="276"/>
      <c r="N1204" s="276"/>
      <c r="O1204" s="276"/>
      <c r="P1204" s="276"/>
      <c r="Q1204" s="276"/>
      <c r="R1204" s="276"/>
      <c r="S1204" s="276"/>
      <c r="T1204" s="276"/>
      <c r="U1204" s="276"/>
      <c r="V1204" s="276"/>
      <c r="W1204" s="276"/>
      <c r="X1204" s="149"/>
      <c r="Y1204" s="149"/>
      <c r="Z1204" s="149"/>
      <c r="AA1204" s="70"/>
      <c r="AB1204" s="70"/>
    </row>
    <row r="1205" spans="1:28">
      <c r="A1205" s="70"/>
      <c r="B1205" s="70"/>
      <c r="C1205" s="70"/>
      <c r="D1205" s="70"/>
      <c r="E1205" s="70"/>
      <c r="F1205" s="70"/>
      <c r="G1205" s="149"/>
      <c r="H1205" s="149"/>
      <c r="I1205" s="149"/>
      <c r="J1205" s="149"/>
      <c r="K1205" s="149"/>
      <c r="L1205" s="149"/>
      <c r="M1205" s="149"/>
      <c r="N1205" s="149"/>
      <c r="O1205" s="149"/>
      <c r="P1205" s="149"/>
      <c r="Q1205" s="149"/>
      <c r="R1205" s="149"/>
      <c r="S1205" s="149"/>
      <c r="T1205" s="149"/>
      <c r="U1205" s="149"/>
      <c r="V1205" s="149"/>
      <c r="W1205" s="149"/>
      <c r="X1205" s="149"/>
      <c r="Y1205" s="149"/>
      <c r="Z1205" s="149"/>
      <c r="AA1205" s="70"/>
      <c r="AB1205" s="70"/>
    </row>
    <row r="1206" spans="1:28">
      <c r="A1206" s="70"/>
      <c r="B1206" s="70"/>
      <c r="C1206" s="70"/>
      <c r="D1206" s="70"/>
      <c r="E1206" s="70"/>
      <c r="F1206" s="70"/>
      <c r="G1206" s="149"/>
      <c r="H1206" s="149"/>
      <c r="I1206" s="149"/>
      <c r="J1206" s="149"/>
      <c r="K1206" s="149"/>
      <c r="L1206" s="149"/>
      <c r="M1206" s="149"/>
      <c r="N1206" s="149"/>
      <c r="O1206" s="149"/>
      <c r="P1206" s="149"/>
      <c r="Q1206" s="149"/>
      <c r="R1206" s="149"/>
      <c r="S1206" s="149"/>
      <c r="T1206" s="149"/>
      <c r="U1206" s="149"/>
      <c r="V1206" s="149"/>
      <c r="W1206" s="149"/>
      <c r="X1206" s="149"/>
      <c r="Y1206" s="149"/>
      <c r="Z1206" s="149"/>
      <c r="AA1206" s="70"/>
      <c r="AB1206" s="70"/>
    </row>
    <row r="1207" spans="1:28" ht="15">
      <c r="A1207" s="136"/>
      <c r="B1207" s="70"/>
      <c r="C1207" s="70"/>
      <c r="D1207" s="70"/>
      <c r="E1207" s="70"/>
      <c r="F1207" s="70"/>
      <c r="G1207" s="70"/>
      <c r="H1207" s="70"/>
      <c r="I1207" s="70"/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</row>
    <row r="1208" spans="1:28">
      <c r="A1208" s="70"/>
      <c r="B1208" s="70"/>
      <c r="C1208" s="70"/>
      <c r="D1208" s="70"/>
      <c r="E1208" s="70"/>
      <c r="F1208" s="70"/>
      <c r="G1208" s="149"/>
      <c r="H1208" s="149"/>
      <c r="I1208" s="149"/>
      <c r="J1208" s="149"/>
      <c r="K1208" s="149"/>
      <c r="L1208" s="149"/>
      <c r="M1208" s="149"/>
      <c r="N1208" s="149"/>
      <c r="O1208" s="149"/>
      <c r="P1208" s="149"/>
      <c r="Q1208" s="149"/>
      <c r="R1208" s="149"/>
      <c r="S1208" s="149"/>
      <c r="T1208" s="149"/>
      <c r="U1208" s="149"/>
      <c r="V1208" s="149"/>
      <c r="W1208" s="149"/>
      <c r="X1208" s="149"/>
      <c r="Y1208" s="149"/>
      <c r="Z1208" s="149"/>
      <c r="AA1208" s="70"/>
      <c r="AB1208" s="70"/>
    </row>
    <row r="1209" spans="1:28" ht="16.5">
      <c r="A1209" s="70"/>
      <c r="B1209" s="70"/>
      <c r="C1209" s="70"/>
      <c r="D1209" s="70"/>
      <c r="E1209" s="70"/>
      <c r="F1209" s="70"/>
      <c r="G1209" s="276"/>
      <c r="H1209" s="276"/>
      <c r="I1209" s="276"/>
      <c r="J1209" s="276"/>
      <c r="K1209" s="276"/>
      <c r="L1209" s="276"/>
      <c r="M1209" s="276"/>
      <c r="N1209" s="276"/>
      <c r="O1209" s="276"/>
      <c r="P1209" s="276"/>
      <c r="Q1209" s="276"/>
      <c r="R1209" s="276"/>
      <c r="S1209" s="276"/>
      <c r="T1209" s="276"/>
      <c r="U1209" s="276"/>
      <c r="V1209" s="276"/>
      <c r="W1209" s="276"/>
      <c r="X1209" s="149"/>
      <c r="Y1209" s="149"/>
      <c r="Z1209" s="149"/>
      <c r="AA1209" s="70"/>
      <c r="AB1209" s="70"/>
    </row>
    <row r="1210" spans="1:28">
      <c r="A1210" s="70"/>
      <c r="B1210" s="70"/>
      <c r="C1210" s="70"/>
      <c r="D1210" s="70"/>
      <c r="E1210" s="70"/>
      <c r="F1210" s="70"/>
      <c r="G1210" s="149"/>
      <c r="H1210" s="149"/>
      <c r="I1210" s="149"/>
      <c r="J1210" s="149"/>
      <c r="K1210" s="149"/>
      <c r="L1210" s="149"/>
      <c r="M1210" s="149"/>
      <c r="N1210" s="149"/>
      <c r="O1210" s="149"/>
      <c r="P1210" s="149"/>
      <c r="Q1210" s="149"/>
      <c r="R1210" s="149"/>
      <c r="S1210" s="149"/>
      <c r="T1210" s="149"/>
      <c r="U1210" s="149"/>
      <c r="V1210" s="149"/>
      <c r="W1210" s="149"/>
      <c r="X1210" s="149"/>
      <c r="Y1210" s="149"/>
      <c r="Z1210" s="149"/>
      <c r="AA1210" s="70"/>
      <c r="AB1210" s="70"/>
    </row>
    <row r="1211" spans="1:28">
      <c r="A1211" s="70"/>
      <c r="B1211" s="70"/>
      <c r="C1211" s="70"/>
      <c r="D1211" s="70"/>
      <c r="E1211" s="70"/>
      <c r="F1211" s="70"/>
      <c r="G1211" s="149"/>
      <c r="H1211" s="149"/>
      <c r="I1211" s="149"/>
      <c r="J1211" s="149"/>
      <c r="K1211" s="149"/>
      <c r="L1211" s="149"/>
      <c r="M1211" s="149"/>
      <c r="N1211" s="149"/>
      <c r="O1211" s="149"/>
      <c r="P1211" s="149"/>
      <c r="Q1211" s="149"/>
      <c r="R1211" s="149"/>
      <c r="S1211" s="149"/>
      <c r="T1211" s="149"/>
      <c r="U1211" s="149"/>
      <c r="V1211" s="149"/>
      <c r="W1211" s="149"/>
      <c r="X1211" s="149"/>
      <c r="Y1211" s="149"/>
      <c r="Z1211" s="149"/>
      <c r="AA1211" s="70"/>
      <c r="AB1211" s="70"/>
    </row>
    <row r="1212" spans="1:28" ht="15">
      <c r="A1212" s="136"/>
      <c r="B1212" s="70"/>
      <c r="C1212" s="70"/>
      <c r="D1212" s="70"/>
      <c r="E1212" s="70"/>
      <c r="F1212" s="70"/>
      <c r="G1212" s="70"/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</row>
    <row r="1213" spans="1:28">
      <c r="A1213" s="70"/>
      <c r="B1213" s="70"/>
      <c r="C1213" s="70"/>
      <c r="D1213" s="70"/>
      <c r="E1213" s="70"/>
      <c r="F1213" s="70"/>
      <c r="G1213" s="149"/>
      <c r="H1213" s="149"/>
      <c r="I1213" s="149"/>
      <c r="J1213" s="149"/>
      <c r="K1213" s="149"/>
      <c r="L1213" s="149"/>
      <c r="M1213" s="149"/>
      <c r="N1213" s="149"/>
      <c r="O1213" s="149"/>
      <c r="P1213" s="149"/>
      <c r="Q1213" s="149"/>
      <c r="R1213" s="149"/>
      <c r="S1213" s="149"/>
      <c r="T1213" s="149"/>
      <c r="U1213" s="149"/>
      <c r="V1213" s="149"/>
      <c r="W1213" s="149"/>
      <c r="X1213" s="149"/>
      <c r="Y1213" s="149"/>
      <c r="Z1213" s="149"/>
      <c r="AA1213" s="70"/>
      <c r="AB1213" s="70"/>
    </row>
    <row r="1214" spans="1:28" ht="16.5">
      <c r="A1214" s="70"/>
      <c r="B1214" s="70"/>
      <c r="C1214" s="70"/>
      <c r="D1214" s="70"/>
      <c r="E1214" s="70"/>
      <c r="F1214" s="70"/>
      <c r="G1214" s="276"/>
      <c r="H1214" s="276"/>
      <c r="I1214" s="276"/>
      <c r="J1214" s="276"/>
      <c r="K1214" s="276"/>
      <c r="L1214" s="276"/>
      <c r="M1214" s="276"/>
      <c r="N1214" s="276"/>
      <c r="O1214" s="276"/>
      <c r="P1214" s="276"/>
      <c r="Q1214" s="276"/>
      <c r="R1214" s="276"/>
      <c r="S1214" s="276"/>
      <c r="T1214" s="276"/>
      <c r="U1214" s="276"/>
      <c r="V1214" s="276"/>
      <c r="W1214" s="276"/>
      <c r="X1214" s="149"/>
      <c r="Y1214" s="149"/>
      <c r="Z1214" s="149"/>
      <c r="AA1214" s="70"/>
      <c r="AB1214" s="70"/>
    </row>
    <row r="1215" spans="1:28">
      <c r="A1215" s="70"/>
      <c r="B1215" s="70"/>
      <c r="C1215" s="70"/>
      <c r="D1215" s="70"/>
      <c r="E1215" s="70"/>
      <c r="F1215" s="70"/>
      <c r="G1215" s="149"/>
      <c r="H1215" s="149"/>
      <c r="I1215" s="149"/>
      <c r="J1215" s="149"/>
      <c r="K1215" s="149"/>
      <c r="L1215" s="149"/>
      <c r="M1215" s="149"/>
      <c r="N1215" s="149"/>
      <c r="O1215" s="149"/>
      <c r="P1215" s="149"/>
      <c r="Q1215" s="149"/>
      <c r="R1215" s="149"/>
      <c r="S1215" s="149"/>
      <c r="T1215" s="149"/>
      <c r="U1215" s="149"/>
      <c r="V1215" s="149"/>
      <c r="W1215" s="149"/>
      <c r="X1215" s="149"/>
      <c r="Y1215" s="149"/>
      <c r="Z1215" s="149"/>
      <c r="AA1215" s="70"/>
      <c r="AB1215" s="70"/>
    </row>
    <row r="1216" spans="1:28">
      <c r="A1216" s="70"/>
      <c r="B1216" s="70"/>
      <c r="C1216" s="70"/>
      <c r="D1216" s="70"/>
      <c r="E1216" s="70"/>
      <c r="F1216" s="70"/>
      <c r="G1216" s="70"/>
      <c r="H1216" s="70"/>
      <c r="I1216" s="70"/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</row>
    <row r="1217" spans="1:28" ht="15">
      <c r="A1217" s="136"/>
      <c r="B1217" s="70"/>
      <c r="C1217" s="70"/>
      <c r="D1217" s="70"/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</row>
    <row r="1218" spans="1:28">
      <c r="A1218" s="70"/>
      <c r="B1218" s="70"/>
      <c r="C1218" s="70"/>
      <c r="D1218" s="70"/>
      <c r="E1218" s="70"/>
      <c r="F1218" s="70"/>
      <c r="G1218" s="149"/>
      <c r="H1218" s="149"/>
      <c r="I1218" s="149"/>
      <c r="J1218" s="149"/>
      <c r="K1218" s="149"/>
      <c r="L1218" s="149"/>
      <c r="M1218" s="149"/>
      <c r="N1218" s="149"/>
      <c r="O1218" s="149"/>
      <c r="P1218" s="149"/>
      <c r="Q1218" s="149"/>
      <c r="R1218" s="149"/>
      <c r="S1218" s="149"/>
      <c r="T1218" s="149"/>
      <c r="U1218" s="149"/>
      <c r="V1218" s="149"/>
      <c r="W1218" s="149"/>
      <c r="X1218" s="149"/>
      <c r="Y1218" s="149"/>
      <c r="Z1218" s="149"/>
      <c r="AA1218" s="70"/>
      <c r="AB1218" s="70"/>
    </row>
    <row r="1219" spans="1:28" ht="16.5">
      <c r="A1219" s="70"/>
      <c r="B1219" s="70"/>
      <c r="C1219" s="70"/>
      <c r="D1219" s="70"/>
      <c r="E1219" s="70"/>
      <c r="F1219" s="70"/>
      <c r="G1219" s="276"/>
      <c r="H1219" s="276"/>
      <c r="I1219" s="276"/>
      <c r="J1219" s="276"/>
      <c r="K1219" s="276"/>
      <c r="L1219" s="276"/>
      <c r="M1219" s="276"/>
      <c r="N1219" s="276"/>
      <c r="O1219" s="276"/>
      <c r="P1219" s="276"/>
      <c r="Q1219" s="276"/>
      <c r="R1219" s="276"/>
      <c r="S1219" s="276"/>
      <c r="T1219" s="276"/>
      <c r="U1219" s="276"/>
      <c r="V1219" s="276"/>
      <c r="W1219" s="276"/>
      <c r="X1219" s="149"/>
      <c r="Y1219" s="149"/>
      <c r="Z1219" s="149"/>
      <c r="AA1219" s="70"/>
      <c r="AB1219" s="70"/>
    </row>
    <row r="1220" spans="1:28">
      <c r="A1220" s="70"/>
      <c r="B1220" s="70"/>
      <c r="C1220" s="70"/>
      <c r="D1220" s="70"/>
      <c r="E1220" s="70"/>
      <c r="F1220" s="70"/>
      <c r="G1220" s="149"/>
      <c r="H1220" s="149"/>
      <c r="I1220" s="149"/>
      <c r="J1220" s="149"/>
      <c r="K1220" s="149"/>
      <c r="L1220" s="149"/>
      <c r="M1220" s="149"/>
      <c r="N1220" s="149"/>
      <c r="O1220" s="149"/>
      <c r="P1220" s="149"/>
      <c r="Q1220" s="149"/>
      <c r="R1220" s="149"/>
      <c r="S1220" s="149"/>
      <c r="T1220" s="149"/>
      <c r="U1220" s="149"/>
      <c r="V1220" s="149"/>
      <c r="W1220" s="149"/>
      <c r="X1220" s="149"/>
      <c r="Y1220" s="149"/>
      <c r="Z1220" s="149"/>
      <c r="AA1220" s="70"/>
      <c r="AB1220" s="70"/>
    </row>
    <row r="1221" spans="1:28">
      <c r="A1221" s="70"/>
      <c r="B1221" s="70"/>
      <c r="C1221" s="70"/>
      <c r="D1221" s="70"/>
      <c r="E1221" s="70"/>
      <c r="F1221" s="70"/>
      <c r="G1221" s="70"/>
      <c r="H1221" s="70"/>
      <c r="I1221" s="70"/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</row>
    <row r="1222" spans="1:28" ht="15">
      <c r="A1222" s="136"/>
      <c r="B1222" s="70"/>
      <c r="C1222" s="70"/>
      <c r="D1222" s="70"/>
      <c r="E1222" s="70"/>
      <c r="F1222" s="70"/>
      <c r="G1222" s="70"/>
      <c r="H1222" s="70"/>
      <c r="I1222" s="70"/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</row>
    <row r="1223" spans="1:28">
      <c r="A1223" s="70"/>
      <c r="B1223" s="70"/>
      <c r="C1223" s="70"/>
      <c r="D1223" s="70"/>
      <c r="E1223" s="70"/>
      <c r="F1223" s="70"/>
      <c r="G1223" s="149"/>
      <c r="H1223" s="149"/>
      <c r="I1223" s="149"/>
      <c r="J1223" s="149"/>
      <c r="K1223" s="149"/>
      <c r="L1223" s="149"/>
      <c r="M1223" s="149"/>
      <c r="N1223" s="149"/>
      <c r="O1223" s="149"/>
      <c r="P1223" s="149"/>
      <c r="Q1223" s="149"/>
      <c r="R1223" s="149"/>
      <c r="S1223" s="149"/>
      <c r="T1223" s="149"/>
      <c r="U1223" s="149"/>
      <c r="V1223" s="149"/>
      <c r="W1223" s="149"/>
      <c r="X1223" s="149"/>
      <c r="Y1223" s="149"/>
      <c r="Z1223" s="149"/>
      <c r="AA1223" s="70"/>
      <c r="AB1223" s="70"/>
    </row>
    <row r="1224" spans="1:28" ht="16.5">
      <c r="A1224" s="70"/>
      <c r="B1224" s="70"/>
      <c r="C1224" s="70"/>
      <c r="D1224" s="70"/>
      <c r="E1224" s="70"/>
      <c r="F1224" s="70"/>
      <c r="G1224" s="276"/>
      <c r="H1224" s="276"/>
      <c r="I1224" s="276"/>
      <c r="J1224" s="276"/>
      <c r="K1224" s="276"/>
      <c r="L1224" s="276"/>
      <c r="M1224" s="276"/>
      <c r="N1224" s="276"/>
      <c r="O1224" s="276"/>
      <c r="P1224" s="276"/>
      <c r="Q1224" s="276"/>
      <c r="R1224" s="276"/>
      <c r="S1224" s="276"/>
      <c r="T1224" s="276"/>
      <c r="U1224" s="276"/>
      <c r="V1224" s="276"/>
      <c r="W1224" s="276"/>
      <c r="X1224" s="149"/>
      <c r="Y1224" s="149"/>
      <c r="Z1224" s="149"/>
      <c r="AA1224" s="70"/>
      <c r="AB1224" s="70"/>
    </row>
    <row r="1225" spans="1:28">
      <c r="A1225" s="70"/>
      <c r="B1225" s="70"/>
      <c r="C1225" s="70"/>
      <c r="D1225" s="70"/>
      <c r="E1225" s="70"/>
      <c r="F1225" s="70"/>
      <c r="G1225" s="149"/>
      <c r="H1225" s="149"/>
      <c r="I1225" s="149"/>
      <c r="J1225" s="149"/>
      <c r="K1225" s="149"/>
      <c r="L1225" s="149"/>
      <c r="M1225" s="149"/>
      <c r="N1225" s="149"/>
      <c r="O1225" s="149"/>
      <c r="P1225" s="149"/>
      <c r="Q1225" s="149"/>
      <c r="R1225" s="149"/>
      <c r="S1225" s="149"/>
      <c r="T1225" s="149"/>
      <c r="U1225" s="149"/>
      <c r="V1225" s="149"/>
      <c r="W1225" s="149"/>
      <c r="X1225" s="149"/>
      <c r="Y1225" s="149"/>
      <c r="Z1225" s="149"/>
      <c r="AA1225" s="70"/>
      <c r="AB1225" s="70"/>
    </row>
    <row r="1226" spans="1:28">
      <c r="A1226" s="70"/>
      <c r="B1226" s="70"/>
      <c r="C1226" s="70"/>
      <c r="D1226" s="70"/>
      <c r="E1226" s="70"/>
      <c r="F1226" s="70"/>
      <c r="G1226" s="70"/>
      <c r="H1226" s="70"/>
      <c r="I1226" s="70"/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</row>
    <row r="1227" spans="1:28" ht="15">
      <c r="A1227" s="136"/>
      <c r="B1227" s="70"/>
      <c r="C1227" s="70"/>
      <c r="D1227" s="70"/>
      <c r="E1227" s="70"/>
      <c r="F1227" s="70"/>
      <c r="G1227" s="70"/>
      <c r="H1227" s="70"/>
      <c r="I1227" s="70"/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</row>
    <row r="1228" spans="1:28">
      <c r="A1228" s="70"/>
      <c r="B1228" s="70"/>
      <c r="C1228" s="70"/>
      <c r="D1228" s="70"/>
      <c r="E1228" s="70"/>
      <c r="F1228" s="70"/>
      <c r="G1228" s="149"/>
      <c r="H1228" s="149"/>
      <c r="I1228" s="149"/>
      <c r="J1228" s="149"/>
      <c r="K1228" s="149"/>
      <c r="L1228" s="149"/>
      <c r="M1228" s="149"/>
      <c r="N1228" s="149"/>
      <c r="O1228" s="149"/>
      <c r="P1228" s="149"/>
      <c r="Q1228" s="149"/>
      <c r="R1228" s="149"/>
      <c r="S1228" s="149"/>
      <c r="T1228" s="149"/>
      <c r="U1228" s="149"/>
      <c r="V1228" s="149"/>
      <c r="W1228" s="149"/>
      <c r="X1228" s="149"/>
      <c r="Y1228" s="149"/>
      <c r="Z1228" s="149"/>
      <c r="AA1228" s="70"/>
      <c r="AB1228" s="70"/>
    </row>
    <row r="1229" spans="1:28" ht="16.5">
      <c r="A1229" s="70"/>
      <c r="B1229" s="70"/>
      <c r="C1229" s="70"/>
      <c r="D1229" s="70"/>
      <c r="E1229" s="70"/>
      <c r="F1229" s="70"/>
      <c r="G1229" s="276"/>
      <c r="H1229" s="276"/>
      <c r="I1229" s="276"/>
      <c r="J1229" s="276"/>
      <c r="K1229" s="276"/>
      <c r="L1229" s="276"/>
      <c r="M1229" s="276"/>
      <c r="N1229" s="276"/>
      <c r="O1229" s="276"/>
      <c r="P1229" s="276"/>
      <c r="Q1229" s="276"/>
      <c r="R1229" s="276"/>
      <c r="S1229" s="276"/>
      <c r="T1229" s="276"/>
      <c r="U1229" s="276"/>
      <c r="V1229" s="276"/>
      <c r="W1229" s="276"/>
      <c r="X1229" s="276"/>
      <c r="Y1229" s="276"/>
      <c r="Z1229" s="276"/>
      <c r="AA1229" s="70"/>
      <c r="AB1229" s="70"/>
    </row>
    <row r="1230" spans="1:28">
      <c r="A1230" s="70"/>
      <c r="B1230" s="70"/>
      <c r="C1230" s="70"/>
      <c r="D1230" s="70"/>
      <c r="E1230" s="70"/>
      <c r="F1230" s="70"/>
      <c r="G1230" s="149"/>
      <c r="H1230" s="149"/>
      <c r="I1230" s="149"/>
      <c r="J1230" s="149"/>
      <c r="K1230" s="149"/>
      <c r="L1230" s="149"/>
      <c r="M1230" s="149"/>
      <c r="N1230" s="149"/>
      <c r="O1230" s="149"/>
      <c r="P1230" s="149"/>
      <c r="Q1230" s="149"/>
      <c r="R1230" s="149"/>
      <c r="S1230" s="149"/>
      <c r="T1230" s="149"/>
      <c r="U1230" s="149"/>
      <c r="V1230" s="149"/>
      <c r="W1230" s="149"/>
      <c r="X1230" s="149"/>
      <c r="Y1230" s="149"/>
      <c r="Z1230" s="149"/>
      <c r="AA1230" s="70"/>
      <c r="AB1230" s="70"/>
    </row>
    <row r="1231" spans="1:28">
      <c r="A1231" s="70"/>
      <c r="B1231" s="70"/>
      <c r="C1231" s="70"/>
      <c r="D1231" s="70"/>
      <c r="E1231" s="70"/>
      <c r="F1231" s="70"/>
      <c r="G1231" s="70"/>
      <c r="H1231" s="70"/>
      <c r="I1231" s="70"/>
      <c r="J1231" s="149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</row>
    <row r="1232" spans="1:28" ht="15">
      <c r="A1232" s="136"/>
      <c r="B1232" s="70"/>
      <c r="C1232" s="70"/>
      <c r="D1232" s="70"/>
      <c r="E1232" s="70"/>
      <c r="F1232" s="70"/>
      <c r="G1232" s="70"/>
      <c r="H1232" s="70"/>
      <c r="I1232" s="70"/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</row>
    <row r="1233" spans="1:28">
      <c r="A1233" s="70"/>
      <c r="B1233" s="70"/>
      <c r="C1233" s="70"/>
      <c r="D1233" s="70"/>
      <c r="E1233" s="70"/>
      <c r="F1233" s="70"/>
      <c r="G1233" s="267"/>
      <c r="H1233" s="267"/>
      <c r="I1233" s="267"/>
      <c r="J1233" s="267"/>
      <c r="K1233" s="267"/>
      <c r="L1233" s="267"/>
      <c r="M1233" s="267"/>
      <c r="N1233" s="267"/>
      <c r="O1233" s="267"/>
      <c r="P1233" s="267"/>
      <c r="Q1233" s="267"/>
      <c r="R1233" s="267"/>
      <c r="S1233" s="267"/>
      <c r="T1233" s="267"/>
      <c r="U1233" s="267"/>
      <c r="V1233" s="267"/>
      <c r="W1233" s="267"/>
      <c r="X1233" s="267"/>
      <c r="Y1233" s="267"/>
      <c r="Z1233" s="267"/>
      <c r="AA1233" s="70"/>
      <c r="AB1233" s="70"/>
    </row>
    <row r="1234" spans="1:28" ht="16.5">
      <c r="A1234" s="70"/>
      <c r="B1234" s="70"/>
      <c r="C1234" s="70"/>
      <c r="D1234" s="70"/>
      <c r="E1234" s="70"/>
      <c r="F1234" s="70"/>
      <c r="G1234" s="277"/>
      <c r="H1234" s="277"/>
      <c r="I1234" s="277"/>
      <c r="J1234" s="277"/>
      <c r="K1234" s="277"/>
      <c r="L1234" s="277"/>
      <c r="M1234" s="277"/>
      <c r="N1234" s="277"/>
      <c r="O1234" s="277"/>
      <c r="P1234" s="277"/>
      <c r="Q1234" s="277"/>
      <c r="R1234" s="277"/>
      <c r="S1234" s="277"/>
      <c r="T1234" s="277"/>
      <c r="U1234" s="278"/>
      <c r="V1234" s="277"/>
      <c r="W1234" s="277"/>
      <c r="X1234" s="277"/>
      <c r="Y1234" s="277"/>
      <c r="Z1234" s="277"/>
      <c r="AA1234" s="70"/>
      <c r="AB1234" s="70"/>
    </row>
    <row r="1235" spans="1:28">
      <c r="A1235" s="70"/>
      <c r="B1235" s="70"/>
      <c r="C1235" s="70"/>
      <c r="D1235" s="70"/>
      <c r="E1235" s="70"/>
      <c r="F1235" s="70"/>
      <c r="G1235" s="267"/>
      <c r="H1235" s="267"/>
      <c r="I1235" s="267"/>
      <c r="J1235" s="267"/>
      <c r="K1235" s="267"/>
      <c r="L1235" s="267"/>
      <c r="M1235" s="267"/>
      <c r="N1235" s="267"/>
      <c r="O1235" s="267"/>
      <c r="P1235" s="267"/>
      <c r="Q1235" s="267"/>
      <c r="R1235" s="267"/>
      <c r="S1235" s="267"/>
      <c r="T1235" s="267"/>
      <c r="U1235" s="267"/>
      <c r="V1235" s="267"/>
      <c r="W1235" s="267"/>
      <c r="X1235" s="267"/>
      <c r="Y1235" s="267"/>
      <c r="Z1235" s="267"/>
      <c r="AA1235" s="70"/>
      <c r="AB1235" s="70"/>
    </row>
    <row r="1236" spans="1:28">
      <c r="A1236" s="70"/>
      <c r="B1236" s="70"/>
      <c r="C1236" s="70"/>
      <c r="D1236" s="70"/>
      <c r="E1236" s="70"/>
      <c r="F1236" s="70"/>
      <c r="G1236" s="70"/>
      <c r="H1236" s="70"/>
      <c r="I1236" s="70"/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</row>
    <row r="1237" spans="1:28">
      <c r="A1237" s="70"/>
      <c r="B1237" s="70"/>
      <c r="C1237" s="70"/>
      <c r="D1237" s="70"/>
      <c r="E1237" s="70"/>
      <c r="F1237" s="70"/>
      <c r="G1237" s="70"/>
      <c r="H1237" s="70"/>
      <c r="I1237" s="70"/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</row>
    <row r="1238" spans="1:28">
      <c r="A1238" s="70"/>
      <c r="B1238" s="70"/>
      <c r="C1238" s="70"/>
      <c r="D1238" s="70"/>
      <c r="E1238" s="70"/>
      <c r="F1238" s="70"/>
      <c r="G1238" s="193"/>
      <c r="H1238" s="70"/>
      <c r="I1238" s="70"/>
      <c r="J1238" s="70"/>
      <c r="K1238" s="193"/>
      <c r="L1238" s="193"/>
      <c r="M1238" s="70"/>
      <c r="N1238" s="70"/>
      <c r="O1238" s="193"/>
      <c r="P1238" s="193"/>
      <c r="Q1238" s="70"/>
      <c r="R1238" s="70"/>
      <c r="S1238" s="194"/>
      <c r="T1238" s="70"/>
      <c r="U1238" s="70"/>
      <c r="V1238" s="70"/>
      <c r="W1238" s="70"/>
      <c r="X1238" s="70"/>
      <c r="Y1238" s="70"/>
      <c r="Z1238" s="70"/>
      <c r="AA1238" s="70"/>
      <c r="AB1238" s="70"/>
    </row>
    <row r="1239" spans="1:28">
      <c r="A1239" s="70"/>
      <c r="B1239" s="70"/>
      <c r="C1239" s="70"/>
      <c r="D1239" s="70"/>
      <c r="E1239" s="70"/>
      <c r="F1239" s="70"/>
      <c r="G1239" s="193"/>
      <c r="H1239" s="70"/>
      <c r="I1239" s="70"/>
      <c r="J1239" s="70"/>
      <c r="K1239" s="193"/>
      <c r="L1239" s="193"/>
      <c r="M1239" s="70"/>
      <c r="N1239" s="70"/>
      <c r="O1239" s="193"/>
      <c r="P1239" s="193"/>
      <c r="Q1239" s="70"/>
      <c r="R1239" s="70"/>
      <c r="S1239" s="194"/>
      <c r="T1239" s="70"/>
      <c r="U1239" s="70"/>
      <c r="V1239" s="70"/>
      <c r="W1239" s="70"/>
      <c r="X1239" s="70"/>
      <c r="Y1239" s="70"/>
      <c r="Z1239" s="70"/>
      <c r="AA1239" s="70"/>
      <c r="AB1239" s="70"/>
    </row>
    <row r="1240" spans="1:28">
      <c r="A1240" s="70"/>
      <c r="B1240" s="70"/>
      <c r="C1240" s="70"/>
      <c r="D1240" s="70"/>
      <c r="E1240" s="70"/>
      <c r="F1240" s="70"/>
      <c r="G1240" s="193"/>
      <c r="H1240" s="70"/>
      <c r="I1240" s="70"/>
      <c r="J1240" s="70"/>
      <c r="K1240" s="193"/>
      <c r="L1240" s="193"/>
      <c r="M1240" s="70"/>
      <c r="N1240" s="70"/>
      <c r="O1240" s="193"/>
      <c r="P1240" s="193"/>
      <c r="Q1240" s="70"/>
      <c r="R1240" s="70"/>
      <c r="S1240" s="194"/>
      <c r="T1240" s="70"/>
      <c r="U1240" s="70"/>
      <c r="V1240" s="70"/>
      <c r="W1240" s="70"/>
      <c r="X1240" s="70"/>
      <c r="Y1240" s="70"/>
      <c r="Z1240" s="70"/>
      <c r="AA1240" s="70"/>
      <c r="AB1240" s="70"/>
    </row>
    <row r="1241" spans="1:28">
      <c r="A1241" s="70"/>
      <c r="B1241" s="70"/>
      <c r="C1241" s="70"/>
      <c r="D1241" s="70"/>
      <c r="E1241" s="70"/>
      <c r="F1241" s="70"/>
      <c r="G1241" s="194"/>
      <c r="H1241" s="70"/>
      <c r="I1241" s="70"/>
      <c r="J1241" s="70"/>
      <c r="K1241" s="194"/>
      <c r="L1241" s="194"/>
      <c r="M1241" s="70"/>
      <c r="N1241" s="70"/>
      <c r="O1241" s="194"/>
      <c r="P1241" s="194"/>
      <c r="Q1241" s="70"/>
      <c r="R1241" s="70"/>
      <c r="S1241" s="148"/>
      <c r="T1241" s="70"/>
      <c r="U1241" s="70"/>
      <c r="V1241" s="70"/>
      <c r="W1241" s="70"/>
      <c r="X1241" s="70"/>
      <c r="Y1241" s="70"/>
      <c r="Z1241" s="70"/>
      <c r="AA1241" s="70"/>
      <c r="AB1241" s="70"/>
    </row>
    <row r="1242" spans="1:28">
      <c r="A1242" s="70"/>
      <c r="B1242" s="70"/>
      <c r="C1242" s="70"/>
      <c r="D1242" s="70"/>
      <c r="E1242" s="70"/>
      <c r="F1242" s="70"/>
      <c r="G1242" s="70"/>
      <c r="H1242" s="70"/>
      <c r="I1242" s="70"/>
      <c r="J1242" s="70"/>
      <c r="K1242" s="70"/>
      <c r="L1242" s="70"/>
      <c r="M1242" s="70"/>
      <c r="N1242" s="70"/>
      <c r="O1242" s="70"/>
      <c r="P1242" s="70"/>
      <c r="Q1242" s="70"/>
      <c r="R1242" s="70"/>
      <c r="S1242" s="267"/>
      <c r="T1242" s="70"/>
      <c r="U1242" s="70"/>
      <c r="V1242" s="70"/>
      <c r="W1242" s="70"/>
      <c r="X1242" s="70"/>
      <c r="Y1242" s="70"/>
      <c r="Z1242" s="70"/>
      <c r="AA1242" s="70"/>
      <c r="AB1242" s="70"/>
    </row>
    <row r="1243" spans="1:28">
      <c r="A1243" s="70"/>
      <c r="B1243" s="70"/>
      <c r="C1243" s="70"/>
      <c r="D1243" s="70"/>
      <c r="E1243" s="70"/>
      <c r="F1243" s="70"/>
      <c r="G1243" s="190"/>
      <c r="H1243" s="70"/>
      <c r="I1243" s="70"/>
      <c r="J1243" s="70"/>
      <c r="K1243" s="190"/>
      <c r="L1243" s="190"/>
      <c r="M1243" s="70"/>
      <c r="N1243" s="70"/>
      <c r="O1243" s="190"/>
      <c r="P1243" s="190"/>
      <c r="Q1243" s="70"/>
      <c r="R1243" s="70"/>
      <c r="S1243" s="148"/>
      <c r="T1243" s="70"/>
      <c r="U1243" s="70"/>
      <c r="V1243" s="70"/>
      <c r="W1243" s="70"/>
      <c r="X1243" s="70"/>
      <c r="Y1243" s="70"/>
      <c r="Z1243" s="70"/>
      <c r="AA1243" s="70"/>
      <c r="AB1243" s="70"/>
    </row>
    <row r="1244" spans="1:28">
      <c r="A1244" s="70"/>
      <c r="B1244" s="70"/>
      <c r="C1244" s="70"/>
      <c r="D1244" s="70"/>
      <c r="E1244" s="70"/>
      <c r="F1244" s="70"/>
      <c r="G1244" s="190"/>
      <c r="H1244" s="70"/>
      <c r="I1244" s="70"/>
      <c r="J1244" s="70"/>
      <c r="K1244" s="190"/>
      <c r="L1244" s="190"/>
      <c r="M1244" s="70"/>
      <c r="N1244" s="70"/>
      <c r="O1244" s="190"/>
      <c r="P1244" s="190"/>
      <c r="Q1244" s="70"/>
      <c r="R1244" s="70"/>
      <c r="S1244" s="193"/>
      <c r="T1244" s="70"/>
      <c r="U1244" s="70"/>
      <c r="V1244" s="70"/>
      <c r="W1244" s="70"/>
      <c r="X1244" s="70"/>
      <c r="Y1244" s="70"/>
      <c r="Z1244" s="70"/>
      <c r="AA1244" s="70"/>
      <c r="AB1244" s="70"/>
    </row>
    <row r="1245" spans="1:28">
      <c r="A1245" s="70"/>
      <c r="B1245" s="70"/>
      <c r="C1245" s="70"/>
      <c r="D1245" s="70"/>
      <c r="E1245" s="70"/>
      <c r="F1245" s="70"/>
      <c r="G1245" s="190"/>
      <c r="H1245" s="70"/>
      <c r="I1245" s="70"/>
      <c r="J1245" s="70"/>
      <c r="K1245" s="190"/>
      <c r="L1245" s="190"/>
      <c r="M1245" s="70"/>
      <c r="N1245" s="70"/>
      <c r="O1245" s="190"/>
      <c r="P1245" s="19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</row>
    <row r="1246" spans="1:28">
      <c r="A1246" s="70"/>
      <c r="B1246" s="70"/>
      <c r="C1246" s="70"/>
      <c r="D1246" s="70"/>
      <c r="E1246" s="70"/>
      <c r="F1246" s="70"/>
      <c r="G1246" s="195"/>
      <c r="H1246" s="70"/>
      <c r="I1246" s="70"/>
      <c r="J1246" s="70"/>
      <c r="K1246" s="195"/>
      <c r="L1246" s="195"/>
      <c r="M1246" s="70"/>
      <c r="N1246" s="70"/>
      <c r="O1246" s="195"/>
      <c r="P1246" s="195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</row>
    <row r="1247" spans="1:28">
      <c r="A1247" s="70"/>
      <c r="B1247" s="70"/>
      <c r="C1247" s="70"/>
      <c r="D1247" s="70"/>
      <c r="E1247" s="70"/>
      <c r="F1247" s="70"/>
      <c r="G1247" s="70"/>
      <c r="H1247" s="70"/>
      <c r="I1247" s="70"/>
      <c r="J1247" s="70"/>
      <c r="K1247" s="70"/>
      <c r="L1247" s="70"/>
      <c r="M1247" s="70"/>
      <c r="N1247" s="70"/>
      <c r="O1247" s="70"/>
      <c r="P1247" s="70"/>
      <c r="Q1247" s="70"/>
      <c r="R1247" s="70"/>
      <c r="S1247" s="279"/>
      <c r="T1247" s="70"/>
      <c r="U1247" s="70"/>
      <c r="V1247" s="70"/>
      <c r="W1247" s="70"/>
      <c r="X1247" s="70"/>
      <c r="Y1247" s="70"/>
      <c r="Z1247" s="70"/>
      <c r="AA1247" s="70"/>
      <c r="AB1247" s="70"/>
    </row>
    <row r="1248" spans="1:28">
      <c r="A1248" s="70"/>
      <c r="B1248" s="70"/>
      <c r="C1248" s="70"/>
      <c r="D1248" s="70"/>
      <c r="E1248" s="70"/>
      <c r="F1248" s="70"/>
      <c r="G1248" s="70"/>
      <c r="H1248" s="70"/>
      <c r="I1248" s="70"/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</row>
    <row r="1249" spans="6:28">
      <c r="F1249" s="79"/>
      <c r="G1249" s="79"/>
      <c r="H1249" s="79"/>
      <c r="I1249" s="79"/>
      <c r="J1249" s="79"/>
      <c r="K1249" s="79"/>
      <c r="L1249" s="79"/>
      <c r="M1249" s="79"/>
      <c r="N1249" s="79"/>
      <c r="O1249" s="79"/>
      <c r="P1249" s="79"/>
      <c r="Q1249" s="79"/>
      <c r="R1249" s="79"/>
      <c r="S1249" s="79"/>
      <c r="T1249" s="79"/>
      <c r="U1249" s="79"/>
      <c r="V1249" s="79"/>
      <c r="W1249" s="79"/>
      <c r="X1249" s="79"/>
      <c r="Y1249" s="79"/>
      <c r="Z1249" s="79"/>
      <c r="AA1249" s="79"/>
      <c r="AB1249" s="92"/>
    </row>
    <row r="1250" spans="6:28">
      <c r="F1250" s="79"/>
      <c r="G1250" s="79"/>
      <c r="H1250" s="79"/>
      <c r="I1250" s="79"/>
      <c r="J1250" s="79"/>
      <c r="K1250" s="79"/>
      <c r="L1250" s="79"/>
      <c r="M1250" s="79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  <c r="X1250" s="79"/>
      <c r="Y1250" s="79"/>
      <c r="Z1250" s="79"/>
      <c r="AA1250" s="79"/>
      <c r="AB1250" s="92"/>
    </row>
    <row r="1251" spans="6:28">
      <c r="F1251" s="79"/>
      <c r="G1251" s="79"/>
      <c r="H1251" s="79"/>
      <c r="I1251" s="79"/>
      <c r="J1251" s="79"/>
      <c r="K1251" s="79"/>
      <c r="L1251" s="79"/>
      <c r="M1251" s="79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  <c r="X1251" s="79"/>
      <c r="Y1251" s="79"/>
      <c r="Z1251" s="79"/>
      <c r="AA1251" s="79"/>
      <c r="AB1251" s="92"/>
    </row>
    <row r="1252" spans="6:28">
      <c r="F1252" s="79"/>
      <c r="G1252" s="79"/>
      <c r="H1252" s="79"/>
      <c r="I1252" s="79"/>
      <c r="J1252" s="79"/>
      <c r="K1252" s="79"/>
      <c r="L1252" s="79"/>
      <c r="M1252" s="79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  <c r="X1252" s="79"/>
      <c r="Y1252" s="79"/>
      <c r="Z1252" s="79"/>
      <c r="AA1252" s="79"/>
      <c r="AB1252" s="92"/>
    </row>
    <row r="1253" spans="6:28">
      <c r="F1253" s="79"/>
      <c r="G1253" s="79"/>
      <c r="H1253" s="79"/>
      <c r="I1253" s="79"/>
      <c r="J1253" s="79"/>
      <c r="K1253" s="79"/>
      <c r="L1253" s="79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79"/>
      <c r="Y1253" s="79"/>
      <c r="Z1253" s="79"/>
      <c r="AA1253" s="79"/>
      <c r="AB1253" s="92"/>
    </row>
    <row r="1254" spans="6:28">
      <c r="F1254" s="79"/>
      <c r="G1254" s="79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  <c r="Z1254" s="79"/>
      <c r="AA1254" s="79"/>
      <c r="AB1254" s="92"/>
    </row>
    <row r="1255" spans="6:28">
      <c r="F1255" s="111"/>
      <c r="G1255" s="111"/>
      <c r="H1255" s="111"/>
      <c r="I1255" s="111"/>
      <c r="J1255" s="111"/>
      <c r="K1255" s="111"/>
      <c r="L1255" s="111"/>
      <c r="M1255" s="111"/>
      <c r="N1255" s="111"/>
      <c r="O1255" s="111"/>
      <c r="P1255" s="111"/>
      <c r="Q1255" s="111"/>
      <c r="R1255" s="111"/>
      <c r="S1255" s="111"/>
      <c r="T1255" s="111"/>
      <c r="U1255" s="111"/>
      <c r="V1255" s="111"/>
      <c r="W1255" s="111"/>
      <c r="X1255" s="111"/>
      <c r="Y1255" s="111"/>
      <c r="Z1255" s="111"/>
      <c r="AA1255" s="79"/>
      <c r="AB1255" s="92"/>
    </row>
    <row r="1256" spans="6:28">
      <c r="F1256" s="79"/>
      <c r="G1256" s="79"/>
      <c r="H1256" s="79"/>
      <c r="I1256" s="79"/>
      <c r="J1256" s="79"/>
      <c r="K1256" s="79"/>
      <c r="L1256" s="79"/>
      <c r="M1256" s="79"/>
      <c r="N1256" s="79"/>
      <c r="O1256" s="79"/>
      <c r="P1256" s="79"/>
      <c r="Q1256" s="79"/>
      <c r="R1256" s="79"/>
      <c r="S1256" s="79"/>
      <c r="T1256" s="79"/>
      <c r="U1256" s="79"/>
      <c r="V1256" s="79"/>
      <c r="W1256" s="79"/>
      <c r="X1256" s="79"/>
      <c r="Y1256" s="79"/>
      <c r="Z1256" s="79"/>
      <c r="AA1256" s="79"/>
      <c r="AB1256" s="92"/>
    </row>
    <row r="1257" spans="6:28">
      <c r="F1257" s="79"/>
      <c r="G1257" s="79"/>
      <c r="H1257" s="79"/>
      <c r="I1257" s="79"/>
      <c r="J1257" s="79"/>
      <c r="K1257" s="79"/>
      <c r="L1257" s="79"/>
      <c r="M1257" s="79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  <c r="X1257" s="79"/>
      <c r="Y1257" s="79"/>
      <c r="Z1257" s="79"/>
      <c r="AA1257" s="79"/>
      <c r="AB1257" s="92"/>
    </row>
    <row r="1258" spans="6:28">
      <c r="AA1258" s="79"/>
      <c r="AB1258" s="92"/>
    </row>
    <row r="1259" spans="6:28">
      <c r="F1259" s="147"/>
      <c r="G1259" s="147"/>
      <c r="H1259" s="147"/>
      <c r="I1259" s="147"/>
      <c r="J1259" s="147"/>
      <c r="K1259" s="147"/>
      <c r="L1259" s="147"/>
      <c r="M1259" s="147"/>
      <c r="N1259" s="147"/>
      <c r="O1259" s="147"/>
      <c r="P1259" s="147"/>
      <c r="Q1259" s="147"/>
      <c r="R1259" s="147"/>
      <c r="S1259" s="147"/>
      <c r="T1259" s="147"/>
      <c r="U1259" s="147"/>
      <c r="V1259" s="147"/>
      <c r="W1259" s="147"/>
      <c r="X1259" s="147"/>
      <c r="Y1259" s="147"/>
      <c r="Z1259" s="147"/>
      <c r="AA1259" s="79"/>
      <c r="AB1259" s="92"/>
    </row>
    <row r="1260" spans="6:28">
      <c r="F1260" s="131"/>
      <c r="G1260" s="131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31"/>
      <c r="U1260" s="131"/>
      <c r="V1260" s="131"/>
      <c r="W1260" s="131"/>
      <c r="X1260" s="131"/>
      <c r="Y1260" s="131"/>
      <c r="Z1260" s="131"/>
      <c r="AA1260" s="79"/>
      <c r="AB1260" s="92"/>
    </row>
    <row r="1261" spans="6:28">
      <c r="F1261" s="79"/>
      <c r="G1261" s="79"/>
      <c r="H1261" s="79"/>
      <c r="I1261" s="79"/>
      <c r="J1261" s="79"/>
      <c r="K1261" s="79"/>
      <c r="L1261" s="79"/>
      <c r="M1261" s="79"/>
      <c r="N1261" s="79"/>
      <c r="O1261" s="79"/>
      <c r="P1261" s="79"/>
      <c r="Q1261" s="79"/>
      <c r="R1261" s="79"/>
      <c r="S1261" s="79"/>
      <c r="T1261" s="79"/>
      <c r="U1261" s="79"/>
      <c r="V1261" s="79"/>
      <c r="W1261" s="79"/>
      <c r="X1261" s="79"/>
      <c r="Y1261" s="79"/>
      <c r="Z1261" s="79"/>
      <c r="AA1261" s="79"/>
      <c r="AB1261" s="92"/>
    </row>
  </sheetData>
  <autoFilter ref="D2:E1257"/>
  <phoneticPr fontId="0" type="noConversion"/>
  <conditionalFormatting sqref="Y1092">
    <cfRule type="cellIs" dxfId="8" priority="5" stopIfTrue="1" operator="notEqual">
      <formula>""</formula>
    </cfRule>
  </conditionalFormatting>
  <conditionalFormatting sqref="Y1095">
    <cfRule type="cellIs" dxfId="7" priority="4" stopIfTrue="1" operator="notEqual">
      <formula>""</formula>
    </cfRule>
  </conditionalFormatting>
  <conditionalFormatting sqref="Y1094">
    <cfRule type="cellIs" dxfId="6" priority="3" stopIfTrue="1" operator="notEqual">
      <formula>""</formula>
    </cfRule>
  </conditionalFormatting>
  <conditionalFormatting sqref="Y1095">
    <cfRule type="cellIs" dxfId="5" priority="2" stopIfTrue="1" operator="notEqual">
      <formula>""</formula>
    </cfRule>
  </conditionalFormatting>
  <conditionalFormatting sqref="Y1093">
    <cfRule type="cellIs" dxfId="4" priority="1" stopIfTrue="1" operator="notEqual">
      <formula>""</formula>
    </cfRule>
  </conditionalFormatting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1" max="20" man="1"/>
    <brk id="946" max="20" man="1"/>
    <brk id="996" max="20" man="1"/>
    <brk id="1047" max="16383" man="1"/>
    <brk id="1099" max="20" man="1"/>
    <brk id="1120" max="16383" man="1"/>
    <brk id="1171" max="16383" man="1"/>
    <brk id="1189" max="16383" man="1"/>
    <brk id="1237" max="34" man="1"/>
  </rowBreaks>
  <colBreaks count="2" manualBreakCount="2">
    <brk id="14" max="1114" man="1"/>
    <brk id="21" max="1114" man="1"/>
  </colBreaks>
  <ignoredErrors>
    <ignoredError sqref="AA9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7"/>
  <sheetViews>
    <sheetView view="pageBreakPreview" topLeftCell="A27" zoomScale="130" zoomScaleNormal="90" zoomScaleSheetLayoutView="130" workbookViewId="0">
      <pane xSplit="1" topLeftCell="B1" activePane="topRight" state="frozen"/>
      <selection activeCell="A27" sqref="A27"/>
      <selection pane="topRight" activeCell="B27" sqref="B27"/>
    </sheetView>
  </sheetViews>
  <sheetFormatPr defaultRowHeight="15"/>
  <cols>
    <col min="1" max="1" width="51.28515625" bestFit="1" customWidth="1"/>
    <col min="2" max="2" width="8.85546875" customWidth="1"/>
    <col min="3" max="3" width="14.140625" style="3" hidden="1" customWidth="1"/>
    <col min="4" max="4" width="13.5703125" style="3" hidden="1" customWidth="1"/>
    <col min="5" max="5" width="12.5703125" style="3" bestFit="1" customWidth="1"/>
    <col min="6" max="6" width="18.85546875" style="8" customWidth="1"/>
    <col min="7" max="7" width="14.85546875" customWidth="1"/>
    <col min="8" max="9" width="14.85546875" hidden="1" customWidth="1"/>
    <col min="10" max="10" width="6.28515625" style="4" customWidth="1"/>
    <col min="11" max="11" width="29.28515625" style="4" customWidth="1"/>
    <col min="12" max="13" width="16.5703125" style="4" customWidth="1"/>
    <col min="15" max="17" width="15.5703125" style="4" customWidth="1"/>
    <col min="18" max="18" width="15.5703125" customWidth="1"/>
  </cols>
  <sheetData>
    <row r="1" spans="1:76" ht="18.75" hidden="1">
      <c r="A1" s="27" t="s">
        <v>597</v>
      </c>
    </row>
    <row r="2" spans="1:76" hidden="1">
      <c r="A2" s="5" t="s">
        <v>1170</v>
      </c>
      <c r="B2" s="20"/>
      <c r="C2" s="221"/>
      <c r="D2" s="221"/>
      <c r="E2" s="221"/>
      <c r="F2" s="221"/>
      <c r="J2" s="426"/>
      <c r="K2" s="426"/>
      <c r="L2" s="426"/>
      <c r="M2" s="426"/>
      <c r="O2" s="426"/>
      <c r="P2" s="426"/>
      <c r="Q2" s="426"/>
      <c r="R2" s="426"/>
    </row>
    <row r="3" spans="1:76" hidden="1">
      <c r="A3" s="20"/>
      <c r="B3" s="20"/>
      <c r="C3" s="15"/>
      <c r="D3" s="21"/>
      <c r="E3" s="21"/>
      <c r="F3" s="22"/>
      <c r="G3" s="20"/>
      <c r="H3" s="20"/>
      <c r="I3" s="20"/>
      <c r="J3" s="23"/>
      <c r="K3" s="23"/>
      <c r="L3" s="23"/>
      <c r="M3" s="24"/>
      <c r="N3" s="20"/>
      <c r="O3" s="23"/>
      <c r="P3" s="23"/>
      <c r="Q3" s="23"/>
      <c r="R3" s="24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hidden="1"/>
    <row r="5" spans="1:76" hidden="1">
      <c r="A5" s="10"/>
      <c r="B5" s="12"/>
      <c r="M5" s="8"/>
      <c r="R5" s="8"/>
    </row>
    <row r="6" spans="1:76" hidden="1">
      <c r="A6" s="13"/>
      <c r="B6" s="12"/>
      <c r="M6" s="8"/>
      <c r="R6" s="8"/>
    </row>
    <row r="7" spans="1:76" hidden="1">
      <c r="A7" s="13"/>
      <c r="B7" s="12"/>
      <c r="D7" s="14" t="s">
        <v>164</v>
      </c>
      <c r="E7" s="14" t="s">
        <v>166</v>
      </c>
      <c r="F7" s="29"/>
      <c r="G7" s="1"/>
      <c r="H7" s="1"/>
      <c r="I7" s="1"/>
      <c r="M7" s="8"/>
      <c r="R7" s="8"/>
    </row>
    <row r="8" spans="1:76" ht="15.75" hidden="1" thickBot="1">
      <c r="A8" s="25"/>
      <c r="B8" s="26"/>
      <c r="C8" s="28" t="s">
        <v>1055</v>
      </c>
      <c r="D8" s="28" t="s">
        <v>165</v>
      </c>
      <c r="E8" s="28" t="s">
        <v>1054</v>
      </c>
      <c r="F8" s="30" t="s">
        <v>891</v>
      </c>
      <c r="G8" s="28" t="s">
        <v>167</v>
      </c>
      <c r="H8" s="21"/>
      <c r="I8" s="21"/>
      <c r="M8" s="8"/>
      <c r="R8" s="8"/>
    </row>
    <row r="9" spans="1:76" hidden="1">
      <c r="A9" s="13"/>
      <c r="B9" s="12"/>
      <c r="M9" s="8"/>
      <c r="R9" s="8"/>
    </row>
    <row r="10" spans="1:76" hidden="1">
      <c r="A10" s="31" t="s">
        <v>1167</v>
      </c>
      <c r="B10" s="12"/>
      <c r="C10" s="2">
        <f>'Allocation Proforma'!G709</f>
        <v>456019130.66129225</v>
      </c>
      <c r="D10" s="2">
        <f>'Allocation Proforma'!G725</f>
        <v>425096055.1908592</v>
      </c>
      <c r="E10" s="2">
        <f>C10-D10</f>
        <v>30923075.470433056</v>
      </c>
      <c r="F10" s="2">
        <f>'Allocation Proforma'!G729</f>
        <v>1709217009.5216761</v>
      </c>
      <c r="G10" s="18">
        <f>E10/F10</f>
        <v>1.8091953975514712E-2</v>
      </c>
      <c r="H10" s="18"/>
      <c r="I10" s="18"/>
      <c r="J10" s="18"/>
      <c r="M10" s="8"/>
      <c r="R10" s="8"/>
    </row>
    <row r="11" spans="1:76" hidden="1">
      <c r="A11" s="31" t="s">
        <v>1220</v>
      </c>
      <c r="B11" s="12"/>
      <c r="C11" s="4">
        <f>'Allocation Proforma'!H709</f>
        <v>154016488.24309376</v>
      </c>
      <c r="D11" s="4">
        <f>'Allocation Proforma'!H725</f>
        <v>113948894.17924584</v>
      </c>
      <c r="E11" s="4">
        <f>C11-D11</f>
        <v>40067594.063847914</v>
      </c>
      <c r="F11" s="4">
        <f>'Allocation Proforma'!H729</f>
        <v>398697503.46332896</v>
      </c>
      <c r="G11" s="18">
        <f>E11/F11</f>
        <v>0.10049622512254636</v>
      </c>
      <c r="H11" s="18"/>
      <c r="I11" s="18"/>
      <c r="J11" s="18"/>
      <c r="M11" s="8"/>
      <c r="R11" s="8"/>
    </row>
    <row r="12" spans="1:76" hidden="1">
      <c r="A12" s="32" t="s">
        <v>1168</v>
      </c>
      <c r="C12" s="4">
        <f>'Allocation Proforma'!I709</f>
        <v>10499864.717314858</v>
      </c>
      <c r="D12" s="4">
        <f>'Allocation Proforma'!I725</f>
        <v>7710911.9175804229</v>
      </c>
      <c r="E12" s="36">
        <f>C12-D12</f>
        <v>2788952.799734435</v>
      </c>
      <c r="F12" s="4">
        <f>'Allocation Proforma'!I729</f>
        <v>23605515.638910923</v>
      </c>
      <c r="G12" s="18">
        <f>E12/F12</f>
        <v>0.11814835322373443</v>
      </c>
      <c r="H12" s="18"/>
      <c r="I12" s="18"/>
      <c r="J12" s="18"/>
    </row>
    <row r="13" spans="1:76" hidden="1">
      <c r="A13" s="32" t="s">
        <v>1169</v>
      </c>
      <c r="C13" s="4">
        <f>'Allocation Proforma'!J709</f>
        <v>154506164.60177773</v>
      </c>
      <c r="D13" s="4">
        <f>'Allocation Proforma'!J725</f>
        <v>120413653.31117123</v>
      </c>
      <c r="E13" s="4">
        <f>C13-D13</f>
        <v>34092511.290606499</v>
      </c>
      <c r="F13" s="4">
        <f>'Allocation Proforma'!J729</f>
        <v>397022294.40015203</v>
      </c>
      <c r="G13" s="18">
        <f>E13/F13</f>
        <v>8.5870521055034843E-2</v>
      </c>
      <c r="H13" s="18"/>
      <c r="I13" s="18"/>
      <c r="J13" s="18"/>
    </row>
    <row r="14" spans="1:76" hidden="1">
      <c r="A14" s="32" t="s">
        <v>1211</v>
      </c>
      <c r="B14" s="12"/>
      <c r="C14" s="4">
        <f>'Allocation Proforma'!K709</f>
        <v>144361348.64369288</v>
      </c>
      <c r="D14" s="4">
        <f>'Allocation Proforma'!K725</f>
        <v>126478294.81942077</v>
      </c>
      <c r="E14" s="4">
        <f t="shared" ref="E14:E24" si="0">C14-D14</f>
        <v>17883053.824272111</v>
      </c>
      <c r="F14" s="4">
        <f>'Allocation Proforma'!K729</f>
        <v>351297120.6955809</v>
      </c>
      <c r="G14" s="18">
        <f t="shared" ref="G14:G25" si="1">E14/F14</f>
        <v>5.0905779668398717E-2</v>
      </c>
      <c r="H14" s="18"/>
      <c r="I14" s="18"/>
      <c r="J14" s="18"/>
    </row>
    <row r="15" spans="1:76" hidden="1">
      <c r="A15" s="32" t="s">
        <v>1210</v>
      </c>
      <c r="B15" s="12"/>
      <c r="C15" s="4">
        <f>'Allocation Proforma'!L709</f>
        <v>107311201.022214</v>
      </c>
      <c r="D15" s="4">
        <f>'Allocation Proforma'!L725</f>
        <v>95021261.944878176</v>
      </c>
      <c r="E15" s="4">
        <f t="shared" si="0"/>
        <v>12289939.07733582</v>
      </c>
      <c r="F15" s="4">
        <f>'Allocation Proforma'!L729</f>
        <v>303389934.2634303</v>
      </c>
      <c r="G15" s="18">
        <f t="shared" si="1"/>
        <v>4.0508723887538713E-2</v>
      </c>
      <c r="H15" s="18"/>
      <c r="I15" s="18"/>
      <c r="J15" s="18"/>
    </row>
    <row r="16" spans="1:76" hidden="1">
      <c r="A16" s="32" t="s">
        <v>1216</v>
      </c>
      <c r="B16" s="12"/>
      <c r="C16" s="4">
        <f>'Allocation Proforma'!M709</f>
        <v>65939354.742996849</v>
      </c>
      <c r="D16" s="4">
        <f>'Allocation Proforma'!M725</f>
        <v>62081826.478667788</v>
      </c>
      <c r="E16" s="4">
        <f t="shared" si="0"/>
        <v>3857528.2643290609</v>
      </c>
      <c r="F16" s="4">
        <f>'Allocation Proforma'!M729</f>
        <v>160366121.29716793</v>
      </c>
      <c r="G16" s="18">
        <f t="shared" si="1"/>
        <v>2.4054508727443951E-2</v>
      </c>
      <c r="H16" s="18"/>
      <c r="I16" s="18"/>
      <c r="J16" s="18"/>
    </row>
    <row r="17" spans="1:18" hidden="1">
      <c r="A17" s="31" t="s">
        <v>1311</v>
      </c>
      <c r="B17" s="12"/>
      <c r="C17" s="4">
        <f>'Allocation Proforma'!N709</f>
        <v>3860800.8758276142</v>
      </c>
      <c r="D17" s="4">
        <f>'Allocation Proforma'!N725</f>
        <v>3600052.7055657762</v>
      </c>
      <c r="E17" s="4">
        <f t="shared" si="0"/>
        <v>260748.17026183801</v>
      </c>
      <c r="F17" s="4">
        <f>'Allocation Proforma'!N729</f>
        <v>10299117.756014783</v>
      </c>
      <c r="G17" s="18">
        <f t="shared" si="1"/>
        <v>2.5317524902514935E-2</v>
      </c>
      <c r="H17" s="18"/>
      <c r="I17" s="18"/>
      <c r="J17" s="18"/>
    </row>
    <row r="18" spans="1:18" hidden="1">
      <c r="A18" s="32" t="s">
        <v>1187</v>
      </c>
      <c r="B18" s="12"/>
      <c r="C18" s="36">
        <f>'Allocation Proforma'!O709</f>
        <v>22696319.889306329</v>
      </c>
      <c r="D18" s="36">
        <f>'Allocation Proforma'!O725</f>
        <v>14706159.40210033</v>
      </c>
      <c r="E18" s="36">
        <f t="shared" si="0"/>
        <v>7990160.487205999</v>
      </c>
      <c r="F18" s="36">
        <f>'Allocation Proforma'!O729</f>
        <v>102450326.03465796</v>
      </c>
      <c r="G18" s="37">
        <f t="shared" si="1"/>
        <v>7.7990581352596233E-2</v>
      </c>
      <c r="H18" s="37"/>
      <c r="I18" s="37"/>
      <c r="J18" s="18"/>
    </row>
    <row r="19" spans="1:18" hidden="1">
      <c r="A19" s="32" t="s">
        <v>1188</v>
      </c>
      <c r="B19" s="12"/>
      <c r="C19" s="4">
        <f>'Allocation Proforma'!P709</f>
        <v>258715.58026645824</v>
      </c>
      <c r="D19" s="4">
        <f>'Allocation Proforma'!P725</f>
        <v>212775.02094208996</v>
      </c>
      <c r="E19" s="36">
        <f t="shared" si="0"/>
        <v>45940.559324368282</v>
      </c>
      <c r="F19" s="4">
        <f>'Allocation Proforma'!P729</f>
        <v>553419.98421918578</v>
      </c>
      <c r="G19" s="18">
        <f t="shared" si="1"/>
        <v>8.3012107683796993E-2</v>
      </c>
      <c r="H19" s="18"/>
      <c r="I19" s="18"/>
      <c r="J19" s="18"/>
    </row>
    <row r="20" spans="1:18" hidden="1">
      <c r="A20" s="153" t="s">
        <v>1346</v>
      </c>
      <c r="B20" s="12"/>
      <c r="C20" s="4">
        <f>'Allocation Proforma'!Q709</f>
        <v>331128.01177867205</v>
      </c>
      <c r="D20" s="4">
        <f>'Allocation Proforma'!Q725</f>
        <v>251348.68970068524</v>
      </c>
      <c r="E20" s="36">
        <f t="shared" si="0"/>
        <v>79779.322077986813</v>
      </c>
      <c r="F20" s="4">
        <f>'Allocation Proforma'!Q729</f>
        <v>670881.43252931838</v>
      </c>
      <c r="G20" s="18">
        <f t="shared" si="1"/>
        <v>0.11891717106733365</v>
      </c>
      <c r="H20" s="18"/>
      <c r="I20" s="18"/>
      <c r="J20" s="18"/>
    </row>
    <row r="21" spans="1:18" hidden="1">
      <c r="A21" s="32" t="s">
        <v>1335</v>
      </c>
      <c r="B21" s="12"/>
      <c r="C21" s="4">
        <f>'Allocation Proforma'!R709</f>
        <v>15690.949683301198</v>
      </c>
      <c r="D21" s="4">
        <f>'Allocation Proforma'!R725</f>
        <v>3823.4349991367899</v>
      </c>
      <c r="E21" s="36">
        <f t="shared" si="0"/>
        <v>11867.514684164409</v>
      </c>
      <c r="F21" s="4">
        <f>'Allocation Proforma'!R729</f>
        <v>12859.658157203232</v>
      </c>
      <c r="G21" s="18">
        <f t="shared" si="1"/>
        <v>0.92284837894519911</v>
      </c>
      <c r="H21" s="18"/>
      <c r="I21" s="18"/>
      <c r="J21" s="18"/>
    </row>
    <row r="22" spans="1:18" hidden="1">
      <c r="A22" s="32" t="s">
        <v>1312</v>
      </c>
      <c r="B22" s="12"/>
      <c r="C22" s="4">
        <f>'Allocation Proforma'!S709</f>
        <v>12695.308078972774</v>
      </c>
      <c r="D22" s="4">
        <f>'Allocation Proforma'!S725</f>
        <v>45303.181509845861</v>
      </c>
      <c r="E22" s="36">
        <f t="shared" si="0"/>
        <v>-32607.873430873085</v>
      </c>
      <c r="F22" s="4">
        <f>'Allocation Proforma'!S729</f>
        <v>120413.38431620215</v>
      </c>
      <c r="G22" s="18">
        <f t="shared" si="1"/>
        <v>-0.27079941001613017</v>
      </c>
      <c r="H22" s="18"/>
      <c r="I22" s="18"/>
      <c r="J22" s="18"/>
    </row>
    <row r="23" spans="1:18" hidden="1">
      <c r="A23" s="32" t="s">
        <v>1313</v>
      </c>
      <c r="B23" s="12"/>
      <c r="C23" s="4">
        <f>'Allocation Proforma'!T709</f>
        <v>237096</v>
      </c>
      <c r="D23" s="4">
        <f>'Allocation Proforma'!T725</f>
        <v>153855.85858076424</v>
      </c>
      <c r="E23" s="36">
        <f t="shared" si="0"/>
        <v>83240.141419235762</v>
      </c>
      <c r="F23" s="4">
        <f>'Allocation Proforma'!T729</f>
        <v>2314621.8400000003</v>
      </c>
      <c r="G23" s="18">
        <f t="shared" si="1"/>
        <v>3.5962739131173045E-2</v>
      </c>
      <c r="H23" s="18"/>
      <c r="I23" s="18"/>
      <c r="J23" s="18"/>
    </row>
    <row r="24" spans="1:18" hidden="1">
      <c r="A24" s="41" t="s">
        <v>1314</v>
      </c>
      <c r="B24" s="40"/>
      <c r="C24" s="33">
        <f>'Allocation Proforma'!U709</f>
        <v>9936</v>
      </c>
      <c r="D24" s="33">
        <f>'Allocation Proforma'!U725</f>
        <v>12591.246284675426</v>
      </c>
      <c r="E24" s="33">
        <f t="shared" si="0"/>
        <v>-2655.2462846754261</v>
      </c>
      <c r="F24" s="33">
        <f>'Allocation Proforma'!U729</f>
        <v>60676.790000000008</v>
      </c>
      <c r="G24" s="34">
        <f t="shared" si="1"/>
        <v>-4.3760493669415042E-2</v>
      </c>
      <c r="H24" s="37"/>
      <c r="I24" s="37"/>
      <c r="J24" s="18"/>
    </row>
    <row r="25" spans="1:18" hidden="1">
      <c r="C25" s="4">
        <f>SUM(C10:C24)</f>
        <v>1120075935.2473235</v>
      </c>
      <c r="D25" s="4">
        <f>SUM(D10:D24)</f>
        <v>969736807.3815068</v>
      </c>
      <c r="E25" s="4">
        <f>SUM(E10:E24)</f>
        <v>150339127.86581692</v>
      </c>
      <c r="F25" s="4">
        <f>SUM(F10:F24)</f>
        <v>3460077816.1601415</v>
      </c>
      <c r="G25" s="18">
        <f t="shared" si="1"/>
        <v>4.3449637798220787E-2</v>
      </c>
      <c r="H25" s="18"/>
      <c r="I25" s="18"/>
    </row>
    <row r="26" spans="1:18" hidden="1">
      <c r="B26" s="12"/>
      <c r="C26" s="209"/>
      <c r="D26" s="209"/>
      <c r="E26" s="35"/>
      <c r="F26" s="36"/>
      <c r="G26" s="37"/>
      <c r="H26" s="37"/>
      <c r="I26" s="37"/>
    </row>
    <row r="27" spans="1:18">
      <c r="B27" s="12"/>
    </row>
    <row r="28" spans="1:18">
      <c r="A28" s="5" t="s">
        <v>1185</v>
      </c>
    </row>
    <row r="29" spans="1:18" ht="15.75" thickBot="1"/>
    <row r="30" spans="1:18" ht="19.5" thickBot="1">
      <c r="A30" s="427" t="s">
        <v>597</v>
      </c>
      <c r="B30" s="428"/>
      <c r="C30" s="428"/>
      <c r="D30" s="428"/>
      <c r="E30" s="428"/>
      <c r="F30" s="428"/>
      <c r="G30" s="428"/>
      <c r="H30" s="428"/>
      <c r="I30" s="429"/>
    </row>
    <row r="31" spans="1:18">
      <c r="G31" s="38" t="s">
        <v>1353</v>
      </c>
      <c r="H31" s="38" t="s">
        <v>1351</v>
      </c>
      <c r="I31" s="38" t="s">
        <v>1351</v>
      </c>
      <c r="J31" s="397"/>
    </row>
    <row r="32" spans="1:18">
      <c r="A32" s="13"/>
      <c r="B32" s="12"/>
      <c r="D32" s="14" t="s">
        <v>164</v>
      </c>
      <c r="E32" s="14" t="s">
        <v>166</v>
      </c>
      <c r="F32" s="29"/>
      <c r="G32" s="38" t="s">
        <v>1046</v>
      </c>
      <c r="H32" s="38" t="s">
        <v>1055</v>
      </c>
      <c r="I32" s="38" t="s">
        <v>1046</v>
      </c>
      <c r="J32" s="397"/>
      <c r="K32" s="258"/>
      <c r="L32" s="259"/>
      <c r="M32" s="8"/>
      <c r="R32" s="8"/>
    </row>
    <row r="33" spans="1:18" ht="15.75" thickBot="1">
      <c r="A33" s="25"/>
      <c r="B33" s="26"/>
      <c r="C33" s="28" t="s">
        <v>1055</v>
      </c>
      <c r="D33" s="28" t="s">
        <v>165</v>
      </c>
      <c r="E33" s="28" t="s">
        <v>1054</v>
      </c>
      <c r="F33" s="30" t="s">
        <v>891</v>
      </c>
      <c r="G33" s="401" t="s">
        <v>1352</v>
      </c>
      <c r="H33" s="402" t="s">
        <v>1354</v>
      </c>
      <c r="I33" s="401" t="s">
        <v>1352</v>
      </c>
      <c r="J33" s="397"/>
      <c r="K33" s="260"/>
      <c r="L33" s="259"/>
      <c r="M33" s="8"/>
      <c r="R33" s="8"/>
    </row>
    <row r="34" spans="1:18">
      <c r="A34" s="13"/>
      <c r="B34" s="12"/>
      <c r="H34" s="259"/>
      <c r="I34" s="259"/>
      <c r="J34"/>
      <c r="K34" s="261"/>
      <c r="L34" s="259"/>
      <c r="M34" s="8"/>
      <c r="R34" s="8"/>
    </row>
    <row r="35" spans="1:18">
      <c r="A35" s="153" t="str">
        <f>A10</f>
        <v>Residential Rate RS</v>
      </c>
      <c r="B35" s="12"/>
      <c r="C35" s="2">
        <f>'Allocation Proforma'!G754</f>
        <v>456019130.66129225</v>
      </c>
      <c r="D35" s="2">
        <f>'Allocation Proforma'!G776</f>
        <v>426124709.75458241</v>
      </c>
      <c r="E35" s="2">
        <f t="shared" ref="E35:E40" si="2">C35-D35</f>
        <v>29894420.90670985</v>
      </c>
      <c r="F35" s="2">
        <f>'Allocation Proforma'!G787</f>
        <v>1709217009.5216761</v>
      </c>
      <c r="G35" s="18">
        <f t="shared" ref="G35:G40" si="3">E35/F35</f>
        <v>1.749012602857012E-2</v>
      </c>
      <c r="H35" s="18">
        <f>'Allocation Proforma'!G917/(459793603+94531)</f>
        <v>0.1155846130180867</v>
      </c>
      <c r="I35" s="18">
        <f>G61</f>
        <v>4.0781302993195573E-2</v>
      </c>
      <c r="J35" s="37"/>
      <c r="K35" s="261"/>
      <c r="L35" s="261"/>
      <c r="M35" s="8"/>
      <c r="R35" s="8"/>
    </row>
    <row r="36" spans="1:18">
      <c r="A36" s="153" t="str">
        <f t="shared" ref="A36:A49" si="4">A11</f>
        <v>General Service Rate GS</v>
      </c>
      <c r="B36" s="12"/>
      <c r="C36" s="4">
        <f>'Allocation Proforma'!H754</f>
        <v>154016488.24309376</v>
      </c>
      <c r="D36" s="4">
        <f>'Allocation Proforma'!H776</f>
        <v>114244999.50880583</v>
      </c>
      <c r="E36" s="4">
        <f t="shared" si="2"/>
        <v>39771488.734287933</v>
      </c>
      <c r="F36" s="4">
        <f>'Allocation Proforma'!H787</f>
        <v>398697503.46332896</v>
      </c>
      <c r="G36" s="18">
        <f t="shared" si="3"/>
        <v>9.9753543447873627E-2</v>
      </c>
      <c r="H36" s="18">
        <f>'Allocation Proforma'!H917/165742608</f>
        <v>0.1152740519203125</v>
      </c>
      <c r="I36" s="18">
        <f t="shared" ref="I36:I49" si="5">G62</f>
        <v>0.13559054090828662</v>
      </c>
      <c r="J36" s="37"/>
      <c r="K36" s="410"/>
      <c r="L36" s="261"/>
      <c r="M36" s="411"/>
      <c r="R36" s="8"/>
    </row>
    <row r="37" spans="1:18">
      <c r="A37" s="153" t="str">
        <f t="shared" si="4"/>
        <v>Power Service Primary Rate PS</v>
      </c>
      <c r="C37" s="4">
        <f>'Allocation Proforma'!I754</f>
        <v>10499864.717314858</v>
      </c>
      <c r="D37" s="4">
        <f>'Allocation Proforma'!I776</f>
        <v>7732349.6607865905</v>
      </c>
      <c r="E37" s="36">
        <f t="shared" si="2"/>
        <v>2767515.0565282675</v>
      </c>
      <c r="F37" s="4">
        <f>'Allocation Proforma'!I787</f>
        <v>23605515.638910923</v>
      </c>
      <c r="G37" s="18">
        <f t="shared" si="3"/>
        <v>0.11724018652515023</v>
      </c>
      <c r="H37" s="18">
        <f>'Allocation Proforma'!I917/9223885</f>
        <v>0.13287253689741363</v>
      </c>
      <c r="I37" s="18">
        <f t="shared" si="5"/>
        <v>0.15606165345292053</v>
      </c>
      <c r="J37" s="37"/>
      <c r="K37" s="410"/>
      <c r="L37" s="261">
        <f>SUM(E35:E43)/SUM(F35:F43)</f>
        <v>4.3443118992492695E-2</v>
      </c>
      <c r="M37" s="343" t="s">
        <v>1354</v>
      </c>
    </row>
    <row r="38" spans="1:18">
      <c r="A38" s="153" t="str">
        <f t="shared" si="4"/>
        <v>Power Service Secondary Rate PS</v>
      </c>
      <c r="B38" s="20"/>
      <c r="C38" s="36">
        <f>'Allocation Proforma'!J754</f>
        <v>154506164.60177773</v>
      </c>
      <c r="D38" s="36">
        <f>'Allocation Proforma'!J776</f>
        <v>120758860.84862022</v>
      </c>
      <c r="E38" s="36">
        <f t="shared" si="2"/>
        <v>33747303.753157511</v>
      </c>
      <c r="F38" s="36">
        <f>'Allocation Proforma'!J787</f>
        <v>397022294.40015203</v>
      </c>
      <c r="G38" s="37">
        <f t="shared" si="3"/>
        <v>8.5001029486631741E-2</v>
      </c>
      <c r="H38" s="18">
        <f>'Allocation Proforma'!J917/168770871</f>
        <v>0.10616391853544442</v>
      </c>
      <c r="I38" s="18">
        <f t="shared" si="5"/>
        <v>0.11874578932064823</v>
      </c>
      <c r="J38" s="37"/>
      <c r="K38" s="410"/>
      <c r="L38" s="261">
        <f>SUM(E44:E45)/SUM(F44:F45)</f>
        <v>0.10200034052568012</v>
      </c>
      <c r="M38" s="343" t="s">
        <v>1355</v>
      </c>
    </row>
    <row r="39" spans="1:18">
      <c r="A39" s="153" t="str">
        <f t="shared" si="4"/>
        <v>TOD Rate TOD Primary</v>
      </c>
      <c r="B39" s="12"/>
      <c r="C39" s="36">
        <f>'Allocation Proforma'!K754</f>
        <v>144361348.64369288</v>
      </c>
      <c r="D39" s="36">
        <f>'Allocation Proforma'!K776</f>
        <v>126659387.77220531</v>
      </c>
      <c r="E39" s="36">
        <f t="shared" si="2"/>
        <v>17701960.871487573</v>
      </c>
      <c r="F39" s="36">
        <f>'Allocation Proforma'!K787</f>
        <v>351297120.6955809</v>
      </c>
      <c r="G39" s="37">
        <f t="shared" si="3"/>
        <v>5.0390281697831898E-2</v>
      </c>
      <c r="H39" s="18">
        <f>'Allocation Proforma'!K917/147536448</f>
        <v>0.11089856928099556</v>
      </c>
      <c r="I39" s="18">
        <f t="shared" si="5"/>
        <v>8.5214719612706685E-2</v>
      </c>
      <c r="J39" s="37"/>
      <c r="K39" s="410"/>
      <c r="L39" s="261">
        <f>G46</f>
        <v>0.92281160380892158</v>
      </c>
      <c r="M39" s="343" t="s">
        <v>1356</v>
      </c>
    </row>
    <row r="40" spans="1:18">
      <c r="A40" s="153" t="str">
        <f t="shared" si="4"/>
        <v>TOD Rate TOD Secondary</v>
      </c>
      <c r="B40" s="12"/>
      <c r="C40" s="36">
        <f>'Allocation Proforma'!L754</f>
        <v>107311201.022214</v>
      </c>
      <c r="D40" s="36">
        <f>'Allocation Proforma'!L776</f>
        <v>95288837.905961037</v>
      </c>
      <c r="E40" s="36">
        <f t="shared" si="2"/>
        <v>12022363.116252959</v>
      </c>
      <c r="F40" s="36">
        <f>'Allocation Proforma'!L787</f>
        <v>303389934.2634303</v>
      </c>
      <c r="G40" s="37">
        <f t="shared" si="3"/>
        <v>3.9626769904020837E-2</v>
      </c>
      <c r="H40" s="18">
        <f>'Allocation Proforma'!L917/97668170</f>
        <v>0.12508215317231808</v>
      </c>
      <c r="I40" s="18">
        <f t="shared" si="5"/>
        <v>6.9735036448067986E-2</v>
      </c>
      <c r="J40" s="37"/>
      <c r="K40" s="261"/>
      <c r="L40" s="261"/>
    </row>
    <row r="41" spans="1:18">
      <c r="A41" s="153" t="str">
        <f t="shared" si="4"/>
        <v>Retail Transmission Service Rate RTS</v>
      </c>
      <c r="B41" s="12"/>
      <c r="C41" s="36">
        <f>'Allocation Proforma'!M754</f>
        <v>65939354.742996849</v>
      </c>
      <c r="D41" s="36">
        <f>'Allocation Proforma'!M776</f>
        <v>59921463.14254564</v>
      </c>
      <c r="E41" s="36">
        <f t="shared" ref="E41:E45" si="6">C41-D41</f>
        <v>6017891.6004512087</v>
      </c>
      <c r="F41" s="36">
        <f>'Allocation Proforma'!M787</f>
        <v>160366121.29716793</v>
      </c>
      <c r="G41" s="37">
        <f t="shared" ref="G41:G50" si="7">E41/F41</f>
        <v>3.7525953435636812E-2</v>
      </c>
      <c r="H41" s="18">
        <f>'Allocation Proforma'!M917/67522696</f>
        <v>0.1138931419444508</v>
      </c>
      <c r="I41" s="18">
        <f t="shared" si="5"/>
        <v>7.3382396643096967E-2</v>
      </c>
      <c r="J41" s="37"/>
      <c r="K41" s="259"/>
      <c r="L41" s="261"/>
    </row>
    <row r="42" spans="1:18">
      <c r="A42" s="153" t="str">
        <f t="shared" si="4"/>
        <v>Special Contract Customer</v>
      </c>
      <c r="B42" s="12"/>
      <c r="C42" s="36">
        <f>'Allocation Proforma'!N754</f>
        <v>3860800.8758276142</v>
      </c>
      <c r="D42" s="36">
        <f>'Allocation Proforma'!N776</f>
        <v>3609346.6253766143</v>
      </c>
      <c r="E42" s="36">
        <f t="shared" si="6"/>
        <v>251454.25045099994</v>
      </c>
      <c r="F42" s="36">
        <f>'Allocation Proforma'!N787</f>
        <v>10299117.756014783</v>
      </c>
      <c r="G42" s="37">
        <f t="shared" si="7"/>
        <v>2.4415125295965109E-2</v>
      </c>
      <c r="H42" s="18">
        <f>'Allocation Proforma'!N917/3705635</f>
        <v>0.11741820227842192</v>
      </c>
      <c r="I42" s="18">
        <f t="shared" si="5"/>
        <v>5.6003856907417389E-2</v>
      </c>
      <c r="J42" s="37"/>
      <c r="K42" s="261"/>
      <c r="L42" s="261"/>
    </row>
    <row r="43" spans="1:18">
      <c r="A43" s="153" t="str">
        <f t="shared" si="4"/>
        <v>Lighting Rate RLS &amp; LS</v>
      </c>
      <c r="B43" s="12"/>
      <c r="C43" s="36">
        <f>'Allocation Proforma'!O754</f>
        <v>22696319.889306329</v>
      </c>
      <c r="D43" s="36">
        <f>'Allocation Proforma'!O776</f>
        <v>14716313.537702296</v>
      </c>
      <c r="E43" s="36">
        <f t="shared" si="6"/>
        <v>7980006.3516040333</v>
      </c>
      <c r="F43" s="36">
        <f>'Allocation Proforma'!O787</f>
        <v>102450326.03465796</v>
      </c>
      <c r="G43" s="37">
        <f t="shared" si="7"/>
        <v>7.7891468582583862E-2</v>
      </c>
      <c r="H43" s="18">
        <f>'Allocation Proforma'!O917/23946130</f>
        <v>0.1192776870417057</v>
      </c>
      <c r="I43" s="18">
        <f t="shared" si="5"/>
        <v>9.8737489904440395E-2</v>
      </c>
      <c r="J43" s="37"/>
      <c r="K43" s="261"/>
      <c r="L43" s="261"/>
    </row>
    <row r="44" spans="1:18">
      <c r="A44" s="153" t="str">
        <f t="shared" si="4"/>
        <v>Lighting Rate LE</v>
      </c>
      <c r="B44" s="12"/>
      <c r="C44" s="36">
        <f>'Allocation Proforma'!P754</f>
        <v>258715.58026645824</v>
      </c>
      <c r="D44" s="36">
        <f>'Allocation Proforma'!P776</f>
        <v>213128.68969225968</v>
      </c>
      <c r="E44" s="36">
        <f t="shared" si="6"/>
        <v>45586.890574198565</v>
      </c>
      <c r="F44" s="36">
        <f>'Allocation Proforma'!P787</f>
        <v>553419.98421918578</v>
      </c>
      <c r="G44" s="37">
        <f t="shared" si="7"/>
        <v>8.2373047367482785E-2</v>
      </c>
      <c r="H44" s="18">
        <f>'Allocation Proforma'!P917/303565</f>
        <v>9.8825622189646375E-6</v>
      </c>
      <c r="I44" s="18">
        <f t="shared" si="5"/>
        <v>8.2378205894619277E-2</v>
      </c>
      <c r="J44" s="37"/>
      <c r="K44" s="261"/>
      <c r="L44" s="261"/>
    </row>
    <row r="45" spans="1:18">
      <c r="A45" s="153" t="str">
        <f t="shared" si="4"/>
        <v>Lighting Rate TE</v>
      </c>
      <c r="B45" s="12"/>
      <c r="C45" s="36">
        <f>'Allocation Proforma'!Q754</f>
        <v>331128.01177867205</v>
      </c>
      <c r="D45" s="36">
        <f>'Allocation Proforma'!Q776</f>
        <v>251835.74093845059</v>
      </c>
      <c r="E45" s="36">
        <f t="shared" si="6"/>
        <v>79292.270840221463</v>
      </c>
      <c r="F45" s="36">
        <f>'Allocation Proforma'!Q787</f>
        <v>670881.43252931838</v>
      </c>
      <c r="G45" s="37">
        <f t="shared" si="7"/>
        <v>0.1181911840088916</v>
      </c>
      <c r="H45" s="18">
        <f>'Allocation Proforma'!Q917/331597</f>
        <v>-4.2219923581938315E-5</v>
      </c>
      <c r="I45" s="18">
        <f t="shared" si="5"/>
        <v>0.11817668670211548</v>
      </c>
      <c r="J45" s="37"/>
      <c r="K45" s="261"/>
      <c r="L45" s="261"/>
    </row>
    <row r="46" spans="1:18">
      <c r="A46" s="153" t="str">
        <f t="shared" si="4"/>
        <v>Outdoor Sports Lighting OSL</v>
      </c>
      <c r="B46" s="20"/>
      <c r="C46" s="36">
        <f>'Allocation Proforma'!R754</f>
        <v>15690.949683301198</v>
      </c>
      <c r="D46" s="36">
        <f>'Allocation Proforma'!R776</f>
        <v>3823.9079148180017</v>
      </c>
      <c r="E46" s="36">
        <f>C46-D46</f>
        <v>11867.041768483195</v>
      </c>
      <c r="F46" s="36">
        <f>'Allocation Proforma'!R787</f>
        <v>12859.658157203232</v>
      </c>
      <c r="G46" s="37">
        <f>E46/F46</f>
        <v>0.92281160380892158</v>
      </c>
      <c r="H46" s="18">
        <f>'Allocation Proforma'!R917/10238</f>
        <v>-0.159992185973823</v>
      </c>
      <c r="I46" s="18">
        <f t="shared" si="5"/>
        <v>0.82757621064224873</v>
      </c>
      <c r="J46" s="37"/>
      <c r="K46" s="261"/>
      <c r="L46" s="261"/>
    </row>
    <row r="47" spans="1:18">
      <c r="A47" s="153" t="str">
        <f t="shared" si="4"/>
        <v>Electric Vehicle Charging EVC</v>
      </c>
      <c r="B47" s="12"/>
      <c r="C47" s="36">
        <f>'Allocation Proforma'!S754</f>
        <v>12695.308078972774</v>
      </c>
      <c r="D47" s="36">
        <f>'Allocation Proforma'!S776</f>
        <v>45303.181509845861</v>
      </c>
      <c r="E47" s="36">
        <f t="shared" ref="E47:E49" si="8">C47-D47</f>
        <v>-32607.873430873085</v>
      </c>
      <c r="F47" s="36">
        <f>'Allocation Proforma'!S787</f>
        <v>120413.38431620215</v>
      </c>
      <c r="G47" s="37">
        <f t="shared" ref="G47:G49" si="9">E47/F47</f>
        <v>-0.27079941001613017</v>
      </c>
      <c r="H47" s="18">
        <f>'Allocation Proforma'!S917/2963</f>
        <v>0</v>
      </c>
      <c r="I47" s="18">
        <f t="shared" si="5"/>
        <v>7.1992421998892997E-2</v>
      </c>
      <c r="J47" s="37"/>
      <c r="K47" s="261"/>
      <c r="L47" s="261"/>
    </row>
    <row r="48" spans="1:18">
      <c r="A48" s="153" t="str">
        <f t="shared" si="4"/>
        <v>Solar Share SS</v>
      </c>
      <c r="B48" s="12"/>
      <c r="C48" s="36">
        <f>'Allocation Proforma'!T754</f>
        <v>237096</v>
      </c>
      <c r="D48" s="36">
        <f>'Allocation Proforma'!T776</f>
        <v>153855.85858076424</v>
      </c>
      <c r="E48" s="36">
        <f t="shared" si="8"/>
        <v>83240.141419235762</v>
      </c>
      <c r="F48" s="36">
        <f>'Allocation Proforma'!T787</f>
        <v>2314621.8400000003</v>
      </c>
      <c r="G48" s="37">
        <f t="shared" si="9"/>
        <v>3.5962739131173045E-2</v>
      </c>
      <c r="H48" s="18">
        <f>'Allocation Proforma'!T917/157356</f>
        <v>0</v>
      </c>
      <c r="I48" s="18">
        <f t="shared" si="5"/>
        <v>7.1800006838869085E-2</v>
      </c>
      <c r="J48" s="37"/>
      <c r="K48" s="261"/>
      <c r="L48" s="261"/>
    </row>
    <row r="49" spans="1:18">
      <c r="A49" s="41" t="str">
        <f t="shared" si="4"/>
        <v>Business Solar BS</v>
      </c>
      <c r="B49" s="40"/>
      <c r="C49" s="33">
        <f>'Allocation Proforma'!U754</f>
        <v>9936</v>
      </c>
      <c r="D49" s="33">
        <f>'Allocation Proforma'!U776</f>
        <v>12591.246284675426</v>
      </c>
      <c r="E49" s="33">
        <f t="shared" si="8"/>
        <v>-2655.2462846754261</v>
      </c>
      <c r="F49" s="33">
        <f>'Allocation Proforma'!U787</f>
        <v>60676.790000000008</v>
      </c>
      <c r="G49" s="34">
        <f t="shared" si="9"/>
        <v>-4.3760493669415042E-2</v>
      </c>
      <c r="H49" s="34">
        <f>'Allocation Proforma'!U917/9936</f>
        <v>0</v>
      </c>
      <c r="I49" s="34">
        <f t="shared" si="5"/>
        <v>7.1799252181345988E-2</v>
      </c>
      <c r="J49" s="37"/>
      <c r="K49" s="261"/>
      <c r="L49" s="261"/>
    </row>
    <row r="50" spans="1:18">
      <c r="C50" s="4">
        <f>SUM(C35:C49)</f>
        <v>1120075935.2473235</v>
      </c>
      <c r="D50" s="4">
        <f>SUM(D35:D49)</f>
        <v>969736807.3815068</v>
      </c>
      <c r="E50" s="4">
        <f t="shared" ref="E50:F50" si="10">SUM(E35:E49)</f>
        <v>150339127.86581695</v>
      </c>
      <c r="F50" s="4">
        <f t="shared" si="10"/>
        <v>3460077816.1601415</v>
      </c>
      <c r="G50" s="18">
        <f t="shared" si="7"/>
        <v>4.3449637798220794E-2</v>
      </c>
      <c r="H50" s="18">
        <f>'Allocation Proforma'!F917/1160259576</f>
        <v>0.11287387038984456</v>
      </c>
      <c r="I50" s="18">
        <f>G76</f>
        <v>7.1807691608317556E-2</v>
      </c>
      <c r="J50" s="37"/>
      <c r="K50" s="261"/>
      <c r="L50" s="261"/>
    </row>
    <row r="51" spans="1:18">
      <c r="J51" s="36"/>
      <c r="K51" s="261"/>
      <c r="L51" s="261"/>
    </row>
    <row r="53" spans="1:18" ht="18.75">
      <c r="A53" s="27" t="s">
        <v>597</v>
      </c>
      <c r="B53" s="12"/>
    </row>
    <row r="54" spans="1:18">
      <c r="A54" s="5" t="s">
        <v>1186</v>
      </c>
    </row>
    <row r="55" spans="1:18">
      <c r="A55" s="187"/>
    </row>
    <row r="58" spans="1:18">
      <c r="A58" s="13"/>
      <c r="B58" s="12"/>
      <c r="D58" s="14" t="s">
        <v>164</v>
      </c>
      <c r="E58" s="14" t="s">
        <v>166</v>
      </c>
      <c r="F58" s="29"/>
      <c r="G58" s="1"/>
      <c r="H58" s="1"/>
      <c r="I58" s="1"/>
      <c r="M58" s="8"/>
      <c r="R58" s="8"/>
    </row>
    <row r="59" spans="1:18" ht="15.75" thickBot="1">
      <c r="A59" s="25"/>
      <c r="B59" s="26"/>
      <c r="C59" s="28" t="s">
        <v>1055</v>
      </c>
      <c r="D59" s="28" t="s">
        <v>165</v>
      </c>
      <c r="E59" s="28" t="s">
        <v>1054</v>
      </c>
      <c r="F59" s="30" t="s">
        <v>891</v>
      </c>
      <c r="G59" s="28" t="s">
        <v>167</v>
      </c>
      <c r="H59" s="21"/>
      <c r="I59" s="21"/>
      <c r="M59" s="8"/>
      <c r="R59" s="8"/>
    </row>
    <row r="60" spans="1:18">
      <c r="A60" s="13"/>
      <c r="B60" s="12"/>
      <c r="M60" s="8"/>
      <c r="R60" s="8"/>
    </row>
    <row r="61" spans="1:18">
      <c r="A61" s="153" t="str">
        <f>A35</f>
        <v>Residential Rate RS</v>
      </c>
      <c r="B61" s="12"/>
      <c r="C61" s="2">
        <f>'Allocation Proforma'!G924</f>
        <v>509263010.48054093</v>
      </c>
      <c r="D61" s="2">
        <f>'Allocation Proforma'!G937</f>
        <v>439558913.73411381</v>
      </c>
      <c r="E61" s="2">
        <f t="shared" ref="E61:E75" si="11">C61-D61</f>
        <v>69704096.746427119</v>
      </c>
      <c r="F61" s="2">
        <f>'Allocation Proforma'!G942</f>
        <v>1709217009.5216761</v>
      </c>
      <c r="G61" s="18">
        <f t="shared" ref="G61:G66" si="12">E61/F61</f>
        <v>4.0781302993195573E-2</v>
      </c>
      <c r="H61" s="18"/>
      <c r="I61" s="18"/>
      <c r="J61" s="18"/>
      <c r="M61" s="8"/>
      <c r="R61" s="8"/>
    </row>
    <row r="62" spans="1:18">
      <c r="A62" s="153" t="str">
        <f t="shared" ref="A62:A75" si="13">A36</f>
        <v>General Service Rate GS</v>
      </c>
      <c r="B62" s="12"/>
      <c r="C62" s="4">
        <f>'Allocation Proforma'!H924</f>
        <v>173126290.16018906</v>
      </c>
      <c r="D62" s="4">
        <f>'Allocation Proforma'!H937</f>
        <v>119066680.00681281</v>
      </c>
      <c r="E62" s="4">
        <f t="shared" si="11"/>
        <v>54059610.153376251</v>
      </c>
      <c r="F62" s="4">
        <f>'Allocation Proforma'!H942</f>
        <v>398697503.46332896</v>
      </c>
      <c r="G62" s="18">
        <f t="shared" si="12"/>
        <v>0.13559054090828662</v>
      </c>
      <c r="H62" s="18"/>
      <c r="I62" s="18"/>
      <c r="J62" s="18"/>
      <c r="M62" s="8"/>
      <c r="R62" s="8"/>
    </row>
    <row r="63" spans="1:18">
      <c r="A63" s="153" t="str">
        <f t="shared" si="13"/>
        <v>Power Service Primary Rate PS</v>
      </c>
      <c r="C63" s="4">
        <f>'Allocation Proforma'!I924</f>
        <v>11725514.765633229</v>
      </c>
      <c r="D63" s="4">
        <f>'Allocation Proforma'!I937</f>
        <v>8041598.9644160168</v>
      </c>
      <c r="E63" s="4">
        <f t="shared" si="11"/>
        <v>3683915.8012172123</v>
      </c>
      <c r="F63" s="4">
        <f>'Allocation Proforma'!I942</f>
        <v>23605515.638910923</v>
      </c>
      <c r="G63" s="18">
        <f t="shared" si="12"/>
        <v>0.15606165345292053</v>
      </c>
      <c r="H63" s="18"/>
      <c r="I63" s="18"/>
      <c r="J63" s="18"/>
    </row>
    <row r="64" spans="1:18">
      <c r="A64" s="153" t="str">
        <f t="shared" si="13"/>
        <v>Power Service Secondary Rate PS</v>
      </c>
      <c r="C64" s="4">
        <f>'Allocation Proforma'!J924</f>
        <v>172424690.94962564</v>
      </c>
      <c r="D64" s="4">
        <f>'Allocation Proforma'!J937</f>
        <v>125279965.22318481</v>
      </c>
      <c r="E64" s="4">
        <f t="shared" si="11"/>
        <v>47144725.726440832</v>
      </c>
      <c r="F64" s="4">
        <f>'Allocation Proforma'!J942</f>
        <v>397022294.40015203</v>
      </c>
      <c r="G64" s="18">
        <f t="shared" si="12"/>
        <v>0.11874578932064823</v>
      </c>
      <c r="H64" s="18"/>
      <c r="I64" s="18"/>
      <c r="J64" s="18"/>
    </row>
    <row r="65" spans="1:10">
      <c r="A65" s="153" t="str">
        <f t="shared" si="13"/>
        <v>TOD Rate TOD Primary</v>
      </c>
      <c r="B65" s="12"/>
      <c r="C65" s="4">
        <f>'Allocation Proforma'!K924</f>
        <v>160723475.6296784</v>
      </c>
      <c r="D65" s="4">
        <f>'Allocation Proforma'!K937</f>
        <v>130787789.98885329</v>
      </c>
      <c r="E65" s="4">
        <f t="shared" si="11"/>
        <v>29935685.640825108</v>
      </c>
      <c r="F65" s="4">
        <f>'Allocation Proforma'!K942</f>
        <v>351297120.6955809</v>
      </c>
      <c r="G65" s="18">
        <f t="shared" si="12"/>
        <v>8.5214719612706685E-2</v>
      </c>
      <c r="H65" s="18"/>
      <c r="I65" s="18"/>
      <c r="J65" s="18"/>
    </row>
    <row r="66" spans="1:10">
      <c r="A66" s="153" t="str">
        <f t="shared" si="13"/>
        <v>TOD Rate TOD Secondary</v>
      </c>
      <c r="B66" s="12"/>
      <c r="C66" s="222">
        <f>'Allocation Proforma'!L924</f>
        <v>119528296.64855182</v>
      </c>
      <c r="D66" s="4">
        <f>'Allocation Proforma'!L937</f>
        <v>98371388.524714559</v>
      </c>
      <c r="E66" s="4">
        <f t="shared" si="11"/>
        <v>21156908.123837262</v>
      </c>
      <c r="F66" s="4">
        <f>'Allocation Proforma'!L942</f>
        <v>303389934.2634303</v>
      </c>
      <c r="G66" s="18">
        <f t="shared" si="12"/>
        <v>6.9735036448067986E-2</v>
      </c>
      <c r="H66" s="18"/>
      <c r="I66" s="18"/>
      <c r="J66" s="18"/>
    </row>
    <row r="67" spans="1:10">
      <c r="A67" s="153" t="str">
        <f t="shared" si="13"/>
        <v>Retail Transmission Service Rate RTS</v>
      </c>
      <c r="B67" s="12"/>
      <c r="C67" s="4">
        <f>'Allocation Proforma'!M924</f>
        <v>73629966.47012651</v>
      </c>
      <c r="D67" s="4">
        <f>'Allocation Proforma'!M937</f>
        <v>61861916.148982733</v>
      </c>
      <c r="E67" s="4">
        <f t="shared" si="11"/>
        <v>11768050.321143776</v>
      </c>
      <c r="F67" s="4">
        <f>'Allocation Proforma'!M942</f>
        <v>160366121.29716793</v>
      </c>
      <c r="G67" s="18">
        <f t="shared" ref="G67:G75" si="14">E67/F67</f>
        <v>7.3382396643096967E-2</v>
      </c>
      <c r="H67" s="18"/>
      <c r="I67" s="18"/>
      <c r="J67" s="18"/>
    </row>
    <row r="68" spans="1:10">
      <c r="A68" s="153" t="str">
        <f t="shared" si="13"/>
        <v>Special Contract Customer</v>
      </c>
      <c r="B68" s="12"/>
      <c r="C68" s="4">
        <f>'Allocation Proforma'!N924</f>
        <v>4295925.1029685419</v>
      </c>
      <c r="D68" s="4">
        <f>'Allocation Proforma'!N937</f>
        <v>3719134.7858880484</v>
      </c>
      <c r="E68" s="4">
        <f t="shared" si="11"/>
        <v>576790.31708049355</v>
      </c>
      <c r="F68" s="4">
        <f>'Allocation Proforma'!N942</f>
        <v>10299117.756014783</v>
      </c>
      <c r="G68" s="18">
        <f t="shared" si="14"/>
        <v>5.6003856907417389E-2</v>
      </c>
      <c r="H68" s="18"/>
      <c r="I68" s="18"/>
      <c r="J68" s="18"/>
    </row>
    <row r="69" spans="1:10">
      <c r="A69" s="153" t="str">
        <f t="shared" si="13"/>
        <v>Lighting Rate RLS &amp; LS</v>
      </c>
      <c r="B69" s="12"/>
      <c r="C69" s="36">
        <f>'Allocation Proforma'!O924</f>
        <v>25552710.361072123</v>
      </c>
      <c r="D69" s="36">
        <f>'Allocation Proforma'!O937</f>
        <v>15437022.328518456</v>
      </c>
      <c r="E69" s="4">
        <f t="shared" si="11"/>
        <v>10115688.032553667</v>
      </c>
      <c r="F69" s="36">
        <f>'Allocation Proforma'!O942</f>
        <v>102450326.03465796</v>
      </c>
      <c r="G69" s="37">
        <f t="shared" si="14"/>
        <v>9.8737489904440395E-2</v>
      </c>
      <c r="H69" s="37"/>
      <c r="I69" s="37"/>
      <c r="J69" s="18"/>
    </row>
    <row r="70" spans="1:10">
      <c r="A70" s="153" t="str">
        <f t="shared" si="13"/>
        <v>Lighting Rate LE</v>
      </c>
      <c r="B70" s="12"/>
      <c r="C70" s="4">
        <f>'Allocation Proforma'!P924</f>
        <v>258719.39849228025</v>
      </c>
      <c r="D70" s="4">
        <f>'Allocation Proforma'!P937</f>
        <v>213129.65308607521</v>
      </c>
      <c r="E70" s="4">
        <f t="shared" si="11"/>
        <v>45589.745406205038</v>
      </c>
      <c r="F70" s="4">
        <f>'Allocation Proforma'!P942</f>
        <v>553419.98421918578</v>
      </c>
      <c r="G70" s="18">
        <f t="shared" si="14"/>
        <v>8.2378205894619277E-2</v>
      </c>
      <c r="H70" s="18"/>
      <c r="I70" s="18"/>
      <c r="J70" s="18"/>
    </row>
    <row r="71" spans="1:10">
      <c r="A71" s="153" t="str">
        <f t="shared" si="13"/>
        <v>Lighting Rate TE</v>
      </c>
      <c r="B71" s="12"/>
      <c r="C71" s="4">
        <f>'Allocation Proforma'!Q924</f>
        <v>331115.00367005158</v>
      </c>
      <c r="D71" s="4">
        <f>'Allocation Proforma'!Q937</f>
        <v>251832.45880376789</v>
      </c>
      <c r="E71" s="4">
        <f t="shared" si="11"/>
        <v>79282.544866283686</v>
      </c>
      <c r="F71" s="4">
        <f>'Allocation Proforma'!Q942</f>
        <v>670881.43252931838</v>
      </c>
      <c r="G71" s="18">
        <f t="shared" si="14"/>
        <v>0.11817668670211548</v>
      </c>
      <c r="H71" s="18"/>
      <c r="I71" s="18"/>
      <c r="J71" s="18"/>
    </row>
    <row r="72" spans="1:10">
      <c r="A72" s="153" t="str">
        <f t="shared" si="13"/>
        <v>Outdoor Sports Lighting OSL</v>
      </c>
      <c r="B72" s="20"/>
      <c r="C72" s="36">
        <f>'Allocation Proforma'!R924</f>
        <v>14052.968696175085</v>
      </c>
      <c r="D72" s="36">
        <f>'Allocation Proforma'!R937</f>
        <v>3410.6215282821504</v>
      </c>
      <c r="E72" s="4">
        <f t="shared" si="11"/>
        <v>10642.347167892935</v>
      </c>
      <c r="F72" s="4">
        <f>'Allocation Proforma'!R942</f>
        <v>12859.658157203232</v>
      </c>
      <c r="G72" s="37">
        <f t="shared" si="14"/>
        <v>0.82757621064224873</v>
      </c>
      <c r="H72" s="37"/>
      <c r="I72" s="37"/>
      <c r="J72" s="18"/>
    </row>
    <row r="73" spans="1:10">
      <c r="A73" s="153" t="str">
        <f t="shared" si="13"/>
        <v>Electric Vehicle Charging EVC</v>
      </c>
      <c r="C73" s="36">
        <f>'Allocation Proforma'!S924</f>
        <v>67901.308078972768</v>
      </c>
      <c r="D73" s="36">
        <f>'Allocation Proforma'!S937</f>
        <v>59232.456900965859</v>
      </c>
      <c r="E73" s="4">
        <f t="shared" si="11"/>
        <v>8668.8511780069093</v>
      </c>
      <c r="F73" s="4">
        <f>'Allocation Proforma'!S942</f>
        <v>120413.38431620215</v>
      </c>
      <c r="G73" s="37">
        <f t="shared" si="14"/>
        <v>7.1992421998892997E-2</v>
      </c>
      <c r="H73" s="37"/>
      <c r="I73" s="37"/>
    </row>
    <row r="74" spans="1:10">
      <c r="A74" s="153" t="str">
        <f t="shared" si="13"/>
        <v>Solar Share SS</v>
      </c>
      <c r="C74" s="36">
        <f>'Allocation Proforma'!T924</f>
        <v>348038</v>
      </c>
      <c r="D74" s="36">
        <f>'Allocation Proforma'!T937</f>
        <v>181848.13605860423</v>
      </c>
      <c r="E74" s="4">
        <f t="shared" si="11"/>
        <v>166189.86394139577</v>
      </c>
      <c r="F74" s="4">
        <f>'Allocation Proforma'!T942</f>
        <v>2314621.8400000003</v>
      </c>
      <c r="G74" s="37">
        <f t="shared" si="14"/>
        <v>7.1800006838869085E-2</v>
      </c>
      <c r="H74" s="37"/>
      <c r="I74" s="37"/>
    </row>
    <row r="75" spans="1:10">
      <c r="A75" s="41" t="str">
        <f t="shared" si="13"/>
        <v>Business Solar BS</v>
      </c>
      <c r="B75" s="40"/>
      <c r="C75" s="33">
        <f>'Allocation Proforma'!U924</f>
        <v>19314</v>
      </c>
      <c r="D75" s="33">
        <f>'Allocation Proforma'!U937</f>
        <v>14957.451853235427</v>
      </c>
      <c r="E75" s="33">
        <f t="shared" si="11"/>
        <v>4356.5481467645732</v>
      </c>
      <c r="F75" s="33">
        <f>'Allocation Proforma'!U942</f>
        <v>60676.790000000008</v>
      </c>
      <c r="G75" s="34">
        <f t="shared" si="14"/>
        <v>7.1799252181345988E-2</v>
      </c>
      <c r="H75" s="37"/>
      <c r="I75" s="37"/>
    </row>
    <row r="76" spans="1:10">
      <c r="A76" s="153"/>
      <c r="C76" s="4">
        <f>SUM(C61:C75)</f>
        <v>1251309021.2473238</v>
      </c>
      <c r="D76" s="4">
        <f>SUM(D61:D75)</f>
        <v>1002848820.4837157</v>
      </c>
      <c r="E76" s="4">
        <f t="shared" ref="E76" si="15">SUM(E61:E75)</f>
        <v>248460200.76360831</v>
      </c>
      <c r="F76" s="4">
        <f t="shared" ref="F76" si="16">SUM(F61:F75)</f>
        <v>3460077816.1601415</v>
      </c>
      <c r="G76" s="18">
        <f t="shared" ref="G76" si="17">E76/F76</f>
        <v>7.1807691608317556E-2</v>
      </c>
      <c r="H76" s="18"/>
      <c r="I76" s="18"/>
    </row>
    <row r="77" spans="1:10">
      <c r="A77" s="189"/>
    </row>
    <row r="78" spans="1:10">
      <c r="A78" s="189"/>
    </row>
    <row r="79" spans="1:10">
      <c r="A79" s="189"/>
    </row>
    <row r="80" spans="1:10">
      <c r="A80" s="189"/>
    </row>
    <row r="81" spans="1:1">
      <c r="A81" s="189"/>
    </row>
    <row r="82" spans="1:1">
      <c r="A82" s="153"/>
    </row>
    <row r="83" spans="1:1">
      <c r="A83" s="153"/>
    </row>
    <row r="84" spans="1:1">
      <c r="A84" s="189"/>
    </row>
    <row r="85" spans="1:1">
      <c r="A85" s="189"/>
    </row>
    <row r="86" spans="1:1">
      <c r="A86" s="153"/>
    </row>
    <row r="87" spans="1:1">
      <c r="A87" s="20"/>
    </row>
  </sheetData>
  <mergeCells count="3">
    <mergeCell ref="J2:M2"/>
    <mergeCell ref="O2:R2"/>
    <mergeCell ref="A30:I30"/>
  </mergeCells>
  <phoneticPr fontId="0" type="noConversion"/>
  <conditionalFormatting sqref="J10:J24 J61:J72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5" orientation="landscape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zoomScale="85" zoomScaleNormal="85" workbookViewId="0">
      <pane xSplit="1" ySplit="6" topLeftCell="B7" activePane="bottomRight" state="frozen"/>
      <selection activeCell="J42" sqref="J42"/>
      <selection pane="topRight" activeCell="J42" sqref="J42"/>
      <selection pane="bottomLeft" activeCell="J42" sqref="J42"/>
      <selection pane="bottomRight" activeCell="B7" sqref="B7"/>
    </sheetView>
  </sheetViews>
  <sheetFormatPr defaultColWidth="9.140625" defaultRowHeight="15"/>
  <cols>
    <col min="1" max="1" width="49.85546875" style="112" bestFit="1" customWidth="1"/>
    <col min="2" max="2" width="17.42578125" style="6" bestFit="1" customWidth="1"/>
    <col min="3" max="10" width="22.5703125" style="112" customWidth="1"/>
    <col min="11" max="11" width="18.42578125" style="112" bestFit="1" customWidth="1"/>
    <col min="12" max="12" width="16.140625" style="112" bestFit="1" customWidth="1"/>
    <col min="13" max="13" width="14.28515625" style="112" bestFit="1" customWidth="1"/>
    <col min="14" max="17" width="12" style="112" bestFit="1" customWidth="1"/>
    <col min="18" max="18" width="9.140625" style="112"/>
    <col min="19" max="19" width="11.85546875" style="112" bestFit="1" customWidth="1"/>
    <col min="20" max="16384" width="9.140625" style="112"/>
  </cols>
  <sheetData>
    <row r="1" spans="1:20">
      <c r="A1" s="5" t="s">
        <v>597</v>
      </c>
      <c r="B1" s="5"/>
    </row>
    <row r="2" spans="1:20" ht="15" customHeight="1">
      <c r="A2" s="6" t="s">
        <v>668</v>
      </c>
    </row>
    <row r="4" spans="1:20">
      <c r="A4" s="113"/>
      <c r="B4" s="9" t="s">
        <v>1196</v>
      </c>
      <c r="C4" s="39"/>
      <c r="D4" s="114"/>
      <c r="E4" s="9"/>
      <c r="F4" s="9" t="s">
        <v>173</v>
      </c>
      <c r="G4" s="9"/>
      <c r="H4" s="11"/>
      <c r="I4" s="11"/>
      <c r="J4" s="11"/>
      <c r="K4" s="11"/>
      <c r="L4" s="113"/>
      <c r="M4" s="113"/>
      <c r="N4" s="113"/>
      <c r="Q4" s="113"/>
    </row>
    <row r="5" spans="1:20">
      <c r="A5" s="113"/>
      <c r="B5" s="9" t="s">
        <v>809</v>
      </c>
      <c r="C5" s="9"/>
      <c r="D5" s="38" t="s">
        <v>610</v>
      </c>
      <c r="E5" s="38" t="s">
        <v>1244</v>
      </c>
      <c r="F5" s="9" t="s">
        <v>163</v>
      </c>
      <c r="G5" s="9" t="s">
        <v>176</v>
      </c>
      <c r="H5" s="11"/>
      <c r="I5" s="11"/>
      <c r="J5" s="11"/>
      <c r="K5" s="11"/>
      <c r="L5" s="113"/>
      <c r="M5" s="113"/>
      <c r="N5" s="113"/>
      <c r="Q5" s="113"/>
      <c r="R5" s="113"/>
      <c r="S5" s="113"/>
      <c r="T5" s="113"/>
    </row>
    <row r="6" spans="1:20" ht="15.75" thickBot="1">
      <c r="A6" s="115"/>
      <c r="B6" s="404">
        <v>44742</v>
      </c>
      <c r="C6" s="364" t="s">
        <v>1318</v>
      </c>
      <c r="D6" s="208" t="s">
        <v>611</v>
      </c>
      <c r="E6" s="207" t="s">
        <v>855</v>
      </c>
      <c r="F6" s="207" t="s">
        <v>855</v>
      </c>
      <c r="G6" s="207" t="s">
        <v>177</v>
      </c>
      <c r="H6" s="11"/>
      <c r="I6" s="11"/>
      <c r="J6" s="11"/>
      <c r="K6" s="11"/>
      <c r="N6" s="116"/>
    </row>
    <row r="7" spans="1:20" s="122" customFormat="1">
      <c r="A7" s="121"/>
      <c r="B7" s="281"/>
      <c r="C7" s="215"/>
      <c r="D7" s="215"/>
      <c r="E7" s="215"/>
      <c r="F7" s="215"/>
      <c r="H7" s="282"/>
      <c r="I7" s="282"/>
      <c r="J7" s="282"/>
      <c r="K7" s="282"/>
      <c r="L7" s="215"/>
      <c r="M7" s="215"/>
      <c r="N7" s="216"/>
    </row>
    <row r="8" spans="1:20" s="122" customFormat="1">
      <c r="A8" s="65" t="s">
        <v>1167</v>
      </c>
      <c r="B8" s="283">
        <f>137763842/365+59721/365</f>
        <v>377598.80273972603</v>
      </c>
      <c r="C8" s="283">
        <f>4048068533-714369+1590144+176683-11551</f>
        <v>4049109440</v>
      </c>
      <c r="D8" s="398">
        <f>431652649.45+172087</f>
        <v>431824736.44999999</v>
      </c>
      <c r="E8" s="283">
        <v>902572.56499265111</v>
      </c>
      <c r="F8" s="283">
        <v>1411141.2351640391</v>
      </c>
      <c r="G8" s="283">
        <v>3154764.2447423753</v>
      </c>
      <c r="H8" s="125"/>
      <c r="I8" s="125"/>
      <c r="J8" s="285"/>
      <c r="K8" s="285"/>
      <c r="L8" s="286"/>
      <c r="M8" s="215"/>
      <c r="N8" s="286"/>
    </row>
    <row r="9" spans="1:20" s="122" customFormat="1">
      <c r="A9" s="121"/>
      <c r="B9" s="283"/>
      <c r="C9" s="283"/>
      <c r="D9" s="287"/>
      <c r="E9" s="283"/>
      <c r="F9" s="283"/>
      <c r="G9" s="283"/>
      <c r="H9" s="125"/>
      <c r="I9" s="125"/>
      <c r="J9" s="285"/>
      <c r="K9" s="285"/>
      <c r="L9" s="215"/>
      <c r="M9" s="215"/>
      <c r="N9" s="289"/>
      <c r="R9" s="290"/>
      <c r="T9" s="290"/>
    </row>
    <row r="10" spans="1:20" s="122" customFormat="1">
      <c r="A10" s="65" t="s">
        <v>1220</v>
      </c>
      <c r="B10" s="283">
        <f>10506061/365+6050092/365</f>
        <v>45359.323287671228</v>
      </c>
      <c r="C10" s="283">
        <f>351664584+845636495-212199</f>
        <v>1197088880</v>
      </c>
      <c r="D10" s="398">
        <v>148100588.18000001</v>
      </c>
      <c r="E10" s="283">
        <v>213017.34637199674</v>
      </c>
      <c r="F10" s="283">
        <v>344696.92663794034</v>
      </c>
      <c r="G10" s="283">
        <v>504189.40375760838</v>
      </c>
      <c r="H10" s="125"/>
      <c r="I10" s="125"/>
      <c r="J10" s="291"/>
      <c r="K10" s="291"/>
      <c r="M10" s="215"/>
      <c r="N10" s="215"/>
    </row>
    <row r="11" spans="1:20" s="122" customFormat="1">
      <c r="B11" s="283"/>
      <c r="C11" s="283"/>
      <c r="D11" s="283"/>
      <c r="E11" s="283"/>
      <c r="F11" s="283"/>
      <c r="G11" s="283"/>
      <c r="H11" s="125"/>
      <c r="I11" s="125"/>
      <c r="J11" s="125"/>
      <c r="K11" s="125"/>
      <c r="L11" s="215"/>
      <c r="M11" s="215"/>
      <c r="N11" s="289"/>
      <c r="R11" s="290"/>
      <c r="T11" s="290"/>
    </row>
    <row r="12" spans="1:20" s="122" customFormat="1">
      <c r="A12" s="65" t="s">
        <v>1099</v>
      </c>
      <c r="B12" s="283">
        <f>25550/365</f>
        <v>70</v>
      </c>
      <c r="C12" s="283">
        <v>103621086</v>
      </c>
      <c r="D12" s="398">
        <v>10054861.74</v>
      </c>
      <c r="E12" s="283">
        <v>14423.275855243624</v>
      </c>
      <c r="F12" s="283">
        <v>22626.988030432454</v>
      </c>
      <c r="G12" s="283">
        <v>31182.551805860236</v>
      </c>
      <c r="H12" s="125"/>
      <c r="I12" s="125"/>
      <c r="J12" s="292"/>
      <c r="K12" s="292"/>
      <c r="L12" s="286"/>
      <c r="M12" s="286"/>
      <c r="N12" s="286"/>
    </row>
    <row r="13" spans="1:20" s="122" customFormat="1">
      <c r="A13" s="121"/>
      <c r="B13" s="283"/>
      <c r="C13" s="283"/>
      <c r="D13" s="283"/>
      <c r="E13" s="288"/>
      <c r="F13" s="288"/>
      <c r="G13" s="284"/>
      <c r="H13" s="291"/>
      <c r="I13" s="291"/>
      <c r="J13" s="291"/>
      <c r="K13" s="291"/>
    </row>
    <row r="14" spans="1:20" s="122" customFormat="1">
      <c r="A14" s="65" t="s">
        <v>1100</v>
      </c>
      <c r="B14" s="283">
        <f>1015575/365</f>
        <v>2782.3972602739727</v>
      </c>
      <c r="C14" s="283">
        <f>1509171943-298085</f>
        <v>1508873858</v>
      </c>
      <c r="D14" s="398">
        <v>147448878.13999999</v>
      </c>
      <c r="E14" s="283">
        <v>238519.2449461392</v>
      </c>
      <c r="F14" s="283">
        <v>383541.39107749885</v>
      </c>
      <c r="G14" s="283">
        <v>477537.689536402</v>
      </c>
      <c r="H14" s="125"/>
      <c r="I14" s="125"/>
      <c r="J14" s="291"/>
      <c r="K14" s="291"/>
      <c r="N14" s="215"/>
    </row>
    <row r="15" spans="1:20" s="122" customFormat="1">
      <c r="A15" s="121"/>
      <c r="B15" s="283"/>
      <c r="C15" s="283"/>
      <c r="D15" s="283"/>
      <c r="E15" s="288"/>
      <c r="F15" s="288"/>
      <c r="G15" s="284"/>
      <c r="H15" s="125"/>
      <c r="I15" s="125"/>
      <c r="J15" s="125"/>
      <c r="K15" s="125"/>
      <c r="L15" s="215"/>
      <c r="M15" s="215"/>
      <c r="N15" s="216"/>
    </row>
    <row r="16" spans="1:20" s="122" customFormat="1">
      <c r="A16" s="65" t="s">
        <v>1221</v>
      </c>
      <c r="B16" s="283">
        <f>48032/365</f>
        <v>131.59452054794519</v>
      </c>
      <c r="C16" s="125">
        <f>1992826476</f>
        <v>1992826476</v>
      </c>
      <c r="D16" s="398">
        <v>136688084.54999998</v>
      </c>
      <c r="E16" s="283">
        <v>226687.27944493658</v>
      </c>
      <c r="F16" s="283">
        <v>321647.06388980895</v>
      </c>
      <c r="G16" s="283">
        <v>492607.97701379319</v>
      </c>
      <c r="H16" s="125"/>
      <c r="I16" s="125"/>
      <c r="J16" s="292"/>
      <c r="K16" s="292"/>
      <c r="L16" s="286"/>
      <c r="M16" s="286"/>
      <c r="N16" s="286"/>
    </row>
    <row r="17" spans="1:20" s="122" customFormat="1">
      <c r="A17" s="121"/>
      <c r="B17" s="283"/>
      <c r="C17" s="283"/>
      <c r="D17" s="283"/>
      <c r="E17" s="293"/>
      <c r="F17" s="283"/>
      <c r="G17" s="284"/>
      <c r="H17" s="125"/>
      <c r="I17" s="125"/>
      <c r="J17" s="125"/>
      <c r="K17" s="125"/>
      <c r="L17" s="215"/>
      <c r="M17" s="215"/>
      <c r="N17" s="216"/>
    </row>
    <row r="18" spans="1:20" s="122" customFormat="1">
      <c r="A18" s="65" t="s">
        <v>1198</v>
      </c>
      <c r="B18" s="283">
        <f>184327/365</f>
        <v>505.00547945205477</v>
      </c>
      <c r="C18" s="283">
        <f>1288178137-46128</f>
        <v>1288132009</v>
      </c>
      <c r="D18" s="398">
        <v>101626163.23</v>
      </c>
      <c r="E18" s="283">
        <v>186382.85977024763</v>
      </c>
      <c r="F18" s="283">
        <v>304516.00456533756</v>
      </c>
      <c r="G18" s="284">
        <v>398342.01766712911</v>
      </c>
      <c r="H18" s="125"/>
      <c r="I18" s="125"/>
      <c r="J18" s="125"/>
      <c r="K18" s="125"/>
      <c r="L18" s="215"/>
      <c r="M18" s="215"/>
      <c r="N18" s="216"/>
    </row>
    <row r="19" spans="1:20" s="122" customFormat="1">
      <c r="A19" s="121"/>
      <c r="B19" s="283"/>
      <c r="C19" s="283"/>
      <c r="D19" s="283"/>
      <c r="E19" s="293"/>
      <c r="F19" s="283"/>
      <c r="G19" s="284"/>
      <c r="H19" s="125"/>
      <c r="I19" s="125"/>
      <c r="J19" s="125"/>
      <c r="K19" s="125"/>
      <c r="L19" s="215"/>
      <c r="M19" s="215"/>
      <c r="N19" s="216"/>
    </row>
    <row r="20" spans="1:20" s="122" customFormat="1">
      <c r="A20" s="65" t="s">
        <v>1101</v>
      </c>
      <c r="B20" s="283">
        <f>4745/365</f>
        <v>13</v>
      </c>
      <c r="C20" s="125">
        <v>1050890542</v>
      </c>
      <c r="D20" s="398">
        <v>64286866.589999996</v>
      </c>
      <c r="E20" s="283">
        <v>103765.18894177776</v>
      </c>
      <c r="F20" s="125">
        <v>158799.74271764961</v>
      </c>
      <c r="G20" s="294">
        <v>248117.46861058506</v>
      </c>
      <c r="H20" s="125"/>
      <c r="I20" s="125"/>
      <c r="J20" s="292"/>
      <c r="K20" s="292"/>
      <c r="L20" s="286"/>
      <c r="M20" s="286"/>
      <c r="N20" s="286"/>
    </row>
    <row r="21" spans="1:20" s="122" customFormat="1">
      <c r="B21" s="283"/>
      <c r="C21" s="283"/>
      <c r="D21" s="283"/>
      <c r="E21" s="283"/>
      <c r="F21" s="283"/>
      <c r="G21" s="283"/>
      <c r="H21" s="125"/>
      <c r="I21" s="125"/>
      <c r="J21" s="125"/>
      <c r="K21" s="125"/>
      <c r="L21" s="215"/>
      <c r="M21" s="215"/>
      <c r="N21" s="289"/>
      <c r="R21" s="290"/>
      <c r="T21" s="290"/>
    </row>
    <row r="22" spans="1:20" s="122" customFormat="1">
      <c r="A22" s="65" t="s">
        <v>572</v>
      </c>
      <c r="B22" s="283">
        <v>2</v>
      </c>
      <c r="C22" s="283">
        <v>56355100</v>
      </c>
      <c r="D22" s="398">
        <v>3635159.88</v>
      </c>
      <c r="E22" s="283">
        <v>5705.4716682053977</v>
      </c>
      <c r="F22" s="283">
        <v>10204.58234420671</v>
      </c>
      <c r="G22" s="294">
        <v>16631.198244821619</v>
      </c>
      <c r="H22" s="125"/>
      <c r="I22" s="125"/>
      <c r="J22" s="125"/>
      <c r="K22" s="125"/>
      <c r="L22" s="215"/>
      <c r="M22" s="215"/>
      <c r="N22" s="289"/>
      <c r="R22" s="290"/>
      <c r="T22" s="290"/>
    </row>
    <row r="23" spans="1:20" s="122" customFormat="1">
      <c r="B23" s="283"/>
      <c r="C23" s="283"/>
      <c r="D23" s="283"/>
      <c r="E23" s="283"/>
      <c r="F23" s="283"/>
      <c r="G23" s="283"/>
      <c r="H23" s="125"/>
      <c r="I23" s="125"/>
      <c r="J23" s="125"/>
      <c r="K23" s="125"/>
      <c r="L23" s="215"/>
      <c r="M23" s="215"/>
      <c r="N23" s="289"/>
      <c r="R23" s="290"/>
      <c r="T23" s="290"/>
    </row>
    <row r="24" spans="1:20" s="122" customFormat="1">
      <c r="A24" s="65" t="s">
        <v>1350</v>
      </c>
      <c r="B24" s="283">
        <f>1092108/12</f>
        <v>91009</v>
      </c>
      <c r="C24" s="283">
        <v>99001434.980000019</v>
      </c>
      <c r="D24" s="398">
        <v>22160939.829999998</v>
      </c>
      <c r="E24" s="283">
        <v>316.67944731733201</v>
      </c>
      <c r="F24" s="283">
        <v>24182.110712100763</v>
      </c>
      <c r="G24" s="283">
        <f>F24</f>
        <v>24182.110712100763</v>
      </c>
      <c r="H24" s="125"/>
      <c r="I24" s="125"/>
      <c r="J24" s="125"/>
      <c r="K24" s="125"/>
      <c r="L24" s="215"/>
      <c r="M24" s="215"/>
      <c r="N24" s="289"/>
      <c r="R24" s="290"/>
      <c r="T24" s="290"/>
    </row>
    <row r="25" spans="1:20" s="122" customFormat="1">
      <c r="B25" s="283"/>
      <c r="C25" s="283"/>
      <c r="D25" s="283"/>
      <c r="E25" s="283"/>
      <c r="F25" s="283"/>
      <c r="G25" s="283"/>
      <c r="H25" s="125"/>
      <c r="I25" s="125"/>
      <c r="J25" s="125"/>
      <c r="K25" s="125"/>
      <c r="L25" s="215"/>
      <c r="M25" s="215"/>
      <c r="N25" s="289"/>
      <c r="R25" s="290"/>
      <c r="T25" s="290"/>
    </row>
    <row r="26" spans="1:20" s="122" customFormat="1">
      <c r="A26" s="65" t="s">
        <v>1199</v>
      </c>
      <c r="B26" s="283">
        <f>58765/365</f>
        <v>161</v>
      </c>
      <c r="C26" s="283">
        <v>3448222</v>
      </c>
      <c r="D26" s="399">
        <v>243958.97</v>
      </c>
      <c r="E26" s="283">
        <v>11.029951610601675</v>
      </c>
      <c r="F26" s="283">
        <v>842.2634094387754</v>
      </c>
      <c r="G26" s="283">
        <f>F26</f>
        <v>842.2634094387754</v>
      </c>
      <c r="H26" s="125"/>
      <c r="I26" s="125"/>
      <c r="J26" s="125"/>
      <c r="K26" s="125"/>
      <c r="L26" s="215"/>
      <c r="M26" s="215"/>
      <c r="N26" s="289"/>
      <c r="R26" s="290"/>
      <c r="T26" s="290"/>
    </row>
    <row r="27" spans="1:20" s="122" customFormat="1">
      <c r="B27" s="283"/>
      <c r="C27" s="283"/>
      <c r="D27" s="283"/>
      <c r="E27" s="283"/>
      <c r="F27" s="283"/>
      <c r="G27" s="283"/>
      <c r="H27" s="125"/>
      <c r="I27" s="125"/>
      <c r="J27" s="125"/>
      <c r="K27" s="125"/>
      <c r="L27" s="215"/>
      <c r="M27" s="215"/>
      <c r="N27" s="289"/>
      <c r="R27" s="290"/>
      <c r="T27" s="290"/>
    </row>
    <row r="28" spans="1:20" s="122" customFormat="1">
      <c r="A28" s="136" t="s">
        <v>1257</v>
      </c>
      <c r="B28" s="283">
        <f>365000/365</f>
        <v>1000</v>
      </c>
      <c r="C28" s="283">
        <v>3215713</v>
      </c>
      <c r="D28" s="398">
        <v>318741.55000000005</v>
      </c>
      <c r="E28" s="283">
        <v>307.30645488745159</v>
      </c>
      <c r="F28" s="283">
        <v>386.63809557648403</v>
      </c>
      <c r="G28" s="283">
        <f>F28</f>
        <v>386.63809557648403</v>
      </c>
      <c r="H28" s="125"/>
      <c r="I28" s="363"/>
      <c r="J28" s="125"/>
      <c r="K28" s="125"/>
      <c r="L28" s="215"/>
      <c r="M28" s="215"/>
      <c r="N28" s="289"/>
      <c r="R28" s="290"/>
      <c r="T28" s="290"/>
    </row>
    <row r="29" spans="1:20" s="122" customFormat="1">
      <c r="B29" s="283"/>
      <c r="C29" s="283"/>
      <c r="D29" s="283"/>
      <c r="E29" s="283"/>
      <c r="F29" s="283"/>
      <c r="G29" s="283"/>
      <c r="H29" s="125"/>
      <c r="I29" s="125"/>
      <c r="J29" s="125"/>
      <c r="K29" s="125"/>
      <c r="L29" s="215"/>
      <c r="M29" s="215"/>
      <c r="N29" s="289"/>
      <c r="R29" s="290"/>
      <c r="T29" s="290"/>
    </row>
    <row r="30" spans="1:20" s="122" customFormat="1">
      <c r="A30" s="136" t="s">
        <v>1252</v>
      </c>
      <c r="B30" s="283">
        <f>365/365</f>
        <v>1</v>
      </c>
      <c r="C30" s="283">
        <v>11550</v>
      </c>
      <c r="D30" s="398">
        <v>15468.33</v>
      </c>
      <c r="E30" s="283">
        <v>0.7310553686188852</v>
      </c>
      <c r="F30" s="283">
        <v>42.076752768819269</v>
      </c>
      <c r="G30" s="283">
        <f>F30</f>
        <v>42.076752768819269</v>
      </c>
      <c r="H30" s="125"/>
      <c r="I30" s="125"/>
      <c r="J30" s="125"/>
      <c r="K30" s="125"/>
      <c r="L30" s="215"/>
      <c r="M30" s="215"/>
      <c r="N30" s="289"/>
      <c r="R30" s="290"/>
      <c r="T30" s="290"/>
    </row>
    <row r="31" spans="1:20" s="122" customFormat="1">
      <c r="A31" s="136"/>
      <c r="B31" s="283"/>
      <c r="C31" s="283"/>
      <c r="D31" s="283"/>
      <c r="E31" s="283"/>
      <c r="F31" s="283"/>
      <c r="G31" s="283"/>
      <c r="H31" s="125"/>
      <c r="I31" s="125"/>
      <c r="J31" s="125"/>
      <c r="K31" s="125"/>
      <c r="L31" s="215"/>
      <c r="M31" s="215"/>
      <c r="N31" s="289"/>
      <c r="R31" s="290"/>
      <c r="T31" s="290"/>
    </row>
    <row r="32" spans="1:20" s="122" customFormat="1">
      <c r="A32" s="136" t="s">
        <v>1247</v>
      </c>
      <c r="B32" s="283">
        <v>10</v>
      </c>
      <c r="C32" s="283">
        <v>18250</v>
      </c>
      <c r="D32" s="398">
        <f>1533</f>
        <v>1533</v>
      </c>
      <c r="E32" s="283">
        <v>3.3169892018545468</v>
      </c>
      <c r="F32" s="283">
        <v>4.2130000000000001</v>
      </c>
      <c r="G32" s="283">
        <f>F32</f>
        <v>4.2130000000000001</v>
      </c>
      <c r="H32" s="125"/>
      <c r="I32" s="125"/>
      <c r="J32" s="125"/>
      <c r="K32" s="125"/>
      <c r="L32" s="215"/>
      <c r="M32" s="215"/>
      <c r="N32" s="289"/>
      <c r="R32" s="290"/>
      <c r="T32" s="290"/>
    </row>
    <row r="33" spans="1:20" s="122" customFormat="1">
      <c r="A33" s="136"/>
      <c r="B33" s="283"/>
      <c r="C33" s="283"/>
      <c r="D33" s="283"/>
      <c r="E33" s="283"/>
      <c r="F33" s="283"/>
      <c r="G33" s="283"/>
      <c r="H33" s="125"/>
      <c r="I33" s="125"/>
      <c r="J33" s="125"/>
      <c r="K33" s="125"/>
      <c r="L33" s="215"/>
      <c r="M33" s="215"/>
      <c r="N33" s="289"/>
      <c r="R33" s="290"/>
      <c r="T33" s="290"/>
    </row>
    <row r="34" spans="1:20" s="122" customFormat="1">
      <c r="A34" s="136" t="s">
        <v>1249</v>
      </c>
      <c r="B34" s="283"/>
      <c r="C34" s="283"/>
      <c r="D34" s="398">
        <v>237096</v>
      </c>
      <c r="E34" s="283"/>
      <c r="F34" s="283">
        <v>0</v>
      </c>
      <c r="G34" s="283">
        <v>0</v>
      </c>
      <c r="H34" s="125"/>
      <c r="I34" s="125"/>
      <c r="J34" s="125"/>
      <c r="K34" s="125"/>
      <c r="L34" s="215"/>
      <c r="M34" s="215"/>
      <c r="N34" s="289"/>
      <c r="R34" s="290"/>
      <c r="T34" s="290"/>
    </row>
    <row r="35" spans="1:20" s="122" customFormat="1">
      <c r="A35" s="136"/>
      <c r="B35" s="283"/>
      <c r="C35" s="283"/>
      <c r="D35" s="283"/>
      <c r="E35" s="283"/>
      <c r="F35" s="283"/>
      <c r="G35" s="283"/>
      <c r="H35" s="125"/>
      <c r="I35" s="125"/>
      <c r="J35" s="125"/>
      <c r="K35" s="125"/>
      <c r="L35" s="215"/>
      <c r="M35" s="215"/>
      <c r="N35" s="289"/>
      <c r="R35" s="290"/>
      <c r="T35" s="290"/>
    </row>
    <row r="36" spans="1:20" s="122" customFormat="1">
      <c r="A36" s="295" t="s">
        <v>1250</v>
      </c>
      <c r="B36" s="296"/>
      <c r="C36" s="296"/>
      <c r="D36" s="406">
        <v>9936</v>
      </c>
      <c r="E36" s="296"/>
      <c r="F36" s="283">
        <v>0</v>
      </c>
      <c r="G36" s="296">
        <v>0</v>
      </c>
      <c r="H36" s="125"/>
      <c r="I36" s="125"/>
      <c r="J36" s="125"/>
      <c r="K36" s="125"/>
      <c r="L36" s="215"/>
      <c r="M36" s="215"/>
      <c r="N36" s="289"/>
      <c r="R36" s="290"/>
      <c r="T36" s="290"/>
    </row>
    <row r="37" spans="1:20" s="122" customFormat="1">
      <c r="A37" s="65" t="s">
        <v>848</v>
      </c>
      <c r="B37" s="283">
        <f>SUM(B8:B36)</f>
        <v>518643.12328767125</v>
      </c>
      <c r="C37" s="283">
        <f t="shared" ref="C37:G37" si="0">SUM(C8:C36)</f>
        <v>11352592560.98</v>
      </c>
      <c r="D37" s="287">
        <f>SUM(D8:D36)</f>
        <v>1066653012.4400001</v>
      </c>
      <c r="E37" s="283">
        <f t="shared" si="0"/>
        <v>1891712.2958895839</v>
      </c>
      <c r="F37" s="297">
        <f>SUM(F8:F36)</f>
        <v>2982631.2363967979</v>
      </c>
      <c r="G37" s="283">
        <f t="shared" si="0"/>
        <v>5348829.8533484591</v>
      </c>
      <c r="H37" s="125"/>
      <c r="I37" s="125"/>
      <c r="J37" s="125"/>
      <c r="K37" s="125"/>
      <c r="L37" s="215"/>
      <c r="M37" s="215"/>
      <c r="N37" s="289"/>
      <c r="R37" s="290"/>
      <c r="T37" s="290"/>
    </row>
    <row r="38" spans="1:20">
      <c r="A38" s="45"/>
      <c r="B38" s="251"/>
      <c r="C38" s="215"/>
      <c r="D38" s="124"/>
      <c r="E38" s="252"/>
      <c r="F38" s="215"/>
      <c r="G38" s="215"/>
      <c r="H38" s="119"/>
      <c r="I38" s="119"/>
      <c r="J38" s="119"/>
      <c r="K38" s="119"/>
      <c r="L38" s="119"/>
      <c r="M38" s="119"/>
      <c r="N38" s="119"/>
    </row>
    <row r="39" spans="1:20">
      <c r="A39" s="113"/>
      <c r="B39" s="253"/>
      <c r="C39" s="253"/>
      <c r="D39" s="250"/>
      <c r="E39" s="253"/>
      <c r="F39" s="253"/>
      <c r="G39" s="253"/>
      <c r="H39" s="83"/>
      <c r="I39" s="83"/>
      <c r="J39" s="83"/>
      <c r="K39" s="83"/>
      <c r="L39" s="83"/>
      <c r="M39" s="83"/>
      <c r="N39" s="83"/>
    </row>
    <row r="40" spans="1:20">
      <c r="A40" s="113"/>
      <c r="B40" s="253"/>
      <c r="C40" s="253"/>
      <c r="D40" s="253"/>
      <c r="E40" s="253"/>
      <c r="F40" s="253"/>
      <c r="G40" s="253"/>
      <c r="H40" s="83"/>
      <c r="I40" s="83"/>
      <c r="J40" s="83"/>
    </row>
    <row r="41" spans="1:20" ht="17.25">
      <c r="C41" s="116"/>
      <c r="D41" s="116"/>
      <c r="E41" s="116"/>
      <c r="F41" s="116"/>
      <c r="G41" s="17"/>
      <c r="H41" s="116"/>
      <c r="I41" s="116"/>
      <c r="J41" s="116"/>
      <c r="K41" s="116"/>
      <c r="L41" s="116"/>
      <c r="M41" s="116"/>
      <c r="N41" s="116"/>
    </row>
    <row r="42" spans="1:20"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</row>
    <row r="43" spans="1:20">
      <c r="C43" s="116"/>
      <c r="D43" s="116"/>
      <c r="E43" s="116"/>
      <c r="F43" s="116"/>
      <c r="G43" s="116"/>
      <c r="H43" s="116"/>
      <c r="I43" s="116"/>
      <c r="J43" s="116"/>
      <c r="K43" s="116"/>
      <c r="N43" s="117"/>
    </row>
    <row r="44" spans="1:20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</row>
    <row r="45" spans="1:20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</row>
    <row r="46" spans="1:20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R46" s="120"/>
      <c r="T46" s="120"/>
    </row>
    <row r="47" spans="1:20"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</row>
    <row r="48" spans="1:20"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</row>
    <row r="49" spans="3:20">
      <c r="C49" s="116"/>
      <c r="D49" s="116"/>
      <c r="E49" s="116"/>
      <c r="F49" s="116"/>
      <c r="G49" s="116"/>
      <c r="H49" s="116"/>
      <c r="I49" s="116"/>
      <c r="J49" s="116"/>
      <c r="K49" s="116"/>
      <c r="N49" s="117"/>
    </row>
    <row r="50" spans="3:20"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7"/>
    </row>
    <row r="51" spans="3:20"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</row>
    <row r="52" spans="3:20"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R52" s="120"/>
      <c r="T52" s="120"/>
    </row>
    <row r="53" spans="3:20"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</row>
    <row r="54" spans="3:20"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</row>
    <row r="55" spans="3:20">
      <c r="C55" s="116"/>
      <c r="D55" s="116"/>
      <c r="E55" s="116"/>
      <c r="F55" s="116"/>
      <c r="G55" s="116"/>
      <c r="H55" s="116"/>
      <c r="I55" s="116"/>
      <c r="J55" s="116"/>
      <c r="K55" s="116"/>
      <c r="N55" s="117"/>
    </row>
    <row r="56" spans="3:20"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N56" s="117"/>
    </row>
    <row r="57" spans="3:20"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7"/>
    </row>
    <row r="58" spans="3:20"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R58" s="120"/>
      <c r="T58" s="120"/>
    </row>
    <row r="59" spans="3:20"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</row>
    <row r="60" spans="3:20"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</row>
    <row r="61" spans="3:20">
      <c r="C61" s="116"/>
      <c r="D61" s="116"/>
      <c r="E61" s="116"/>
      <c r="F61" s="116"/>
      <c r="G61" s="116"/>
      <c r="H61" s="116"/>
      <c r="I61" s="116"/>
      <c r="J61" s="116"/>
      <c r="K61" s="116"/>
      <c r="N61" s="117"/>
    </row>
    <row r="62" spans="3:20"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7"/>
    </row>
    <row r="63" spans="3:20"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17"/>
      <c r="Q63" s="127"/>
    </row>
    <row r="64" spans="3:20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R64" s="120"/>
      <c r="T64" s="120"/>
    </row>
    <row r="65" spans="3:20"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Q65" s="128"/>
    </row>
    <row r="66" spans="3:20"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3:20">
      <c r="C67" s="116"/>
      <c r="D67" s="116"/>
      <c r="E67" s="116"/>
      <c r="F67" s="116"/>
      <c r="G67" s="116"/>
      <c r="H67" s="116"/>
      <c r="I67" s="116"/>
      <c r="J67" s="116"/>
      <c r="K67" s="116"/>
      <c r="N67" s="117"/>
    </row>
    <row r="68" spans="3:20"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7"/>
    </row>
    <row r="69" spans="3:20">
      <c r="C69" s="116"/>
      <c r="D69" s="116"/>
      <c r="E69" s="116"/>
      <c r="F69" s="116"/>
      <c r="G69" s="116"/>
      <c r="H69" s="116"/>
      <c r="I69" s="116"/>
      <c r="J69" s="126"/>
      <c r="K69" s="116"/>
      <c r="N69" s="117"/>
      <c r="Q69" s="127"/>
    </row>
    <row r="70" spans="3:20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R70" s="120"/>
      <c r="T70" s="120"/>
    </row>
    <row r="71" spans="3:20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Q71" s="128"/>
    </row>
    <row r="72" spans="3:20"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3:20">
      <c r="C73" s="116"/>
      <c r="D73" s="116"/>
      <c r="E73" s="116"/>
      <c r="F73" s="116"/>
      <c r="G73" s="116"/>
      <c r="H73" s="116"/>
      <c r="I73" s="116"/>
      <c r="J73" s="116"/>
      <c r="K73" s="116"/>
      <c r="N73" s="117"/>
    </row>
    <row r="74" spans="3:20"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7"/>
    </row>
    <row r="75" spans="3:20"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17"/>
      <c r="Q75" s="127"/>
    </row>
    <row r="76" spans="3:20">
      <c r="C76" s="126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R76" s="120"/>
      <c r="T76" s="120"/>
    </row>
    <row r="77" spans="3:20"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Q77" s="128"/>
    </row>
    <row r="78" spans="3:20"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Q78" s="128"/>
    </row>
    <row r="79" spans="3:20">
      <c r="C79" s="116"/>
      <c r="D79" s="116"/>
      <c r="E79" s="116"/>
      <c r="F79" s="116"/>
      <c r="G79" s="116"/>
      <c r="H79" s="116"/>
      <c r="I79" s="116"/>
      <c r="J79" s="116"/>
      <c r="K79" s="116"/>
      <c r="N79" s="117"/>
    </row>
    <row r="80" spans="3:20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26"/>
      <c r="N80" s="117"/>
    </row>
    <row r="81" spans="3:20">
      <c r="C81" s="116"/>
      <c r="D81" s="116"/>
      <c r="E81" s="116"/>
      <c r="F81" s="116"/>
      <c r="G81" s="116"/>
      <c r="H81" s="116"/>
      <c r="I81" s="116"/>
      <c r="J81" s="126"/>
      <c r="K81" s="116"/>
      <c r="L81" s="116"/>
      <c r="M81" s="116"/>
      <c r="N81" s="117"/>
    </row>
    <row r="82" spans="3:20">
      <c r="C82" s="119"/>
      <c r="D82" s="119"/>
      <c r="E82" s="119"/>
      <c r="F82" s="119"/>
      <c r="G82" s="119"/>
      <c r="H82" s="119"/>
      <c r="I82" s="116"/>
      <c r="J82" s="119"/>
      <c r="K82" s="119"/>
      <c r="L82" s="119"/>
      <c r="M82" s="119"/>
      <c r="N82" s="119"/>
      <c r="R82" s="120"/>
      <c r="T82" s="120"/>
    </row>
    <row r="83" spans="3:20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</row>
    <row r="84" spans="3:20">
      <c r="C84" s="116"/>
      <c r="D84" s="116"/>
      <c r="E84" s="116"/>
      <c r="F84" s="116"/>
      <c r="G84" s="116"/>
      <c r="H84" s="116"/>
      <c r="I84" s="116"/>
      <c r="J84" s="126"/>
      <c r="K84" s="116"/>
      <c r="N84" s="117"/>
    </row>
    <row r="85" spans="3:20">
      <c r="C85" s="116"/>
      <c r="D85" s="116"/>
      <c r="E85" s="116"/>
      <c r="F85" s="116"/>
      <c r="G85" s="116"/>
      <c r="H85" s="116"/>
      <c r="I85" s="116"/>
      <c r="J85" s="116"/>
      <c r="K85" s="116"/>
      <c r="N85" s="117"/>
    </row>
    <row r="86" spans="3:20">
      <c r="C86" s="116"/>
      <c r="D86" s="116"/>
      <c r="E86" s="116"/>
      <c r="F86" s="116"/>
      <c r="G86" s="116"/>
      <c r="H86" s="116"/>
      <c r="I86" s="116"/>
      <c r="J86" s="126"/>
      <c r="K86" s="116"/>
      <c r="L86" s="116"/>
      <c r="M86" s="116"/>
      <c r="N86" s="117"/>
    </row>
    <row r="87" spans="3:20">
      <c r="C87" s="116"/>
      <c r="D87" s="116"/>
      <c r="E87" s="116"/>
      <c r="F87" s="116"/>
      <c r="G87" s="116"/>
      <c r="H87" s="116"/>
      <c r="I87" s="116"/>
      <c r="J87" s="126"/>
      <c r="K87" s="116"/>
      <c r="N87" s="117"/>
    </row>
    <row r="88" spans="3:20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3:20">
      <c r="C89" s="116"/>
      <c r="D89" s="116"/>
      <c r="E89" s="116"/>
      <c r="F89" s="116"/>
      <c r="G89" s="116"/>
      <c r="H89" s="116"/>
      <c r="I89" s="116"/>
      <c r="J89" s="126"/>
    </row>
    <row r="90" spans="3:20"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  <c r="R90" s="120"/>
      <c r="T90" s="120"/>
    </row>
    <row r="91" spans="3:20"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3:20"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T92" s="120"/>
    </row>
    <row r="93" spans="3:20">
      <c r="C93" s="119"/>
      <c r="D93" s="119"/>
      <c r="E93" s="119"/>
      <c r="F93" s="119"/>
      <c r="G93" s="119"/>
      <c r="H93" s="119"/>
      <c r="I93" s="119"/>
      <c r="J93" s="119"/>
      <c r="K93" s="118"/>
      <c r="L93" s="118"/>
      <c r="M93" s="118"/>
      <c r="N93" s="118"/>
    </row>
    <row r="94" spans="3:20">
      <c r="C94" s="119"/>
      <c r="D94" s="119"/>
      <c r="E94" s="119"/>
      <c r="F94" s="119"/>
      <c r="G94" s="119"/>
      <c r="H94" s="119"/>
      <c r="I94" s="119"/>
      <c r="J94" s="119"/>
      <c r="K94" s="118"/>
      <c r="L94" s="118"/>
      <c r="M94" s="118"/>
      <c r="N94" s="118"/>
    </row>
    <row r="95" spans="3:20">
      <c r="C95" s="119"/>
      <c r="D95" s="119"/>
      <c r="E95" s="119"/>
      <c r="F95" s="119"/>
      <c r="G95" s="119"/>
      <c r="H95" s="119"/>
      <c r="I95" s="119"/>
      <c r="J95" s="119"/>
      <c r="K95" s="118"/>
      <c r="L95" s="118"/>
      <c r="M95" s="118"/>
      <c r="N95" s="118"/>
    </row>
    <row r="96" spans="3:20">
      <c r="C96" s="119"/>
      <c r="D96" s="119"/>
      <c r="E96" s="119"/>
      <c r="F96" s="119"/>
      <c r="G96" s="119"/>
      <c r="H96" s="119"/>
      <c r="I96" s="119"/>
      <c r="J96" s="119"/>
      <c r="K96" s="118"/>
      <c r="L96" s="118"/>
      <c r="M96" s="118"/>
      <c r="N96" s="118"/>
    </row>
    <row r="97" spans="3:13">
      <c r="C97" s="116"/>
      <c r="D97" s="123"/>
      <c r="E97" s="123"/>
      <c r="F97" s="123"/>
      <c r="G97" s="126"/>
      <c r="H97" s="123"/>
      <c r="I97" s="126"/>
      <c r="J97" s="123"/>
      <c r="K97" s="123"/>
      <c r="L97" s="123"/>
      <c r="M97" s="123"/>
    </row>
    <row r="98" spans="3:13">
      <c r="C98" s="116"/>
      <c r="D98" s="123"/>
      <c r="E98" s="123"/>
      <c r="F98" s="123"/>
      <c r="G98" s="126"/>
      <c r="H98" s="123"/>
      <c r="I98" s="126"/>
      <c r="J98" s="123"/>
      <c r="K98" s="123"/>
      <c r="L98" s="123"/>
      <c r="M98" s="123"/>
    </row>
    <row r="99" spans="3:13">
      <c r="C99" s="116"/>
      <c r="D99" s="123"/>
      <c r="E99" s="123"/>
      <c r="F99" s="123"/>
      <c r="G99" s="126"/>
      <c r="H99" s="123"/>
      <c r="I99" s="126"/>
      <c r="J99" s="123"/>
      <c r="K99" s="123"/>
      <c r="L99" s="123"/>
      <c r="M99" s="123"/>
    </row>
    <row r="100" spans="3:13" ht="17.25">
      <c r="C100" s="17"/>
      <c r="D100" s="123"/>
      <c r="E100" s="123"/>
      <c r="F100" s="123"/>
      <c r="G100" s="84"/>
      <c r="H100" s="123"/>
      <c r="I100" s="126"/>
      <c r="J100" s="16"/>
      <c r="K100" s="16"/>
      <c r="L100" s="16"/>
      <c r="M100" s="16"/>
    </row>
    <row r="101" spans="3:13">
      <c r="C101" s="116"/>
      <c r="D101" s="123"/>
      <c r="E101" s="123"/>
      <c r="F101" s="123"/>
      <c r="G101" s="126"/>
      <c r="H101" s="123"/>
      <c r="I101" s="126"/>
      <c r="J101" s="123"/>
      <c r="K101" s="123"/>
      <c r="L101" s="123"/>
      <c r="M101" s="123"/>
    </row>
    <row r="102" spans="3:13" ht="17.25">
      <c r="C102" s="17"/>
      <c r="D102" s="129"/>
      <c r="E102" s="16"/>
      <c r="F102" s="16"/>
      <c r="G102" s="126"/>
      <c r="H102" s="16"/>
      <c r="I102" s="84"/>
      <c r="J102" s="16"/>
      <c r="K102" s="16"/>
      <c r="L102" s="16"/>
      <c r="M102" s="16"/>
    </row>
    <row r="103" spans="3:13">
      <c r="C103" s="116"/>
      <c r="D103" s="123"/>
      <c r="E103" s="123"/>
      <c r="F103" s="123"/>
      <c r="G103" s="126"/>
      <c r="H103" s="123"/>
      <c r="I103" s="126"/>
      <c r="J103" s="123"/>
      <c r="K103" s="123"/>
      <c r="L103" s="123"/>
      <c r="M103" s="123"/>
    </row>
    <row r="104" spans="3:13" ht="17.25">
      <c r="C104" s="85"/>
      <c r="D104" s="129"/>
      <c r="E104" s="16"/>
      <c r="F104" s="16"/>
      <c r="G104" s="126"/>
      <c r="H104" s="16"/>
      <c r="I104" s="86"/>
    </row>
    <row r="105" spans="3:13">
      <c r="C105" s="116"/>
      <c r="D105" s="123"/>
      <c r="E105" s="123"/>
      <c r="F105" s="123"/>
      <c r="G105" s="126"/>
      <c r="H105" s="123"/>
      <c r="I105" s="126"/>
    </row>
    <row r="106" spans="3:13">
      <c r="C106" s="116"/>
      <c r="G106" s="126"/>
      <c r="I106" s="126"/>
    </row>
    <row r="107" spans="3:13">
      <c r="C107" s="116"/>
      <c r="G107" s="126"/>
      <c r="I107" s="126"/>
    </row>
    <row r="108" spans="3:13">
      <c r="C108" s="116"/>
      <c r="G108" s="126"/>
      <c r="I108" s="126"/>
    </row>
    <row r="109" spans="3:13">
      <c r="C109" s="116"/>
      <c r="G109" s="126"/>
      <c r="I109" s="126"/>
      <c r="J109" s="123"/>
      <c r="K109" s="123"/>
      <c r="L109" s="123"/>
      <c r="M109" s="130"/>
    </row>
    <row r="110" spans="3:13">
      <c r="C110" s="116"/>
      <c r="G110" s="126"/>
      <c r="I110" s="126"/>
      <c r="J110" s="123"/>
      <c r="K110" s="123"/>
      <c r="L110" s="123"/>
      <c r="M110" s="130"/>
    </row>
    <row r="111" spans="3:13" ht="17.25">
      <c r="C111" s="17"/>
      <c r="D111" s="123"/>
      <c r="E111" s="123"/>
      <c r="F111" s="123"/>
      <c r="G111" s="84"/>
      <c r="H111" s="123"/>
      <c r="I111" s="126"/>
      <c r="J111" s="123"/>
      <c r="K111" s="123"/>
      <c r="L111" s="123"/>
      <c r="M111" s="130"/>
    </row>
    <row r="112" spans="3:13">
      <c r="C112" s="116"/>
      <c r="D112" s="123"/>
      <c r="E112" s="123"/>
      <c r="F112" s="123"/>
      <c r="G112" s="126"/>
      <c r="H112" s="123"/>
      <c r="I112" s="126"/>
      <c r="J112" s="123"/>
      <c r="K112" s="123"/>
      <c r="L112" s="123"/>
      <c r="M112" s="130"/>
    </row>
    <row r="113" spans="3:13">
      <c r="C113" s="116"/>
      <c r="D113" s="123"/>
      <c r="E113" s="123"/>
      <c r="F113" s="123"/>
      <c r="G113" s="126"/>
      <c r="H113" s="123"/>
      <c r="I113" s="126"/>
      <c r="J113" s="123"/>
      <c r="K113" s="123"/>
      <c r="L113" s="123"/>
      <c r="M113" s="130"/>
    </row>
    <row r="114" spans="3:13">
      <c r="C114" s="116"/>
      <c r="D114" s="123"/>
      <c r="E114" s="123"/>
      <c r="F114" s="123"/>
      <c r="G114" s="126"/>
      <c r="H114" s="123"/>
      <c r="I114" s="126"/>
      <c r="J114" s="123"/>
      <c r="K114" s="123"/>
      <c r="L114" s="123"/>
      <c r="M114" s="130"/>
    </row>
    <row r="115" spans="3:13" ht="17.25">
      <c r="C115" s="116"/>
      <c r="D115" s="123"/>
      <c r="E115" s="123"/>
      <c r="F115" s="123"/>
      <c r="G115" s="126"/>
      <c r="H115" s="123"/>
      <c r="I115" s="126"/>
      <c r="J115" s="16"/>
      <c r="K115" s="16"/>
      <c r="L115" s="16"/>
      <c r="M115" s="87"/>
    </row>
    <row r="116" spans="3:13">
      <c r="C116" s="116"/>
      <c r="D116" s="123"/>
      <c r="E116" s="123"/>
      <c r="F116" s="123"/>
      <c r="G116" s="126"/>
      <c r="H116" s="123"/>
      <c r="I116" s="126"/>
      <c r="J116" s="123"/>
      <c r="K116" s="123"/>
      <c r="L116" s="123"/>
      <c r="M116" s="123"/>
    </row>
    <row r="117" spans="3:13" ht="17.25">
      <c r="C117" s="85"/>
      <c r="D117" s="129"/>
      <c r="E117" s="16"/>
      <c r="F117" s="16"/>
      <c r="G117" s="126"/>
      <c r="H117" s="16"/>
      <c r="I117" s="86"/>
      <c r="J117" s="16"/>
      <c r="K117" s="16"/>
      <c r="L117" s="16"/>
      <c r="M117" s="87"/>
    </row>
    <row r="118" spans="3:13">
      <c r="C118" s="116"/>
      <c r="D118" s="123"/>
      <c r="E118" s="123"/>
      <c r="F118" s="123"/>
      <c r="G118" s="126"/>
      <c r="H118" s="123"/>
      <c r="I118" s="126"/>
      <c r="J118" s="123"/>
      <c r="K118" s="123"/>
      <c r="L118" s="123"/>
      <c r="M118" s="123"/>
    </row>
    <row r="119" spans="3:13" ht="17.25">
      <c r="C119" s="85"/>
      <c r="D119" s="129"/>
      <c r="E119" s="16"/>
      <c r="F119" s="16"/>
      <c r="G119" s="126"/>
      <c r="H119" s="16"/>
      <c r="I119" s="84"/>
    </row>
    <row r="120" spans="3:13" ht="17.25">
      <c r="C120" s="17"/>
      <c r="D120" s="123"/>
      <c r="E120" s="123"/>
      <c r="F120" s="123"/>
      <c r="G120" s="84"/>
      <c r="H120" s="123"/>
      <c r="I120" s="126"/>
    </row>
    <row r="121" spans="3:13">
      <c r="C121" s="117"/>
      <c r="G121" s="117"/>
      <c r="I121" s="126"/>
    </row>
    <row r="122" spans="3:13">
      <c r="I122" s="126"/>
    </row>
    <row r="123" spans="3:13">
      <c r="C123" s="117"/>
      <c r="D123" s="117"/>
      <c r="E123" s="117"/>
      <c r="F123" s="117"/>
      <c r="G123" s="117"/>
      <c r="I123" s="126"/>
    </row>
  </sheetData>
  <phoneticPr fontId="0" type="noConversion"/>
  <pageMargins left="0.75" right="0.75" top="1" bottom="1" header="0.5" footer="0.5"/>
  <pageSetup scale="83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style="187" bestFit="1" customWidth="1"/>
    <col min="3" max="3" width="30.570312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570312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96"/>
      <c r="M1" s="196"/>
      <c r="N1" s="196"/>
    </row>
    <row r="2" spans="1:14" ht="15.75">
      <c r="A2" s="201"/>
      <c r="B2" s="314"/>
      <c r="C2" s="201"/>
      <c r="D2" s="201"/>
      <c r="E2" s="201"/>
      <c r="F2" s="201"/>
      <c r="G2" s="201"/>
      <c r="H2" s="201"/>
      <c r="I2" s="201"/>
      <c r="J2" s="201"/>
      <c r="K2" s="201"/>
      <c r="L2" s="152"/>
      <c r="M2" s="152"/>
      <c r="N2" s="152"/>
    </row>
    <row r="3" spans="1:14" ht="15.75">
      <c r="A3" s="433" t="s">
        <v>1103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196"/>
      <c r="M3" s="196"/>
      <c r="N3" s="196"/>
    </row>
    <row r="4" spans="1:14" ht="15.75">
      <c r="A4" s="433" t="s">
        <v>1357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196"/>
      <c r="M4" s="196"/>
      <c r="N4" s="196"/>
    </row>
    <row r="5" spans="1:14" ht="15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.75">
      <c r="A6" s="433" t="s">
        <v>1104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196"/>
      <c r="M6" s="196"/>
      <c r="N6" s="196"/>
    </row>
    <row r="8" spans="1:14" ht="15.75" thickBot="1"/>
    <row r="9" spans="1:14" ht="15.75" thickBot="1">
      <c r="A9" s="154"/>
      <c r="B9" s="324"/>
      <c r="C9" s="156"/>
      <c r="D9" s="154"/>
      <c r="E9" s="430" t="s">
        <v>683</v>
      </c>
      <c r="F9" s="431"/>
      <c r="G9" s="157" t="s">
        <v>1056</v>
      </c>
      <c r="H9" s="430" t="s">
        <v>864</v>
      </c>
      <c r="I9" s="431"/>
      <c r="J9" s="225" t="s">
        <v>1105</v>
      </c>
      <c r="K9" s="156"/>
      <c r="L9" s="227"/>
    </row>
    <row r="10" spans="1:14">
      <c r="A10" s="159"/>
      <c r="B10" s="325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325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5.75" thickBot="1">
      <c r="A12" s="163"/>
      <c r="B12" s="326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327"/>
      <c r="C13" s="168"/>
      <c r="D13" s="366"/>
      <c r="E13" s="367"/>
      <c r="F13" s="367"/>
      <c r="G13" s="367"/>
      <c r="H13" s="367"/>
      <c r="I13" s="367"/>
      <c r="J13" s="367"/>
      <c r="K13" s="227"/>
      <c r="L13" s="228"/>
    </row>
    <row r="14" spans="1:14">
      <c r="A14" s="171" t="s">
        <v>1111</v>
      </c>
      <c r="B14" s="180" t="s">
        <v>891</v>
      </c>
      <c r="C14" s="173"/>
      <c r="D14" s="197">
        <f>'Allocation Proforma'!G176</f>
        <v>1709217009.5216761</v>
      </c>
      <c r="E14" s="368">
        <f>'Allocation Proforma'!G125+'Allocation Proforma'!G126+'Allocation Proforma'!G127</f>
        <v>836476502.8671335</v>
      </c>
      <c r="F14" s="368">
        <f>'Allocation Proforma'!G128</f>
        <v>28168165.373626631</v>
      </c>
      <c r="G14" s="368">
        <f>'Allocation Proforma'!G137</f>
        <v>164114791.09060821</v>
      </c>
      <c r="H14" s="368">
        <f>'Allocation Proforma'!G147+'Allocation Proforma'!G149+'Allocation Proforma'!G154+'Allocation Proforma'!G143</f>
        <v>247962446.77136183</v>
      </c>
      <c r="I14" s="368">
        <f>'Allocation Proforma'!G148+'Allocation Proforma'!G150+'Allocation Proforma'!G155+'Allocation Proforma'!G159+'Allocation Proforma'!G162+'Allocation Proforma'!G165</f>
        <v>428194391.14926219</v>
      </c>
      <c r="J14" s="368">
        <f>'Allocation Proforma'!G168+'Allocation Proforma'!G171</f>
        <v>4300712.2696836796</v>
      </c>
      <c r="K14" s="243">
        <f>SUM(E14:J14)</f>
        <v>1709217009.5216761</v>
      </c>
      <c r="L14" s="388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197">
        <v>0</v>
      </c>
      <c r="E15" s="368">
        <f t="shared" ref="E15:J15" si="0">(E14/$D$14)*$D$15</f>
        <v>0</v>
      </c>
      <c r="F15" s="368">
        <f t="shared" si="0"/>
        <v>0</v>
      </c>
      <c r="G15" s="368">
        <f t="shared" si="0"/>
        <v>0</v>
      </c>
      <c r="H15" s="368">
        <f t="shared" si="0"/>
        <v>0</v>
      </c>
      <c r="I15" s="368">
        <f t="shared" si="0"/>
        <v>0</v>
      </c>
      <c r="J15" s="368">
        <f t="shared" si="0"/>
        <v>0</v>
      </c>
      <c r="K15" s="243">
        <f>SUM(E15:J15)</f>
        <v>0</v>
      </c>
      <c r="L15" s="388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197">
        <f>D14+D15</f>
        <v>1709217009.5216761</v>
      </c>
      <c r="E16" s="368">
        <f t="shared" ref="E16:K16" si="1">E14+E15</f>
        <v>836476502.8671335</v>
      </c>
      <c r="F16" s="368">
        <f t="shared" si="1"/>
        <v>28168165.373626631</v>
      </c>
      <c r="G16" s="368">
        <f t="shared" si="1"/>
        <v>164114791.09060821</v>
      </c>
      <c r="H16" s="368">
        <f t="shared" si="1"/>
        <v>247962446.77136183</v>
      </c>
      <c r="I16" s="368">
        <f t="shared" si="1"/>
        <v>428194391.14926219</v>
      </c>
      <c r="J16" s="368">
        <f t="shared" si="1"/>
        <v>4300712.2696836796</v>
      </c>
      <c r="K16" s="243">
        <f t="shared" si="1"/>
        <v>1709217009.5216761</v>
      </c>
      <c r="L16" s="388" t="str">
        <f>IF(ABS(K16-D16)&lt;0.01,"ok","err")</f>
        <v>ok</v>
      </c>
    </row>
    <row r="17" spans="1:12">
      <c r="A17" s="175"/>
      <c r="B17" s="328"/>
      <c r="C17" s="177"/>
      <c r="D17" s="232"/>
      <c r="E17" s="200"/>
      <c r="F17" s="200"/>
      <c r="G17" s="200"/>
      <c r="H17" s="200"/>
      <c r="I17" s="200"/>
      <c r="J17" s="200"/>
      <c r="K17" s="243"/>
      <c r="L17" s="369"/>
    </row>
    <row r="18" spans="1:12">
      <c r="A18" s="175" t="s">
        <v>1116</v>
      </c>
      <c r="B18" s="180" t="s">
        <v>1046</v>
      </c>
      <c r="C18" s="173"/>
      <c r="D18" s="370">
        <f>'Allocation Proforma'!G944</f>
        <v>4.0781302993195573E-2</v>
      </c>
      <c r="E18" s="371">
        <f t="shared" ref="E18:J18" si="2">D18</f>
        <v>4.0781302993195573E-2</v>
      </c>
      <c r="F18" s="371">
        <f t="shared" si="2"/>
        <v>4.0781302993195573E-2</v>
      </c>
      <c r="G18" s="371">
        <f t="shared" si="2"/>
        <v>4.0781302993195573E-2</v>
      </c>
      <c r="H18" s="371">
        <f t="shared" si="2"/>
        <v>4.0781302993195573E-2</v>
      </c>
      <c r="I18" s="371">
        <f t="shared" si="2"/>
        <v>4.0781302993195573E-2</v>
      </c>
      <c r="J18" s="371">
        <f t="shared" si="2"/>
        <v>4.0781302993195573E-2</v>
      </c>
      <c r="K18" s="243"/>
      <c r="L18" s="388"/>
    </row>
    <row r="19" spans="1:12">
      <c r="A19" s="179"/>
      <c r="B19" s="180"/>
      <c r="C19" s="177"/>
      <c r="D19" s="232"/>
      <c r="E19" s="200"/>
      <c r="F19" s="200"/>
      <c r="G19" s="200"/>
      <c r="H19" s="200"/>
      <c r="I19" s="200"/>
      <c r="J19" s="200"/>
      <c r="K19" s="243"/>
      <c r="L19" s="369"/>
    </row>
    <row r="20" spans="1:12">
      <c r="A20" s="175" t="s">
        <v>1117</v>
      </c>
      <c r="B20" s="180" t="s">
        <v>1118</v>
      </c>
      <c r="C20" s="173"/>
      <c r="D20" s="197">
        <f>D18*D16</f>
        <v>69704096.746427119</v>
      </c>
      <c r="E20" s="198">
        <f t="shared" ref="E20:J20" si="3">E18*E16</f>
        <v>34112601.710113198</v>
      </c>
      <c r="F20" s="198">
        <f t="shared" si="3"/>
        <v>1148734.4868643077</v>
      </c>
      <c r="G20" s="198">
        <f t="shared" si="3"/>
        <v>6692815.0211310871</v>
      </c>
      <c r="H20" s="198">
        <f t="shared" si="3"/>
        <v>10112231.672717037</v>
      </c>
      <c r="I20" s="198">
        <f t="shared" si="3"/>
        <v>17462325.205444962</v>
      </c>
      <c r="J20" s="198">
        <f t="shared" si="3"/>
        <v>175388.65015652397</v>
      </c>
      <c r="K20" s="243">
        <f>SUM(E20:J20)</f>
        <v>69704096.746427119</v>
      </c>
      <c r="L20" s="388" t="str">
        <f>IF(ABS(K20-D20)&lt;0.01,"ok","err")</f>
        <v>ok</v>
      </c>
    </row>
    <row r="21" spans="1:12">
      <c r="A21" s="179"/>
      <c r="B21" s="180"/>
      <c r="C21" s="177"/>
      <c r="D21" s="232"/>
      <c r="E21" s="200"/>
      <c r="F21" s="200"/>
      <c r="G21" s="200"/>
      <c r="H21" s="200"/>
      <c r="I21" s="200"/>
      <c r="J21" s="200"/>
      <c r="K21" s="243"/>
      <c r="L21" s="369"/>
    </row>
    <row r="22" spans="1:12">
      <c r="A22" s="175" t="s">
        <v>1119</v>
      </c>
      <c r="B22" s="180" t="s">
        <v>766</v>
      </c>
      <c r="C22" s="173"/>
      <c r="D22" s="197">
        <f>'Allocation Proforma'!G738</f>
        <v>37326344.045371115</v>
      </c>
      <c r="E22" s="198">
        <f t="shared" ref="E22:J22" si="4">(E14/$D$14)*$D$22</f>
        <v>18267200.453747604</v>
      </c>
      <c r="F22" s="198">
        <f t="shared" si="4"/>
        <v>615144.02560101799</v>
      </c>
      <c r="G22" s="198">
        <f t="shared" si="4"/>
        <v>3583983.263129679</v>
      </c>
      <c r="H22" s="198">
        <f t="shared" si="4"/>
        <v>5415071.0804768037</v>
      </c>
      <c r="I22" s="198">
        <f t="shared" si="4"/>
        <v>9351025.1028969064</v>
      </c>
      <c r="J22" s="198">
        <f t="shared" si="4"/>
        <v>93920.119519104337</v>
      </c>
      <c r="K22" s="243">
        <f>SUM(E22:J22)</f>
        <v>37326344.045371115</v>
      </c>
      <c r="L22" s="388" t="str">
        <f>IF(ABS(K22-D22)&lt;0.01,"ok","err")</f>
        <v>ok</v>
      </c>
    </row>
    <row r="23" spans="1:12">
      <c r="A23" s="179"/>
      <c r="B23" s="180"/>
      <c r="C23" s="177"/>
      <c r="D23" s="232"/>
      <c r="E23" s="200"/>
      <c r="F23" s="200"/>
      <c r="G23" s="200"/>
      <c r="H23" s="200"/>
      <c r="I23" s="200"/>
      <c r="J23" s="200"/>
      <c r="K23" s="243"/>
      <c r="L23" s="369"/>
    </row>
    <row r="24" spans="1:12">
      <c r="A24" s="175" t="s">
        <v>1120</v>
      </c>
      <c r="B24" s="180" t="s">
        <v>1121</v>
      </c>
      <c r="C24" s="173"/>
      <c r="D24" s="197">
        <f>D20-D22</f>
        <v>32377752.701056004</v>
      </c>
      <c r="E24" s="198">
        <f t="shared" ref="E24:J24" si="5">E20-E22</f>
        <v>15845401.256365594</v>
      </c>
      <c r="F24" s="198">
        <f t="shared" si="5"/>
        <v>533590.46126328968</v>
      </c>
      <c r="G24" s="198">
        <f t="shared" si="5"/>
        <v>3108831.7580014081</v>
      </c>
      <c r="H24" s="198">
        <f t="shared" si="5"/>
        <v>4697160.592240233</v>
      </c>
      <c r="I24" s="198">
        <f t="shared" si="5"/>
        <v>8111300.1025480554</v>
      </c>
      <c r="J24" s="198">
        <f t="shared" si="5"/>
        <v>81468.530637419637</v>
      </c>
      <c r="K24" s="243">
        <f>SUM(E24:J24)</f>
        <v>32377752.701056</v>
      </c>
      <c r="L24" s="388" t="str">
        <f>IF(ABS(K24-D24)&lt;0.01,"ok","err")</f>
        <v>ok</v>
      </c>
    </row>
    <row r="25" spans="1:12">
      <c r="A25" s="179"/>
      <c r="B25" s="180"/>
      <c r="C25" s="177"/>
      <c r="D25" s="232"/>
      <c r="E25" s="200"/>
      <c r="F25" s="200"/>
      <c r="G25" s="200"/>
      <c r="H25" s="200"/>
      <c r="I25" s="200"/>
      <c r="J25" s="200"/>
      <c r="K25" s="243"/>
      <c r="L25" s="369"/>
    </row>
    <row r="26" spans="1:12">
      <c r="A26" s="175" t="s">
        <v>1122</v>
      </c>
      <c r="B26" s="180" t="s">
        <v>1123</v>
      </c>
      <c r="C26" s="177"/>
      <c r="D26" s="197">
        <f>'Allocation Proforma'!G767+'Allocation Proforma'!G935</f>
        <v>12567657.481571682</v>
      </c>
      <c r="E26" s="198">
        <f t="shared" ref="E26:J26" si="6">$D$26*(E24/$K$24)</f>
        <v>6150506.4136700705</v>
      </c>
      <c r="F26" s="198">
        <f t="shared" si="6"/>
        <v>207116.97363641154</v>
      </c>
      <c r="G26" s="198">
        <f t="shared" si="6"/>
        <v>1206715.3969311696</v>
      </c>
      <c r="H26" s="198">
        <f t="shared" si="6"/>
        <v>1823236.6527799903</v>
      </c>
      <c r="I26" s="198">
        <f t="shared" si="6"/>
        <v>3148459.4486922636</v>
      </c>
      <c r="J26" s="198">
        <f t="shared" si="6"/>
        <v>31622.595861775957</v>
      </c>
      <c r="K26" s="243">
        <f>SUM(E26:J26)</f>
        <v>12567657.481571682</v>
      </c>
      <c r="L26" s="388" t="str">
        <f>IF(ABS(K26-D26)&lt;0.01,"ok","err")</f>
        <v>ok</v>
      </c>
    </row>
    <row r="27" spans="1:12">
      <c r="A27" s="179"/>
      <c r="B27" s="180"/>
      <c r="C27" s="177"/>
      <c r="D27" s="232"/>
      <c r="E27" s="200"/>
      <c r="F27" s="200"/>
      <c r="G27" s="200"/>
      <c r="H27" s="200"/>
      <c r="I27" s="200"/>
      <c r="J27" s="200"/>
      <c r="K27" s="243"/>
      <c r="L27" s="369"/>
    </row>
    <row r="28" spans="1:12">
      <c r="A28" s="175" t="s">
        <v>1124</v>
      </c>
      <c r="B28" s="180" t="s">
        <v>901</v>
      </c>
      <c r="C28" s="173"/>
      <c r="D28" s="197">
        <f>'Allocation Proforma'!G758</f>
        <v>276779936.62699538</v>
      </c>
      <c r="E28" s="198">
        <f>'Allocation Proforma'!G182+'Allocation Proforma'!G183+'Allocation Proforma'!G184</f>
        <v>46626930.1977726</v>
      </c>
      <c r="F28" s="198">
        <f>'Allocation Proforma'!G185</f>
        <v>142877810.92888865</v>
      </c>
      <c r="G28" s="198">
        <f>'Allocation Proforma'!G194</f>
        <v>16306536.154351067</v>
      </c>
      <c r="H28" s="198">
        <f>'Allocation Proforma'!G200+'Allocation Proforma'!G204+'Allocation Proforma'!G206+'Allocation Proforma'!G211</f>
        <v>14564398.263515754</v>
      </c>
      <c r="I28" s="198">
        <f>'Allocation Proforma'!G205+'Allocation Proforma'!G207+'Allocation Proforma'!G212+'Allocation Proforma'!G216+'Allocation Proforma'!G219</f>
        <v>35738395.771300003</v>
      </c>
      <c r="J28" s="198">
        <f>'Allocation Proforma'!G225+'Allocation Proforma'!G228</f>
        <v>20665865.311167303</v>
      </c>
      <c r="K28" s="243">
        <f t="shared" ref="K28:K32" si="7">SUM(E28:J28)</f>
        <v>276779936.62699533</v>
      </c>
      <c r="L28" s="388" t="str">
        <f>IF(ABS(K28-D28)&lt;0.01,"ok","err")</f>
        <v>ok</v>
      </c>
    </row>
    <row r="29" spans="1:12">
      <c r="A29" s="175" t="s">
        <v>1125</v>
      </c>
      <c r="B29" s="180" t="s">
        <v>997</v>
      </c>
      <c r="C29" s="173"/>
      <c r="D29" s="372">
        <f>'Allocation Proforma'!G759</f>
        <v>128481160.77717872</v>
      </c>
      <c r="E29" s="315">
        <f>'Allocation Proforma'!G302</f>
        <v>88617120.513404801</v>
      </c>
      <c r="F29" s="315">
        <v>0</v>
      </c>
      <c r="G29" s="315">
        <f>'Allocation Proforma'!G308</f>
        <v>6895147.691278575</v>
      </c>
      <c r="H29" s="315">
        <f>'Allocation Proforma'!G314+'Allocation Proforma'!G318+'Allocation Proforma'!G320+'Allocation Proforma'!G325</f>
        <v>12142047.677025184</v>
      </c>
      <c r="I29" s="315">
        <f>'Allocation Proforma'!G319+'Allocation Proforma'!G321+'Allocation Proforma'!G326+'Allocation Proforma'!G330+'Allocation Proforma'!G333</f>
        <v>20826844.89547015</v>
      </c>
      <c r="J29" s="315">
        <v>0</v>
      </c>
      <c r="K29" s="243">
        <f t="shared" si="7"/>
        <v>128481160.7771787</v>
      </c>
      <c r="L29" s="388" t="str">
        <f>IF(ABS(K29-D29)&lt;0.01,"ok","err")</f>
        <v>ok</v>
      </c>
    </row>
    <row r="30" spans="1:12">
      <c r="A30" s="175" t="s">
        <v>1126</v>
      </c>
      <c r="B30" s="180" t="s">
        <v>1127</v>
      </c>
      <c r="C30" s="173"/>
      <c r="D30" s="372">
        <f>'Allocation Proforma'!G764+'Allocation Proforma'!G765</f>
        <v>20498112.663735345</v>
      </c>
      <c r="E30" s="315">
        <f>'Allocation Proforma'!G417+'Allocation Proforma'!G474+'Allocation Proforma'!G359+'Allocation Proforma'!G531+'Allocation Proforma'!G589</f>
        <v>10491484.732350528</v>
      </c>
      <c r="F30" s="315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315">
        <f>'Allocation Proforma'!G365+'Allocation Proforma'!G423+'Allocation Proforma'!G480+'Allocation Proforma'!G537+'Allocation Proforma'!G595</f>
        <v>1886753.7593191424</v>
      </c>
      <c r="H30" s="315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2989992.459975455</v>
      </c>
      <c r="I30" s="315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5129881.7120902231</v>
      </c>
      <c r="J30" s="315">
        <v>0</v>
      </c>
      <c r="K30" s="243">
        <f t="shared" si="7"/>
        <v>20498112.663735349</v>
      </c>
      <c r="L30" s="388" t="str">
        <f>IF(ABS(K30-D30)&lt;0.01,"ok","err")</f>
        <v>ok</v>
      </c>
    </row>
    <row r="31" spans="1:12">
      <c r="A31" s="175" t="s">
        <v>1128</v>
      </c>
      <c r="B31" s="180" t="s">
        <v>1341</v>
      </c>
      <c r="C31" s="173"/>
      <c r="D31" s="372">
        <f>'Allocation Proforma'!G769</f>
        <v>1028654.5637232078</v>
      </c>
      <c r="E31" s="373">
        <f t="shared" ref="E31:J31" si="8">$D$31*(E14/$K$14)</f>
        <v>503414.93638792023</v>
      </c>
      <c r="F31" s="373">
        <f t="shared" si="8"/>
        <v>16952.389136005502</v>
      </c>
      <c r="G31" s="373">
        <f t="shared" si="8"/>
        <v>98768.867785301583</v>
      </c>
      <c r="H31" s="373">
        <f t="shared" si="8"/>
        <v>149230.73025976671</v>
      </c>
      <c r="I31" s="373">
        <f t="shared" si="8"/>
        <v>257699.35131855062</v>
      </c>
      <c r="J31" s="373">
        <f t="shared" si="8"/>
        <v>2588.2888356631515</v>
      </c>
      <c r="K31" s="243">
        <f t="shared" si="7"/>
        <v>1028654.5637232077</v>
      </c>
      <c r="L31" s="388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231">
        <v>0</v>
      </c>
      <c r="E32" s="315">
        <f>D32</f>
        <v>0</v>
      </c>
      <c r="F32" s="315">
        <v>0</v>
      </c>
      <c r="G32" s="315">
        <v>0</v>
      </c>
      <c r="H32" s="315">
        <v>0</v>
      </c>
      <c r="I32" s="315">
        <v>0</v>
      </c>
      <c r="J32" s="315">
        <v>0</v>
      </c>
      <c r="K32" s="243">
        <f t="shared" si="7"/>
        <v>0</v>
      </c>
      <c r="L32" s="388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231">
        <v>0</v>
      </c>
      <c r="E33" s="315">
        <v>0</v>
      </c>
      <c r="F33" s="315">
        <f>D33</f>
        <v>0</v>
      </c>
      <c r="G33" s="315">
        <v>0</v>
      </c>
      <c r="H33" s="315">
        <v>0</v>
      </c>
      <c r="I33" s="315">
        <v>0</v>
      </c>
      <c r="J33" s="315">
        <v>0</v>
      </c>
      <c r="K33" s="243">
        <f t="shared" ref="K33:K39" si="10">SUM(E33:J33)</f>
        <v>0</v>
      </c>
      <c r="L33" s="388" t="str">
        <f t="shared" si="9"/>
        <v>ok</v>
      </c>
    </row>
    <row r="34" spans="1:12">
      <c r="A34" s="175" t="s">
        <v>1133</v>
      </c>
      <c r="B34" s="180" t="s">
        <v>1134</v>
      </c>
      <c r="C34" s="173"/>
      <c r="D34" s="231">
        <v>0</v>
      </c>
      <c r="E34" s="315">
        <v>0</v>
      </c>
      <c r="F34" s="315">
        <v>0</v>
      </c>
      <c r="G34" s="315">
        <f>D34</f>
        <v>0</v>
      </c>
      <c r="H34" s="315">
        <v>0</v>
      </c>
      <c r="I34" s="315">
        <v>0</v>
      </c>
      <c r="J34" s="315">
        <v>0</v>
      </c>
      <c r="K34" s="243">
        <f t="shared" si="10"/>
        <v>0</v>
      </c>
      <c r="L34" s="388" t="str">
        <f t="shared" si="9"/>
        <v>ok</v>
      </c>
    </row>
    <row r="35" spans="1:12">
      <c r="A35" s="175" t="s">
        <v>1135</v>
      </c>
      <c r="B35" s="180" t="s">
        <v>1136</v>
      </c>
      <c r="C35" s="173"/>
      <c r="D35" s="231">
        <v>0</v>
      </c>
      <c r="E35" s="315">
        <v>0</v>
      </c>
      <c r="F35" s="315">
        <v>0</v>
      </c>
      <c r="G35" s="315">
        <v>0</v>
      </c>
      <c r="H35" s="315">
        <f>(H14/($I$14+$H$14)*$D$35)</f>
        <v>0</v>
      </c>
      <c r="I35" s="315">
        <f>(I14/($I$14+$H$14)*$D$35)</f>
        <v>0</v>
      </c>
      <c r="J35" s="315">
        <v>0</v>
      </c>
      <c r="K35" s="243">
        <f t="shared" si="10"/>
        <v>0</v>
      </c>
      <c r="L35" s="388" t="str">
        <f t="shared" si="9"/>
        <v>ok</v>
      </c>
    </row>
    <row r="36" spans="1:12">
      <c r="A36" s="181" t="s">
        <v>1137</v>
      </c>
      <c r="B36" s="180" t="s">
        <v>1138</v>
      </c>
      <c r="C36" s="173"/>
      <c r="D36" s="372">
        <f>'Allocation Proforma'!G932+'Allocation Proforma'!G933</f>
        <v>203391.62090952985</v>
      </c>
      <c r="E36" s="315">
        <f t="shared" ref="E36:J36" si="11">(E14/($D$14)*$D$36)</f>
        <v>99538.157427120823</v>
      </c>
      <c r="F36" s="315">
        <f t="shared" si="11"/>
        <v>3351.9259295184056</v>
      </c>
      <c r="G36" s="315">
        <f t="shared" si="11"/>
        <v>19529.160539122495</v>
      </c>
      <c r="H36" s="315">
        <f t="shared" si="11"/>
        <v>29506.776314866009</v>
      </c>
      <c r="I36" s="315">
        <f t="shared" si="11"/>
        <v>50953.829031101275</v>
      </c>
      <c r="J36" s="315">
        <f t="shared" si="11"/>
        <v>511.77166780083672</v>
      </c>
      <c r="K36" s="243">
        <f t="shared" si="10"/>
        <v>203391.62090952985</v>
      </c>
      <c r="L36" s="388" t="str">
        <f t="shared" si="9"/>
        <v>ok</v>
      </c>
    </row>
    <row r="37" spans="1:12">
      <c r="A37" s="181" t="s">
        <v>1139</v>
      </c>
      <c r="B37" s="180" t="s">
        <v>1340</v>
      </c>
      <c r="C37" s="310"/>
      <c r="D37" s="372">
        <v>0</v>
      </c>
      <c r="E37" s="315">
        <f t="shared" ref="E37:J37" si="12">(E14/($D$14)*$D$37)</f>
        <v>0</v>
      </c>
      <c r="F37" s="315">
        <f t="shared" si="12"/>
        <v>0</v>
      </c>
      <c r="G37" s="315">
        <f t="shared" si="12"/>
        <v>0</v>
      </c>
      <c r="H37" s="315">
        <f t="shared" si="12"/>
        <v>0</v>
      </c>
      <c r="I37" s="315">
        <f t="shared" si="12"/>
        <v>0</v>
      </c>
      <c r="J37" s="315">
        <f t="shared" si="12"/>
        <v>0</v>
      </c>
      <c r="K37" s="243">
        <f t="shared" si="10"/>
        <v>0</v>
      </c>
      <c r="L37" s="388" t="str">
        <f t="shared" si="9"/>
        <v>ok</v>
      </c>
    </row>
    <row r="38" spans="1:12">
      <c r="A38" s="175"/>
      <c r="B38" s="180"/>
      <c r="D38" s="197"/>
      <c r="E38" s="198"/>
      <c r="F38" s="198"/>
      <c r="G38" s="198"/>
      <c r="H38" s="198"/>
      <c r="I38" s="198"/>
      <c r="J38" s="198"/>
      <c r="K38" s="243"/>
      <c r="L38" s="388"/>
    </row>
    <row r="39" spans="1:12" s="44" customFormat="1">
      <c r="A39" s="175" t="s">
        <v>1140</v>
      </c>
      <c r="B39" s="180" t="s">
        <v>1236</v>
      </c>
      <c r="C39" s="173"/>
      <c r="D39" s="197">
        <f t="shared" ref="D39:J39" si="13">SUM(D32:D37)</f>
        <v>203391.62090952985</v>
      </c>
      <c r="E39" s="368">
        <f t="shared" si="13"/>
        <v>99538.157427120823</v>
      </c>
      <c r="F39" s="368">
        <f t="shared" si="13"/>
        <v>3351.9259295184056</v>
      </c>
      <c r="G39" s="368">
        <f t="shared" si="13"/>
        <v>19529.160539122495</v>
      </c>
      <c r="H39" s="368">
        <f t="shared" si="13"/>
        <v>29506.776314866009</v>
      </c>
      <c r="I39" s="368">
        <f t="shared" si="13"/>
        <v>50953.829031101275</v>
      </c>
      <c r="J39" s="368">
        <f t="shared" si="13"/>
        <v>511.77166780083672</v>
      </c>
      <c r="K39" s="243">
        <f t="shared" si="10"/>
        <v>203391.62090952985</v>
      </c>
      <c r="L39" s="388" t="str">
        <f t="shared" si="9"/>
        <v>ok</v>
      </c>
    </row>
    <row r="40" spans="1:12">
      <c r="A40" s="179"/>
      <c r="B40" s="180"/>
      <c r="C40" s="177"/>
      <c r="D40" s="197"/>
      <c r="E40" s="200"/>
      <c r="F40" s="200"/>
      <c r="G40" s="200"/>
      <c r="H40" s="200"/>
      <c r="I40" s="200"/>
      <c r="J40" s="200"/>
      <c r="K40" s="243"/>
      <c r="L40" s="369"/>
    </row>
    <row r="41" spans="1:12" s="44" customFormat="1">
      <c r="A41" s="175" t="s">
        <v>1142</v>
      </c>
      <c r="B41" s="180" t="s">
        <v>1141</v>
      </c>
      <c r="C41" s="182"/>
      <c r="D41" s="197">
        <f t="shared" ref="D41:J41" si="14">SUM(D28:D31)+D22+D26+D39+D24</f>
        <v>509263010.48054093</v>
      </c>
      <c r="E41" s="198">
        <f t="shared" si="14"/>
        <v>186601596.66112626</v>
      </c>
      <c r="F41" s="198">
        <f t="shared" si="14"/>
        <v>144253966.70445493</v>
      </c>
      <c r="G41" s="198">
        <f t="shared" si="14"/>
        <v>33106266.051335465</v>
      </c>
      <c r="H41" s="198">
        <f t="shared" si="14"/>
        <v>41810644.232588053</v>
      </c>
      <c r="I41" s="198">
        <f t="shared" si="14"/>
        <v>82614560.213347256</v>
      </c>
      <c r="J41" s="198">
        <f t="shared" si="14"/>
        <v>20875976.617689069</v>
      </c>
      <c r="K41" s="243">
        <f>SUM(E41:J41)</f>
        <v>509263010.48054099</v>
      </c>
      <c r="L41" s="388" t="str">
        <f>IF(ABS(K41-D41)&lt;0.01,"ok","err")</f>
        <v>ok</v>
      </c>
    </row>
    <row r="42" spans="1:12">
      <c r="A42" s="179"/>
      <c r="B42" s="180"/>
      <c r="C42" s="177"/>
      <c r="D42" s="234"/>
      <c r="E42" s="200"/>
      <c r="F42" s="200"/>
      <c r="G42" s="200"/>
      <c r="H42" s="200"/>
      <c r="I42" s="200"/>
      <c r="J42" s="200"/>
      <c r="K42" s="243"/>
      <c r="L42" s="369"/>
    </row>
    <row r="43" spans="1:12">
      <c r="A43" s="175" t="s">
        <v>1143</v>
      </c>
      <c r="B43" s="180" t="s">
        <v>1242</v>
      </c>
      <c r="C43" s="177"/>
      <c r="D43" s="197">
        <f>-'Allocation Proforma'!G700</f>
        <v>-277362.2081506768</v>
      </c>
      <c r="E43" s="374">
        <f>D43</f>
        <v>-277362.2081506768</v>
      </c>
      <c r="F43" s="374"/>
      <c r="G43" s="374"/>
      <c r="H43" s="374"/>
      <c r="I43" s="374"/>
      <c r="J43" s="374"/>
      <c r="K43" s="243">
        <f>SUM(E43:J43)</f>
        <v>-277362.2081506768</v>
      </c>
      <c r="L43" s="388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72">
        <f>-'Allocation Proforma'!G698</f>
        <v>-12366966.991390636</v>
      </c>
      <c r="E44" s="315">
        <v>0</v>
      </c>
      <c r="F44" s="315">
        <f>D44</f>
        <v>-12366966.991390636</v>
      </c>
      <c r="G44" s="315">
        <v>0</v>
      </c>
      <c r="H44" s="315">
        <v>0</v>
      </c>
      <c r="I44" s="315">
        <v>0</v>
      </c>
      <c r="J44" s="315">
        <v>0</v>
      </c>
      <c r="K44" s="243">
        <f>SUM(E44:J44)</f>
        <v>-12366966.991390636</v>
      </c>
      <c r="L44" s="388" t="str">
        <f>IF(ABS(K44-D44)&lt;0.01,"ok","err")</f>
        <v>ok</v>
      </c>
    </row>
    <row r="45" spans="1:12">
      <c r="A45" s="175" t="s">
        <v>1147</v>
      </c>
      <c r="B45" s="180" t="s">
        <v>1337</v>
      </c>
      <c r="C45" s="173"/>
      <c r="D45" s="372">
        <f>-'Allocation Proforma'!G699</f>
        <v>-5722158.4881819878</v>
      </c>
      <c r="E45" s="315">
        <v>0</v>
      </c>
      <c r="F45" s="315">
        <v>0</v>
      </c>
      <c r="G45" s="315">
        <f>D45</f>
        <v>-5722158.4881819878</v>
      </c>
      <c r="H45" s="315">
        <v>0</v>
      </c>
      <c r="I45" s="315">
        <v>0</v>
      </c>
      <c r="J45" s="315">
        <v>0</v>
      </c>
      <c r="K45" s="243">
        <f>SUM(E45:J45)</f>
        <v>-5722158.4881819878</v>
      </c>
      <c r="L45" s="388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231">
        <f>-('Allocation Proforma'!G702+'Allocation Proforma'!G703+'Allocation Proforma'!G704+'Allocation Proforma'!G705)</f>
        <v>-5827906.5235689022</v>
      </c>
      <c r="E46" s="315">
        <f>-(E14/($D$14)*('Allocation Proforma'!G702+'Allocation Proforma'!G703+'Allocation Proforma'!G704+'Allocation Proforma'!G705))</f>
        <v>-2852128.6885833824</v>
      </c>
      <c r="F46" s="315">
        <f>(F14/($D$14)*-('Allocation Proforma'!G702+'Allocation Proforma'!G703+'Allocation Proforma'!G704+'Allocation Proforma'!G705))</f>
        <v>-96044.816909391069</v>
      </c>
      <c r="G46" s="315">
        <f>(G14/($D$14)*-('Allocation Proforma'!G702+'Allocation Proforma'!G703+'Allocation Proforma'!G704+'Allocation Proforma'!G705))</f>
        <v>-559581.17446933442</v>
      </c>
      <c r="H46" s="315">
        <f>(H14/($D$14)*-('Allocation Proforma'!G702+'Allocation Proforma'!G703+'Allocation Proforma'!G704+'Allocation Proforma'!G705))</f>
        <v>-845476.00046604837</v>
      </c>
      <c r="I46" s="315">
        <f>(I14/($D$14)*-('Allocation Proforma'!G702+'Allocation Proforma'!G703+'Allocation Proforma'!G704+'Allocation Proforma'!G705))</f>
        <v>-1460011.731472739</v>
      </c>
      <c r="J46" s="315">
        <f>(J14/($D$14)*-('Allocation Proforma'!G702+'Allocation Proforma'!G703+'Allocation Proforma'!G704+'Allocation Proforma'!G705))</f>
        <v>-14664.111668006706</v>
      </c>
      <c r="K46" s="243">
        <f>SUM(E46:J46)</f>
        <v>-5827906.5235689022</v>
      </c>
      <c r="L46" s="388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231">
        <f>SUM(D43:D46)</f>
        <v>-24194394.211292204</v>
      </c>
      <c r="E47" s="375">
        <f>SUM(E43:E46)</f>
        <v>-3129490.8967340593</v>
      </c>
      <c r="F47" s="375">
        <f t="shared" ref="F47:J47" si="15">SUM(F44:F46)</f>
        <v>-12463011.808300028</v>
      </c>
      <c r="G47" s="375">
        <f t="shared" si="15"/>
        <v>-6281739.6626513219</v>
      </c>
      <c r="H47" s="375">
        <f t="shared" si="15"/>
        <v>-845476.00046604837</v>
      </c>
      <c r="I47" s="375">
        <f t="shared" si="15"/>
        <v>-1460011.731472739</v>
      </c>
      <c r="J47" s="375">
        <f t="shared" si="15"/>
        <v>-14664.111668006706</v>
      </c>
      <c r="K47" s="243">
        <f>SUM(E47:J47)</f>
        <v>-24194394.2112922</v>
      </c>
      <c r="L47" s="388" t="str">
        <f>IF(ABS(K47-D47)&lt;0.01,"ok","err")</f>
        <v>ok</v>
      </c>
    </row>
    <row r="48" spans="1:12">
      <c r="A48" s="179"/>
      <c r="B48" s="180"/>
      <c r="D48" s="235"/>
      <c r="E48" s="200"/>
      <c r="F48" s="200"/>
      <c r="G48" s="200"/>
      <c r="H48" s="200"/>
      <c r="I48" s="200"/>
      <c r="J48" s="200"/>
      <c r="K48" s="243"/>
      <c r="L48" s="369"/>
    </row>
    <row r="49" spans="1:15">
      <c r="A49" s="175" t="s">
        <v>1153</v>
      </c>
      <c r="B49" s="180" t="s">
        <v>1150</v>
      </c>
      <c r="C49" s="183" t="e">
        <f>'Allocation Proforma'!G924-SUM('Allocation Proforma'!G699:G705)-'Allocation Proforma'!#REF!-'Allocation Proforma'!G918-'Allocation Proforma'!G922</f>
        <v>#REF!</v>
      </c>
      <c r="D49" s="197">
        <f t="shared" ref="D49:J49" si="16">D41+D47</f>
        <v>485068616.26924872</v>
      </c>
      <c r="E49" s="368">
        <f t="shared" si="16"/>
        <v>183472105.7643922</v>
      </c>
      <c r="F49" s="368">
        <f t="shared" si="16"/>
        <v>131790954.8961549</v>
      </c>
      <c r="G49" s="368">
        <f t="shared" si="16"/>
        <v>26824526.388684142</v>
      </c>
      <c r="H49" s="368">
        <f t="shared" si="16"/>
        <v>40965168.232122004</v>
      </c>
      <c r="I49" s="368">
        <f t="shared" si="16"/>
        <v>81154548.481874511</v>
      </c>
      <c r="J49" s="368">
        <f t="shared" si="16"/>
        <v>20861312.506021064</v>
      </c>
      <c r="K49" s="243">
        <f>SUM(E49:J49)</f>
        <v>485068616.26924884</v>
      </c>
      <c r="L49" s="388" t="str">
        <f>IF(ABS(K49-D49)&lt;0.01,"ok","err")</f>
        <v>ok</v>
      </c>
    </row>
    <row r="50" spans="1:15">
      <c r="A50" s="179"/>
      <c r="B50" s="180"/>
      <c r="C50" s="177"/>
      <c r="D50" s="236"/>
      <c r="E50" s="200"/>
      <c r="F50" s="200"/>
      <c r="G50" s="200"/>
      <c r="H50" s="200"/>
      <c r="I50" s="200"/>
      <c r="J50" s="200"/>
      <c r="K50" s="243"/>
      <c r="L50" s="369"/>
    </row>
    <row r="51" spans="1:15">
      <c r="A51" s="175" t="s">
        <v>1237</v>
      </c>
      <c r="B51" s="180" t="s">
        <v>1152</v>
      </c>
      <c r="C51" s="173"/>
      <c r="D51" s="235"/>
      <c r="E51" s="238">
        <f>'Allocation Proforma'!G962</f>
        <v>4049109440</v>
      </c>
      <c r="F51" s="238">
        <f>'Allocation Proforma'!G962</f>
        <v>4049109440</v>
      </c>
      <c r="G51" s="238">
        <f>'Allocation Proforma'!G962</f>
        <v>4049109440</v>
      </c>
      <c r="H51" s="238">
        <f>'Allocation Proforma'!G962</f>
        <v>4049109440</v>
      </c>
      <c r="I51" s="238">
        <f>'Allocation Proforma'!$G$978*12</f>
        <v>4530684</v>
      </c>
      <c r="J51" s="238">
        <f>'Allocation Proforma'!$G$978*12</f>
        <v>4530684</v>
      </c>
      <c r="K51" s="228"/>
      <c r="L51" s="369"/>
    </row>
    <row r="52" spans="1:15" ht="15.75" thickBot="1">
      <c r="A52" s="179"/>
      <c r="B52" s="180"/>
      <c r="C52" s="177"/>
      <c r="D52" s="235"/>
      <c r="E52" s="200"/>
      <c r="F52" s="200"/>
      <c r="G52" s="200"/>
      <c r="H52" s="200"/>
      <c r="I52" s="200"/>
      <c r="J52" s="200"/>
      <c r="K52" s="228"/>
      <c r="L52" s="369"/>
    </row>
    <row r="53" spans="1:15" ht="15.75" thickBot="1">
      <c r="A53" s="184" t="s">
        <v>1336</v>
      </c>
      <c r="B53" s="329" t="s">
        <v>1154</v>
      </c>
      <c r="C53" s="185"/>
      <c r="D53" s="376"/>
      <c r="E53" s="240">
        <f t="shared" ref="E53:H53" si="17">E49/E51</f>
        <v>4.5311718164968193E-2</v>
      </c>
      <c r="F53" s="240">
        <f t="shared" si="17"/>
        <v>3.2548133570861178E-2</v>
      </c>
      <c r="G53" s="240">
        <f t="shared" si="17"/>
        <v>6.6247965845754328E-3</v>
      </c>
      <c r="H53" s="240">
        <f t="shared" si="17"/>
        <v>1.0117081012293411E-2</v>
      </c>
      <c r="I53" s="241">
        <f>I49/I51/30.5</f>
        <v>0.58728546688715899</v>
      </c>
      <c r="J53" s="241">
        <f>J49/J51/30.5</f>
        <v>0.15096560678559912</v>
      </c>
      <c r="K53" s="226">
        <f>I53+J53</f>
        <v>0.73825107367275811</v>
      </c>
      <c r="L53" s="377"/>
    </row>
    <row r="54" spans="1:15">
      <c r="D54" s="187"/>
      <c r="E54" s="187"/>
      <c r="F54" s="187"/>
      <c r="G54" s="187"/>
      <c r="H54" s="187"/>
      <c r="I54" s="187"/>
      <c r="J54" s="187"/>
      <c r="K54" s="187"/>
      <c r="L54" s="187"/>
    </row>
    <row r="55" spans="1:15">
      <c r="D55" s="378"/>
      <c r="E55" s="187"/>
      <c r="F55" s="379"/>
      <c r="G55" s="187"/>
      <c r="H55" s="187"/>
      <c r="I55" s="187"/>
      <c r="J55" s="187" t="s">
        <v>1227</v>
      </c>
      <c r="K55" s="380">
        <f>I53+J53</f>
        <v>0.73825107367275811</v>
      </c>
      <c r="L55" s="381"/>
    </row>
    <row r="56" spans="1:15">
      <c r="D56" s="378"/>
      <c r="E56" s="187"/>
      <c r="F56" s="187"/>
      <c r="G56" s="187"/>
      <c r="H56" s="187"/>
      <c r="I56" s="382"/>
      <c r="J56" s="187" t="s">
        <v>1238</v>
      </c>
      <c r="K56" s="415">
        <f>E53+G53+H53</f>
        <v>6.2053595761837034E-2</v>
      </c>
      <c r="L56" s="381"/>
      <c r="O56" s="18"/>
    </row>
    <row r="57" spans="1:15">
      <c r="D57" s="187"/>
      <c r="E57" s="187"/>
      <c r="F57" s="187"/>
      <c r="G57" s="187"/>
      <c r="H57" s="187"/>
      <c r="I57" s="187"/>
      <c r="J57" s="187" t="s">
        <v>1226</v>
      </c>
      <c r="K57" s="415">
        <f>F53</f>
        <v>3.2548133570861178E-2</v>
      </c>
      <c r="L57" s="187"/>
      <c r="O57" s="18"/>
    </row>
    <row r="58" spans="1:15">
      <c r="D58" s="187"/>
      <c r="E58" s="187"/>
      <c r="F58" s="187"/>
      <c r="G58" s="187"/>
      <c r="H58" s="187"/>
      <c r="I58" s="383"/>
      <c r="J58" s="200"/>
      <c r="K58" s="384"/>
      <c r="L58" s="187"/>
      <c r="O58" s="18"/>
    </row>
    <row r="59" spans="1:15">
      <c r="D59" s="187"/>
      <c r="E59" s="187"/>
      <c r="F59" s="187"/>
      <c r="G59" s="187"/>
      <c r="H59" s="187"/>
      <c r="I59" s="187"/>
      <c r="J59" s="306"/>
      <c r="K59" s="385"/>
      <c r="L59" s="187"/>
      <c r="O59" s="403"/>
    </row>
    <row r="60" spans="1:15">
      <c r="D60" s="187"/>
      <c r="E60" s="187"/>
      <c r="F60" s="187"/>
      <c r="G60" s="187"/>
      <c r="H60" s="187"/>
      <c r="I60" s="187"/>
      <c r="J60" s="306"/>
      <c r="K60" s="374"/>
      <c r="L60" s="187"/>
    </row>
    <row r="61" spans="1:15">
      <c r="D61" s="187"/>
      <c r="E61" s="187"/>
      <c r="F61" s="187"/>
      <c r="G61" s="187"/>
      <c r="H61" s="187"/>
      <c r="I61" s="187"/>
      <c r="J61" s="306"/>
      <c r="K61" s="386"/>
      <c r="L61" s="187"/>
    </row>
    <row r="62" spans="1:15">
      <c r="D62" s="187"/>
      <c r="E62" s="187"/>
      <c r="F62" s="187"/>
      <c r="G62" s="187"/>
      <c r="H62" s="187"/>
      <c r="I62" s="187"/>
      <c r="J62" s="306"/>
      <c r="K62" s="187"/>
      <c r="L62" s="187"/>
    </row>
    <row r="63" spans="1:15">
      <c r="D63" s="187"/>
      <c r="E63" s="187"/>
      <c r="F63" s="187"/>
      <c r="G63" s="187"/>
      <c r="H63" s="187"/>
      <c r="I63" s="187"/>
      <c r="J63" s="306"/>
      <c r="K63" s="387"/>
      <c r="L63" s="387"/>
    </row>
  </sheetData>
  <mergeCells count="6">
    <mergeCell ref="E9:F9"/>
    <mergeCell ref="H9:I9"/>
    <mergeCell ref="A1:K1"/>
    <mergeCell ref="A3:K3"/>
    <mergeCell ref="A4:K4"/>
    <mergeCell ref="A6:K6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570312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5703125" bestFit="1" customWidth="1"/>
    <col min="10" max="10" width="37" bestFit="1" customWidth="1"/>
    <col min="11" max="11" width="21.42578125" style="44" customWidth="1"/>
    <col min="12" max="12" width="17.85546875" customWidth="1"/>
    <col min="13" max="13" width="10.5703125" bestFit="1" customWidth="1"/>
  </cols>
  <sheetData>
    <row r="1" spans="1:14" ht="15.75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96"/>
      <c r="M1" s="196"/>
      <c r="N1" s="196"/>
    </row>
    <row r="2" spans="1:14" ht="15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31"/>
      <c r="L2" s="152"/>
      <c r="M2" s="152"/>
      <c r="N2" s="152"/>
    </row>
    <row r="3" spans="1:14" ht="15.75">
      <c r="A3" s="433" t="s">
        <v>1103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196"/>
      <c r="M3" s="196"/>
      <c r="N3" s="196"/>
    </row>
    <row r="4" spans="1:14" ht="15.75">
      <c r="A4" s="433" t="s">
        <v>1357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196"/>
      <c r="M4" s="196"/>
      <c r="N4" s="196"/>
    </row>
    <row r="5" spans="1:14" ht="15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332"/>
      <c r="L5" s="20"/>
      <c r="M5" s="20"/>
      <c r="N5" s="20"/>
    </row>
    <row r="6" spans="1:14" ht="15.75">
      <c r="A6" s="433" t="s">
        <v>569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196"/>
      <c r="M6" s="196"/>
      <c r="N6" s="196"/>
    </row>
    <row r="8" spans="1:14" ht="15.75" thickBot="1"/>
    <row r="9" spans="1:14" ht="15.75" thickBot="1">
      <c r="A9" s="154"/>
      <c r="B9" s="155"/>
      <c r="C9" s="156"/>
      <c r="D9" s="154"/>
      <c r="E9" s="430" t="s">
        <v>683</v>
      </c>
      <c r="F9" s="431"/>
      <c r="G9" s="157" t="s">
        <v>1056</v>
      </c>
      <c r="H9" s="430" t="s">
        <v>864</v>
      </c>
      <c r="I9" s="431"/>
      <c r="J9" s="308" t="s">
        <v>1105</v>
      </c>
      <c r="K9" s="333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334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334"/>
      <c r="L11" s="228"/>
    </row>
    <row r="12" spans="1:14" ht="15.7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33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336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Proforma'!H176</f>
        <v>398697503.46332896</v>
      </c>
      <c r="E14" s="301">
        <f>'Allocation Proforma'!H125+'Allocation Proforma'!H126+'Allocation Proforma'!H127</f>
        <v>240785545.78532007</v>
      </c>
      <c r="F14" s="301">
        <f>'Allocation Proforma'!H128</f>
        <v>8327707.1263278788</v>
      </c>
      <c r="G14" s="301">
        <f>'Allocation Proforma'!H137</f>
        <v>40088024.284957044</v>
      </c>
      <c r="H14" s="301">
        <f>'Allocation Proforma'!H147+'Allocation Proforma'!H149+'Allocation Proforma'!H154+'Allocation Proforma'!H143</f>
        <v>53220474.477100603</v>
      </c>
      <c r="I14" s="301">
        <f>'Allocation Proforma'!H148+'Allocation Proforma'!H150+'Allocation Proforma'!H155+'Allocation Proforma'!H159+'Allocation Proforma'!H162+'Allocation Proforma'!H165</f>
        <v>55348502.344062299</v>
      </c>
      <c r="J14" s="301">
        <f>'Allocation Proforma'!H168+'Allocation Proforma'!H171</f>
        <v>927249.44556108629</v>
      </c>
      <c r="K14" s="242">
        <f>SUM(E14:J14)</f>
        <v>398697503.46332902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398697503.46332896</v>
      </c>
      <c r="E16" s="301">
        <f t="shared" ref="E16:K16" si="1">E14+E15</f>
        <v>240785545.78532007</v>
      </c>
      <c r="F16" s="301">
        <f t="shared" si="1"/>
        <v>8327707.1263278788</v>
      </c>
      <c r="G16" s="301">
        <f t="shared" si="1"/>
        <v>40088024.284957044</v>
      </c>
      <c r="H16" s="301">
        <f t="shared" si="1"/>
        <v>53220474.477100603</v>
      </c>
      <c r="I16" s="301">
        <f t="shared" si="1"/>
        <v>55348502.344062299</v>
      </c>
      <c r="J16" s="301">
        <f t="shared" si="1"/>
        <v>927249.44556108629</v>
      </c>
      <c r="K16" s="242">
        <f t="shared" si="1"/>
        <v>398697503.46332902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Proforma'!H944</f>
        <v>0.13559054090828662</v>
      </c>
      <c r="E18" s="303">
        <f t="shared" ref="E18:J18" si="2">D18</f>
        <v>0.13559054090828662</v>
      </c>
      <c r="F18" s="303">
        <f t="shared" si="2"/>
        <v>0.13559054090828662</v>
      </c>
      <c r="G18" s="303">
        <f t="shared" si="2"/>
        <v>0.13559054090828662</v>
      </c>
      <c r="H18" s="303">
        <f t="shared" si="2"/>
        <v>0.13559054090828662</v>
      </c>
      <c r="I18" s="303">
        <f t="shared" si="2"/>
        <v>0.13559054090828662</v>
      </c>
      <c r="J18" s="303">
        <f t="shared" si="2"/>
        <v>0.13559054090828662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54059610.153376251</v>
      </c>
      <c r="E20" s="320">
        <f t="shared" ref="E20:J20" si="3">E18*E16</f>
        <v>32648242.395928562</v>
      </c>
      <c r="F20" s="320">
        <f t="shared" si="3"/>
        <v>1129158.3137845902</v>
      </c>
      <c r="G20" s="320">
        <f t="shared" si="3"/>
        <v>5435556.8967418559</v>
      </c>
      <c r="H20" s="320">
        <f t="shared" si="3"/>
        <v>7216192.9217457334</v>
      </c>
      <c r="I20" s="320">
        <f t="shared" si="3"/>
        <v>7504733.3712949771</v>
      </c>
      <c r="J20" s="320">
        <f t="shared" si="3"/>
        <v>125726.25388053656</v>
      </c>
      <c r="K20" s="242">
        <f>SUM(E20:J20)</f>
        <v>54059610.153376259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Proforma'!H738</f>
        <v>8707341.2267477568</v>
      </c>
      <c r="E22" s="320">
        <f t="shared" ref="E22:J22" si="4">(E14/$D$14)*$D$22</f>
        <v>5258628.136391921</v>
      </c>
      <c r="F22" s="320">
        <f t="shared" si="4"/>
        <v>181872.69033658569</v>
      </c>
      <c r="G22" s="320">
        <f t="shared" si="4"/>
        <v>875501.10929495015</v>
      </c>
      <c r="H22" s="320">
        <f t="shared" si="4"/>
        <v>1162306.8303565583</v>
      </c>
      <c r="I22" s="320">
        <f t="shared" si="4"/>
        <v>1208781.8261032221</v>
      </c>
      <c r="J22" s="320">
        <f t="shared" si="4"/>
        <v>20250.634264519937</v>
      </c>
      <c r="K22" s="242">
        <f>SUM(E22:J22)</f>
        <v>8707341.2267477568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45352268.926628493</v>
      </c>
      <c r="E24" s="320">
        <f t="shared" ref="E24:J24" si="5">E20-E22</f>
        <v>27389614.259536639</v>
      </c>
      <c r="F24" s="320">
        <f t="shared" si="5"/>
        <v>947285.62344800448</v>
      </c>
      <c r="G24" s="320">
        <f t="shared" si="5"/>
        <v>4560055.7874469059</v>
      </c>
      <c r="H24" s="320">
        <f t="shared" si="5"/>
        <v>6053886.0913891755</v>
      </c>
      <c r="I24" s="320">
        <f t="shared" si="5"/>
        <v>6295951.5451917555</v>
      </c>
      <c r="J24" s="320">
        <f t="shared" si="5"/>
        <v>105475.61961601663</v>
      </c>
      <c r="K24" s="242">
        <f>SUM(E24:J24)</f>
        <v>45352268.926628493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Proforma'!H767+'Allocation Proforma'!H935</f>
        <v>7996507.4375792798</v>
      </c>
      <c r="E26" s="320">
        <f t="shared" ref="E26:J26" si="6">$D$26*(E24/$K$24)</f>
        <v>4829333.9963464178</v>
      </c>
      <c r="F26" s="320">
        <f t="shared" si="6"/>
        <v>167025.30463621989</v>
      </c>
      <c r="G26" s="320">
        <f t="shared" si="6"/>
        <v>804028.57195719169</v>
      </c>
      <c r="H26" s="320">
        <f t="shared" si="6"/>
        <v>1067420.5789873393</v>
      </c>
      <c r="I26" s="320">
        <f t="shared" si="6"/>
        <v>1110101.5351451205</v>
      </c>
      <c r="J26" s="320">
        <f t="shared" si="6"/>
        <v>18597.450506991896</v>
      </c>
      <c r="K26" s="242">
        <f>SUM(E26:J26)</f>
        <v>7996507.4375792807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Proforma'!H758</f>
        <v>73444678.041281253</v>
      </c>
      <c r="E28" s="320">
        <f>'Allocation Proforma'!H182+'Allocation Proforma'!H183+'Allocation Proforma'!H184</f>
        <v>13421884.293799482</v>
      </c>
      <c r="F28" s="320">
        <f>'Allocation Proforma'!H185</f>
        <v>42240754.713143803</v>
      </c>
      <c r="G28" s="320">
        <f>'Allocation Proforma'!H194</f>
        <v>3983168.2020558887</v>
      </c>
      <c r="H28" s="320">
        <f>'Allocation Proforma'!H200+'Allocation Proforma'!H204+'Allocation Proforma'!H206+'Allocation Proforma'!H211</f>
        <v>3225481.9608458839</v>
      </c>
      <c r="I28" s="320">
        <f>'Allocation Proforma'!H205+'Allocation Proforma'!H207+'Allocation Proforma'!H212+'Allocation Proforma'!H216+'Allocation Proforma'!H219</f>
        <v>6112618.2019007504</v>
      </c>
      <c r="J28" s="320">
        <f>'Allocation Proforma'!H225+'Allocation Proforma'!H228</f>
        <v>4460770.6695354497</v>
      </c>
      <c r="K28" s="242">
        <f t="shared" ref="K28:K39" si="7">SUM(E28:J28)</f>
        <v>73444678.041281253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Proforma'!H759</f>
        <v>32474567.583973918</v>
      </c>
      <c r="E29" s="316">
        <f>'Allocation Proforma'!H302</f>
        <v>25509050.94835994</v>
      </c>
      <c r="F29" s="316">
        <v>0</v>
      </c>
      <c r="G29" s="316">
        <f>'Allocation Proforma'!H308</f>
        <v>1684265.3014970038</v>
      </c>
      <c r="H29" s="316">
        <f>'Allocation Proforma'!H314+'Allocation Proforma'!H318+'Allocation Proforma'!H320+'Allocation Proforma'!H325</f>
        <v>2605152.4976475015</v>
      </c>
      <c r="I29" s="316">
        <f>'Allocation Proforma'!H319+'Allocation Proforma'!H321+'Allocation Proforma'!H326+'Allocation Proforma'!H330+'Allocation Proforma'!H333</f>
        <v>2676098.8364694733</v>
      </c>
      <c r="J29" s="316">
        <v>0</v>
      </c>
      <c r="K29" s="242">
        <f t="shared" si="7"/>
        <v>32474567.583973922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Proforma'!H764+'Allocation Proforma'!H765</f>
        <v>4781822.1710950742</v>
      </c>
      <c r="E30" s="316">
        <f>'Allocation Proforma'!H417+'Allocation Proforma'!H474+'Allocation Proforma'!H359+'Allocation Proforma'!H531+'Allocation Proforma'!H589</f>
        <v>3020046.4313324979</v>
      </c>
      <c r="F30" s="316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16">
        <f>'Allocation Proforma'!H365+'Allocation Proforma'!H423+'Allocation Proforma'!H480+'Allocation Proforma'!H537+'Allocation Proforma'!H595</f>
        <v>460873.94085985102</v>
      </c>
      <c r="H30" s="316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641521.63887406688</v>
      </c>
      <c r="I30" s="316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659380.16002865764</v>
      </c>
      <c r="J30" s="316">
        <v>0</v>
      </c>
      <c r="K30" s="242">
        <f t="shared" si="7"/>
        <v>4781822.1710950732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1341</v>
      </c>
      <c r="C31" s="173"/>
      <c r="D31" s="305">
        <f>'Allocation Proforma'!H769</f>
        <v>296105.32955998095</v>
      </c>
      <c r="E31" s="316">
        <f t="shared" ref="E31:J31" si="8">$D$31*(E14/$K$14)</f>
        <v>178827.01238082832</v>
      </c>
      <c r="F31" s="316">
        <f t="shared" si="8"/>
        <v>6184.8354747651993</v>
      </c>
      <c r="G31" s="316">
        <f t="shared" si="8"/>
        <v>29772.641010272888</v>
      </c>
      <c r="H31" s="316">
        <f t="shared" si="8"/>
        <v>39525.871111530258</v>
      </c>
      <c r="I31" s="316">
        <f t="shared" si="8"/>
        <v>41106.318411515596</v>
      </c>
      <c r="J31" s="316">
        <f t="shared" si="8"/>
        <v>688.65117106866614</v>
      </c>
      <c r="K31" s="242">
        <f t="shared" si="7"/>
        <v>296105.32955998095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Proforma'!H932+'Allocation Proforma'!H933</f>
        <v>72999.443323304018</v>
      </c>
      <c r="E36" s="316">
        <f t="shared" ref="E36:J36" si="10">(E14/($D$14)*$D$36)</f>
        <v>44086.583562575528</v>
      </c>
      <c r="F36" s="316">
        <f t="shared" si="10"/>
        <v>1524.7599473302482</v>
      </c>
      <c r="G36" s="316">
        <f t="shared" si="10"/>
        <v>7339.909157475121</v>
      </c>
      <c r="H36" s="316">
        <f t="shared" si="10"/>
        <v>9744.3926196738539</v>
      </c>
      <c r="I36" s="316">
        <f t="shared" si="10"/>
        <v>10134.023475937718</v>
      </c>
      <c r="J36" s="316">
        <f t="shared" si="10"/>
        <v>169.7745603115556</v>
      </c>
      <c r="K36" s="242">
        <f t="shared" si="7"/>
        <v>72999.443323304033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5">
        <f t="shared" ref="E37:J37" si="11">(E14/($D$14)*$D$37)</f>
        <v>0</v>
      </c>
      <c r="F37" s="315">
        <f t="shared" si="11"/>
        <v>0</v>
      </c>
      <c r="G37" s="315">
        <f t="shared" si="11"/>
        <v>0</v>
      </c>
      <c r="H37" s="315">
        <f t="shared" si="11"/>
        <v>0</v>
      </c>
      <c r="I37" s="315">
        <f t="shared" si="11"/>
        <v>0</v>
      </c>
      <c r="J37" s="315">
        <f t="shared" si="11"/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2">SUM(D32:D37)</f>
        <v>72999.443323304018</v>
      </c>
      <c r="E39" s="301">
        <f t="shared" si="12"/>
        <v>44086.583562575528</v>
      </c>
      <c r="F39" s="301">
        <f t="shared" si="12"/>
        <v>1524.7599473302482</v>
      </c>
      <c r="G39" s="301">
        <f t="shared" si="12"/>
        <v>7339.909157475121</v>
      </c>
      <c r="H39" s="301">
        <f t="shared" si="12"/>
        <v>9744.3926196738539</v>
      </c>
      <c r="I39" s="301">
        <f t="shared" si="12"/>
        <v>10134.023475937718</v>
      </c>
      <c r="J39" s="301">
        <f t="shared" si="12"/>
        <v>169.7745603115556</v>
      </c>
      <c r="K39" s="242">
        <f t="shared" si="7"/>
        <v>72999.443323304033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3">SUM(D28:D31)+D22+D26+D39+D24</f>
        <v>173126290.16018903</v>
      </c>
      <c r="E41" s="320">
        <f t="shared" si="13"/>
        <v>79651471.661710322</v>
      </c>
      <c r="F41" s="320">
        <f t="shared" si="13"/>
        <v>43544647.926986709</v>
      </c>
      <c r="G41" s="320">
        <f t="shared" si="13"/>
        <v>12405005.46327954</v>
      </c>
      <c r="H41" s="320">
        <f t="shared" si="13"/>
        <v>14805039.861831728</v>
      </c>
      <c r="I41" s="320">
        <f t="shared" si="13"/>
        <v>18114172.446726434</v>
      </c>
      <c r="J41" s="320">
        <f t="shared" si="13"/>
        <v>4605952.799654359</v>
      </c>
      <c r="K41" s="242">
        <f>SUM(E41:J41)</f>
        <v>173126290.16018909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Proforma'!H700</f>
        <v>-79840.629642157932</v>
      </c>
      <c r="E43" s="266">
        <f>D43</f>
        <v>-79840.629642157932</v>
      </c>
      <c r="F43" s="266"/>
      <c r="G43" s="266"/>
      <c r="H43" s="266"/>
      <c r="I43" s="266"/>
      <c r="J43" s="266"/>
      <c r="K43" s="242">
        <f>SUM(E43:J43)</f>
        <v>-79840.629642157932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Proforma'!H698</f>
        <v>-3656201.1682057143</v>
      </c>
      <c r="E44" s="316">
        <v>0</v>
      </c>
      <c r="F44" s="316">
        <f>D44</f>
        <v>-3656201.1682057143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-3656201.1682057143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1337</v>
      </c>
      <c r="C45" s="173"/>
      <c r="D45" s="304">
        <f>-'Allocation Proforma'!H699</f>
        <v>-1397741.3425823746</v>
      </c>
      <c r="E45" s="316">
        <v>0</v>
      </c>
      <c r="F45" s="316">
        <v>0</v>
      </c>
      <c r="G45" s="316">
        <f>D45</f>
        <v>-1397741.3425823746</v>
      </c>
      <c r="H45" s="316">
        <v>0</v>
      </c>
      <c r="I45" s="316">
        <v>0</v>
      </c>
      <c r="J45" s="316">
        <v>0</v>
      </c>
      <c r="K45" s="242">
        <f>SUM(E45:J45)</f>
        <v>-1397741.3425823746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Proforma'!H702-'Allocation Proforma'!H703-'Allocation Proforma'!H704-'Allocation Proforma'!H705</f>
        <v>-782116.92266352649</v>
      </c>
      <c r="E46" s="316">
        <f>-(E14/($D$14)*('Allocation Proforma'!H702+'Allocation Proforma'!H703+'Allocation Proforma'!H704+'Allocation Proforma'!H705))</f>
        <v>-472344.19191389182</v>
      </c>
      <c r="F46" s="316">
        <f>(F14/($D$14)*-('Allocation Proforma'!H702+'Allocation Proforma'!H703+'Allocation Proforma'!H704+'Allocation Proforma'!H705))</f>
        <v>-16336.296600577407</v>
      </c>
      <c r="G46" s="316">
        <f>(G14/($D$14)*-('Allocation Proforma'!H702+'Allocation Proforma'!H703+'Allocation Proforma'!H704+'Allocation Proforma'!H705))</f>
        <v>-78639.875888500843</v>
      </c>
      <c r="H46" s="316">
        <f>(H14/($D$14)*-('Allocation Proforma'!H702+'Allocation Proforma'!H703+'Allocation Proforma'!H704+'Allocation Proforma'!H705))</f>
        <v>-104401.54091547048</v>
      </c>
      <c r="I46" s="316">
        <f>(I14/($D$14)*-('Allocation Proforma'!H702+'Allocation Proforma'!H703+'Allocation Proforma'!H704+'Allocation Proforma'!H705))</f>
        <v>-108576.05064325311</v>
      </c>
      <c r="J46" s="316">
        <f>(J14/($D$14)*-('Allocation Proforma'!H702+'Allocation Proforma'!H703+'Allocation Proforma'!H704+'Allocation Proforma'!H705))</f>
        <v>-1818.966701832888</v>
      </c>
      <c r="K46" s="242">
        <f>SUM(E46:J46)</f>
        <v>-782116.92266352649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-5915900.0630937731</v>
      </c>
      <c r="E47" s="141">
        <f>SUM(E43:E46)</f>
        <v>-552184.82155604975</v>
      </c>
      <c r="F47" s="141">
        <f t="shared" ref="F47:I47" si="14">SUM(F43:F46)</f>
        <v>-3672537.4648062917</v>
      </c>
      <c r="G47" s="141">
        <f t="shared" si="14"/>
        <v>-1476381.2184708754</v>
      </c>
      <c r="H47" s="141">
        <f t="shared" si="14"/>
        <v>-104401.54091547048</v>
      </c>
      <c r="I47" s="141">
        <f t="shared" si="14"/>
        <v>-108576.05064325311</v>
      </c>
      <c r="J47" s="141">
        <f>SUM(J43:J46)</f>
        <v>-1818.966701832888</v>
      </c>
      <c r="K47" s="242">
        <f>SUM(E47:J47)</f>
        <v>-5915900.0630937731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3">
      <c r="A49" s="175" t="s">
        <v>1153</v>
      </c>
      <c r="B49" s="180" t="s">
        <v>1150</v>
      </c>
      <c r="C49" s="183" t="e">
        <f>'Allocation Proforma'!H924-SUM('Allocation Proforma'!H699:H705)-'Allocation Proforma'!#REF!-'Allocation Proforma'!H918-'Allocation Proforma'!H922</f>
        <v>#REF!</v>
      </c>
      <c r="D49" s="233">
        <f t="shared" ref="D49:J49" si="15">D41+D47</f>
        <v>167210390.09709525</v>
      </c>
      <c r="E49" s="301">
        <f t="shared" si="15"/>
        <v>79099286.840154275</v>
      </c>
      <c r="F49" s="301">
        <f t="shared" si="15"/>
        <v>39872110.462180421</v>
      </c>
      <c r="G49" s="301">
        <f t="shared" si="15"/>
        <v>10928624.244808665</v>
      </c>
      <c r="H49" s="301">
        <f t="shared" si="15"/>
        <v>14700638.320916258</v>
      </c>
      <c r="I49" s="301">
        <f t="shared" si="15"/>
        <v>18005596.39608318</v>
      </c>
      <c r="J49" s="301">
        <f t="shared" si="15"/>
        <v>4604133.8329525264</v>
      </c>
      <c r="K49" s="242">
        <f>SUM(E49:J49)</f>
        <v>167210390.09709531</v>
      </c>
      <c r="L49" s="174" t="str">
        <f>IF(ABS(K49-D49)&lt;0.01,"ok","err")</f>
        <v>ok</v>
      </c>
    </row>
    <row r="50" spans="1:13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3">
      <c r="A51" s="175" t="s">
        <v>1237</v>
      </c>
      <c r="B51" s="180" t="s">
        <v>1152</v>
      </c>
      <c r="C51" s="173"/>
      <c r="D51" s="237"/>
      <c r="E51" s="317">
        <f>'Allocation Proforma'!H962</f>
        <v>1197088880</v>
      </c>
      <c r="F51" s="317">
        <f>'Allocation Proforma'!H962</f>
        <v>1197088880</v>
      </c>
      <c r="G51" s="317">
        <f>'Allocation Proforma'!H962</f>
        <v>1197088880</v>
      </c>
      <c r="H51" s="317">
        <f>'Allocation Proforma'!H962</f>
        <v>1197088880</v>
      </c>
      <c r="I51" s="317">
        <f>'Allocation Proforma'!$H$978*12</f>
        <v>543984</v>
      </c>
      <c r="J51" s="317">
        <f>'Allocation Proforma'!$H$978*12</f>
        <v>543984</v>
      </c>
      <c r="K51" s="337"/>
      <c r="L51" s="178"/>
    </row>
    <row r="52" spans="1:13" ht="15.7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3" ht="15.75" thickBot="1">
      <c r="A53" s="184" t="s">
        <v>1336</v>
      </c>
      <c r="B53" s="329" t="s">
        <v>1154</v>
      </c>
      <c r="C53" s="185"/>
      <c r="D53" s="239"/>
      <c r="E53" s="318">
        <f t="shared" ref="E53:H53" si="16">E49/E51</f>
        <v>6.6076369233464327E-2</v>
      </c>
      <c r="F53" s="318">
        <f t="shared" si="16"/>
        <v>3.3307560640092507E-2</v>
      </c>
      <c r="G53" s="318">
        <f t="shared" si="16"/>
        <v>9.1293340263996648E-3</v>
      </c>
      <c r="H53" s="318">
        <f t="shared" si="16"/>
        <v>1.2280323179441995E-2</v>
      </c>
      <c r="I53" s="319">
        <f>I49/I51/30.5</f>
        <v>1.0852293869349086</v>
      </c>
      <c r="J53" s="319">
        <f>J49/J51/30.5</f>
        <v>0.27749935225629385</v>
      </c>
      <c r="K53" s="330">
        <f>I53+J53</f>
        <v>1.3627287391912024</v>
      </c>
      <c r="L53" s="412"/>
    </row>
    <row r="54" spans="1:13">
      <c r="L54" s="1"/>
      <c r="M54" s="1"/>
    </row>
    <row r="55" spans="1:13">
      <c r="D55" s="220"/>
      <c r="F55" s="264"/>
      <c r="J55" s="187" t="s">
        <v>1227</v>
      </c>
      <c r="K55" s="338">
        <f>I53+J53</f>
        <v>1.3627287391912024</v>
      </c>
      <c r="L55" s="391"/>
      <c r="M55" s="392"/>
    </row>
    <row r="56" spans="1:13">
      <c r="D56" s="220"/>
      <c r="I56" s="19"/>
      <c r="J56" s="187" t="s">
        <v>1238</v>
      </c>
      <c r="K56" s="416">
        <f>E53+G53+H53</f>
        <v>8.7486026439305989E-2</v>
      </c>
      <c r="L56" s="393"/>
      <c r="M56" s="393"/>
    </row>
    <row r="57" spans="1:13" ht="15.75">
      <c r="J57" s="187" t="s">
        <v>1226</v>
      </c>
      <c r="K57" s="416">
        <f>F53</f>
        <v>3.3307560640092507E-2</v>
      </c>
      <c r="L57" s="395"/>
      <c r="M57" s="395"/>
    </row>
    <row r="58" spans="1:13">
      <c r="I58" s="7"/>
      <c r="J58" s="200"/>
      <c r="K58" s="339"/>
      <c r="L58" s="1"/>
      <c r="M58" s="1"/>
    </row>
    <row r="59" spans="1:13">
      <c r="J59" s="306"/>
      <c r="K59" s="272"/>
      <c r="L59" s="394"/>
      <c r="M59" s="394"/>
    </row>
    <row r="60" spans="1:13">
      <c r="J60" s="306"/>
      <c r="K60" s="266"/>
    </row>
    <row r="61" spans="1:13">
      <c r="J61" s="306"/>
      <c r="K61" s="340"/>
    </row>
    <row r="62" spans="1:13">
      <c r="J62" s="306"/>
      <c r="K62" s="60"/>
    </row>
    <row r="63" spans="1:13">
      <c r="J63" s="306"/>
      <c r="K63" s="341"/>
      <c r="L63" s="311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570312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570312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96"/>
      <c r="M1" s="196"/>
      <c r="N1" s="196"/>
    </row>
    <row r="2" spans="1:14" ht="15.7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.75">
      <c r="A3" s="433" t="s">
        <v>1103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196"/>
      <c r="M3" s="196"/>
      <c r="N3" s="196"/>
    </row>
    <row r="4" spans="1:14" ht="15.75">
      <c r="A4" s="433" t="s">
        <v>1357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196"/>
      <c r="M4" s="196"/>
      <c r="N4" s="196"/>
    </row>
    <row r="5" spans="1:14" ht="15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.75">
      <c r="A6" s="433" t="s">
        <v>1212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196"/>
      <c r="M6" s="196"/>
      <c r="N6" s="196"/>
    </row>
    <row r="8" spans="1:14" ht="15.75" thickBot="1"/>
    <row r="9" spans="1:14" ht="15.75" thickBot="1">
      <c r="A9" s="154"/>
      <c r="B9" s="155"/>
      <c r="C9" s="156"/>
      <c r="D9" s="154"/>
      <c r="E9" s="430" t="s">
        <v>683</v>
      </c>
      <c r="F9" s="431"/>
      <c r="G9" s="157" t="s">
        <v>1056</v>
      </c>
      <c r="H9" s="430" t="s">
        <v>864</v>
      </c>
      <c r="I9" s="431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5.7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Proforma'!J176</f>
        <v>397022294.40015203</v>
      </c>
      <c r="E14" s="301">
        <f>'Allocation Proforma'!J125+'Allocation Proforma'!J126+'Allocation Proforma'!J127</f>
        <v>280714249.34288967</v>
      </c>
      <c r="F14" s="301">
        <f>'Allocation Proforma'!J128</f>
        <v>10496680.563933097</v>
      </c>
      <c r="G14" s="301">
        <f>'Allocation Proforma'!J137</f>
        <v>44605609.773686416</v>
      </c>
      <c r="H14" s="301">
        <f>'Allocation Proforma'!J147+'Allocation Proforma'!J149+'Allocation Proforma'!J154+'Allocation Proforma'!J143</f>
        <v>56915563.439768225</v>
      </c>
      <c r="I14" s="301">
        <f>'Allocation Proforma'!J148+'Allocation Proforma'!J150+'Allocation Proforma'!J155+'Allocation Proforma'!J159+'Allocation Proforma'!J162+'Allocation Proforma'!J165</f>
        <v>4157592.8849617671</v>
      </c>
      <c r="J14" s="301">
        <f>'Allocation Proforma'!J168+'Allocation Proforma'!J171</f>
        <v>132598.39491293303</v>
      </c>
      <c r="K14" s="242">
        <f>SUM(E14:J14)</f>
        <v>397022294.40015215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397022294.40015203</v>
      </c>
      <c r="E16" s="301">
        <f t="shared" ref="E16:K16" si="1">E14+E15</f>
        <v>280714249.34288967</v>
      </c>
      <c r="F16" s="301">
        <f t="shared" si="1"/>
        <v>10496680.563933097</v>
      </c>
      <c r="G16" s="301">
        <f t="shared" si="1"/>
        <v>44605609.773686416</v>
      </c>
      <c r="H16" s="301">
        <f t="shared" si="1"/>
        <v>56915563.439768225</v>
      </c>
      <c r="I16" s="301">
        <f t="shared" si="1"/>
        <v>4157592.8849617671</v>
      </c>
      <c r="J16" s="301">
        <f t="shared" si="1"/>
        <v>132598.39491293303</v>
      </c>
      <c r="K16" s="242">
        <f t="shared" si="1"/>
        <v>397022294.40015215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Proforma'!J944</f>
        <v>0.11874578932064823</v>
      </c>
      <c r="E18" s="303">
        <f t="shared" ref="E18:J18" si="2">D18</f>
        <v>0.11874578932064823</v>
      </c>
      <c r="F18" s="303">
        <f t="shared" si="2"/>
        <v>0.11874578932064823</v>
      </c>
      <c r="G18" s="303">
        <f t="shared" si="2"/>
        <v>0.11874578932064823</v>
      </c>
      <c r="H18" s="303">
        <f t="shared" si="2"/>
        <v>0.11874578932064823</v>
      </c>
      <c r="I18" s="303">
        <f t="shared" si="2"/>
        <v>0.11874578932064823</v>
      </c>
      <c r="J18" s="303">
        <f t="shared" si="2"/>
        <v>0.11874578932064823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47144725.726440832</v>
      </c>
      <c r="E20" s="320">
        <f t="shared" ref="E20:J20" si="3">E18*E16</f>
        <v>33333635.111774694</v>
      </c>
      <c r="F20" s="320">
        <f t="shared" si="3"/>
        <v>1246436.6188109426</v>
      </c>
      <c r="G20" s="320">
        <f t="shared" si="3"/>
        <v>5296728.340705215</v>
      </c>
      <c r="H20" s="320">
        <f t="shared" si="3"/>
        <v>6758483.5052847071</v>
      </c>
      <c r="I20" s="320">
        <f t="shared" si="3"/>
        <v>493696.64879869611</v>
      </c>
      <c r="J20" s="320">
        <f t="shared" si="3"/>
        <v>15745.50106658726</v>
      </c>
      <c r="K20" s="242">
        <f>SUM(E20:J20)</f>
        <v>47144725.726440839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Proforma'!J738</f>
        <v>8680588.0502413195</v>
      </c>
      <c r="E22" s="320">
        <f t="shared" ref="E22:J22" si="4">(E14/$D$14)*$D$22</f>
        <v>6137601.8242501421</v>
      </c>
      <c r="F22" s="320">
        <f t="shared" si="4"/>
        <v>229501.87220126818</v>
      </c>
      <c r="G22" s="320">
        <f t="shared" si="4"/>
        <v>975267.45635330607</v>
      </c>
      <c r="H22" s="320">
        <f t="shared" si="4"/>
        <v>1244415.1546060245</v>
      </c>
      <c r="I22" s="320">
        <f t="shared" si="4"/>
        <v>90902.580595619133</v>
      </c>
      <c r="J22" s="320">
        <f t="shared" si="4"/>
        <v>2899.1622349607405</v>
      </c>
      <c r="K22" s="242">
        <f>SUM(E22:J22)</f>
        <v>8680588.0502413213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38464137.676199511</v>
      </c>
      <c r="E24" s="320">
        <f t="shared" ref="E24:J24" si="5">E20-E22</f>
        <v>27196033.287524551</v>
      </c>
      <c r="F24" s="320">
        <f t="shared" si="5"/>
        <v>1016934.7466096744</v>
      </c>
      <c r="G24" s="320">
        <f t="shared" si="5"/>
        <v>4321460.8843519092</v>
      </c>
      <c r="H24" s="320">
        <f t="shared" si="5"/>
        <v>5514068.3506786823</v>
      </c>
      <c r="I24" s="320">
        <f t="shared" si="5"/>
        <v>402794.06820307695</v>
      </c>
      <c r="J24" s="320">
        <f t="shared" si="5"/>
        <v>12846.338831626519</v>
      </c>
      <c r="K24" s="242">
        <f>SUM(E24:J24)</f>
        <v>38464137.676199518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Proforma'!J767+'Allocation Proforma'!J935</f>
        <v>7084442.8911195826</v>
      </c>
      <c r="E26" s="320">
        <f t="shared" ref="E26:J26" si="6">$D$26*(E24/$K$24)</f>
        <v>5009048.8525282238</v>
      </c>
      <c r="F26" s="320">
        <f t="shared" si="6"/>
        <v>187302.16174349032</v>
      </c>
      <c r="G26" s="320">
        <f t="shared" si="6"/>
        <v>795939.92458959983</v>
      </c>
      <c r="H26" s="320">
        <f t="shared" si="6"/>
        <v>1015598.026841631</v>
      </c>
      <c r="I26" s="320">
        <f t="shared" si="6"/>
        <v>74187.847316076222</v>
      </c>
      <c r="J26" s="320">
        <f t="shared" si="6"/>
        <v>2366.0781005612853</v>
      </c>
      <c r="K26" s="242">
        <f>SUM(E26:J26)</f>
        <v>7084442.8911195816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Proforma'!J758</f>
        <v>78420250.491795436</v>
      </c>
      <c r="E28" s="320">
        <f>'Allocation Proforma'!J182+'Allocation Proforma'!J183+'Allocation Proforma'!J184</f>
        <v>15647592.807170685</v>
      </c>
      <c r="F28" s="320">
        <f>'Allocation Proforma'!J185</f>
        <v>53242471.460308753</v>
      </c>
      <c r="G28" s="320">
        <f>'Allocation Proforma'!J194</f>
        <v>4432037.9877272239</v>
      </c>
      <c r="H28" s="320">
        <f>'Allocation Proforma'!J200+'Allocation Proforma'!J204+'Allocation Proforma'!J206+'Allocation Proforma'!J211</f>
        <v>3484907.5514601674</v>
      </c>
      <c r="I28" s="320">
        <f>'Allocation Proforma'!J205+'Allocation Proforma'!J207+'Allocation Proforma'!J212+'Allocation Proforma'!J216+'Allocation Proforma'!J219</f>
        <v>975563.03551976394</v>
      </c>
      <c r="J28" s="320">
        <f>'Allocation Proforma'!J225+'Allocation Proforma'!J228</f>
        <v>637677.6496088542</v>
      </c>
      <c r="K28" s="242">
        <f t="shared" ref="K28:K39" si="7">SUM(E28:J28)</f>
        <v>78420250.491795436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Proforma'!J759</f>
        <v>34593856.396411493</v>
      </c>
      <c r="E29" s="316">
        <f>'Allocation Proforma'!J302</f>
        <v>29739135.981205385</v>
      </c>
      <c r="F29" s="316">
        <v>0</v>
      </c>
      <c r="G29" s="316">
        <f>'Allocation Proforma'!J308</f>
        <v>1874067.9326051788</v>
      </c>
      <c r="H29" s="316">
        <f>'Allocation Proforma'!J314+'Allocation Proforma'!J318+'Allocation Proforma'!J320+'Allocation Proforma'!J325</f>
        <v>2785703.4789333148</v>
      </c>
      <c r="I29" s="316">
        <f>'Allocation Proforma'!J319+'Allocation Proforma'!J321+'Allocation Proforma'!J326+'Allocation Proforma'!J330+'Allocation Proforma'!J333</f>
        <v>194949.00366761966</v>
      </c>
      <c r="J29" s="316">
        <v>0</v>
      </c>
      <c r="K29" s="242">
        <f t="shared" si="7"/>
        <v>34593856.396411501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Proforma'!J764+'Allocation Proforma'!J765</f>
        <v>4767759.1357605271</v>
      </c>
      <c r="E30" s="316">
        <f>'Allocation Proforma'!J417+'Allocation Proforma'!J474+'Allocation Proforma'!J359+'Allocation Proforma'!J531+'Allocation Proforma'!J589</f>
        <v>3520851.1548613929</v>
      </c>
      <c r="F30" s="316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316">
        <f>'Allocation Proforma'!J365+'Allocation Proforma'!J423+'Allocation Proforma'!J480+'Allocation Proforma'!J537+'Allocation Proforma'!J595</f>
        <v>512810.58439614181</v>
      </c>
      <c r="H30" s="316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685982.51458840223</v>
      </c>
      <c r="I30" s="316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48114.881914591504</v>
      </c>
      <c r="J30" s="316">
        <v>0</v>
      </c>
      <c r="K30" s="242">
        <f t="shared" si="7"/>
        <v>4767759.135760529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1341</v>
      </c>
      <c r="C31" s="173"/>
      <c r="D31" s="305">
        <f>'Allocation Proforma'!J769</f>
        <v>345207.53744898021</v>
      </c>
      <c r="E31" s="316">
        <f t="shared" ref="E31:J31" si="8">$D$31*(E14/$K$14)</f>
        <v>244078.67293424421</v>
      </c>
      <c r="F31" s="316">
        <f t="shared" si="8"/>
        <v>9126.7752465603826</v>
      </c>
      <c r="G31" s="316">
        <f t="shared" si="8"/>
        <v>38784.201601698645</v>
      </c>
      <c r="H31" s="316">
        <f t="shared" si="8"/>
        <v>49487.602521789435</v>
      </c>
      <c r="I31" s="316">
        <f t="shared" si="8"/>
        <v>3614.9919583269193</v>
      </c>
      <c r="J31" s="316">
        <f t="shared" si="8"/>
        <v>115.29318636057798</v>
      </c>
      <c r="K31" s="242">
        <f t="shared" si="7"/>
        <v>345207.53744898015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Proforma'!J932+'Allocation Proforma'!J933</f>
        <v>68448.770648778969</v>
      </c>
      <c r="E36" s="316">
        <f t="shared" ref="E36:J36" si="10">(E14/($D$14)*$D$36)</f>
        <v>48396.640546713461</v>
      </c>
      <c r="F36" s="316">
        <f t="shared" si="10"/>
        <v>1809.6839664374206</v>
      </c>
      <c r="G36" s="316">
        <f t="shared" si="10"/>
        <v>7690.2461048465138</v>
      </c>
      <c r="H36" s="316">
        <f t="shared" si="10"/>
        <v>9812.5480689208198</v>
      </c>
      <c r="I36" s="316">
        <f t="shared" si="10"/>
        <v>716.7912881660942</v>
      </c>
      <c r="J36" s="316">
        <f t="shared" si="10"/>
        <v>22.860673694671235</v>
      </c>
      <c r="K36" s="242">
        <f t="shared" si="7"/>
        <v>68448.770648778969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6">
        <f>D37</f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68448.770648778969</v>
      </c>
      <c r="E39" s="301">
        <f t="shared" si="11"/>
        <v>48396.640546713461</v>
      </c>
      <c r="F39" s="301">
        <f t="shared" si="11"/>
        <v>1809.6839664374206</v>
      </c>
      <c r="G39" s="301">
        <f t="shared" si="11"/>
        <v>7690.2461048465138</v>
      </c>
      <c r="H39" s="301">
        <f t="shared" si="11"/>
        <v>9812.5480689208198</v>
      </c>
      <c r="I39" s="301">
        <f t="shared" si="11"/>
        <v>716.7912881660942</v>
      </c>
      <c r="J39" s="301">
        <f t="shared" si="11"/>
        <v>22.860673694671235</v>
      </c>
      <c r="K39" s="242">
        <f t="shared" si="7"/>
        <v>68448.770648778969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172424690.94962564</v>
      </c>
      <c r="E41" s="320">
        <f t="shared" si="12"/>
        <v>87542739.221021324</v>
      </c>
      <c r="F41" s="320">
        <f t="shared" si="12"/>
        <v>54687146.700076185</v>
      </c>
      <c r="G41" s="320">
        <f t="shared" si="12"/>
        <v>12958059.217729904</v>
      </c>
      <c r="H41" s="320">
        <f t="shared" si="12"/>
        <v>14789975.227698931</v>
      </c>
      <c r="I41" s="320">
        <f t="shared" si="12"/>
        <v>1790843.2004632403</v>
      </c>
      <c r="J41" s="320">
        <f t="shared" si="12"/>
        <v>655927.38263605791</v>
      </c>
      <c r="K41" s="242">
        <f>SUM(E41:J41)</f>
        <v>172424690.94962564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Proforma'!J700</f>
        <v>-93080.3480913448</v>
      </c>
      <c r="E43" s="266">
        <f>D43</f>
        <v>-93080.3480913448</v>
      </c>
      <c r="F43" s="266"/>
      <c r="G43" s="266"/>
      <c r="H43" s="266"/>
      <c r="I43" s="266"/>
      <c r="J43" s="266"/>
      <c r="K43" s="242">
        <f>SUM(E43:J43)</f>
        <v>-93080.3480913448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Proforma'!J698</f>
        <v>-4608468.4725286756</v>
      </c>
      <c r="E44" s="316">
        <v>0</v>
      </c>
      <c r="F44" s="316">
        <f>D44</f>
        <v>-4608468.4725286756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-4608468.4725286756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1337</v>
      </c>
      <c r="C45" s="173"/>
      <c r="D45" s="304">
        <f>-'Allocation Proforma'!J699</f>
        <v>-1555255.1168048852</v>
      </c>
      <c r="E45" s="316">
        <v>0</v>
      </c>
      <c r="F45" s="316">
        <v>0</v>
      </c>
      <c r="G45" s="316">
        <f>D45</f>
        <v>-1555255.1168048852</v>
      </c>
      <c r="H45" s="316">
        <v>0</v>
      </c>
      <c r="I45" s="316">
        <v>0</v>
      </c>
      <c r="J45" s="316">
        <v>0</v>
      </c>
      <c r="K45" s="242">
        <f>SUM(E45:J45)</f>
        <v>-1555255.1168048852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Proforma'!J702-'Allocation Proforma'!J703-'Allocation Proforma'!J704-'Allocation Proforma'!J705</f>
        <v>-800482.52435281454</v>
      </c>
      <c r="E46" s="316">
        <f>-(E14/($D$14)*('Allocation Proforma'!J702+'Allocation Proforma'!J703+'Allocation Proforma'!J704+'Allocation Proforma'!J705))</f>
        <v>-565980.43511713599</v>
      </c>
      <c r="F46" s="316">
        <f>(F14/($D$14)*-('Allocation Proforma'!J702+'Allocation Proforma'!J703+'Allocation Proforma'!J704+'Allocation Proforma'!J705))</f>
        <v>-21163.570594536046</v>
      </c>
      <c r="G46" s="316">
        <f>(G14/($D$14)*-('Allocation Proforma'!J702+'Allocation Proforma'!J703+'Allocation Proforma'!J704+'Allocation Proforma'!J705))</f>
        <v>-89934.524120072703</v>
      </c>
      <c r="H46" s="316">
        <f>(H14/($D$14)*-('Allocation Proforma'!J702+'Allocation Proforma'!J703+'Allocation Proforma'!J704+'Allocation Proforma'!J705))</f>
        <v>-114754.04414269332</v>
      </c>
      <c r="I46" s="316">
        <f>(I14/($D$14)*-('Allocation Proforma'!J702+'Allocation Proforma'!J703+'Allocation Proforma'!J704+'Allocation Proforma'!J705))</f>
        <v>-8382.6034324187858</v>
      </c>
      <c r="J46" s="316">
        <f>(J14/($D$14)*-('Allocation Proforma'!J702+'Allocation Proforma'!J703+'Allocation Proforma'!J704+'Allocation Proforma'!J705))</f>
        <v>-267.346945957792</v>
      </c>
      <c r="K46" s="242">
        <f>SUM(E46:J46)</f>
        <v>-800482.52435281454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-7057286.4617777206</v>
      </c>
      <c r="E47" s="141">
        <f>SUM(E43:E46)</f>
        <v>-659060.7832084808</v>
      </c>
      <c r="F47" s="141">
        <f t="shared" ref="F47:I47" si="13">SUM(F43:F46)</f>
        <v>-4629632.0431232117</v>
      </c>
      <c r="G47" s="141">
        <f t="shared" si="13"/>
        <v>-1645189.6409249578</v>
      </c>
      <c r="H47" s="141">
        <f t="shared" si="13"/>
        <v>-114754.04414269332</v>
      </c>
      <c r="I47" s="141">
        <f t="shared" si="13"/>
        <v>-8382.6034324187858</v>
      </c>
      <c r="J47" s="141">
        <f>SUM(J43:J46)</f>
        <v>-267.346945957792</v>
      </c>
      <c r="K47" s="242">
        <f>SUM(E47:J47)</f>
        <v>-7057286.4617777206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Proforma'!J924-SUM('Allocation Proforma'!H699:I705)-'Allocation Proforma'!#REF!-'Allocation Proforma'!J918-'Allocation Proforma'!J922</f>
        <v>#REF!</v>
      </c>
      <c r="D49" s="233">
        <f t="shared" ref="D49:J49" si="14">D41+D47</f>
        <v>165367404.48784792</v>
      </c>
      <c r="E49" s="301">
        <f t="shared" si="14"/>
        <v>86883678.43781285</v>
      </c>
      <c r="F49" s="301">
        <f t="shared" si="14"/>
        <v>50057514.656952977</v>
      </c>
      <c r="G49" s="301">
        <f t="shared" si="14"/>
        <v>11312869.576804945</v>
      </c>
      <c r="H49" s="301">
        <f t="shared" si="14"/>
        <v>14675221.183556238</v>
      </c>
      <c r="I49" s="301">
        <f t="shared" si="14"/>
        <v>1782460.5970308215</v>
      </c>
      <c r="J49" s="301">
        <f t="shared" si="14"/>
        <v>655660.03569010017</v>
      </c>
      <c r="K49" s="242">
        <f>SUM(E49:J49)</f>
        <v>165367404.48784792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4774578.4218267137</v>
      </c>
      <c r="F51" s="317">
        <f>'Allocation Proforma'!J962</f>
        <v>1508873858</v>
      </c>
      <c r="G51" s="317">
        <f>E51</f>
        <v>4774578.4218267137</v>
      </c>
      <c r="H51" s="317">
        <f>E51</f>
        <v>4774578.4218267137</v>
      </c>
      <c r="I51" s="317">
        <f>'Allocation Proforma'!$J$978*12</f>
        <v>33396</v>
      </c>
      <c r="J51" s="317">
        <f>'Allocation Proforma'!$J$978*12</f>
        <v>33396</v>
      </c>
      <c r="K51" s="337"/>
      <c r="L51" s="178"/>
    </row>
    <row r="52" spans="1:12" ht="15.7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5.75" thickBot="1">
      <c r="A53" s="184" t="s">
        <v>1336</v>
      </c>
      <c r="B53" s="329" t="s">
        <v>1154</v>
      </c>
      <c r="C53" s="185"/>
      <c r="D53" s="239"/>
      <c r="E53" s="319">
        <f t="shared" ref="E53:H53" si="15">E49/E51</f>
        <v>18.197141351921051</v>
      </c>
      <c r="F53" s="396">
        <f t="shared" si="15"/>
        <v>3.317541383035412E-2</v>
      </c>
      <c r="G53" s="319">
        <f t="shared" si="15"/>
        <v>2.3693965366845386</v>
      </c>
      <c r="H53" s="319">
        <f t="shared" si="15"/>
        <v>3.0736161158164874</v>
      </c>
      <c r="I53" s="319">
        <f>I49/I51/30.5</f>
        <v>1.7499500254578653</v>
      </c>
      <c r="J53" s="319">
        <f>J49/J51/30.5</f>
        <v>0.64370135197314304</v>
      </c>
      <c r="K53" s="330">
        <f>I53+J53</f>
        <v>2.3936513774310084</v>
      </c>
      <c r="L53" s="186"/>
    </row>
    <row r="55" spans="1:12">
      <c r="D55" s="220"/>
      <c r="F55" s="264"/>
      <c r="J55" s="313" t="s">
        <v>1227</v>
      </c>
      <c r="K55" s="188">
        <f>I53+J53</f>
        <v>2.3936513774310084</v>
      </c>
    </row>
    <row r="56" spans="1:12">
      <c r="D56" s="220"/>
      <c r="I56" s="19"/>
      <c r="J56" s="313" t="s">
        <v>1240</v>
      </c>
      <c r="K56" s="3">
        <f>E53+G53+H53</f>
        <v>23.640154004422076</v>
      </c>
    </row>
    <row r="57" spans="1:12">
      <c r="J57" s="313" t="s">
        <v>1241</v>
      </c>
      <c r="K57" s="417">
        <f>F53</f>
        <v>3.317541383035412E-2</v>
      </c>
    </row>
    <row r="58" spans="1:12">
      <c r="I58" s="7"/>
      <c r="J58" s="200"/>
      <c r="K58" s="298"/>
    </row>
    <row r="59" spans="1:12">
      <c r="J59" s="306"/>
      <c r="K59" s="262"/>
    </row>
    <row r="60" spans="1:12">
      <c r="J60" s="306"/>
      <c r="K60" s="35"/>
    </row>
    <row r="61" spans="1:12">
      <c r="J61" s="306"/>
      <c r="K61" s="312"/>
    </row>
    <row r="62" spans="1:12">
      <c r="J62" s="306"/>
    </row>
    <row r="63" spans="1:12">
      <c r="J63" s="306"/>
      <c r="K63" s="311"/>
    </row>
    <row r="67" spans="5:5">
      <c r="E67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570312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570312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96"/>
      <c r="M1" s="196"/>
      <c r="N1" s="196"/>
    </row>
    <row r="2" spans="1:14" ht="15.7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152"/>
      <c r="M2" s="152"/>
      <c r="N2" s="152"/>
    </row>
    <row r="3" spans="1:14" ht="15.75">
      <c r="A3" s="433" t="s">
        <v>1103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196"/>
      <c r="M3" s="196"/>
      <c r="N3" s="196"/>
    </row>
    <row r="4" spans="1:14" ht="15.75">
      <c r="A4" s="433" t="s">
        <v>1357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196"/>
      <c r="M4" s="196"/>
      <c r="N4" s="196"/>
    </row>
    <row r="5" spans="1:14" ht="15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.75">
      <c r="A6" s="433" t="s">
        <v>1213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196"/>
      <c r="M6" s="196"/>
      <c r="N6" s="196"/>
    </row>
    <row r="8" spans="1:14" ht="15.75" thickBot="1"/>
    <row r="9" spans="1:14" ht="15.75" thickBot="1">
      <c r="A9" s="154"/>
      <c r="B9" s="155"/>
      <c r="C9" s="156"/>
      <c r="D9" s="154"/>
      <c r="E9" s="430" t="s">
        <v>683</v>
      </c>
      <c r="F9" s="431"/>
      <c r="G9" s="157" t="s">
        <v>1056</v>
      </c>
      <c r="H9" s="430" t="s">
        <v>864</v>
      </c>
      <c r="I9" s="431"/>
      <c r="J9" s="389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5.7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Proforma'!I176</f>
        <v>23605515.638910923</v>
      </c>
      <c r="E14" s="301">
        <f>'Allocation Proforma'!I125+'Allocation Proforma'!I126+'Allocation Proforma'!I127</f>
        <v>17432643.667620964</v>
      </c>
      <c r="F14" s="301">
        <f>'Allocation Proforma'!I128</f>
        <v>705536.78388060012</v>
      </c>
      <c r="G14" s="301">
        <f>'Allocation Proforma'!I137</f>
        <v>2631503.7227244265</v>
      </c>
      <c r="H14" s="301">
        <f>'Allocation Proforma'!I147+'Allocation Proforma'!I149+'Allocation Proforma'!I154+'Allocation Proforma'!I143</f>
        <v>2580628.1311178003</v>
      </c>
      <c r="I14" s="301">
        <f>'Allocation Proforma'!I148+'Allocation Proforma'!I150+'Allocation Proforma'!I155+'Allocation Proforma'!I159+'Allocation Proforma'!I162+'Allocation Proforma'!I165</f>
        <v>251868.1242089197</v>
      </c>
      <c r="J14" s="301">
        <f>'Allocation Proforma'!I168+'Allocation Proforma'!I171</f>
        <v>3335.209358212473</v>
      </c>
      <c r="K14" s="242">
        <f>SUM(E14:J14)</f>
        <v>23605515.638910923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23605515.638910923</v>
      </c>
      <c r="E16" s="301">
        <f t="shared" ref="E16:K16" si="1">E14+E15</f>
        <v>17432643.667620964</v>
      </c>
      <c r="F16" s="301">
        <f t="shared" si="1"/>
        <v>705536.78388060012</v>
      </c>
      <c r="G16" s="301">
        <f t="shared" si="1"/>
        <v>2631503.7227244265</v>
      </c>
      <c r="H16" s="301">
        <f t="shared" si="1"/>
        <v>2580628.1311178003</v>
      </c>
      <c r="I16" s="301">
        <f t="shared" si="1"/>
        <v>251868.1242089197</v>
      </c>
      <c r="J16" s="301">
        <f t="shared" si="1"/>
        <v>3335.209358212473</v>
      </c>
      <c r="K16" s="242">
        <f t="shared" si="1"/>
        <v>23605515.638910923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Proforma'!I944</f>
        <v>0.15606165345292053</v>
      </c>
      <c r="E18" s="303">
        <f t="shared" ref="E18:J18" si="2">D18</f>
        <v>0.15606165345292053</v>
      </c>
      <c r="F18" s="303">
        <f t="shared" si="2"/>
        <v>0.15606165345292053</v>
      </c>
      <c r="G18" s="303">
        <f t="shared" si="2"/>
        <v>0.15606165345292053</v>
      </c>
      <c r="H18" s="303">
        <f t="shared" si="2"/>
        <v>0.15606165345292053</v>
      </c>
      <c r="I18" s="303">
        <f t="shared" si="2"/>
        <v>0.15606165345292053</v>
      </c>
      <c r="J18" s="303">
        <f t="shared" si="2"/>
        <v>0.15606165345292053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3683915.8012172123</v>
      </c>
      <c r="E20" s="320">
        <f t="shared" ref="E20:J20" si="3">E18*E16</f>
        <v>2720567.1948245126</v>
      </c>
      <c r="F20" s="320">
        <f t="shared" si="3"/>
        <v>110107.2370642623</v>
      </c>
      <c r="G20" s="320">
        <f t="shared" si="3"/>
        <v>410676.82203588972</v>
      </c>
      <c r="H20" s="320">
        <f t="shared" si="3"/>
        <v>402737.09308936412</v>
      </c>
      <c r="I20" s="320">
        <f t="shared" si="3"/>
        <v>39306.955916129569</v>
      </c>
      <c r="J20" s="320">
        <f t="shared" si="3"/>
        <v>520.4982870542924</v>
      </c>
      <c r="K20" s="242">
        <f>SUM(E20:J20)</f>
        <v>3683915.8012172123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Proforma'!I738</f>
        <v>514533.90221210563</v>
      </c>
      <c r="E22" s="320">
        <f t="shared" ref="E22:J22" si="4">(E14/$D$14)*$D$22</f>
        <v>379982.64089553256</v>
      </c>
      <c r="F22" s="320">
        <f t="shared" si="4"/>
        <v>15378.719114521864</v>
      </c>
      <c r="G22" s="320">
        <f t="shared" si="4"/>
        <v>57359.385825369362</v>
      </c>
      <c r="H22" s="320">
        <f t="shared" si="4"/>
        <v>56250.440904312149</v>
      </c>
      <c r="I22" s="320">
        <f t="shared" si="4"/>
        <v>5490.0172813186555</v>
      </c>
      <c r="J22" s="320">
        <f t="shared" si="4"/>
        <v>72.698191051020387</v>
      </c>
      <c r="K22" s="242">
        <f>SUM(E22:J22)</f>
        <v>514533.90221210563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3169381.8990051067</v>
      </c>
      <c r="E24" s="320">
        <f t="shared" ref="E24:J24" si="5">E20-E22</f>
        <v>2340584.5539289801</v>
      </c>
      <c r="F24" s="320">
        <f t="shared" si="5"/>
        <v>94728.517949740432</v>
      </c>
      <c r="G24" s="320">
        <f t="shared" si="5"/>
        <v>353317.43621052033</v>
      </c>
      <c r="H24" s="320">
        <f t="shared" si="5"/>
        <v>346486.65218505199</v>
      </c>
      <c r="I24" s="320">
        <f t="shared" si="5"/>
        <v>33816.938634810911</v>
      </c>
      <c r="J24" s="320">
        <f t="shared" si="5"/>
        <v>447.80009600327202</v>
      </c>
      <c r="K24" s="242">
        <f>SUM(E24:J24)</f>
        <v>3169381.8990051071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Proforma'!I767+'Allocation Proforma'!I935</f>
        <v>540117.64395469148</v>
      </c>
      <c r="E26" s="320">
        <f t="shared" ref="E26:J26" si="6">$D$26*(E24/$K$24)</f>
        <v>398876.20205747453</v>
      </c>
      <c r="F26" s="320">
        <f t="shared" si="6"/>
        <v>16143.382388343431</v>
      </c>
      <c r="G26" s="320">
        <f t="shared" si="6"/>
        <v>60211.418912325506</v>
      </c>
      <c r="H26" s="320">
        <f t="shared" si="6"/>
        <v>59047.334844275058</v>
      </c>
      <c r="I26" s="320">
        <f t="shared" si="6"/>
        <v>5762.99284946633</v>
      </c>
      <c r="J26" s="320">
        <f t="shared" si="6"/>
        <v>76.312902806662436</v>
      </c>
      <c r="K26" s="242">
        <f>SUM(E26:J26)</f>
        <v>540117.64395469148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Proforma'!I758</f>
        <v>5098578.227045414</v>
      </c>
      <c r="E28" s="320">
        <f>'Allocation Proforma'!I182+'Allocation Proforma'!I183+'Allocation Proforma'!I184</f>
        <v>971731.61071078619</v>
      </c>
      <c r="F28" s="320">
        <f>'Allocation Proforma'!I185</f>
        <v>3578704.8916238984</v>
      </c>
      <c r="G28" s="320">
        <f>'Allocation Proforma'!I194</f>
        <v>261467.66120077609</v>
      </c>
      <c r="H28" s="320">
        <f>'Allocation Proforma'!I200+'Allocation Proforma'!I204+'Allocation Proforma'!I206+'Allocation Proforma'!I211</f>
        <v>170470.18117136729</v>
      </c>
      <c r="I28" s="320">
        <f>'Allocation Proforma'!I205+'Allocation Proforma'!I207+'Allocation Proforma'!I212+'Allocation Proforma'!I216+'Allocation Proforma'!I219</f>
        <v>100161.08496024799</v>
      </c>
      <c r="J28" s="320">
        <f>'Allocation Proforma'!I225+'Allocation Proforma'!I228</f>
        <v>16042.797378338597</v>
      </c>
      <c r="K28" s="242">
        <f t="shared" ref="K28:K39" si="7">SUM(E28:J28)</f>
        <v>5098578.227045414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Proforma'!I759</f>
        <v>2094183.7353012571</v>
      </c>
      <c r="E29" s="316">
        <f>'Allocation Proforma'!I302</f>
        <v>1846830.9384252864</v>
      </c>
      <c r="F29" s="316">
        <v>0</v>
      </c>
      <c r="G29" s="316">
        <f>'Allocation Proforma'!I308</f>
        <v>110560.46013742064</v>
      </c>
      <c r="H29" s="316">
        <f>'Allocation Proforma'!I314+'Allocation Proforma'!I318+'Allocation Proforma'!I320+'Allocation Proforma'!I325</f>
        <v>126193.64229305077</v>
      </c>
      <c r="I29" s="316">
        <f>'Allocation Proforma'!I319+'Allocation Proforma'!I321+'Allocation Proforma'!I326+'Allocation Proforma'!I330+'Allocation Proforma'!I333</f>
        <v>10598.694445499183</v>
      </c>
      <c r="J29" s="316">
        <v>0</v>
      </c>
      <c r="K29" s="242">
        <f t="shared" si="7"/>
        <v>2094183.7353012571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Proforma'!I764+'Allocation Proforma'!I765</f>
        <v>282599.63172391051</v>
      </c>
      <c r="E30" s="316">
        <f>'Allocation Proforma'!I417+'Allocation Proforma'!I474+'Allocation Proforma'!I359+'Allocation Proforma'!I531+'Allocation Proforma'!I589</f>
        <v>218648.47877550425</v>
      </c>
      <c r="F30" s="316">
        <f>'Allocation Proforma'!I356+'Allocation Proforma'!I357+'Allocation Proforma'!I358+'Allocation Proforma'!I414+'Allocation Proforma'!I415+'Allocation Proforma'!I416+'Allocation Proforma'!I471+'Allocation Proforma'!I472+'Allocation Proforma'!I473+'Allocation Proforma'!I528+'Allocation Proforma'!I529+'Allocation Proforma'!I530+'Allocation Proforma'!I586+'Allocation Proforma'!I587+'Allocation Proforma'!I588</f>
        <v>0</v>
      </c>
      <c r="G30" s="316">
        <f>'Allocation Proforma'!I365+'Allocation Proforma'!I423+'Allocation Proforma'!I480+'Allocation Proforma'!I537+'Allocation Proforma'!I595</f>
        <v>30253.211843479974</v>
      </c>
      <c r="H30" s="316">
        <f>'Allocation Proforma'!I371+'Allocation Proforma'!I375+'Allocation Proforma'!I377+'Allocation Proforma'!I382+'Allocation Proforma'!I429+'Allocation Proforma'!I433+'Allocation Proforma'!I435+'Allocation Proforma'!I440+'Allocation Proforma'!I486+'Allocation Proforma'!I490+'Allocation Proforma'!I492+'Allocation Proforma'!I497+'Allocation Proforma'!I543+'Allocation Proforma'!I547+'Allocation Proforma'!I549+'Allocation Proforma'!I554+'Allocation Proforma'!I601+'Allocation Proforma'!I605+'Allocation Proforma'!I607+'Allocation Proforma'!I612</f>
        <v>31075.321806470198</v>
      </c>
      <c r="I30" s="316">
        <f>'Allocation Proforma'!I376+'Allocation Proforma'!I378+'Allocation Proforma'!I383+'Allocation Proforma'!I387+'Allocation Proforma'!I391+'Allocation Proforma'!I434+'Allocation Proforma'!I436+'Allocation Proforma'!I441+'Allocation Proforma'!I445+'Allocation Proforma'!I448+'Allocation Proforma'!I491+'Allocation Proforma'!I493+'Allocation Proforma'!I498+'Allocation Proforma'!I502+'Allocation Proforma'!I505+'Allocation Proforma'!I548+'Allocation Proforma'!I550+'Allocation Proforma'!I555+'Allocation Proforma'!I559+'Allocation Proforma'!I562+'Allocation Proforma'!I606+'Allocation Proforma'!I608+'Allocation Proforma'!I613+'Allocation Proforma'!I617+'Allocation Proforma'!I620</f>
        <v>2622.619298456154</v>
      </c>
      <c r="J30" s="316">
        <v>0</v>
      </c>
      <c r="K30" s="242">
        <f t="shared" si="7"/>
        <v>282599.63172391063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1341</v>
      </c>
      <c r="C31" s="173"/>
      <c r="D31" s="305">
        <f>'Allocation Proforma'!I769</f>
        <v>21437.743206167674</v>
      </c>
      <c r="E31" s="316">
        <f t="shared" ref="E31:J31" si="8">$D$31*(E14/$K$14)</f>
        <v>15831.746447218266</v>
      </c>
      <c r="F31" s="316">
        <f t="shared" si="8"/>
        <v>640.74501174656598</v>
      </c>
      <c r="G31" s="316">
        <f t="shared" si="8"/>
        <v>2389.8440481787011</v>
      </c>
      <c r="H31" s="316">
        <f t="shared" si="8"/>
        <v>2343.6405301107925</v>
      </c>
      <c r="I31" s="316">
        <f t="shared" si="8"/>
        <v>228.73824284141236</v>
      </c>
      <c r="J31" s="316">
        <f t="shared" si="8"/>
        <v>3.0289260719349835</v>
      </c>
      <c r="K31" s="242">
        <f t="shared" si="7"/>
        <v>21437.743206167674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Proforma'!I932+'Allocation Proforma'!I933</f>
        <v>4681.9831845761746</v>
      </c>
      <c r="E36" s="316">
        <f t="shared" ref="E36:J36" si="10">(E14/($D$14)*$D$36)</f>
        <v>3457.63870457334</v>
      </c>
      <c r="F36" s="316">
        <f t="shared" si="10"/>
        <v>139.93811483549223</v>
      </c>
      <c r="G36" s="316">
        <f t="shared" si="10"/>
        <v>521.93971817485794</v>
      </c>
      <c r="H36" s="316">
        <f t="shared" si="10"/>
        <v>511.84891278635178</v>
      </c>
      <c r="I36" s="316">
        <f t="shared" si="10"/>
        <v>49.956219568153074</v>
      </c>
      <c r="J36" s="316">
        <f t="shared" si="10"/>
        <v>0.66151463797942833</v>
      </c>
      <c r="K36" s="242">
        <f t="shared" si="7"/>
        <v>4681.9831845761737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6">
        <f>D37</f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4681.9831845761746</v>
      </c>
      <c r="E39" s="301">
        <f t="shared" si="11"/>
        <v>3457.63870457334</v>
      </c>
      <c r="F39" s="301">
        <f t="shared" si="11"/>
        <v>139.93811483549223</v>
      </c>
      <c r="G39" s="301">
        <f t="shared" si="11"/>
        <v>521.93971817485794</v>
      </c>
      <c r="H39" s="301">
        <f t="shared" si="11"/>
        <v>511.84891278635178</v>
      </c>
      <c r="I39" s="301">
        <f t="shared" si="11"/>
        <v>49.956219568153074</v>
      </c>
      <c r="J39" s="301">
        <f t="shared" si="11"/>
        <v>0.66151463797942833</v>
      </c>
      <c r="K39" s="242">
        <f t="shared" si="7"/>
        <v>4681.9831845761737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11725514.765633229</v>
      </c>
      <c r="E41" s="320">
        <f t="shared" si="12"/>
        <v>6175943.8099453552</v>
      </c>
      <c r="F41" s="320">
        <f t="shared" si="12"/>
        <v>3705736.1942030862</v>
      </c>
      <c r="G41" s="320">
        <f t="shared" si="12"/>
        <v>876081.35789624543</v>
      </c>
      <c r="H41" s="320">
        <f t="shared" si="12"/>
        <v>792379.06264742464</v>
      </c>
      <c r="I41" s="320">
        <f t="shared" si="12"/>
        <v>158731.04193220875</v>
      </c>
      <c r="J41" s="320">
        <f t="shared" si="12"/>
        <v>16643.299008909467</v>
      </c>
      <c r="K41" s="242">
        <f>SUM(E41:J41)</f>
        <v>11725514.765633231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Proforma'!I700</f>
        <v>-5780.3853724308183</v>
      </c>
      <c r="E43" s="266">
        <f>D43</f>
        <v>-5780.3853724308183</v>
      </c>
      <c r="F43" s="266"/>
      <c r="G43" s="266"/>
      <c r="H43" s="266"/>
      <c r="I43" s="266"/>
      <c r="J43" s="266"/>
      <c r="K43" s="242">
        <f>SUM(E43:J43)</f>
        <v>-5780.3853724308183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Proforma'!I698</f>
        <v>-309759.26197993307</v>
      </c>
      <c r="E44" s="316">
        <v>0</v>
      </c>
      <c r="F44" s="316">
        <f>D44</f>
        <v>-309759.26197993307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-309759.26197993307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1337</v>
      </c>
      <c r="C45" s="173"/>
      <c r="D45" s="304">
        <f>-'Allocation Proforma'!I699</f>
        <v>-91752.128273170587</v>
      </c>
      <c r="E45" s="316">
        <v>0</v>
      </c>
      <c r="F45" s="316">
        <v>0</v>
      </c>
      <c r="G45" s="316">
        <f>D45</f>
        <v>-91752.128273170587</v>
      </c>
      <c r="H45" s="316">
        <v>0</v>
      </c>
      <c r="I45" s="316">
        <v>0</v>
      </c>
      <c r="J45" s="316">
        <v>0</v>
      </c>
      <c r="K45" s="242">
        <f>SUM(E45:J45)</f>
        <v>-91752.128273170587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Proforma'!I702-'Allocation Proforma'!I703-'Allocation Proforma'!I704-'Allocation Proforma'!I705</f>
        <v>-37711.201689321853</v>
      </c>
      <c r="E46" s="316">
        <f>-(E14/($D$14)*('Allocation Proforma'!I702+'Allocation Proforma'!I703+'Allocation Proforma'!I704+'Allocation Proforma'!I705))</f>
        <v>-27849.675109154447</v>
      </c>
      <c r="F46" s="316">
        <f>(F14/($D$14)*-('Allocation Proforma'!I702+'Allocation Proforma'!I703+'Allocation Proforma'!I704+'Allocation Proforma'!I705))</f>
        <v>-1127.136571094379</v>
      </c>
      <c r="G46" s="316">
        <f>(G14/($D$14)*-('Allocation Proforma'!I702+'Allocation Proforma'!I703+'Allocation Proforma'!I704+'Allocation Proforma'!I705))</f>
        <v>-4203.9822027984555</v>
      </c>
      <c r="H46" s="316">
        <f>(H14/($D$14)*-('Allocation Proforma'!I702+'Allocation Proforma'!I703+'Allocation Proforma'!I704+'Allocation Proforma'!I705))</f>
        <v>-4122.7054484377713</v>
      </c>
      <c r="I46" s="316">
        <f>(I14/($D$14)*-('Allocation Proforma'!I702+'Allocation Proforma'!I703+'Allocation Proforma'!I704+'Allocation Proforma'!I705))</f>
        <v>-402.37416443032441</v>
      </c>
      <c r="J46" s="316">
        <f>(J14/($D$14)*-('Allocation Proforma'!I702+'Allocation Proforma'!I703+'Allocation Proforma'!I704+'Allocation Proforma'!I705))</f>
        <v>-5.328193406474008</v>
      </c>
      <c r="K46" s="242">
        <f>SUM(E46:J46)</f>
        <v>-37711.201689321853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-445002.97731485631</v>
      </c>
      <c r="E47" s="141">
        <f>SUM(E43:E46)</f>
        <v>-33630.060481585264</v>
      </c>
      <c r="F47" s="141">
        <f t="shared" ref="F47:I47" si="13">SUM(F43:F46)</f>
        <v>-310886.39855102747</v>
      </c>
      <c r="G47" s="141">
        <f t="shared" si="13"/>
        <v>-95956.110475969035</v>
      </c>
      <c r="H47" s="141">
        <f t="shared" si="13"/>
        <v>-4122.7054484377713</v>
      </c>
      <c r="I47" s="141">
        <f t="shared" si="13"/>
        <v>-402.37416443032441</v>
      </c>
      <c r="J47" s="141">
        <f>SUM(J43:J46)</f>
        <v>-5.328193406474008</v>
      </c>
      <c r="K47" s="242">
        <f>SUM(E47:J47)</f>
        <v>-445002.97731485631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Proforma'!I924-SUM('Allocation Proforma'!H699:I705)-'Allocation Proforma'!#REF!-'Allocation Proforma'!I918-'Allocation Proforma'!I922</f>
        <v>#REF!</v>
      </c>
      <c r="D49" s="233">
        <f t="shared" ref="D49:J49" si="14">D41+D47</f>
        <v>11280511.788318373</v>
      </c>
      <c r="E49" s="301">
        <f t="shared" si="14"/>
        <v>6142313.7494637696</v>
      </c>
      <c r="F49" s="301">
        <f t="shared" si="14"/>
        <v>3394849.7956520589</v>
      </c>
      <c r="G49" s="301">
        <f t="shared" si="14"/>
        <v>780125.2474202764</v>
      </c>
      <c r="H49" s="301">
        <f t="shared" si="14"/>
        <v>788256.35719898692</v>
      </c>
      <c r="I49" s="301">
        <f t="shared" si="14"/>
        <v>158328.66776777842</v>
      </c>
      <c r="J49" s="301">
        <f t="shared" si="14"/>
        <v>16637.970815502995</v>
      </c>
      <c r="K49" s="242">
        <f>SUM(E49:J49)</f>
        <v>11280511.788318371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283163</v>
      </c>
      <c r="F51" s="317">
        <f>'Allocation Proforma'!I962</f>
        <v>103621086</v>
      </c>
      <c r="G51" s="317">
        <f>E51</f>
        <v>283163</v>
      </c>
      <c r="H51" s="317">
        <f>E51</f>
        <v>283163</v>
      </c>
      <c r="I51" s="317">
        <f>'Allocation Proforma'!$I$978*12</f>
        <v>840</v>
      </c>
      <c r="J51" s="317">
        <f>'Allocation Proforma'!$I$978*12</f>
        <v>840</v>
      </c>
      <c r="K51" s="337"/>
      <c r="L51" s="178"/>
    </row>
    <row r="52" spans="1:12" ht="15.7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5.75" thickBot="1">
      <c r="A53" s="184" t="s">
        <v>1336</v>
      </c>
      <c r="B53" s="329" t="s">
        <v>1154</v>
      </c>
      <c r="C53" s="185"/>
      <c r="D53" s="239"/>
      <c r="E53" s="319">
        <f t="shared" ref="E53:H53" si="15">E49/E51</f>
        <v>21.691795006634941</v>
      </c>
      <c r="F53" s="318">
        <f t="shared" si="15"/>
        <v>3.2762152248163652E-2</v>
      </c>
      <c r="G53" s="319">
        <f t="shared" si="15"/>
        <v>2.7550394911068055</v>
      </c>
      <c r="H53" s="319">
        <f t="shared" si="15"/>
        <v>2.7837547885810889</v>
      </c>
      <c r="I53" s="319">
        <f>I49/I51/30.5</f>
        <v>6.1798855490936146</v>
      </c>
      <c r="J53" s="319">
        <f>J49/J51/30.5</f>
        <v>0.64941338077685384</v>
      </c>
      <c r="K53" s="330">
        <f>I53+J53</f>
        <v>6.8292989298704683</v>
      </c>
      <c r="L53" s="186"/>
    </row>
    <row r="55" spans="1:12">
      <c r="D55" s="220"/>
      <c r="F55" s="264"/>
      <c r="J55" s="313" t="s">
        <v>1227</v>
      </c>
      <c r="K55" s="188">
        <f>I53+J53</f>
        <v>6.8292989298704683</v>
      </c>
      <c r="L55" s="188"/>
    </row>
    <row r="56" spans="1:12">
      <c r="D56" s="220"/>
      <c r="I56" s="19"/>
      <c r="J56" s="313" t="s">
        <v>1240</v>
      </c>
      <c r="K56" s="3">
        <f>E53+G53+H53</f>
        <v>27.230589286322836</v>
      </c>
    </row>
    <row r="57" spans="1:12">
      <c r="J57" s="313" t="s">
        <v>1241</v>
      </c>
      <c r="K57" s="417">
        <f>F53</f>
        <v>3.2762152248163652E-2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280"/>
    </row>
    <row r="61" spans="1:12">
      <c r="J61" s="306"/>
      <c r="K61" s="3"/>
    </row>
    <row r="65" spans="5:5">
      <c r="E65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570312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570312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96"/>
      <c r="M1" s="196"/>
      <c r="N1" s="196"/>
    </row>
    <row r="2" spans="1:14" ht="15.7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.75">
      <c r="A3" s="433" t="s">
        <v>1103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196"/>
      <c r="M3" s="196"/>
      <c r="N3" s="196"/>
    </row>
    <row r="4" spans="1:14" ht="15.75">
      <c r="A4" s="433" t="s">
        <v>1357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196"/>
      <c r="M4" s="196"/>
      <c r="N4" s="196"/>
    </row>
    <row r="5" spans="1:14" ht="15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.75">
      <c r="A6" s="433" t="s">
        <v>1214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196"/>
      <c r="M6" s="196"/>
      <c r="N6" s="196"/>
    </row>
    <row r="8" spans="1:14" ht="15.75" thickBot="1"/>
    <row r="9" spans="1:14" ht="15.75" thickBot="1">
      <c r="A9" s="154"/>
      <c r="B9" s="155"/>
      <c r="C9" s="156"/>
      <c r="D9" s="154"/>
      <c r="E9" s="430" t="s">
        <v>683</v>
      </c>
      <c r="F9" s="431"/>
      <c r="G9" s="157" t="s">
        <v>1056</v>
      </c>
      <c r="H9" s="430" t="s">
        <v>864</v>
      </c>
      <c r="I9" s="431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5.7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Proforma'!L176</f>
        <v>303389934.2634303</v>
      </c>
      <c r="E14" s="301">
        <f>'Allocation Proforma'!L125+'Allocation Proforma'!L126+'Allocation Proforma'!L127</f>
        <v>217586167.47665173</v>
      </c>
      <c r="F14" s="301">
        <f>'Allocation Proforma'!L128</f>
        <v>8961060.6950090025</v>
      </c>
      <c r="G14" s="301">
        <f>'Allocation Proforma'!L137</f>
        <v>35415009.658602752</v>
      </c>
      <c r="H14" s="301">
        <f>'Allocation Proforma'!L147+'Allocation Proforma'!L149+'Allocation Proforma'!L154+'Allocation Proforma'!L143</f>
        <v>40506141.887092248</v>
      </c>
      <c r="I14" s="301">
        <f>'Allocation Proforma'!L148+'Allocation Proforma'!L150+'Allocation Proforma'!L155+'Allocation Proforma'!L159+'Allocation Proforma'!L162+'Allocation Proforma'!L165</f>
        <v>805949.6374307205</v>
      </c>
      <c r="J14" s="301">
        <f>'Allocation Proforma'!L168+'Allocation Proforma'!L171</f>
        <v>115604.90864384332</v>
      </c>
      <c r="K14" s="242">
        <f>SUM(E14:J14)</f>
        <v>303389934.2634303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303389934.2634303</v>
      </c>
      <c r="E16" s="301">
        <f t="shared" ref="E16:K16" si="1">E14+E15</f>
        <v>217586167.47665173</v>
      </c>
      <c r="F16" s="301">
        <f t="shared" si="1"/>
        <v>8961060.6950090025</v>
      </c>
      <c r="G16" s="301">
        <f t="shared" si="1"/>
        <v>35415009.658602752</v>
      </c>
      <c r="H16" s="301">
        <f t="shared" si="1"/>
        <v>40506141.887092248</v>
      </c>
      <c r="I16" s="301">
        <f t="shared" si="1"/>
        <v>805949.6374307205</v>
      </c>
      <c r="J16" s="301">
        <f t="shared" si="1"/>
        <v>115604.90864384332</v>
      </c>
      <c r="K16" s="242">
        <f t="shared" si="1"/>
        <v>303389934.2634303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Proforma'!L944</f>
        <v>6.9735036448067986E-2</v>
      </c>
      <c r="E18" s="303">
        <f t="shared" ref="E18:J18" si="2">D18</f>
        <v>6.9735036448067986E-2</v>
      </c>
      <c r="F18" s="303">
        <f t="shared" si="2"/>
        <v>6.9735036448067986E-2</v>
      </c>
      <c r="G18" s="303">
        <f t="shared" si="2"/>
        <v>6.9735036448067986E-2</v>
      </c>
      <c r="H18" s="303">
        <f t="shared" si="2"/>
        <v>6.9735036448067986E-2</v>
      </c>
      <c r="I18" s="303">
        <f t="shared" si="2"/>
        <v>6.9735036448067986E-2</v>
      </c>
      <c r="J18" s="303">
        <f t="shared" si="2"/>
        <v>6.9735036448067986E-2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21156908.123837262</v>
      </c>
      <c r="E20" s="320">
        <f t="shared" ref="E20:J20" si="3">E18*E16</f>
        <v>15173379.319579734</v>
      </c>
      <c r="F20" s="320">
        <f t="shared" si="3"/>
        <v>624899.89417980227</v>
      </c>
      <c r="G20" s="320">
        <f t="shared" si="3"/>
        <v>2469666.9893513424</v>
      </c>
      <c r="H20" s="320">
        <f t="shared" si="3"/>
        <v>2824697.2808669913</v>
      </c>
      <c r="I20" s="320">
        <f t="shared" si="3"/>
        <v>56202.927341538474</v>
      </c>
      <c r="J20" s="320">
        <f t="shared" si="3"/>
        <v>8061.7125178539836</v>
      </c>
      <c r="K20" s="242">
        <f>SUM(E20:J20)</f>
        <v>21156908.123837262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Proforma'!L738</f>
        <v>6615938.3961369684</v>
      </c>
      <c r="E22" s="320">
        <f t="shared" ref="E22:J22" si="4">(E14/$D$14)*$D$22</f>
        <v>4744839.9478775533</v>
      </c>
      <c r="F22" s="320">
        <f t="shared" si="4"/>
        <v>195411.31338505985</v>
      </c>
      <c r="G22" s="320">
        <f t="shared" si="4"/>
        <v>772285.08839211601</v>
      </c>
      <c r="H22" s="320">
        <f t="shared" si="4"/>
        <v>883305.96742044832</v>
      </c>
      <c r="I22" s="320">
        <f t="shared" si="4"/>
        <v>17575.11555080385</v>
      </c>
      <c r="J22" s="320">
        <f t="shared" si="4"/>
        <v>2520.9635109865289</v>
      </c>
      <c r="K22" s="242">
        <f>SUM(E22:J22)</f>
        <v>6615938.3961369684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14540969.727700293</v>
      </c>
      <c r="E24" s="320">
        <f t="shared" ref="E24:J24" si="5">E20-E22</f>
        <v>10428539.371702179</v>
      </c>
      <c r="F24" s="320">
        <f t="shared" si="5"/>
        <v>429488.58079474245</v>
      </c>
      <c r="G24" s="320">
        <f t="shared" si="5"/>
        <v>1697381.9009592263</v>
      </c>
      <c r="H24" s="320">
        <f t="shared" si="5"/>
        <v>1941391.3134465429</v>
      </c>
      <c r="I24" s="320">
        <f t="shared" si="5"/>
        <v>38627.811790734624</v>
      </c>
      <c r="J24" s="320">
        <f t="shared" si="5"/>
        <v>5540.7490068674542</v>
      </c>
      <c r="K24" s="242">
        <f>SUM(E24:J24)</f>
        <v>14540969.727700291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Proforma'!L767+'Allocation Proforma'!L935</f>
        <v>3623509.5192885231</v>
      </c>
      <c r="E26" s="320">
        <f t="shared" ref="E26:J26" si="6">$D$26*(E24/$K$24)</f>
        <v>2598720.1949573345</v>
      </c>
      <c r="F26" s="320">
        <f t="shared" si="6"/>
        <v>107025.59664716356</v>
      </c>
      <c r="G26" s="320">
        <f t="shared" si="6"/>
        <v>422975.8806441396</v>
      </c>
      <c r="H26" s="320">
        <f t="shared" si="6"/>
        <v>483781.34585733397</v>
      </c>
      <c r="I26" s="320">
        <f t="shared" si="6"/>
        <v>9625.7846865862957</v>
      </c>
      <c r="J26" s="320">
        <f t="shared" si="6"/>
        <v>1380.7164959656302</v>
      </c>
      <c r="K26" s="242">
        <f>SUM(E26:J26)</f>
        <v>3623509.5192885231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Proforma'!L758</f>
        <v>64239709.14260824</v>
      </c>
      <c r="E28" s="320">
        <f>'Allocation Proforma'!L182+'Allocation Proforma'!L183+'Allocation Proforma'!L184</f>
        <v>12128702.967937639</v>
      </c>
      <c r="F28" s="320">
        <f>'Allocation Proforma'!L185</f>
        <v>45453323.591409646</v>
      </c>
      <c r="G28" s="320">
        <f>'Allocation Proforma'!L194</f>
        <v>3518854.8915488119</v>
      </c>
      <c r="H28" s="320">
        <f>'Allocation Proforma'!L200+'Allocation Proforma'!L204+'Allocation Proforma'!L206+'Allocation Proforma'!L211</f>
        <v>2391775.4196617748</v>
      </c>
      <c r="I28" s="320">
        <f>'Allocation Proforma'!L205+'Allocation Proforma'!L207+'Allocation Proforma'!L212+'Allocation Proforma'!L216+'Allocation Proforma'!L219</f>
        <v>190814.75958740016</v>
      </c>
      <c r="J28" s="320">
        <f>'Allocation Proforma'!L225+'Allocation Proforma'!L228</f>
        <v>556237.51246295532</v>
      </c>
      <c r="K28" s="242">
        <f t="shared" ref="K28:K39" si="7">SUM(E28:J28)</f>
        <v>64239709.142608233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Proforma'!L759</f>
        <v>26560051.687097285</v>
      </c>
      <c r="E29" s="316">
        <f>'Allocation Proforma'!L302</f>
        <v>23051286.628180481</v>
      </c>
      <c r="F29" s="316">
        <v>0</v>
      </c>
      <c r="G29" s="316">
        <f>'Allocation Proforma'!L308</f>
        <v>1487932.4432695669</v>
      </c>
      <c r="H29" s="316">
        <f>'Allocation Proforma'!L314+'Allocation Proforma'!L318+'Allocation Proforma'!L320+'Allocation Proforma'!L325</f>
        <v>1983058.2669310309</v>
      </c>
      <c r="I29" s="316">
        <f>'Allocation Proforma'!L319+'Allocation Proforma'!L321+'Allocation Proforma'!L326+'Allocation Proforma'!L330+'Allocation Proforma'!L333</f>
        <v>37774.348716205743</v>
      </c>
      <c r="J29" s="316">
        <v>0</v>
      </c>
      <c r="K29" s="242">
        <f t="shared" si="7"/>
        <v>26560051.687097285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Proforma'!L764+'Allocation Proforma'!L765</f>
        <v>3633872.9093450443</v>
      </c>
      <c r="E30" s="316">
        <f>'Allocation Proforma'!L417+'Allocation Proforma'!L474+'Allocation Proforma'!L359+'Allocation Proforma'!L531+'Allocation Proforma'!L589</f>
        <v>2729068.8336460763</v>
      </c>
      <c r="F30" s="316">
        <f>'Allocation Proforma'!L356+'Allocation Proforma'!L357+'Allocation Proforma'!L358+'Allocation Proforma'!L414+'Allocation Proforma'!L415+'Allocation Proforma'!L416+'Allocation Proforma'!L471+'Allocation Proforma'!L472+'Allocation Proforma'!L473+'Allocation Proforma'!L528+'Allocation Proforma'!L529+'Allocation Proforma'!L530+'Allocation Proforma'!L586+'Allocation Proforma'!L587+'Allocation Proforma'!L588</f>
        <v>0</v>
      </c>
      <c r="G30" s="316">
        <f>'Allocation Proforma'!L365+'Allocation Proforma'!L423+'Allocation Proforma'!L480+'Allocation Proforma'!L537+'Allocation Proforma'!L595</f>
        <v>407150.39860606659</v>
      </c>
      <c r="H30" s="316">
        <f>'Allocation Proforma'!L371+'Allocation Proforma'!L375+'Allocation Proforma'!L377+'Allocation Proforma'!L382+'Allocation Proforma'!L429+'Allocation Proforma'!L433+'Allocation Proforma'!L435+'Allocation Proforma'!L440+'Allocation Proforma'!L486+'Allocation Proforma'!L490+'Allocation Proforma'!L492+'Allocation Proforma'!L497+'Allocation Proforma'!L543+'Allocation Proforma'!L547+'Allocation Proforma'!L549+'Allocation Proforma'!L554+'Allocation Proforma'!L601+'Allocation Proforma'!L605+'Allocation Proforma'!L607+'Allocation Proforma'!L612</f>
        <v>488330.25726254348</v>
      </c>
      <c r="I30" s="316">
        <f>'Allocation Proforma'!L376+'Allocation Proforma'!L378+'Allocation Proforma'!L383+'Allocation Proforma'!L387+'Allocation Proforma'!L391+'Allocation Proforma'!L434+'Allocation Proforma'!L436+'Allocation Proforma'!L441+'Allocation Proforma'!L445+'Allocation Proforma'!L448+'Allocation Proforma'!L491+'Allocation Proforma'!L493+'Allocation Proforma'!L498+'Allocation Proforma'!L502+'Allocation Proforma'!L505+'Allocation Proforma'!L548+'Allocation Proforma'!L550+'Allocation Proforma'!L555+'Allocation Proforma'!L559+'Allocation Proforma'!L562+'Allocation Proforma'!L606+'Allocation Proforma'!L608+'Allocation Proforma'!L613+'Allocation Proforma'!L617+'Allocation Proforma'!L620</f>
        <v>9323.4198303575904</v>
      </c>
      <c r="J30" s="316">
        <v>0</v>
      </c>
      <c r="K30" s="242">
        <f t="shared" si="7"/>
        <v>3633872.9093450438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1341</v>
      </c>
      <c r="C31" s="173"/>
      <c r="D31" s="305">
        <f>'Allocation Proforma'!L769</f>
        <v>267575.96108285652</v>
      </c>
      <c r="E31" s="316">
        <f t="shared" ref="E31:J31" si="8">$D$31*(E14/$K$14)</f>
        <v>191900.987164419</v>
      </c>
      <c r="F31" s="316">
        <f t="shared" si="8"/>
        <v>7903.2431765085857</v>
      </c>
      <c r="G31" s="316">
        <f t="shared" si="8"/>
        <v>31234.408844728474</v>
      </c>
      <c r="H31" s="316">
        <f t="shared" si="8"/>
        <v>35724.553194260981</v>
      </c>
      <c r="I31" s="316">
        <f t="shared" si="8"/>
        <v>710.81049324680544</v>
      </c>
      <c r="J31" s="316">
        <f t="shared" si="8"/>
        <v>101.95820969265684</v>
      </c>
      <c r="K31" s="242">
        <f t="shared" si="7"/>
        <v>267575.96108285652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Proforma'!L932+'Allocation Proforma'!L933</f>
        <v>46669.305292610472</v>
      </c>
      <c r="E36" s="316">
        <f t="shared" ref="E36:J36" si="10">(E14/($D$14)*$D$36)</f>
        <v>33470.442261277531</v>
      </c>
      <c r="F36" s="316">
        <f t="shared" si="10"/>
        <v>1378.4454594260303</v>
      </c>
      <c r="G36" s="316">
        <f t="shared" si="10"/>
        <v>5447.7545595266083</v>
      </c>
      <c r="H36" s="316">
        <f t="shared" si="10"/>
        <v>6230.903825283458</v>
      </c>
      <c r="I36" s="316">
        <f t="shared" si="10"/>
        <v>123.97612917198481</v>
      </c>
      <c r="J36" s="316">
        <f t="shared" si="10"/>
        <v>17.783057924852809</v>
      </c>
      <c r="K36" s="242">
        <f t="shared" si="7"/>
        <v>46669.305292610465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6">
        <f>D37</f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46669.305292610472</v>
      </c>
      <c r="E39" s="301">
        <f t="shared" si="11"/>
        <v>33470.442261277531</v>
      </c>
      <c r="F39" s="301">
        <f t="shared" si="11"/>
        <v>1378.4454594260303</v>
      </c>
      <c r="G39" s="301">
        <f t="shared" si="11"/>
        <v>5447.7545595266083</v>
      </c>
      <c r="H39" s="301">
        <f t="shared" si="11"/>
        <v>6230.903825283458</v>
      </c>
      <c r="I39" s="301">
        <f t="shared" si="11"/>
        <v>123.97612917198481</v>
      </c>
      <c r="J39" s="301">
        <f t="shared" si="11"/>
        <v>17.783057924852809</v>
      </c>
      <c r="K39" s="242">
        <f t="shared" si="7"/>
        <v>46669.305292610465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119528296.64855182</v>
      </c>
      <c r="E41" s="320">
        <f t="shared" si="12"/>
        <v>55906529.373726964</v>
      </c>
      <c r="F41" s="320">
        <f t="shared" si="12"/>
        <v>46194530.770872548</v>
      </c>
      <c r="G41" s="320">
        <f t="shared" si="12"/>
        <v>8343262.7668241821</v>
      </c>
      <c r="H41" s="320">
        <f t="shared" si="12"/>
        <v>8213598.0275992202</v>
      </c>
      <c r="I41" s="320">
        <f t="shared" si="12"/>
        <v>304576.02678450703</v>
      </c>
      <c r="J41" s="320">
        <f t="shared" si="12"/>
        <v>565799.68274439231</v>
      </c>
      <c r="K41" s="242">
        <f>SUM(E41:J41)</f>
        <v>119528296.64855182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Proforma'!L700</f>
        <v>-72148.087444786448</v>
      </c>
      <c r="E43" s="266">
        <f>D43</f>
        <v>-72148.087444786448</v>
      </c>
      <c r="F43" s="266"/>
      <c r="G43" s="266"/>
      <c r="H43" s="266"/>
      <c r="I43" s="266"/>
      <c r="J43" s="266"/>
      <c r="K43" s="242">
        <f>SUM(E43:J43)</f>
        <v>-72148.087444786448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Proforma'!L698</f>
        <v>-3934269.0712397015</v>
      </c>
      <c r="E44" s="316">
        <v>0</v>
      </c>
      <c r="F44" s="316">
        <f>D44</f>
        <v>-3934269.0712397015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-3934269.0712397015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1337</v>
      </c>
      <c r="C45" s="173"/>
      <c r="D45" s="304">
        <f>-'Allocation Proforma'!L699</f>
        <v>-1234808.2508610517</v>
      </c>
      <c r="E45" s="316">
        <v>0</v>
      </c>
      <c r="F45" s="316">
        <v>0</v>
      </c>
      <c r="G45" s="316">
        <f>D45</f>
        <v>-1234808.2508610517</v>
      </c>
      <c r="H45" s="316">
        <v>0</v>
      </c>
      <c r="I45" s="316">
        <v>0</v>
      </c>
      <c r="J45" s="316">
        <v>0</v>
      </c>
      <c r="K45" s="242">
        <f>SUM(E45:J45)</f>
        <v>-1234808.2508610517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Proforma'!L702-'Allocation Proforma'!L703-'Allocation Proforma'!L704-'Allocation Proforma'!L705</f>
        <v>-443812.38266847125</v>
      </c>
      <c r="E46" s="316">
        <f>-(E14/($D$14)*('Allocation Proforma'!L702+'Allocation Proforma'!L703+'Allocation Proforma'!L704+'Allocation Proforma'!L705))</f>
        <v>-318294.7900297356</v>
      </c>
      <c r="F46" s="316">
        <f>(F14/($D$14)*-('Allocation Proforma'!L702+'Allocation Proforma'!L703+'Allocation Proforma'!L704+'Allocation Proforma'!L705))</f>
        <v>-13108.640891281248</v>
      </c>
      <c r="G46" s="316">
        <f>(G14/($D$14)*-('Allocation Proforma'!L702+'Allocation Proforma'!L703+'Allocation Proforma'!L704+'Allocation Proforma'!L705))</f>
        <v>-51806.662132580728</v>
      </c>
      <c r="H46" s="316">
        <f>(H14/($D$14)*-('Allocation Proforma'!L702+'Allocation Proforma'!L703+'Allocation Proforma'!L704+'Allocation Proforma'!L705))</f>
        <v>-59254.1983545447</v>
      </c>
      <c r="I46" s="316">
        <f>(I14/($D$14)*-('Allocation Proforma'!L702+'Allocation Proforma'!L703+'Allocation Proforma'!L704+'Allocation Proforma'!L705))</f>
        <v>-1178.979222785749</v>
      </c>
      <c r="J46" s="316">
        <f>(J14/($D$14)*-('Allocation Proforma'!L702+'Allocation Proforma'!L703+'Allocation Proforma'!L704+'Allocation Proforma'!L705))</f>
        <v>-169.11203754322915</v>
      </c>
      <c r="K46" s="242">
        <f>SUM(E46:J46)</f>
        <v>-443812.3826684712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-5685037.7922140108</v>
      </c>
      <c r="E47" s="141">
        <f>SUM(E43:E46)</f>
        <v>-390442.87747452204</v>
      </c>
      <c r="F47" s="141">
        <f t="shared" ref="F47:I47" si="13">SUM(F43:F46)</f>
        <v>-3947377.7121309829</v>
      </c>
      <c r="G47" s="141">
        <f t="shared" si="13"/>
        <v>-1286614.9129936325</v>
      </c>
      <c r="H47" s="141">
        <f t="shared" si="13"/>
        <v>-59254.1983545447</v>
      </c>
      <c r="I47" s="141">
        <f t="shared" si="13"/>
        <v>-1178.979222785749</v>
      </c>
      <c r="J47" s="141">
        <f>SUM(J43:J46)</f>
        <v>-169.11203754322915</v>
      </c>
      <c r="K47" s="242">
        <f>SUM(E47:J47)</f>
        <v>-5685037.7922140108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Proforma'!J924-SUM('Allocation Proforma'!H699:I705)-'Allocation Proforma'!#REF!-'Allocation Proforma'!J918-'Allocation Proforma'!J922</f>
        <v>#REF!</v>
      </c>
      <c r="D49" s="233">
        <f t="shared" ref="D49:J49" si="14">D41+D47</f>
        <v>113843258.85633782</v>
      </c>
      <c r="E49" s="301">
        <f t="shared" si="14"/>
        <v>55516086.49625244</v>
      </c>
      <c r="F49" s="301">
        <f t="shared" si="14"/>
        <v>42247153.058741562</v>
      </c>
      <c r="G49" s="301">
        <f t="shared" si="14"/>
        <v>7056647.8538305499</v>
      </c>
      <c r="H49" s="301">
        <f t="shared" si="14"/>
        <v>8154343.8292446751</v>
      </c>
      <c r="I49" s="301">
        <f t="shared" si="14"/>
        <v>303397.04756172129</v>
      </c>
      <c r="J49" s="301">
        <f t="shared" si="14"/>
        <v>565630.5707068491</v>
      </c>
      <c r="K49" s="242">
        <f>SUM(E49:J49)</f>
        <v>113843258.85633779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141">
        <v>3183736</v>
      </c>
      <c r="F51" s="317">
        <f>'Allocation Proforma'!L962</f>
        <v>1288132009</v>
      </c>
      <c r="G51" s="317">
        <v>4406484</v>
      </c>
      <c r="H51" s="317">
        <f>G51</f>
        <v>4406484</v>
      </c>
      <c r="I51" s="317">
        <f>'Allocation Proforma'!$L$978*12</f>
        <v>6060</v>
      </c>
      <c r="J51" s="317">
        <f>'Allocation Proforma'!$L$978*12</f>
        <v>6060</v>
      </c>
      <c r="K51" s="337"/>
      <c r="L51" s="178"/>
    </row>
    <row r="52" spans="1:12" ht="15.7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5.75" thickBot="1">
      <c r="A53" s="184" t="s">
        <v>1336</v>
      </c>
      <c r="B53" s="329" t="s">
        <v>1154</v>
      </c>
      <c r="C53" s="185"/>
      <c r="D53" s="239"/>
      <c r="E53" s="319">
        <f t="shared" ref="E53:H53" si="15">E49/E51</f>
        <v>17.437402628940479</v>
      </c>
      <c r="F53" s="396">
        <f t="shared" si="15"/>
        <v>3.2797223237654646E-2</v>
      </c>
      <c r="G53" s="319">
        <f t="shared" si="15"/>
        <v>1.601423686964607</v>
      </c>
      <c r="H53" s="319">
        <f t="shared" si="15"/>
        <v>1.8505329485468858</v>
      </c>
      <c r="I53" s="319">
        <f>I49/I51/30.5</f>
        <v>1.6414924393319335</v>
      </c>
      <c r="J53" s="319">
        <f>J49/J51/30.5</f>
        <v>3.0602746886698537</v>
      </c>
      <c r="K53" s="330">
        <f>I53+J53</f>
        <v>4.7017671280017872</v>
      </c>
      <c r="L53" s="186"/>
    </row>
    <row r="55" spans="1:12">
      <c r="D55" s="220"/>
      <c r="F55" s="264"/>
      <c r="J55" s="313" t="s">
        <v>1227</v>
      </c>
      <c r="K55" s="188">
        <f>I53+J53</f>
        <v>4.7017671280017872</v>
      </c>
    </row>
    <row r="56" spans="1:12">
      <c r="D56" s="220"/>
      <c r="I56" s="19"/>
      <c r="J56" s="313" t="s">
        <v>1240</v>
      </c>
      <c r="K56" s="3">
        <f>E53+G53+H53</f>
        <v>20.889359264451972</v>
      </c>
    </row>
    <row r="57" spans="1:12">
      <c r="J57" s="313" t="s">
        <v>1241</v>
      </c>
      <c r="K57" s="417">
        <f>F53</f>
        <v>3.2797223237654646E-2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307"/>
    </row>
    <row r="61" spans="1:12">
      <c r="J61" s="306"/>
      <c r="K61" s="3"/>
    </row>
    <row r="69" spans="5:6">
      <c r="E69" s="238"/>
      <c r="F69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2 to Response to AG-KIUC-1 Question No. 188
Page &amp;P of &amp;N
Seelye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188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5B0C26AF-DDDE-4881-AAAD-8D0D456A2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1CE5AA-6664-45D6-9F21-E272353805CE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4fcda00-7b58-44a7-b108-8bd10a8a08ba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A6376B-4B21-4D67-A8CA-89C78C36D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DE7E340-8BB8-4AEE-8A45-D469B32B634E}">
  <ds:schemaRefs/>
</ds:datastoreItem>
</file>

<file path=customXml/itemProps5.xml><?xml version="1.0" encoding="utf-8"?>
<ds:datastoreItem xmlns:ds="http://schemas.openxmlformats.org/officeDocument/2006/customXml" ds:itemID="{3976E81B-F45B-4F7D-AB1E-EFDA07AAB682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Functional Assignment</vt:lpstr>
      <vt:lpstr>Allocation Proforma</vt:lpstr>
      <vt:lpstr>Summary of Returns</vt:lpstr>
      <vt:lpstr>Billing Det</vt:lpstr>
      <vt:lpstr>RS</vt:lpstr>
      <vt:lpstr>GS</vt:lpstr>
      <vt:lpstr>PS Sec</vt:lpstr>
      <vt:lpstr>PS Pri</vt:lpstr>
      <vt:lpstr>TOD Sec</vt:lpstr>
      <vt:lpstr>TOD Pri</vt:lpstr>
      <vt:lpstr>RTS</vt:lpstr>
      <vt:lpstr>Special Contract</vt:lpstr>
      <vt:lpstr>Meters</vt:lpstr>
      <vt:lpstr>Services</vt:lpstr>
      <vt:lpstr>'Allocation Proforma'!Print_Area</vt:lpstr>
      <vt:lpstr>'Billing Det'!Print_Area</vt:lpstr>
      <vt:lpstr>'Functional Assignment'!Print_Area</vt:lpstr>
      <vt:lpstr>GS!Print_Area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Crosby, Duncan [Contractor]</cp:lastModifiedBy>
  <cp:lastPrinted>2018-09-20T03:28:29Z</cp:lastPrinted>
  <dcterms:created xsi:type="dcterms:W3CDTF">1999-02-10T22:20:33Z</dcterms:created>
  <dcterms:modified xsi:type="dcterms:W3CDTF">2021-01-20T22:38:33Z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2021-01-15T19:25:14Z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3dfab9ad-2257-4969-8e3d-f02af3bcc6e9</vt:lpwstr>
  </property>
  <property fmtid="{D5CDD505-2E9C-101B-9397-08002B2CF9AE}" pid="9" name="MSIP_Label_d662fcd2-3ff9-4261-9b26-9dd5808d0bb4_ContentBits">
    <vt:lpwstr>0</vt:lpwstr>
  </property>
</Properties>
</file>