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mc:AlternateContent xmlns:mc="http://schemas.openxmlformats.org/markup-compatibility/2006">
    <mc:Choice Requires="x15">
      <x15ac:absPath xmlns:x15ac="http://schemas.microsoft.com/office/spreadsheetml/2010/11/ac" url="I:\Hurst\2020 Rate Case\Data Responses\MHS-KFTC-KSES DR1 Q29\"/>
    </mc:Choice>
  </mc:AlternateContent>
  <xr:revisionPtr revIDLastSave="0" documentId="13_ncr:1_{7B9CCD24-765B-406B-B1E1-E3BB617FE399}" xr6:coauthVersionLast="45" xr6:coauthVersionMax="45" xr10:uidLastSave="{00000000-0000-0000-0000-000000000000}"/>
  <bookViews>
    <workbookView xWindow="28680" yWindow="-120" windowWidth="29040" windowHeight="15840" tabRatio="881" xr2:uid="{00000000-000D-0000-FFFF-FFFF00000000}"/>
  </bookViews>
  <sheets>
    <sheet name="LGE Rate Summary" sheetId="18" r:id="rId1"/>
    <sheet name="KU Rate Summary" sheetId="15" r:id="rId2"/>
    <sheet name="WACC - Carrying Charges" sheetId="13" r:id="rId3"/>
    <sheet name="2019 EV Usage Data" sheetId="17" r:id="rId4"/>
    <sheet name="REDACTED - Costs_Reference" sheetId="11" r:id="rId5"/>
  </sheets>
  <definedNames>
    <definedName name="Rate_10" localSheetId="0">#REF!</definedName>
    <definedName name="Rate_10">#REF!</definedName>
    <definedName name="Rate_12" localSheetId="0">#REF!</definedName>
    <definedName name="Rate_12">#REF!</definedName>
    <definedName name="Rate_8" localSheetId="0">#REF!</definedName>
    <definedName name="Rate_8">#REF!</definedName>
    <definedName name="WkSht_10" localSheetId="0">#REF!</definedName>
    <definedName name="WkSht_10">#REF!</definedName>
    <definedName name="WkSht_12" localSheetId="0">#REF!</definedName>
    <definedName name="WkSht_12">#REF!</definedName>
    <definedName name="WkSht_8" localSheetId="0">#REF!</definedName>
    <definedName name="WkSht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3" l="1"/>
  <c r="A21" i="13" s="1"/>
  <c r="C12" i="15" l="1"/>
  <c r="I32" i="13"/>
  <c r="A32" i="13"/>
  <c r="C12" i="18"/>
  <c r="B17" i="11" l="1"/>
  <c r="B19" i="11" l="1"/>
  <c r="C11" i="15"/>
  <c r="C11" i="18"/>
  <c r="K6" i="17"/>
  <c r="L6" i="17" s="1"/>
  <c r="M6" i="17"/>
  <c r="J24" i="17"/>
  <c r="I24" i="17"/>
  <c r="C24" i="17" l="1"/>
  <c r="B24" i="17"/>
  <c r="F24" i="17" l="1"/>
  <c r="D4" i="17"/>
  <c r="F4" i="17"/>
  <c r="K4" i="17"/>
  <c r="M4" i="17"/>
  <c r="L4" i="17" l="1"/>
  <c r="E4" i="17"/>
  <c r="F20" i="17"/>
  <c r="D16" i="17"/>
  <c r="E16" i="17" s="1"/>
  <c r="D12" i="17"/>
  <c r="E12" i="17" s="1"/>
  <c r="D13" i="17"/>
  <c r="E13" i="17" s="1"/>
  <c r="F13" i="17"/>
  <c r="D14" i="17"/>
  <c r="E14" i="17" s="1"/>
  <c r="F14" i="17"/>
  <c r="D15" i="17"/>
  <c r="E15" i="17" s="1"/>
  <c r="F15" i="17"/>
  <c r="D17" i="17"/>
  <c r="E17" i="17" s="1"/>
  <c r="F17" i="17"/>
  <c r="D18" i="17"/>
  <c r="E18" i="17" s="1"/>
  <c r="F18" i="17"/>
  <c r="D19" i="17"/>
  <c r="E19" i="17" s="1"/>
  <c r="F19" i="17"/>
  <c r="D20" i="17"/>
  <c r="E20" i="17" s="1"/>
  <c r="D21" i="17"/>
  <c r="E21" i="17" s="1"/>
  <c r="F21" i="17"/>
  <c r="D22" i="17"/>
  <c r="E22" i="17" s="1"/>
  <c r="F22" i="17"/>
  <c r="D23" i="17"/>
  <c r="E23" i="17" s="1"/>
  <c r="F23" i="17"/>
  <c r="F16" i="17" l="1"/>
  <c r="F12" i="17"/>
  <c r="A18" i="13" l="1"/>
  <c r="M5" i="17" l="1"/>
  <c r="K5" i="17"/>
  <c r="L5" i="17" l="1"/>
  <c r="K24" i="17"/>
  <c r="C28" i="17"/>
  <c r="C27" i="17"/>
  <c r="C32" i="17" s="1"/>
  <c r="C34" i="17" s="1"/>
  <c r="C38" i="17" s="1"/>
  <c r="M24" i="17"/>
  <c r="L24" i="17"/>
  <c r="C17" i="18" l="1"/>
  <c r="C18" i="18" l="1"/>
  <c r="C17" i="15" l="1"/>
  <c r="C18" i="15" l="1"/>
  <c r="F5" i="17"/>
  <c r="F6" i="17"/>
  <c r="F7" i="17"/>
  <c r="F8" i="17"/>
  <c r="F9" i="17"/>
  <c r="F10" i="17"/>
  <c r="F11" i="17"/>
  <c r="D5" i="17"/>
  <c r="D6" i="17"/>
  <c r="E6" i="17" s="1"/>
  <c r="D7" i="17"/>
  <c r="E7" i="17" s="1"/>
  <c r="D8" i="17"/>
  <c r="E8" i="17" s="1"/>
  <c r="D9" i="17"/>
  <c r="E9" i="17" s="1"/>
  <c r="D10" i="17"/>
  <c r="E10" i="17" s="1"/>
  <c r="D11" i="17"/>
  <c r="E11" i="17" s="1"/>
  <c r="E5" i="17" l="1"/>
  <c r="D24" i="17"/>
  <c r="E24" i="17" s="1"/>
  <c r="B27" i="17"/>
  <c r="B32" i="17" s="1"/>
  <c r="B34" i="17" s="1"/>
  <c r="B38" i="17" s="1"/>
  <c r="B28" i="17"/>
  <c r="I25" i="13" l="1"/>
  <c r="A25" i="13"/>
  <c r="J10" i="13" l="1"/>
  <c r="J11" i="13" s="1"/>
  <c r="M9" i="13"/>
  <c r="M8" i="13"/>
  <c r="M7" i="13"/>
  <c r="I33" i="13" s="1"/>
  <c r="M11" i="13" l="1"/>
  <c r="I31" i="13" s="1"/>
  <c r="I35" i="13" s="1"/>
  <c r="C9" i="18" s="1"/>
  <c r="B10" i="13"/>
  <c r="B11" i="13" s="1"/>
  <c r="E9" i="13"/>
  <c r="E8" i="13"/>
  <c r="I24" i="13" l="1"/>
  <c r="I26" i="13"/>
  <c r="E7" i="13"/>
  <c r="E11" i="13" l="1"/>
  <c r="A20" i="13"/>
  <c r="I28" i="13"/>
  <c r="C13" i="18" l="1"/>
  <c r="C15" i="18" s="1"/>
  <c r="C28" i="18" s="1"/>
  <c r="B9" i="18"/>
  <c r="A26" i="13"/>
  <c r="A33" i="13"/>
  <c r="A24" i="13"/>
  <c r="A28" i="13" s="1"/>
  <c r="B9" i="15" s="1"/>
  <c r="A31" i="13"/>
  <c r="A35" i="13" s="1"/>
  <c r="C9" i="15" s="1"/>
  <c r="C13" i="15" s="1"/>
  <c r="C15" i="15" s="1"/>
  <c r="C28" i="15" s="1"/>
  <c r="C30" i="18" l="1"/>
  <c r="C30" i="15"/>
</calcChain>
</file>

<file path=xl/sharedStrings.xml><?xml version="1.0" encoding="utf-8"?>
<sst xmlns="http://schemas.openxmlformats.org/spreadsheetml/2006/main" count="223" uniqueCount="122">
  <si>
    <t>Weighted Average Cost of Capital (WACC)</t>
  </si>
  <si>
    <t>Capitalization</t>
  </si>
  <si>
    <t>Total WACC</t>
  </si>
  <si>
    <t>Overall Rate of Return</t>
  </si>
  <si>
    <t>year useful life</t>
  </si>
  <si>
    <t>Income Taxes</t>
  </si>
  <si>
    <t>R.O.E.</t>
  </si>
  <si>
    <t>Annual</t>
  </si>
  <si>
    <t>Overall Cost of Capital</t>
  </si>
  <si>
    <t>Weighted</t>
  </si>
  <si>
    <t>Cost</t>
  </si>
  <si>
    <t>Short Term</t>
  </si>
  <si>
    <t>Long Term</t>
  </si>
  <si>
    <t>Total Debt</t>
  </si>
  <si>
    <t>Estimated Investment per Unit</t>
  </si>
  <si>
    <t>Basic Service Charge</t>
  </si>
  <si>
    <t>Fuel Adjustment Clause</t>
  </si>
  <si>
    <t>School Tax</t>
  </si>
  <si>
    <t>Franchise Fee</t>
  </si>
  <si>
    <t>Environmental Surcharge (Level 2)</t>
  </si>
  <si>
    <t>KU</t>
  </si>
  <si>
    <t>EVC</t>
  </si>
  <si>
    <t>State Sales Tax</t>
  </si>
  <si>
    <t>EVC Fee per Hour for Equipment, Energy &amp; Factors</t>
  </si>
  <si>
    <t xml:space="preserve">Fixed Charges @ </t>
  </si>
  <si>
    <t>Distribution Energy per kWh per year   (Calculated with GS Rate)</t>
  </si>
  <si>
    <t>Distribution Energy per kWh per month</t>
  </si>
  <si>
    <t>Distribution Energy per kWh per hour</t>
  </si>
  <si>
    <t>EVSE Monthly Rate for Equipment, Energy &amp; Factors</t>
  </si>
  <si>
    <t>KU General Office</t>
  </si>
  <si>
    <t>Butchertown - E Washington St.</t>
  </si>
  <si>
    <t>Highlands - Hepburn Ave</t>
  </si>
  <si>
    <t>High St &amp; MLK</t>
  </si>
  <si>
    <t>Main &amp; Floyd</t>
  </si>
  <si>
    <t>9th St Overpass</t>
  </si>
  <si>
    <t>Crescent Hill</t>
  </si>
  <si>
    <t>Midway City Hall</t>
  </si>
  <si>
    <t>LG&amp;E/KU DO Cost</t>
  </si>
  <si>
    <t>Parking Authority Cost</t>
  </si>
  <si>
    <t>Cubero Station Branding</t>
  </si>
  <si>
    <t>Permits (By LG&amp;E/KU)</t>
  </si>
  <si>
    <t>"EV Parking Only" Signage</t>
  </si>
  <si>
    <t>Other</t>
  </si>
  <si>
    <t>TOTAL</t>
  </si>
  <si>
    <t>O&amp;M (Scheduled/Trouble)</t>
  </si>
  <si>
    <t>per year</t>
  </si>
  <si>
    <t>Chargepoint Annual Cost</t>
  </si>
  <si>
    <t>Assumes 1 utility service call per year, 2 person crew for 2 hours @ $31.50/hour</t>
  </si>
  <si>
    <t>O&amp;M COSTS (per year)</t>
  </si>
  <si>
    <t>CAPITAL COSTS (per installation)</t>
  </si>
  <si>
    <t>No overhead costs - only planning to install as needed</t>
  </si>
  <si>
    <t>Includes sales tax and freight costs (EVSE, EVSE-R, EVC)</t>
  </si>
  <si>
    <t>EVC Only</t>
  </si>
  <si>
    <t>Common Equity</t>
  </si>
  <si>
    <t>Ratio</t>
  </si>
  <si>
    <t>LG&amp;E</t>
  </si>
  <si>
    <t>Carrying Charges</t>
  </si>
  <si>
    <t>TOTAL Corporate Tax Rate</t>
  </si>
  <si>
    <t>Straight-Line Depreciation</t>
  </si>
  <si>
    <t>Property Taxes</t>
  </si>
  <si>
    <t>KU Carrying Charge Income Tax Calculation = (KU Weighted Cost of Equity / (1- Corporate Tax Rate)) x Corporate Tax Rate</t>
  </si>
  <si>
    <t>LGE Carrying Charge Income Tax Calculation = (LGE Weighted Cost of Equity / (1- Corporate Tax Rate)) x Corporate Tax Rate</t>
  </si>
  <si>
    <t>KU TOTAL LEVELIZED FIXED CHARGE</t>
  </si>
  <si>
    <t>LGE TOTAL LEVELIZED FIXED CHARGE</t>
  </si>
  <si>
    <t>EVC Utilization</t>
  </si>
  <si>
    <t>Station</t>
  </si>
  <si>
    <t>Days in Service</t>
  </si>
  <si>
    <t>Total Hours of Usage</t>
  </si>
  <si>
    <t>100% Utilization Hours*</t>
  </si>
  <si>
    <t>Actual Utilization</t>
  </si>
  <si>
    <t>Hours of use per day</t>
  </si>
  <si>
    <t>Utilization</t>
  </si>
  <si>
    <t>Actual Utilization (to orig. 4 hrs per day)</t>
  </si>
  <si>
    <t>kWh/hr</t>
  </si>
  <si>
    <t>Charging Station Consumption (kWh / Day)</t>
  </si>
  <si>
    <t>Charging Station Consumption (kWh / Year)</t>
  </si>
  <si>
    <t>Dependent on location</t>
  </si>
  <si>
    <t>EVC Rate per Hour for Equipment Only</t>
  </si>
  <si>
    <t>-</t>
  </si>
  <si>
    <t>Monthly Rate for Equipment Only</t>
  </si>
  <si>
    <t>kWh / year for screen and lighting</t>
  </si>
  <si>
    <t>Total Charging Station Consumption w/ Screen and Lighting (kWh / Year)</t>
  </si>
  <si>
    <t>No meter</t>
  </si>
  <si>
    <t>EVSE-R Monthly Rate for Equipment Only</t>
  </si>
  <si>
    <t>EVSE-R Only</t>
  </si>
  <si>
    <t>Station 1</t>
  </si>
  <si>
    <t>Station 2</t>
  </si>
  <si>
    <t>EVSE-R Utilization</t>
  </si>
  <si>
    <t>EVSE - Company will furnish, own, install, and maintain the charging unit and cable.  Customer will furnish, own, and install all duct systems and associated equipment.  Customer shall be responsible for the charging equipment installation costs.</t>
  </si>
  <si>
    <t>EVSE-R - Customer installs and owns facilities on its side of the meter to serve Company-provided charging station.</t>
  </si>
  <si>
    <t>EVC Use Only</t>
  </si>
  <si>
    <t>EVSE Use Only</t>
  </si>
  <si>
    <t>Contractor Cost</t>
  </si>
  <si>
    <t>Elizabethtown City Lot</t>
  </si>
  <si>
    <t>Seneca Park</t>
  </si>
  <si>
    <t>AB Sawyer Park</t>
  </si>
  <si>
    <t>Charlie Vettiner Park</t>
  </si>
  <si>
    <t>Muhlenberg Co. Sports Park</t>
  </si>
  <si>
    <t>McConnell Springs</t>
  </si>
  <si>
    <t>Iroquios Park</t>
  </si>
  <si>
    <t>Press Avenue</t>
  </si>
  <si>
    <t>Danville</t>
  </si>
  <si>
    <t>Richmond</t>
  </si>
  <si>
    <t>Morehead</t>
  </si>
  <si>
    <t>LG&amp;E Center - Main St 212B</t>
  </si>
  <si>
    <t>2019 LG&amp;E and KU Combined EVC Data Summary</t>
  </si>
  <si>
    <t>Calculation</t>
  </si>
  <si>
    <t>Station 3</t>
  </si>
  <si>
    <t>Clipper Creek - Single</t>
  </si>
  <si>
    <t>Network Annual Cost</t>
  </si>
  <si>
    <t>Equipment Cost</t>
  </si>
  <si>
    <t>Solar PPA Adjustment Clause</t>
  </si>
  <si>
    <t>Economic Recovery Surcredit</t>
  </si>
  <si>
    <t>Does not include Energy, FAC, OSS, SP, ERS, or ECR</t>
  </si>
  <si>
    <t>Does not include FAC, OSS, SP, ERS, or ECR</t>
  </si>
  <si>
    <t>State Corporate Tax Rate</t>
  </si>
  <si>
    <t>Capital Structure for 2020 Rate Case - Schedule J-1.1/J-1.2</t>
  </si>
  <si>
    <t>Federal Corporate Tax Rate (21% - 1.05% Fed benefit of state tax)</t>
  </si>
  <si>
    <t>Schedule H-1 (Statutory)</t>
  </si>
  <si>
    <t>KU Rate Summary</t>
  </si>
  <si>
    <t>LG&amp;E Rate Summary</t>
  </si>
  <si>
    <t>CONFIDENTIAL INFORMATION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</si>
</sst>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General_)"/>
    <numFmt numFmtId="165" formatCode="_(&quot;$&quot;* #,##0.00000_);_(&quot;$&quot;* \(#,##0.00000\);_(&quot;$&quot;* &quot;-&quot;??_);_(@_)"/>
    <numFmt numFmtId="166" formatCode="0.000%"/>
    <numFmt numFmtId="167" formatCode="0.0%"/>
    <numFmt numFmtId="168" formatCode="_(* #,##0_);_(* \(#,##0\);_(* &quot;-&quot;??_);_(@_)"/>
  </numFmts>
  <fonts count="22" x14ac:knownFonts="1">
    <font>
      <sz val="12"/>
      <name val="Helv"/>
    </font>
    <font>
      <sz val="12"/>
      <name val="Times New Roman"/>
      <family val="1"/>
    </font>
    <font>
      <sz val="12"/>
      <name val="Helv"/>
    </font>
    <font>
      <sz val="11"/>
      <name val="Calibri"/>
      <family val="2"/>
      <scheme val="minor"/>
    </font>
    <font>
      <sz val="12"/>
      <name val="Calibri"/>
      <family val="2"/>
      <scheme val="minor"/>
    </font>
    <font>
      <b/>
      <sz val="12"/>
      <name val="Calibri"/>
      <family val="2"/>
      <scheme val="minor"/>
    </font>
    <font>
      <b/>
      <u/>
      <sz val="12"/>
      <name val="Calibri"/>
      <family val="2"/>
      <scheme val="minor"/>
    </font>
    <font>
      <sz val="12"/>
      <color rgb="FF0070C0"/>
      <name val="Calibri"/>
      <family val="2"/>
      <scheme val="minor"/>
    </font>
    <font>
      <b/>
      <sz val="11"/>
      <name val="Calibri"/>
      <family val="2"/>
      <scheme val="minor"/>
    </font>
    <font>
      <sz val="11"/>
      <color rgb="FF0070C0"/>
      <name val="Calibri"/>
      <family val="2"/>
      <scheme val="minor"/>
    </font>
    <font>
      <sz val="11"/>
      <color indexed="48"/>
      <name val="Calibri"/>
      <family val="2"/>
      <scheme val="minor"/>
    </font>
    <font>
      <b/>
      <u/>
      <sz val="16"/>
      <name val="Calibri"/>
      <family val="2"/>
      <scheme val="minor"/>
    </font>
    <font>
      <b/>
      <sz val="12"/>
      <color rgb="FFFF0000"/>
      <name val="Calibri"/>
      <family val="2"/>
      <scheme val="minor"/>
    </font>
    <font>
      <b/>
      <sz val="16"/>
      <color rgb="FFFF0000"/>
      <name val="Calibri"/>
      <family val="2"/>
      <scheme val="minor"/>
    </font>
    <font>
      <b/>
      <sz val="16"/>
      <color rgb="FF00B050"/>
      <name val="Calibri"/>
      <family val="2"/>
      <scheme val="minor"/>
    </font>
    <font>
      <b/>
      <sz val="12"/>
      <color rgb="FF00B050"/>
      <name val="Calibri"/>
      <family val="2"/>
      <scheme val="minor"/>
    </font>
    <font>
      <b/>
      <sz val="16"/>
      <name val="Calibri"/>
      <family val="2"/>
      <scheme val="minor"/>
    </font>
    <font>
      <sz val="12"/>
      <color rgb="FFFF0000"/>
      <name val="Calibri"/>
      <family val="2"/>
      <scheme val="minor"/>
    </font>
    <font>
      <b/>
      <sz val="11"/>
      <color rgb="FFFA7D00"/>
      <name val="Calibri"/>
      <family val="2"/>
      <scheme val="minor"/>
    </font>
    <font>
      <sz val="8"/>
      <color rgb="FFFF0000"/>
      <name val="Calibri"/>
      <family val="2"/>
      <scheme val="minor"/>
    </font>
    <font>
      <b/>
      <sz val="48"/>
      <name val="Calibri"/>
      <family val="2"/>
      <scheme val="minor"/>
    </font>
    <font>
      <b/>
      <sz val="11"/>
      <color rgb="FF0070C0"/>
      <name val="Calibri"/>
      <family val="2"/>
      <scheme val="minor"/>
    </font>
  </fonts>
  <fills count="5">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1"/>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164" fontId="0" fillId="0" borderId="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18" fillId="2" borderId="13" applyNumberFormat="0" applyAlignment="0" applyProtection="0"/>
  </cellStyleXfs>
  <cellXfs count="124">
    <xf numFmtId="164" fontId="0" fillId="0" borderId="0" xfId="0"/>
    <xf numFmtId="164" fontId="4" fillId="0" borderId="0" xfId="0" applyFont="1"/>
    <xf numFmtId="164" fontId="4" fillId="0" borderId="0" xfId="0" applyFont="1" applyAlignment="1">
      <alignment wrapText="1"/>
    </xf>
    <xf numFmtId="164" fontId="4" fillId="0" borderId="0" xfId="0" applyFont="1" applyAlignment="1">
      <alignment horizontal="left" wrapText="1"/>
    </xf>
    <xf numFmtId="164" fontId="4" fillId="0" borderId="0" xfId="0" applyFont="1" applyBorder="1" applyAlignment="1">
      <alignment wrapText="1"/>
    </xf>
    <xf numFmtId="164" fontId="5" fillId="0" borderId="0" xfId="0" applyFont="1" applyAlignment="1">
      <alignment horizontal="right" wrapText="1"/>
    </xf>
    <xf numFmtId="164" fontId="5" fillId="0" borderId="0" xfId="0" applyFont="1" applyBorder="1" applyAlignment="1">
      <alignment horizontal="right" wrapText="1"/>
    </xf>
    <xf numFmtId="164" fontId="6" fillId="0" borderId="0" xfId="0" applyFont="1" applyAlignment="1">
      <alignment horizontal="center"/>
    </xf>
    <xf numFmtId="164" fontId="5" fillId="0" borderId="0" xfId="0" applyFont="1"/>
    <xf numFmtId="164" fontId="3" fillId="0" borderId="0" xfId="0" applyFont="1"/>
    <xf numFmtId="164" fontId="3" fillId="0" borderId="0" xfId="0" applyFont="1" applyAlignment="1"/>
    <xf numFmtId="164" fontId="3" fillId="0" borderId="1" xfId="0" applyFont="1" applyBorder="1" applyAlignment="1">
      <alignment horizontal="center"/>
    </xf>
    <xf numFmtId="0" fontId="3" fillId="0" borderId="1" xfId="0" applyNumberFormat="1" applyFont="1" applyBorder="1" applyAlignment="1">
      <alignment horizontal="center"/>
    </xf>
    <xf numFmtId="164" fontId="3" fillId="0" borderId="7" xfId="0" applyFont="1" applyBorder="1" applyAlignment="1">
      <alignment horizontal="center"/>
    </xf>
    <xf numFmtId="164" fontId="3" fillId="0" borderId="3" xfId="0" applyFont="1" applyBorder="1" applyAlignment="1"/>
    <xf numFmtId="164" fontId="3" fillId="0" borderId="3" xfId="0" applyFont="1" applyBorder="1" applyAlignment="1">
      <alignment horizontal="center"/>
    </xf>
    <xf numFmtId="10" fontId="3" fillId="0" borderId="0" xfId="0" applyNumberFormat="1" applyFont="1" applyAlignment="1">
      <alignment horizontal="center"/>
    </xf>
    <xf numFmtId="166" fontId="3" fillId="0" borderId="9" xfId="0" applyNumberFormat="1" applyFont="1" applyBorder="1" applyAlignment="1">
      <alignment horizontal="center"/>
    </xf>
    <xf numFmtId="164" fontId="3" fillId="0" borderId="0" xfId="0" quotePrefix="1" applyFont="1"/>
    <xf numFmtId="166" fontId="3" fillId="0" borderId="8" xfId="0" applyNumberFormat="1" applyFont="1" applyBorder="1" applyAlignment="1">
      <alignment horizontal="center"/>
    </xf>
    <xf numFmtId="10" fontId="3" fillId="0" borderId="0" xfId="0" quotePrefix="1" applyNumberFormat="1" applyFont="1" applyAlignment="1">
      <alignment horizontal="center"/>
    </xf>
    <xf numFmtId="10" fontId="10" fillId="0" borderId="0" xfId="2" applyNumberFormat="1" applyFont="1" applyBorder="1" applyAlignment="1">
      <alignment horizontal="center"/>
    </xf>
    <xf numFmtId="10" fontId="3" fillId="0" borderId="9" xfId="0" applyNumberFormat="1" applyFont="1" applyBorder="1" applyAlignment="1">
      <alignment horizontal="center"/>
    </xf>
    <xf numFmtId="164" fontId="8" fillId="0" borderId="6" xfId="0" applyFont="1" applyBorder="1" applyAlignment="1"/>
    <xf numFmtId="10" fontId="3" fillId="0" borderId="6" xfId="0" applyNumberFormat="1" applyFont="1" applyBorder="1" applyAlignment="1">
      <alignment horizontal="center"/>
    </xf>
    <xf numFmtId="164" fontId="3" fillId="0" borderId="6" xfId="0" applyFont="1" applyBorder="1" applyAlignment="1">
      <alignment horizontal="center"/>
    </xf>
    <xf numFmtId="166" fontId="8" fillId="0" borderId="10" xfId="0" applyNumberFormat="1" applyFont="1" applyFill="1" applyBorder="1" applyAlignment="1">
      <alignment horizontal="center"/>
    </xf>
    <xf numFmtId="164" fontId="8" fillId="0" borderId="0" xfId="0" quotePrefix="1" applyFont="1" applyFill="1"/>
    <xf numFmtId="164" fontId="3" fillId="0" borderId="0" xfId="0" quotePrefix="1" applyFont="1" applyBorder="1"/>
    <xf numFmtId="164" fontId="6" fillId="0" borderId="0" xfId="0" applyFont="1"/>
    <xf numFmtId="164" fontId="7" fillId="0" borderId="0" xfId="0" applyFont="1"/>
    <xf numFmtId="164" fontId="6" fillId="0" borderId="0" xfId="0" applyFont="1" applyBorder="1" applyAlignment="1">
      <alignment horizontal="center"/>
    </xf>
    <xf numFmtId="44" fontId="7" fillId="0" borderId="3" xfId="1" applyFont="1" applyBorder="1" applyAlignment="1">
      <alignment horizontal="right"/>
    </xf>
    <xf numFmtId="164" fontId="4" fillId="0" borderId="3" xfId="0" applyFont="1" applyBorder="1"/>
    <xf numFmtId="0" fontId="4" fillId="0" borderId="0" xfId="1" applyNumberFormat="1" applyFont="1" applyBorder="1" applyAlignment="1">
      <alignment horizontal="left"/>
    </xf>
    <xf numFmtId="0" fontId="4" fillId="0" borderId="0" xfId="1" applyNumberFormat="1" applyFont="1" applyBorder="1"/>
    <xf numFmtId="0" fontId="7" fillId="0" borderId="0" xfId="1" applyNumberFormat="1" applyFont="1" applyBorder="1"/>
    <xf numFmtId="0" fontId="4" fillId="0" borderId="0" xfId="0" applyNumberFormat="1" applyFont="1"/>
    <xf numFmtId="164" fontId="11" fillId="0" borderId="0" xfId="0" applyFont="1"/>
    <xf numFmtId="164" fontId="13" fillId="0" borderId="0" xfId="0" applyFont="1"/>
    <xf numFmtId="164" fontId="3" fillId="0" borderId="11" xfId="0" applyFont="1" applyBorder="1" applyAlignment="1"/>
    <xf numFmtId="164" fontId="3" fillId="0" borderId="2" xfId="0" applyFont="1" applyBorder="1" applyAlignment="1">
      <alignment horizontal="center"/>
    </xf>
    <xf numFmtId="164" fontId="3" fillId="0" borderId="12" xfId="0" applyFont="1" applyBorder="1" applyAlignment="1"/>
    <xf numFmtId="164" fontId="3" fillId="0" borderId="4" xfId="0" applyFont="1" applyBorder="1" applyAlignment="1">
      <alignment horizontal="center"/>
    </xf>
    <xf numFmtId="164" fontId="3" fillId="0" borderId="9" xfId="0" applyFont="1" applyBorder="1" applyAlignment="1">
      <alignment horizontal="center"/>
    </xf>
    <xf numFmtId="166" fontId="3" fillId="0" borderId="7" xfId="0" applyNumberFormat="1" applyFont="1" applyBorder="1" applyAlignment="1">
      <alignment horizontal="center"/>
    </xf>
    <xf numFmtId="164" fontId="14" fillId="0" borderId="0" xfId="0" applyFont="1"/>
    <xf numFmtId="167" fontId="4" fillId="0" borderId="0" xfId="2" applyNumberFormat="1" applyFont="1"/>
    <xf numFmtId="10" fontId="4" fillId="0" borderId="0" xfId="2" applyNumberFormat="1" applyFont="1"/>
    <xf numFmtId="166" fontId="4" fillId="0" borderId="0" xfId="2" applyNumberFormat="1" applyFont="1"/>
    <xf numFmtId="9" fontId="4" fillId="0" borderId="0" xfId="2" applyNumberFormat="1" applyFont="1"/>
    <xf numFmtId="10" fontId="5" fillId="0" borderId="0" xfId="2" applyNumberFormat="1" applyFont="1"/>
    <xf numFmtId="165" fontId="7" fillId="0" borderId="0" xfId="1" applyNumberFormat="1" applyFont="1"/>
    <xf numFmtId="164" fontId="4" fillId="0" borderId="0" xfId="0" applyFont="1" applyAlignment="1">
      <alignment horizontal="right"/>
    </xf>
    <xf numFmtId="164" fontId="16" fillId="0" borderId="0" xfId="0" applyFont="1"/>
    <xf numFmtId="164" fontId="5" fillId="0" borderId="0" xfId="0" applyFont="1" applyAlignment="1">
      <alignment horizontal="center" wrapText="1"/>
    </xf>
    <xf numFmtId="168" fontId="4" fillId="0" borderId="0" xfId="3" applyNumberFormat="1" applyFont="1"/>
    <xf numFmtId="164" fontId="5" fillId="0" borderId="0" xfId="0" applyFont="1" applyAlignment="1">
      <alignment horizontal="right"/>
    </xf>
    <xf numFmtId="164" fontId="4" fillId="0" borderId="0" xfId="0" applyFont="1" applyBorder="1"/>
    <xf numFmtId="168" fontId="4" fillId="0" borderId="0" xfId="3" applyNumberFormat="1" applyFont="1" applyBorder="1"/>
    <xf numFmtId="1" fontId="4" fillId="0" borderId="0" xfId="3" applyNumberFormat="1" applyFont="1" applyFill="1" applyBorder="1"/>
    <xf numFmtId="164" fontId="4" fillId="0" borderId="0" xfId="0" applyFont="1" applyFill="1" applyBorder="1"/>
    <xf numFmtId="164" fontId="7" fillId="0" borderId="0" xfId="0" applyFont="1" applyFill="1" applyBorder="1"/>
    <xf numFmtId="0" fontId="4" fillId="0" borderId="0" xfId="0" applyNumberFormat="1" applyFont="1" applyFill="1" applyBorder="1"/>
    <xf numFmtId="0" fontId="5" fillId="0" borderId="0" xfId="0" applyNumberFormat="1" applyFont="1" applyFill="1" applyBorder="1"/>
    <xf numFmtId="1" fontId="5" fillId="0" borderId="0" xfId="0" applyNumberFormat="1" applyFont="1" applyFill="1" applyBorder="1"/>
    <xf numFmtId="164" fontId="5" fillId="0" borderId="0" xfId="0" applyFont="1" applyAlignment="1">
      <alignment horizontal="center"/>
    </xf>
    <xf numFmtId="164" fontId="4" fillId="0" borderId="0" xfId="0" applyFont="1" applyFill="1"/>
    <xf numFmtId="44" fontId="18" fillId="2" borderId="13" xfId="4" applyNumberFormat="1"/>
    <xf numFmtId="44" fontId="18" fillId="2" borderId="14" xfId="4" applyNumberFormat="1" applyBorder="1"/>
    <xf numFmtId="164" fontId="4" fillId="0" borderId="5" xfId="0" applyFont="1" applyBorder="1" applyAlignment="1">
      <alignment wrapText="1"/>
    </xf>
    <xf numFmtId="168" fontId="18" fillId="2" borderId="13" xfId="4" applyNumberFormat="1"/>
    <xf numFmtId="43" fontId="18" fillId="2" borderId="13" xfId="4" applyNumberFormat="1"/>
    <xf numFmtId="167" fontId="18" fillId="2" borderId="13" xfId="4" applyNumberFormat="1"/>
    <xf numFmtId="164" fontId="18" fillId="2" borderId="13" xfId="4" applyNumberFormat="1"/>
    <xf numFmtId="167" fontId="4" fillId="0" borderId="0" xfId="2" applyNumberFormat="1" applyFont="1" applyBorder="1"/>
    <xf numFmtId="164" fontId="19" fillId="0" borderId="0" xfId="0" applyFont="1" applyFill="1"/>
    <xf numFmtId="168" fontId="17" fillId="0" borderId="0" xfId="3" applyNumberFormat="1" applyFont="1" applyFill="1"/>
    <xf numFmtId="164" fontId="7" fillId="0" borderId="0" xfId="0" applyFont="1" applyFill="1"/>
    <xf numFmtId="164" fontId="5" fillId="0" borderId="0" xfId="0" applyFont="1" applyAlignment="1">
      <alignment horizontal="center"/>
    </xf>
    <xf numFmtId="164" fontId="5" fillId="0" borderId="17" xfId="0" applyFont="1" applyBorder="1" applyAlignment="1">
      <alignment horizontal="center" wrapText="1"/>
    </xf>
    <xf numFmtId="164" fontId="4" fillId="0" borderId="18" xfId="0" applyFont="1" applyBorder="1"/>
    <xf numFmtId="44" fontId="4" fillId="0" borderId="18" xfId="1" applyFont="1" applyFill="1" applyBorder="1"/>
    <xf numFmtId="44" fontId="4" fillId="0" borderId="18" xfId="1" applyFont="1" applyBorder="1"/>
    <xf numFmtId="44" fontId="4" fillId="0" borderId="19" xfId="1" applyFont="1" applyBorder="1"/>
    <xf numFmtId="164" fontId="4" fillId="0" borderId="18" xfId="0" applyFont="1" applyBorder="1" applyAlignment="1">
      <alignment horizontal="center"/>
    </xf>
    <xf numFmtId="44" fontId="7" fillId="0" borderId="18" xfId="1" applyFont="1" applyBorder="1"/>
    <xf numFmtId="164" fontId="13" fillId="0" borderId="20" xfId="0" applyFont="1" applyBorder="1"/>
    <xf numFmtId="164" fontId="4" fillId="0" borderId="21" xfId="0" applyFont="1" applyBorder="1"/>
    <xf numFmtId="164" fontId="14" fillId="0" borderId="21" xfId="0" applyFont="1" applyBorder="1"/>
    <xf numFmtId="164" fontId="4" fillId="0" borderId="22" xfId="0" applyFont="1" applyBorder="1"/>
    <xf numFmtId="166" fontId="4" fillId="0" borderId="23" xfId="2" applyNumberFormat="1" applyFont="1" applyBorder="1"/>
    <xf numFmtId="166" fontId="4" fillId="0" borderId="0" xfId="2" applyNumberFormat="1" applyFont="1" applyBorder="1"/>
    <xf numFmtId="164" fontId="4" fillId="0" borderId="24" xfId="0" applyFont="1" applyBorder="1"/>
    <xf numFmtId="9" fontId="4" fillId="0" borderId="23" xfId="2" applyNumberFormat="1" applyFont="1" applyBorder="1"/>
    <xf numFmtId="9" fontId="4" fillId="0" borderId="0" xfId="2" applyNumberFormat="1" applyFont="1" applyBorder="1"/>
    <xf numFmtId="10" fontId="5" fillId="0" borderId="26" xfId="2" applyNumberFormat="1" applyFont="1" applyBorder="1"/>
    <xf numFmtId="164" fontId="5" fillId="0" borderId="27" xfId="0" applyFont="1" applyBorder="1"/>
    <xf numFmtId="164" fontId="4" fillId="0" borderId="27" xfId="0" applyFont="1" applyBorder="1"/>
    <xf numFmtId="10" fontId="5" fillId="0" borderId="27" xfId="2" applyNumberFormat="1" applyFont="1" applyBorder="1"/>
    <xf numFmtId="164" fontId="4" fillId="0" borderId="28" xfId="0" applyFont="1" applyBorder="1"/>
    <xf numFmtId="166" fontId="7" fillId="0" borderId="5" xfId="2" applyNumberFormat="1" applyFont="1" applyFill="1" applyBorder="1"/>
    <xf numFmtId="166" fontId="7" fillId="0" borderId="25" xfId="2" applyNumberFormat="1" applyFont="1" applyFill="1" applyBorder="1"/>
    <xf numFmtId="10" fontId="9" fillId="0" borderId="0" xfId="2" quotePrefix="1" applyNumberFormat="1" applyFont="1" applyFill="1" applyAlignment="1">
      <alignment horizontal="center"/>
    </xf>
    <xf numFmtId="10" fontId="9" fillId="0" borderId="0" xfId="0" applyNumberFormat="1" applyFont="1" applyFill="1" applyAlignment="1">
      <alignment horizontal="center"/>
    </xf>
    <xf numFmtId="166" fontId="9" fillId="0" borderId="0" xfId="2" applyNumberFormat="1" applyFont="1" applyFill="1" applyAlignment="1">
      <alignment horizontal="center"/>
    </xf>
    <xf numFmtId="164" fontId="3" fillId="0" borderId="0" xfId="0" quotePrefix="1" applyFont="1" applyFill="1" applyAlignment="1">
      <alignment horizontal="center"/>
    </xf>
    <xf numFmtId="10" fontId="3" fillId="0" borderId="0" xfId="0" applyNumberFormat="1" applyFont="1" applyFill="1" applyAlignment="1">
      <alignment horizontal="center"/>
    </xf>
    <xf numFmtId="10" fontId="9" fillId="0" borderId="3" xfId="0" applyNumberFormat="1" applyFont="1" applyFill="1" applyBorder="1" applyAlignment="1">
      <alignment horizontal="center"/>
    </xf>
    <xf numFmtId="10" fontId="3" fillId="0" borderId="3" xfId="0" quotePrefix="1" applyNumberFormat="1" applyFont="1" applyFill="1" applyBorder="1" applyAlignment="1">
      <alignment horizontal="center"/>
    </xf>
    <xf numFmtId="10" fontId="9" fillId="0" borderId="3" xfId="2" applyNumberFormat="1" applyFont="1" applyFill="1" applyBorder="1" applyAlignment="1">
      <alignment horizontal="center"/>
    </xf>
    <xf numFmtId="166" fontId="7" fillId="0" borderId="3" xfId="2" applyNumberFormat="1" applyFont="1" applyFill="1" applyBorder="1"/>
    <xf numFmtId="166" fontId="7" fillId="0" borderId="0" xfId="2" applyNumberFormat="1" applyFont="1" applyFill="1"/>
    <xf numFmtId="164" fontId="12" fillId="0" borderId="0" xfId="0" applyFont="1"/>
    <xf numFmtId="164" fontId="15" fillId="0" borderId="0" xfId="0" applyFont="1"/>
    <xf numFmtId="44" fontId="5" fillId="3" borderId="18" xfId="1" applyFont="1" applyFill="1" applyBorder="1"/>
    <xf numFmtId="44" fontId="5" fillId="3" borderId="16" xfId="1" applyFont="1" applyFill="1" applyBorder="1"/>
    <xf numFmtId="164" fontId="5" fillId="0" borderId="0" xfId="0" applyFont="1" applyAlignment="1">
      <alignment horizontal="center"/>
    </xf>
    <xf numFmtId="164" fontId="20" fillId="0" borderId="0" xfId="0" applyFont="1" applyFill="1"/>
    <xf numFmtId="44" fontId="18" fillId="4" borderId="13" xfId="4" applyNumberFormat="1" applyFill="1"/>
    <xf numFmtId="44" fontId="7" fillId="4" borderId="0" xfId="1" applyFont="1" applyFill="1"/>
    <xf numFmtId="44" fontId="21" fillId="4" borderId="13" xfId="4" applyNumberFormat="1" applyFont="1" applyFill="1"/>
    <xf numFmtId="44" fontId="7" fillId="4" borderId="0" xfId="1" applyFont="1" applyFill="1" applyBorder="1"/>
    <xf numFmtId="44" fontId="21" fillId="4" borderId="15" xfId="4" applyNumberFormat="1" applyFont="1" applyFill="1" applyBorder="1"/>
  </cellXfs>
  <cellStyles count="5">
    <cellStyle name="Calculation" xfId="4" builtinId="22"/>
    <cellStyle name="Comma" xfId="3" builtinId="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48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D33"/>
  <sheetViews>
    <sheetView tabSelected="1" view="pageLayout" zoomScaleNormal="80" workbookViewId="0"/>
  </sheetViews>
  <sheetFormatPr defaultColWidth="8.921875" defaultRowHeight="15.5" x14ac:dyDescent="0.35"/>
  <cols>
    <col min="1" max="1" width="51" style="1" bestFit="1" customWidth="1"/>
    <col min="2" max="2" width="9.3828125" style="1" bestFit="1" customWidth="1"/>
    <col min="3" max="3" width="12.07421875" style="1" bestFit="1" customWidth="1"/>
    <col min="4" max="16384" width="8.921875" style="1"/>
  </cols>
  <sheetData>
    <row r="1" spans="1:3" ht="21" x14ac:dyDescent="0.5">
      <c r="A1" s="46" t="s">
        <v>120</v>
      </c>
      <c r="C1" s="117"/>
    </row>
    <row r="2" spans="1:3" x14ac:dyDescent="0.35">
      <c r="C2" s="117"/>
    </row>
    <row r="3" spans="1:3" x14ac:dyDescent="0.35">
      <c r="C3" s="66"/>
    </row>
    <row r="4" spans="1:3" ht="16" thickBot="1" x14ac:dyDescent="0.4">
      <c r="C4" s="117" t="s">
        <v>21</v>
      </c>
    </row>
    <row r="5" spans="1:3" ht="31" x14ac:dyDescent="0.35">
      <c r="C5" s="80" t="s">
        <v>108</v>
      </c>
    </row>
    <row r="6" spans="1:3" x14ac:dyDescent="0.35">
      <c r="C6" s="81"/>
    </row>
    <row r="7" spans="1:3" x14ac:dyDescent="0.35">
      <c r="A7" s="1" t="s">
        <v>14</v>
      </c>
      <c r="C7" s="82">
        <v>800.85</v>
      </c>
    </row>
    <row r="8" spans="1:3" x14ac:dyDescent="0.35">
      <c r="C8" s="81"/>
    </row>
    <row r="9" spans="1:3" x14ac:dyDescent="0.35">
      <c r="A9" s="1" t="s">
        <v>24</v>
      </c>
      <c r="B9" s="48">
        <f>'WACC - Carrying Charges'!$I$28</f>
        <v>0.20703334245654026</v>
      </c>
      <c r="C9" s="83">
        <f>C7*'WACC - Carrying Charges'!$I$35</f>
        <v>245.88765230632026</v>
      </c>
    </row>
    <row r="10" spans="1:3" x14ac:dyDescent="0.35">
      <c r="C10" s="81"/>
    </row>
    <row r="11" spans="1:3" x14ac:dyDescent="0.35">
      <c r="A11" s="1" t="s">
        <v>44</v>
      </c>
      <c r="C11" s="83">
        <f>'REDACTED - Costs_Reference'!B17</f>
        <v>126</v>
      </c>
    </row>
    <row r="12" spans="1:3" x14ac:dyDescent="0.35">
      <c r="A12" s="58" t="s">
        <v>46</v>
      </c>
      <c r="C12" s="84">
        <f>'REDACTED - Costs_Reference'!B18</f>
        <v>0</v>
      </c>
    </row>
    <row r="13" spans="1:3" x14ac:dyDescent="0.35">
      <c r="C13" s="83">
        <f t="shared" ref="C13" si="0">SUM(C9:C12)</f>
        <v>371.88765230632026</v>
      </c>
    </row>
    <row r="14" spans="1:3" x14ac:dyDescent="0.35">
      <c r="C14" s="81"/>
    </row>
    <row r="15" spans="1:3" x14ac:dyDescent="0.35">
      <c r="A15" s="1" t="s">
        <v>79</v>
      </c>
      <c r="C15" s="83">
        <f>C13/12</f>
        <v>30.990637692193356</v>
      </c>
    </row>
    <row r="16" spans="1:3" x14ac:dyDescent="0.35">
      <c r="A16" s="1" t="s">
        <v>77</v>
      </c>
      <c r="C16" s="85" t="s">
        <v>78</v>
      </c>
    </row>
    <row r="17" spans="1:4" x14ac:dyDescent="0.35">
      <c r="A17" s="1" t="s">
        <v>25</v>
      </c>
      <c r="B17" s="52">
        <v>0.12354999999999999</v>
      </c>
      <c r="C17" s="83">
        <f>$B$17*'2019 EV Usage Data'!C38</f>
        <v>618.28843010461367</v>
      </c>
    </row>
    <row r="18" spans="1:4" x14ac:dyDescent="0.35">
      <c r="A18" s="1" t="s">
        <v>26</v>
      </c>
      <c r="C18" s="83">
        <f t="shared" ref="C18" si="1">C17/12</f>
        <v>51.524035842051141</v>
      </c>
      <c r="D18" s="1" t="s">
        <v>91</v>
      </c>
    </row>
    <row r="19" spans="1:4" x14ac:dyDescent="0.35">
      <c r="A19" s="1" t="s">
        <v>27</v>
      </c>
      <c r="C19" s="85" t="s">
        <v>78</v>
      </c>
      <c r="D19" s="1" t="s">
        <v>90</v>
      </c>
    </row>
    <row r="20" spans="1:4" x14ac:dyDescent="0.35">
      <c r="A20" s="1" t="s">
        <v>15</v>
      </c>
      <c r="C20" s="86">
        <v>0</v>
      </c>
      <c r="D20" s="1" t="s">
        <v>82</v>
      </c>
    </row>
    <row r="21" spans="1:4" x14ac:dyDescent="0.35">
      <c r="A21" s="1" t="s">
        <v>16</v>
      </c>
      <c r="C21" s="86">
        <v>0</v>
      </c>
      <c r="D21" s="1" t="s">
        <v>90</v>
      </c>
    </row>
    <row r="22" spans="1:4" x14ac:dyDescent="0.35">
      <c r="A22" s="1" t="s">
        <v>111</v>
      </c>
      <c r="C22" s="86">
        <v>0</v>
      </c>
      <c r="D22" s="1" t="s">
        <v>90</v>
      </c>
    </row>
    <row r="23" spans="1:4" x14ac:dyDescent="0.35">
      <c r="A23" s="1" t="s">
        <v>112</v>
      </c>
      <c r="C23" s="86">
        <v>0</v>
      </c>
      <c r="D23" s="1" t="s">
        <v>90</v>
      </c>
    </row>
    <row r="24" spans="1:4" x14ac:dyDescent="0.35">
      <c r="A24" s="1" t="s">
        <v>19</v>
      </c>
      <c r="C24" s="86">
        <v>0</v>
      </c>
      <c r="D24" s="1" t="s">
        <v>90</v>
      </c>
    </row>
    <row r="25" spans="1:4" x14ac:dyDescent="0.35">
      <c r="A25" s="1" t="s">
        <v>18</v>
      </c>
      <c r="C25" s="86">
        <v>0</v>
      </c>
      <c r="D25" s="1" t="s">
        <v>76</v>
      </c>
    </row>
    <row r="26" spans="1:4" x14ac:dyDescent="0.35">
      <c r="A26" s="1" t="s">
        <v>17</v>
      </c>
      <c r="C26" s="86">
        <v>0</v>
      </c>
      <c r="D26" s="1" t="s">
        <v>76</v>
      </c>
    </row>
    <row r="27" spans="1:4" x14ac:dyDescent="0.35">
      <c r="A27" s="1" t="s">
        <v>22</v>
      </c>
      <c r="C27" s="86">
        <v>0</v>
      </c>
      <c r="D27" s="1" t="s">
        <v>76</v>
      </c>
    </row>
    <row r="28" spans="1:4" x14ac:dyDescent="0.35">
      <c r="A28" s="1" t="s">
        <v>28</v>
      </c>
      <c r="C28" s="115">
        <f>C15+C18+C20+C21+C24+C25+C26+C27+C22+C23</f>
        <v>82.514673534244494</v>
      </c>
      <c r="D28" s="1" t="s">
        <v>114</v>
      </c>
    </row>
    <row r="29" spans="1:4" x14ac:dyDescent="0.35">
      <c r="A29" s="1" t="s">
        <v>23</v>
      </c>
      <c r="C29" s="81"/>
    </row>
    <row r="30" spans="1:4" ht="16" thickBot="1" x14ac:dyDescent="0.4">
      <c r="A30" s="1" t="s">
        <v>83</v>
      </c>
      <c r="C30" s="116">
        <f>C15</f>
        <v>30.990637692193356</v>
      </c>
      <c r="D30" s="1" t="s">
        <v>113</v>
      </c>
    </row>
    <row r="32" spans="1:4" x14ac:dyDescent="0.35">
      <c r="A32" s="28" t="s">
        <v>88</v>
      </c>
    </row>
    <row r="33" spans="1:1" x14ac:dyDescent="0.35">
      <c r="A33" s="1" t="s">
        <v>89</v>
      </c>
    </row>
  </sheetData>
  <pageMargins left="0.7" right="0.7" top="0.75" bottom="0.75" header="0.3" footer="0.3"/>
  <pageSetup scale="46" orientation="portrait" r:id="rId1"/>
  <headerFooter>
    <oddHeader>&amp;R&amp;"-,Bold"Case No. 2020-00350
Attachment to Response to MHS-KFTC-KSES-1 Question No. 29(d)
Seelye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D33"/>
  <sheetViews>
    <sheetView view="pageLayout" zoomScaleNormal="80" workbookViewId="0"/>
  </sheetViews>
  <sheetFormatPr defaultColWidth="8.921875" defaultRowHeight="15.5" x14ac:dyDescent="0.35"/>
  <cols>
    <col min="1" max="1" width="51" style="1" bestFit="1" customWidth="1"/>
    <col min="2" max="2" width="9.3828125" style="1" bestFit="1" customWidth="1"/>
    <col min="3" max="3" width="12.84375" style="1" customWidth="1"/>
    <col min="4" max="16384" width="8.921875" style="1"/>
  </cols>
  <sheetData>
    <row r="1" spans="1:3" ht="21" x14ac:dyDescent="0.5">
      <c r="A1" s="39" t="s">
        <v>119</v>
      </c>
      <c r="C1" s="117"/>
    </row>
    <row r="2" spans="1:3" x14ac:dyDescent="0.35">
      <c r="C2" s="117"/>
    </row>
    <row r="3" spans="1:3" x14ac:dyDescent="0.35">
      <c r="C3" s="79"/>
    </row>
    <row r="4" spans="1:3" ht="16" thickBot="1" x14ac:dyDescent="0.4">
      <c r="C4" s="79" t="s">
        <v>21</v>
      </c>
    </row>
    <row r="5" spans="1:3" ht="31" x14ac:dyDescent="0.35">
      <c r="C5" s="80" t="s">
        <v>108</v>
      </c>
    </row>
    <row r="6" spans="1:3" x14ac:dyDescent="0.35">
      <c r="C6" s="81"/>
    </row>
    <row r="7" spans="1:3" x14ac:dyDescent="0.35">
      <c r="A7" s="1" t="s">
        <v>14</v>
      </c>
      <c r="C7" s="82">
        <v>800.85</v>
      </c>
    </row>
    <row r="8" spans="1:3" x14ac:dyDescent="0.35">
      <c r="C8" s="81"/>
    </row>
    <row r="9" spans="1:3" x14ac:dyDescent="0.35">
      <c r="A9" s="1" t="s">
        <v>24</v>
      </c>
      <c r="B9" s="48">
        <f>'WACC - Carrying Charges'!$A$28</f>
        <v>0.20505639446583585</v>
      </c>
      <c r="C9" s="83">
        <f>C7*'WACC - Carrying Charges'!$A$35</f>
        <v>244.30441350796468</v>
      </c>
    </row>
    <row r="10" spans="1:3" x14ac:dyDescent="0.35">
      <c r="C10" s="81"/>
    </row>
    <row r="11" spans="1:3" x14ac:dyDescent="0.35">
      <c r="A11" s="1" t="s">
        <v>44</v>
      </c>
      <c r="C11" s="83">
        <f>'REDACTED - Costs_Reference'!B17</f>
        <v>126</v>
      </c>
    </row>
    <row r="12" spans="1:3" x14ac:dyDescent="0.35">
      <c r="A12" s="58" t="s">
        <v>46</v>
      </c>
      <c r="C12" s="84">
        <f>'REDACTED - Costs_Reference'!B18</f>
        <v>0</v>
      </c>
    </row>
    <row r="13" spans="1:3" x14ac:dyDescent="0.35">
      <c r="C13" s="83">
        <f t="shared" ref="C13" si="0">SUM(C9:C12)</f>
        <v>370.30441350796468</v>
      </c>
    </row>
    <row r="14" spans="1:3" x14ac:dyDescent="0.35">
      <c r="C14" s="81"/>
    </row>
    <row r="15" spans="1:3" x14ac:dyDescent="0.35">
      <c r="A15" s="1" t="s">
        <v>79</v>
      </c>
      <c r="C15" s="83">
        <f>C13/12</f>
        <v>30.858701125663725</v>
      </c>
    </row>
    <row r="16" spans="1:3" x14ac:dyDescent="0.35">
      <c r="A16" s="1" t="s">
        <v>77</v>
      </c>
      <c r="C16" s="85" t="s">
        <v>78</v>
      </c>
    </row>
    <row r="17" spans="1:4" x14ac:dyDescent="0.35">
      <c r="A17" s="1" t="s">
        <v>25</v>
      </c>
      <c r="B17" s="52">
        <v>0.12469</v>
      </c>
      <c r="C17" s="83">
        <f>$B$17*'2019 EV Usage Data'!C38</f>
        <v>623.9933982172746</v>
      </c>
    </row>
    <row r="18" spans="1:4" x14ac:dyDescent="0.35">
      <c r="A18" s="1" t="s">
        <v>26</v>
      </c>
      <c r="C18" s="83">
        <f t="shared" ref="C18" si="1">C17/12</f>
        <v>51.99944985143955</v>
      </c>
      <c r="D18" s="1" t="s">
        <v>91</v>
      </c>
    </row>
    <row r="19" spans="1:4" x14ac:dyDescent="0.35">
      <c r="A19" s="1" t="s">
        <v>27</v>
      </c>
      <c r="C19" s="85" t="s">
        <v>78</v>
      </c>
      <c r="D19" s="1" t="s">
        <v>90</v>
      </c>
    </row>
    <row r="20" spans="1:4" x14ac:dyDescent="0.35">
      <c r="A20" s="1" t="s">
        <v>15</v>
      </c>
      <c r="C20" s="86">
        <v>0</v>
      </c>
      <c r="D20" s="1" t="s">
        <v>82</v>
      </c>
    </row>
    <row r="21" spans="1:4" x14ac:dyDescent="0.35">
      <c r="A21" s="1" t="s">
        <v>16</v>
      </c>
      <c r="C21" s="86">
        <v>0</v>
      </c>
      <c r="D21" s="1" t="s">
        <v>90</v>
      </c>
    </row>
    <row r="22" spans="1:4" x14ac:dyDescent="0.35">
      <c r="A22" s="1" t="s">
        <v>111</v>
      </c>
      <c r="C22" s="86">
        <v>0</v>
      </c>
      <c r="D22" s="1" t="s">
        <v>90</v>
      </c>
    </row>
    <row r="23" spans="1:4" x14ac:dyDescent="0.35">
      <c r="A23" s="1" t="s">
        <v>112</v>
      </c>
      <c r="C23" s="86">
        <v>0</v>
      </c>
      <c r="D23" s="1" t="s">
        <v>90</v>
      </c>
    </row>
    <row r="24" spans="1:4" x14ac:dyDescent="0.35">
      <c r="A24" s="1" t="s">
        <v>19</v>
      </c>
      <c r="C24" s="86">
        <v>0</v>
      </c>
      <c r="D24" s="1" t="s">
        <v>90</v>
      </c>
    </row>
    <row r="25" spans="1:4" x14ac:dyDescent="0.35">
      <c r="A25" s="1" t="s">
        <v>18</v>
      </c>
      <c r="C25" s="86">
        <v>0</v>
      </c>
      <c r="D25" s="1" t="s">
        <v>76</v>
      </c>
    </row>
    <row r="26" spans="1:4" x14ac:dyDescent="0.35">
      <c r="A26" s="1" t="s">
        <v>17</v>
      </c>
      <c r="C26" s="86">
        <v>0</v>
      </c>
      <c r="D26" s="1" t="s">
        <v>76</v>
      </c>
    </row>
    <row r="27" spans="1:4" x14ac:dyDescent="0.35">
      <c r="A27" s="1" t="s">
        <v>22</v>
      </c>
      <c r="C27" s="86">
        <v>0</v>
      </c>
      <c r="D27" s="1" t="s">
        <v>76</v>
      </c>
    </row>
    <row r="28" spans="1:4" x14ac:dyDescent="0.35">
      <c r="A28" s="1" t="s">
        <v>28</v>
      </c>
      <c r="C28" s="115">
        <f>C15+C18+C20+C21+C24+C25+C26+C27+C22+C23</f>
        <v>82.858150977103278</v>
      </c>
      <c r="D28" s="1" t="s">
        <v>114</v>
      </c>
    </row>
    <row r="29" spans="1:4" x14ac:dyDescent="0.35">
      <c r="A29" s="1" t="s">
        <v>23</v>
      </c>
      <c r="C29" s="81"/>
    </row>
    <row r="30" spans="1:4" ht="16" thickBot="1" x14ac:dyDescent="0.4">
      <c r="A30" s="1" t="s">
        <v>83</v>
      </c>
      <c r="C30" s="116">
        <f>C15</f>
        <v>30.858701125663725</v>
      </c>
      <c r="D30" s="1" t="s">
        <v>113</v>
      </c>
    </row>
    <row r="32" spans="1:4" x14ac:dyDescent="0.35">
      <c r="A32" s="28" t="s">
        <v>88</v>
      </c>
    </row>
    <row r="33" spans="1:1" x14ac:dyDescent="0.35">
      <c r="A33" s="1" t="s">
        <v>89</v>
      </c>
    </row>
  </sheetData>
  <pageMargins left="0.7" right="0.7" top="0.75" bottom="0.75" header="0.3" footer="0.3"/>
  <pageSetup scale="44" orientation="portrait" r:id="rId1"/>
  <headerFooter>
    <oddHeader>&amp;R&amp;"-,Bold"Case No. 2020-00350
Attachment to Response to MHS-KFTC-KSES-1 Question No. 29(d)
Seelye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view="pageLayout" zoomScaleNormal="80" workbookViewId="0"/>
  </sheetViews>
  <sheetFormatPr defaultColWidth="8.921875" defaultRowHeight="15.5" x14ac:dyDescent="0.35"/>
  <cols>
    <col min="1" max="1" width="12.921875" style="1" customWidth="1"/>
    <col min="2" max="2" width="11.61328125" style="1" bestFit="1" customWidth="1"/>
    <col min="3" max="8" width="8.921875" style="1"/>
    <col min="9" max="9" width="13.61328125" style="1" customWidth="1"/>
    <col min="10" max="10" width="11.61328125" style="1" bestFit="1" customWidth="1"/>
    <col min="11" max="16384" width="8.921875" style="1"/>
  </cols>
  <sheetData>
    <row r="1" spans="1:14" ht="21" x14ac:dyDescent="0.5">
      <c r="A1" s="38" t="s">
        <v>0</v>
      </c>
    </row>
    <row r="2" spans="1:14" x14ac:dyDescent="0.35">
      <c r="A2" s="29"/>
    </row>
    <row r="3" spans="1:14" ht="21" x14ac:dyDescent="0.5">
      <c r="A3" s="39" t="s">
        <v>20</v>
      </c>
      <c r="I3" s="46" t="s">
        <v>55</v>
      </c>
    </row>
    <row r="4" spans="1:14" x14ac:dyDescent="0.35">
      <c r="A4" s="1" t="s">
        <v>116</v>
      </c>
      <c r="I4" s="1" t="s">
        <v>116</v>
      </c>
    </row>
    <row r="5" spans="1:14" x14ac:dyDescent="0.35">
      <c r="A5" s="40"/>
      <c r="B5" s="11" t="s">
        <v>1</v>
      </c>
      <c r="C5" s="12" t="s">
        <v>7</v>
      </c>
      <c r="D5" s="41" t="s">
        <v>7</v>
      </c>
      <c r="E5" s="13" t="s">
        <v>9</v>
      </c>
      <c r="F5" s="9"/>
      <c r="I5" s="40"/>
      <c r="J5" s="11" t="s">
        <v>1</v>
      </c>
      <c r="K5" s="12" t="s">
        <v>7</v>
      </c>
      <c r="L5" s="41" t="s">
        <v>7</v>
      </c>
      <c r="M5" s="13" t="s">
        <v>9</v>
      </c>
      <c r="N5" s="9"/>
    </row>
    <row r="6" spans="1:14" x14ac:dyDescent="0.35">
      <c r="A6" s="42"/>
      <c r="B6" s="15" t="s">
        <v>54</v>
      </c>
      <c r="C6" s="15" t="s">
        <v>6</v>
      </c>
      <c r="D6" s="43" t="s">
        <v>10</v>
      </c>
      <c r="E6" s="44" t="s">
        <v>10</v>
      </c>
      <c r="F6" s="9"/>
      <c r="I6" s="42"/>
      <c r="J6" s="15" t="s">
        <v>54</v>
      </c>
      <c r="K6" s="15" t="s">
        <v>6</v>
      </c>
      <c r="L6" s="43" t="s">
        <v>10</v>
      </c>
      <c r="M6" s="44" t="s">
        <v>10</v>
      </c>
      <c r="N6" s="9"/>
    </row>
    <row r="7" spans="1:14" x14ac:dyDescent="0.35">
      <c r="A7" s="10" t="s">
        <v>53</v>
      </c>
      <c r="B7" s="104">
        <v>0.53231727204541945</v>
      </c>
      <c r="C7" s="105">
        <v>0.1</v>
      </c>
      <c r="D7" s="106"/>
      <c r="E7" s="45">
        <f>B7*C7</f>
        <v>5.3231727204541945E-2</v>
      </c>
      <c r="F7" s="9"/>
      <c r="I7" s="10" t="s">
        <v>53</v>
      </c>
      <c r="J7" s="104">
        <v>0.53186756668048796</v>
      </c>
      <c r="K7" s="105">
        <v>0.1</v>
      </c>
      <c r="L7" s="103"/>
      <c r="M7" s="45">
        <f>J7*K7</f>
        <v>5.3186756668048799E-2</v>
      </c>
      <c r="N7" s="9"/>
    </row>
    <row r="8" spans="1:14" x14ac:dyDescent="0.35">
      <c r="A8" s="10" t="s">
        <v>11</v>
      </c>
      <c r="B8" s="104">
        <v>1.7181755744303865E-2</v>
      </c>
      <c r="C8" s="107"/>
      <c r="D8" s="103">
        <v>4.5912749740748019E-3</v>
      </c>
      <c r="E8" s="17">
        <f>B8*D8</f>
        <v>7.8886165159488303E-5</v>
      </c>
      <c r="F8" s="9"/>
      <c r="I8" s="10" t="s">
        <v>11</v>
      </c>
      <c r="J8" s="104">
        <v>1.2724441454179317E-2</v>
      </c>
      <c r="K8" s="107"/>
      <c r="L8" s="103">
        <v>4.6014989982342287E-3</v>
      </c>
      <c r="M8" s="17">
        <f>J8*L8</f>
        <v>5.8551504604496218E-5</v>
      </c>
      <c r="N8" s="9"/>
    </row>
    <row r="9" spans="1:14" x14ac:dyDescent="0.35">
      <c r="A9" s="14" t="s">
        <v>12</v>
      </c>
      <c r="B9" s="108">
        <v>0.45050097221027657</v>
      </c>
      <c r="C9" s="109"/>
      <c r="D9" s="110">
        <v>4.1618462004870925E-2</v>
      </c>
      <c r="E9" s="19">
        <f>B9*D9</f>
        <v>1.8749157595090809E-2</v>
      </c>
      <c r="F9" s="9"/>
      <c r="I9" s="14" t="s">
        <v>12</v>
      </c>
      <c r="J9" s="108">
        <v>0.45540799186533276</v>
      </c>
      <c r="K9" s="109"/>
      <c r="L9" s="110">
        <v>4.0417299088459008E-2</v>
      </c>
      <c r="M9" s="19">
        <f>J9*L9</f>
        <v>1.8406361014495661E-2</v>
      </c>
      <c r="N9" s="9"/>
    </row>
    <row r="10" spans="1:14" x14ac:dyDescent="0.35">
      <c r="A10" s="10" t="s">
        <v>13</v>
      </c>
      <c r="B10" s="16">
        <f>SUM(B8:B9)</f>
        <v>0.46768272795458044</v>
      </c>
      <c r="C10" s="20"/>
      <c r="D10" s="21"/>
      <c r="E10" s="22"/>
      <c r="F10" s="9"/>
      <c r="I10" s="10" t="s">
        <v>13</v>
      </c>
      <c r="J10" s="16">
        <f>SUM(J8:J9)</f>
        <v>0.4681324333195121</v>
      </c>
      <c r="K10" s="20"/>
      <c r="L10" s="21"/>
      <c r="M10" s="22"/>
      <c r="N10" s="9"/>
    </row>
    <row r="11" spans="1:14" ht="16" thickBot="1" x14ac:dyDescent="0.4">
      <c r="A11" s="23" t="s">
        <v>2</v>
      </c>
      <c r="B11" s="24">
        <f>ROUNDUP(B7+B10,1)</f>
        <v>1</v>
      </c>
      <c r="C11" s="25"/>
      <c r="D11" s="25"/>
      <c r="E11" s="26">
        <f>SUM(E7:E9)</f>
        <v>7.2059770964792241E-2</v>
      </c>
      <c r="F11" s="27" t="s">
        <v>8</v>
      </c>
      <c r="I11" s="23" t="s">
        <v>2</v>
      </c>
      <c r="J11" s="24">
        <f>ROUNDUP(J7+J10,1)</f>
        <v>1</v>
      </c>
      <c r="K11" s="25"/>
      <c r="L11" s="25"/>
      <c r="M11" s="26">
        <f>SUM(M7:M9)</f>
        <v>7.165166918714895E-2</v>
      </c>
      <c r="N11" s="27" t="s">
        <v>8</v>
      </c>
    </row>
    <row r="12" spans="1:14" ht="16" thickTop="1" x14ac:dyDescent="0.35"/>
    <row r="14" spans="1:14" ht="21" x14ac:dyDescent="0.5">
      <c r="A14" s="38" t="s">
        <v>56</v>
      </c>
    </row>
    <row r="15" spans="1:14" x14ac:dyDescent="0.35">
      <c r="A15" s="113" t="s">
        <v>20</v>
      </c>
      <c r="B15" s="8" t="s">
        <v>118</v>
      </c>
      <c r="G15" s="114" t="s">
        <v>55</v>
      </c>
      <c r="H15" s="8" t="s">
        <v>118</v>
      </c>
    </row>
    <row r="16" spans="1:14" x14ac:dyDescent="0.35">
      <c r="A16" s="112">
        <v>0.19950000000000001</v>
      </c>
      <c r="B16" s="1" t="s">
        <v>117</v>
      </c>
      <c r="G16" s="112">
        <v>0.19950000000000001</v>
      </c>
      <c r="H16" s="1" t="s">
        <v>117</v>
      </c>
    </row>
    <row r="17" spans="1:14" x14ac:dyDescent="0.35">
      <c r="A17" s="111">
        <v>0.05</v>
      </c>
      <c r="B17" s="1" t="s">
        <v>115</v>
      </c>
      <c r="G17" s="111">
        <v>0.05</v>
      </c>
      <c r="H17" s="1" t="s">
        <v>115</v>
      </c>
    </row>
    <row r="18" spans="1:14" x14ac:dyDescent="0.35">
      <c r="A18" s="48">
        <f>SUM(A16:A17)</f>
        <v>0.2495</v>
      </c>
      <c r="B18" s="1" t="s">
        <v>57</v>
      </c>
      <c r="G18" s="48">
        <f>SUM(G16:G17)</f>
        <v>0.2495</v>
      </c>
      <c r="H18" s="1" t="s">
        <v>57</v>
      </c>
    </row>
    <row r="20" spans="1:14" x14ac:dyDescent="0.35">
      <c r="A20" s="49">
        <f>(E7/(1-A18))*A18</f>
        <v>1.769662350104359E-2</v>
      </c>
      <c r="B20" s="1" t="s">
        <v>60</v>
      </c>
    </row>
    <row r="21" spans="1:14" x14ac:dyDescent="0.35">
      <c r="A21" s="49">
        <f>(M7/(1-G18))*G18</f>
        <v>1.7681673269391306E-2</v>
      </c>
      <c r="B21" s="1" t="s">
        <v>61</v>
      </c>
    </row>
    <row r="23" spans="1:14" ht="21" x14ac:dyDescent="0.5">
      <c r="A23" s="39" t="s">
        <v>20</v>
      </c>
      <c r="I23" s="46" t="s">
        <v>55</v>
      </c>
    </row>
    <row r="24" spans="1:14" x14ac:dyDescent="0.35">
      <c r="A24" s="49">
        <f>E11</f>
        <v>7.2059770964792241E-2</v>
      </c>
      <c r="B24" s="1" t="s">
        <v>3</v>
      </c>
      <c r="I24" s="49">
        <f>M11</f>
        <v>7.165166918714895E-2</v>
      </c>
      <c r="J24" s="1" t="s">
        <v>3</v>
      </c>
    </row>
    <row r="25" spans="1:14" x14ac:dyDescent="0.35">
      <c r="A25" s="50">
        <f>1/D25</f>
        <v>0.1</v>
      </c>
      <c r="B25" s="1" t="s">
        <v>58</v>
      </c>
      <c r="D25" s="78">
        <v>10</v>
      </c>
      <c r="E25" s="1" t="s">
        <v>4</v>
      </c>
      <c r="I25" s="50">
        <f>1/L25</f>
        <v>0.1</v>
      </c>
      <c r="J25" s="1" t="s">
        <v>58</v>
      </c>
      <c r="L25" s="78">
        <v>10</v>
      </c>
      <c r="M25" s="1" t="s">
        <v>4</v>
      </c>
    </row>
    <row r="26" spans="1:14" x14ac:dyDescent="0.35">
      <c r="A26" s="49">
        <f>A20</f>
        <v>1.769662350104359E-2</v>
      </c>
      <c r="B26" s="1" t="s">
        <v>5</v>
      </c>
      <c r="I26" s="49">
        <f>A21</f>
        <v>1.7681673269391306E-2</v>
      </c>
      <c r="J26" s="1" t="s">
        <v>5</v>
      </c>
    </row>
    <row r="27" spans="1:14" ht="16" thickBot="1" x14ac:dyDescent="0.4">
      <c r="A27" s="101">
        <v>1.5299999999999999E-2</v>
      </c>
      <c r="B27" s="1" t="s">
        <v>59</v>
      </c>
      <c r="I27" s="101">
        <v>1.77E-2</v>
      </c>
      <c r="J27" s="1" t="s">
        <v>59</v>
      </c>
    </row>
    <row r="28" spans="1:14" ht="16" thickTop="1" x14ac:dyDescent="0.35">
      <c r="A28" s="51">
        <f>SUM(A24:A27)</f>
        <v>0.20505639446583585</v>
      </c>
      <c r="B28" s="8" t="s">
        <v>62</v>
      </c>
      <c r="I28" s="51">
        <f>SUM(I24:I27)</f>
        <v>0.20703334245654026</v>
      </c>
      <c r="J28" s="8" t="s">
        <v>63</v>
      </c>
    </row>
    <row r="29" spans="1:14" ht="16" thickBot="1" x14ac:dyDescent="0.4"/>
    <row r="30" spans="1:14" ht="21" x14ac:dyDescent="0.5">
      <c r="A30" s="87" t="s">
        <v>20</v>
      </c>
      <c r="B30" s="88"/>
      <c r="C30" s="88"/>
      <c r="D30" s="88"/>
      <c r="E30" s="88"/>
      <c r="F30" s="88"/>
      <c r="G30" s="88"/>
      <c r="H30" s="88"/>
      <c r="I30" s="89" t="s">
        <v>55</v>
      </c>
      <c r="J30" s="88"/>
      <c r="K30" s="88"/>
      <c r="L30" s="88"/>
      <c r="M30" s="88"/>
      <c r="N30" s="90"/>
    </row>
    <row r="31" spans="1:14" x14ac:dyDescent="0.35">
      <c r="A31" s="91">
        <f>E11</f>
        <v>7.2059770964792241E-2</v>
      </c>
      <c r="B31" s="58" t="s">
        <v>3</v>
      </c>
      <c r="C31" s="58"/>
      <c r="D31" s="58"/>
      <c r="E31" s="58"/>
      <c r="F31" s="58"/>
      <c r="G31" s="58"/>
      <c r="H31" s="58"/>
      <c r="I31" s="92">
        <f>M11</f>
        <v>7.165166918714895E-2</v>
      </c>
      <c r="J31" s="58" t="s">
        <v>3</v>
      </c>
      <c r="K31" s="58"/>
      <c r="L31" s="58"/>
      <c r="M31" s="58"/>
      <c r="N31" s="93"/>
    </row>
    <row r="32" spans="1:14" x14ac:dyDescent="0.35">
      <c r="A32" s="94">
        <f>1/D32</f>
        <v>0.2</v>
      </c>
      <c r="B32" s="58" t="s">
        <v>58</v>
      </c>
      <c r="C32" s="58"/>
      <c r="D32" s="62">
        <v>5</v>
      </c>
      <c r="E32" s="58" t="s">
        <v>4</v>
      </c>
      <c r="F32" s="58"/>
      <c r="G32" s="58"/>
      <c r="H32" s="58"/>
      <c r="I32" s="95">
        <f>1/L32</f>
        <v>0.2</v>
      </c>
      <c r="J32" s="58" t="s">
        <v>58</v>
      </c>
      <c r="K32" s="58"/>
      <c r="L32" s="62">
        <v>5</v>
      </c>
      <c r="M32" s="58" t="s">
        <v>4</v>
      </c>
      <c r="N32" s="93"/>
    </row>
    <row r="33" spans="1:14" x14ac:dyDescent="0.35">
      <c r="A33" s="91">
        <f>A20</f>
        <v>1.769662350104359E-2</v>
      </c>
      <c r="B33" s="58" t="s">
        <v>5</v>
      </c>
      <c r="C33" s="58"/>
      <c r="D33" s="58"/>
      <c r="E33" s="58"/>
      <c r="F33" s="58"/>
      <c r="G33" s="58"/>
      <c r="H33" s="58"/>
      <c r="I33" s="92">
        <f>A21</f>
        <v>1.7681673269391306E-2</v>
      </c>
      <c r="J33" s="58" t="s">
        <v>5</v>
      </c>
      <c r="K33" s="58"/>
      <c r="L33" s="58"/>
      <c r="M33" s="58"/>
      <c r="N33" s="93"/>
    </row>
    <row r="34" spans="1:14" ht="16" thickBot="1" x14ac:dyDescent="0.4">
      <c r="A34" s="102">
        <v>1.5299999999999999E-2</v>
      </c>
      <c r="B34" s="58" t="s">
        <v>59</v>
      </c>
      <c r="C34" s="58"/>
      <c r="D34" s="58"/>
      <c r="E34" s="58"/>
      <c r="F34" s="58"/>
      <c r="G34" s="58"/>
      <c r="H34" s="58"/>
      <c r="I34" s="101">
        <v>1.77E-2</v>
      </c>
      <c r="J34" s="58" t="s">
        <v>59</v>
      </c>
      <c r="K34" s="58"/>
      <c r="L34" s="58"/>
      <c r="M34" s="58"/>
      <c r="N34" s="93"/>
    </row>
    <row r="35" spans="1:14" ht="16.5" thickTop="1" thickBot="1" x14ac:dyDescent="0.4">
      <c r="A35" s="96">
        <f>SUM(A31:A34)</f>
        <v>0.30505639446583588</v>
      </c>
      <c r="B35" s="97" t="s">
        <v>62</v>
      </c>
      <c r="C35" s="98"/>
      <c r="D35" s="98"/>
      <c r="E35" s="98"/>
      <c r="F35" s="98"/>
      <c r="G35" s="98"/>
      <c r="H35" s="98"/>
      <c r="I35" s="99">
        <f>SUM(I31:I34)</f>
        <v>0.30703334245654024</v>
      </c>
      <c r="J35" s="97" t="s">
        <v>63</v>
      </c>
      <c r="K35" s="98"/>
      <c r="L35" s="98"/>
      <c r="M35" s="98"/>
      <c r="N35" s="100"/>
    </row>
    <row r="36" spans="1:14" x14ac:dyDescent="0.35">
      <c r="A36" s="61"/>
      <c r="B36" s="63"/>
      <c r="C36" s="60"/>
      <c r="D36" s="61"/>
    </row>
    <row r="37" spans="1:14" x14ac:dyDescent="0.35">
      <c r="A37" s="61"/>
      <c r="B37" s="63"/>
      <c r="C37" s="60"/>
      <c r="D37" s="61"/>
    </row>
    <row r="38" spans="1:14" x14ac:dyDescent="0.35">
      <c r="A38" s="61"/>
      <c r="B38" s="63"/>
      <c r="C38" s="60"/>
      <c r="D38" s="61"/>
    </row>
    <row r="39" spans="1:14" x14ac:dyDescent="0.35">
      <c r="A39" s="61"/>
      <c r="B39" s="63"/>
      <c r="C39" s="60"/>
      <c r="D39" s="61"/>
    </row>
    <row r="40" spans="1:14" x14ac:dyDescent="0.35">
      <c r="A40" s="61"/>
      <c r="B40" s="63"/>
      <c r="C40" s="60"/>
      <c r="D40" s="61"/>
    </row>
    <row r="41" spans="1:14" x14ac:dyDescent="0.35">
      <c r="A41" s="61"/>
      <c r="B41" s="63"/>
      <c r="C41" s="60"/>
      <c r="D41" s="61"/>
    </row>
    <row r="42" spans="1:14" x14ac:dyDescent="0.35">
      <c r="A42" s="61"/>
      <c r="B42" s="63"/>
      <c r="C42" s="60"/>
      <c r="D42" s="61"/>
    </row>
    <row r="43" spans="1:14" x14ac:dyDescent="0.35">
      <c r="A43" s="61"/>
      <c r="B43" s="63"/>
      <c r="C43" s="60"/>
      <c r="D43" s="61"/>
    </row>
    <row r="44" spans="1:14" x14ac:dyDescent="0.35">
      <c r="A44" s="61"/>
      <c r="B44" s="63"/>
      <c r="C44" s="60"/>
      <c r="D44" s="61"/>
    </row>
    <row r="45" spans="1:14" x14ac:dyDescent="0.35">
      <c r="A45" s="61"/>
      <c r="B45" s="63"/>
      <c r="C45" s="60"/>
      <c r="D45" s="61"/>
    </row>
    <row r="46" spans="1:14" x14ac:dyDescent="0.35">
      <c r="A46" s="61"/>
      <c r="B46" s="63"/>
      <c r="C46" s="60"/>
      <c r="D46" s="61"/>
    </row>
    <row r="47" spans="1:14" x14ac:dyDescent="0.35">
      <c r="A47" s="61"/>
      <c r="B47" s="63"/>
      <c r="C47" s="60"/>
      <c r="D47" s="61"/>
    </row>
    <row r="48" spans="1:14" x14ac:dyDescent="0.35">
      <c r="A48" s="61"/>
      <c r="B48" s="64"/>
      <c r="C48" s="65"/>
      <c r="D48" s="61"/>
    </row>
  </sheetData>
  <pageMargins left="0.7" right="0.7" top="0.75" bottom="0.75" header="0.3" footer="0.3"/>
  <pageSetup scale="48" orientation="portrait" r:id="rId1"/>
  <headerFooter>
    <oddHeader>&amp;R&amp;"-,Bold"Case No. 2020-00350
Attachment to Response to MHS-KFTC-KSES-1 Question No. 29(d)
Seelye</oddHeader>
  </headerFooter>
  <ignoredErrors>
    <ignoredError sqref="B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view="pageLayout" zoomScaleNormal="80" workbookViewId="0"/>
  </sheetViews>
  <sheetFormatPr defaultColWidth="8.921875" defaultRowHeight="15.5" x14ac:dyDescent="0.35"/>
  <cols>
    <col min="1" max="1" width="21.4609375" style="1" customWidth="1"/>
    <col min="2" max="2" width="10.3828125" style="1" customWidth="1"/>
    <col min="3" max="3" width="11.15234375" style="1" customWidth="1"/>
    <col min="4" max="4" width="8.921875" style="1"/>
    <col min="5" max="5" width="15.3828125" style="1" customWidth="1"/>
    <col min="6" max="7" width="8.921875" style="1"/>
    <col min="8" max="8" width="14.3828125" style="1" bestFit="1" customWidth="1"/>
    <col min="9" max="11" width="8.921875" style="1"/>
    <col min="12" max="12" width="15.84375" style="1" customWidth="1"/>
    <col min="13" max="16384" width="8.921875" style="1"/>
  </cols>
  <sheetData>
    <row r="1" spans="1:13" ht="21" x14ac:dyDescent="0.5">
      <c r="A1" s="54" t="s">
        <v>105</v>
      </c>
      <c r="M1" s="74" t="s">
        <v>106</v>
      </c>
    </row>
    <row r="2" spans="1:13" x14ac:dyDescent="0.35">
      <c r="A2" s="8" t="s">
        <v>64</v>
      </c>
      <c r="H2" s="8" t="s">
        <v>87</v>
      </c>
    </row>
    <row r="3" spans="1:13" ht="46.5" x14ac:dyDescent="0.35">
      <c r="A3" s="57" t="s">
        <v>65</v>
      </c>
      <c r="B3" s="55" t="s">
        <v>66</v>
      </c>
      <c r="C3" s="55" t="s">
        <v>67</v>
      </c>
      <c r="D3" s="55" t="s">
        <v>68</v>
      </c>
      <c r="E3" s="55" t="s">
        <v>72</v>
      </c>
      <c r="F3" s="55" t="s">
        <v>69</v>
      </c>
      <c r="H3" s="57" t="s">
        <v>65</v>
      </c>
      <c r="I3" s="55" t="s">
        <v>66</v>
      </c>
      <c r="J3" s="55" t="s">
        <v>67</v>
      </c>
      <c r="K3" s="55" t="s">
        <v>68</v>
      </c>
      <c r="L3" s="55" t="s">
        <v>72</v>
      </c>
      <c r="M3" s="55" t="s">
        <v>69</v>
      </c>
    </row>
    <row r="4" spans="1:13" x14ac:dyDescent="0.35">
      <c r="A4" s="5" t="s">
        <v>29</v>
      </c>
      <c r="B4" s="56">
        <v>365</v>
      </c>
      <c r="C4" s="56">
        <v>426.75</v>
      </c>
      <c r="D4" s="71">
        <f>4*B4</f>
        <v>1460</v>
      </c>
      <c r="E4" s="73">
        <f>C4/D4</f>
        <v>0.29229452054794519</v>
      </c>
      <c r="F4" s="73">
        <f>C4/(B4*24)</f>
        <v>4.8715753424657532E-2</v>
      </c>
      <c r="H4" s="53" t="s">
        <v>85</v>
      </c>
      <c r="I4" s="56">
        <v>365</v>
      </c>
      <c r="J4" s="77">
        <v>2786</v>
      </c>
      <c r="K4" s="71">
        <f>4*I4</f>
        <v>1460</v>
      </c>
      <c r="L4" s="73">
        <f>J4/K4</f>
        <v>1.9082191780821918</v>
      </c>
      <c r="M4" s="73">
        <f>J4/(I4*24)</f>
        <v>0.31803652968036528</v>
      </c>
    </row>
    <row r="5" spans="1:13" ht="31" x14ac:dyDescent="0.35">
      <c r="A5" s="5" t="s">
        <v>30</v>
      </c>
      <c r="B5" s="56">
        <v>365</v>
      </c>
      <c r="C5" s="56">
        <v>1023.12</v>
      </c>
      <c r="D5" s="71">
        <f t="shared" ref="D5:D11" si="0">4*B5</f>
        <v>1460</v>
      </c>
      <c r="E5" s="73">
        <f t="shared" ref="E5:E11" si="1">C5/D5</f>
        <v>0.70076712328767121</v>
      </c>
      <c r="F5" s="73">
        <f t="shared" ref="F5:F24" si="2">C5/(B5*24)</f>
        <v>0.1167945205479452</v>
      </c>
      <c r="H5" s="53" t="s">
        <v>86</v>
      </c>
      <c r="I5" s="56">
        <v>365</v>
      </c>
      <c r="J5" s="77">
        <v>540</v>
      </c>
      <c r="K5" s="71">
        <f t="shared" ref="K5" si="3">4*I5</f>
        <v>1460</v>
      </c>
      <c r="L5" s="73">
        <f t="shared" ref="L5" si="4">J5/K5</f>
        <v>0.36986301369863012</v>
      </c>
      <c r="M5" s="73">
        <f t="shared" ref="M5:M24" si="5">J5/(I5*24)</f>
        <v>6.1643835616438353E-2</v>
      </c>
    </row>
    <row r="6" spans="1:13" x14ac:dyDescent="0.35">
      <c r="A6" s="5" t="s">
        <v>31</v>
      </c>
      <c r="B6" s="56">
        <v>365</v>
      </c>
      <c r="C6" s="56">
        <v>433.98</v>
      </c>
      <c r="D6" s="71">
        <f t="shared" si="0"/>
        <v>1460</v>
      </c>
      <c r="E6" s="73">
        <f t="shared" si="1"/>
        <v>0.29724657534246579</v>
      </c>
      <c r="F6" s="73">
        <f t="shared" si="2"/>
        <v>4.9541095890410961E-2</v>
      </c>
      <c r="H6" s="53" t="s">
        <v>107</v>
      </c>
      <c r="I6" s="56">
        <v>202</v>
      </c>
      <c r="J6" s="77">
        <v>1521</v>
      </c>
      <c r="K6" s="71">
        <f t="shared" ref="K6" si="6">4*I6</f>
        <v>808</v>
      </c>
      <c r="L6" s="73">
        <f t="shared" ref="L6" si="7">J6/K6</f>
        <v>1.8824257425742574</v>
      </c>
      <c r="M6" s="73">
        <f t="shared" ref="M6" si="8">J6/(I6*24)</f>
        <v>0.31373762376237624</v>
      </c>
    </row>
    <row r="7" spans="1:13" x14ac:dyDescent="0.35">
      <c r="A7" s="5" t="s">
        <v>32</v>
      </c>
      <c r="B7" s="56">
        <v>365</v>
      </c>
      <c r="C7" s="56">
        <v>378.78</v>
      </c>
      <c r="D7" s="71">
        <f t="shared" si="0"/>
        <v>1460</v>
      </c>
      <c r="E7" s="73">
        <f t="shared" si="1"/>
        <v>0.25943835616438354</v>
      </c>
      <c r="F7" s="73">
        <f t="shared" si="2"/>
        <v>4.3239726027397257E-2</v>
      </c>
      <c r="H7" s="53"/>
      <c r="I7" s="56"/>
      <c r="J7" s="56"/>
      <c r="K7" s="59"/>
      <c r="L7" s="47"/>
      <c r="M7" s="47"/>
    </row>
    <row r="8" spans="1:13" x14ac:dyDescent="0.35">
      <c r="A8" s="5" t="s">
        <v>33</v>
      </c>
      <c r="B8" s="56">
        <v>365</v>
      </c>
      <c r="C8" s="56">
        <v>512.13</v>
      </c>
      <c r="D8" s="71">
        <f t="shared" si="0"/>
        <v>1460</v>
      </c>
      <c r="E8" s="73">
        <f t="shared" si="1"/>
        <v>0.35077397260273974</v>
      </c>
      <c r="F8" s="73">
        <f t="shared" si="2"/>
        <v>5.8462328767123289E-2</v>
      </c>
      <c r="H8" s="53"/>
      <c r="I8" s="56"/>
      <c r="J8" s="56"/>
      <c r="K8" s="59"/>
      <c r="L8" s="47"/>
      <c r="M8" s="47"/>
    </row>
    <row r="9" spans="1:13" x14ac:dyDescent="0.35">
      <c r="A9" s="5" t="s">
        <v>34</v>
      </c>
      <c r="B9" s="56">
        <v>365</v>
      </c>
      <c r="C9" s="56">
        <v>720.99</v>
      </c>
      <c r="D9" s="71">
        <f t="shared" si="0"/>
        <v>1460</v>
      </c>
      <c r="E9" s="73">
        <f t="shared" si="1"/>
        <v>0.49382876712328766</v>
      </c>
      <c r="F9" s="73">
        <f t="shared" si="2"/>
        <v>8.2304794520547953E-2</v>
      </c>
      <c r="H9" s="53"/>
      <c r="I9" s="56"/>
      <c r="J9" s="56"/>
      <c r="K9" s="59"/>
      <c r="L9" s="47"/>
      <c r="M9" s="47"/>
    </row>
    <row r="10" spans="1:13" x14ac:dyDescent="0.35">
      <c r="A10" s="5" t="s">
        <v>35</v>
      </c>
      <c r="B10" s="56">
        <v>365</v>
      </c>
      <c r="C10" s="56">
        <v>124.84</v>
      </c>
      <c r="D10" s="71">
        <f t="shared" si="0"/>
        <v>1460</v>
      </c>
      <c r="E10" s="73">
        <f t="shared" si="1"/>
        <v>8.5506849315068495E-2</v>
      </c>
      <c r="F10" s="73">
        <f t="shared" si="2"/>
        <v>1.4251141552511415E-2</v>
      </c>
      <c r="H10" s="53"/>
      <c r="I10" s="56"/>
      <c r="J10" s="56"/>
      <c r="K10" s="59"/>
      <c r="L10" s="47"/>
      <c r="M10" s="47"/>
    </row>
    <row r="11" spans="1:13" x14ac:dyDescent="0.35">
      <c r="A11" s="6" t="s">
        <v>36</v>
      </c>
      <c r="B11" s="59">
        <v>365</v>
      </c>
      <c r="C11" s="59">
        <v>80.31</v>
      </c>
      <c r="D11" s="71">
        <f t="shared" si="0"/>
        <v>1460</v>
      </c>
      <c r="E11" s="73">
        <f t="shared" si="1"/>
        <v>5.5006849315068496E-2</v>
      </c>
      <c r="F11" s="73">
        <f t="shared" si="2"/>
        <v>9.1678082191780832E-3</v>
      </c>
      <c r="H11" s="53"/>
      <c r="I11" s="59"/>
      <c r="J11" s="59"/>
      <c r="K11" s="59"/>
      <c r="L11" s="75"/>
      <c r="M11" s="75"/>
    </row>
    <row r="12" spans="1:13" x14ac:dyDescent="0.35">
      <c r="A12" s="6" t="s">
        <v>93</v>
      </c>
      <c r="B12" s="59">
        <v>365</v>
      </c>
      <c r="C12" s="59">
        <v>243.41</v>
      </c>
      <c r="D12" s="71">
        <f t="shared" ref="D12:D23" si="9">4*B12</f>
        <v>1460</v>
      </c>
      <c r="E12" s="73">
        <f t="shared" ref="E12:E23" si="10">C12/D12</f>
        <v>0.16671917808219178</v>
      </c>
      <c r="F12" s="73">
        <f t="shared" ref="F12:F23" si="11">C12/(B12*24)</f>
        <v>2.7786529680365296E-2</v>
      </c>
      <c r="H12" s="53"/>
      <c r="I12" s="59"/>
      <c r="J12" s="59"/>
      <c r="K12" s="59"/>
      <c r="L12" s="75"/>
      <c r="M12" s="75"/>
    </row>
    <row r="13" spans="1:13" x14ac:dyDescent="0.35">
      <c r="A13" s="6" t="s">
        <v>94</v>
      </c>
      <c r="B13" s="59">
        <v>365</v>
      </c>
      <c r="C13" s="59">
        <v>196.39</v>
      </c>
      <c r="D13" s="71">
        <f t="shared" si="9"/>
        <v>1460</v>
      </c>
      <c r="E13" s="73">
        <f t="shared" si="10"/>
        <v>0.13451369863013699</v>
      </c>
      <c r="F13" s="73">
        <f t="shared" si="11"/>
        <v>2.2418949771689498E-2</v>
      </c>
      <c r="H13" s="53"/>
      <c r="I13" s="59"/>
      <c r="J13" s="59"/>
      <c r="K13" s="59"/>
      <c r="L13" s="75"/>
      <c r="M13" s="75"/>
    </row>
    <row r="14" spans="1:13" x14ac:dyDescent="0.35">
      <c r="A14" s="6" t="s">
        <v>95</v>
      </c>
      <c r="B14" s="59">
        <v>365</v>
      </c>
      <c r="C14" s="59">
        <v>270.92</v>
      </c>
      <c r="D14" s="71">
        <f t="shared" si="9"/>
        <v>1460</v>
      </c>
      <c r="E14" s="73">
        <f t="shared" si="10"/>
        <v>0.18556164383561644</v>
      </c>
      <c r="F14" s="73">
        <f t="shared" si="11"/>
        <v>3.0926940639269408E-2</v>
      </c>
      <c r="H14" s="53"/>
      <c r="I14" s="59"/>
      <c r="J14" s="59"/>
      <c r="K14" s="59"/>
      <c r="L14" s="75"/>
      <c r="M14" s="75"/>
    </row>
    <row r="15" spans="1:13" x14ac:dyDescent="0.35">
      <c r="A15" s="6" t="s">
        <v>96</v>
      </c>
      <c r="B15" s="59">
        <v>365</v>
      </c>
      <c r="C15" s="59">
        <v>11.77</v>
      </c>
      <c r="D15" s="71">
        <f t="shared" si="9"/>
        <v>1460</v>
      </c>
      <c r="E15" s="73">
        <f t="shared" si="10"/>
        <v>8.0616438356164374E-3</v>
      </c>
      <c r="F15" s="73">
        <f t="shared" si="11"/>
        <v>1.3436073059360731E-3</v>
      </c>
      <c r="H15" s="53"/>
      <c r="I15" s="59"/>
      <c r="J15" s="59"/>
      <c r="K15" s="59"/>
      <c r="L15" s="75"/>
      <c r="M15" s="75"/>
    </row>
    <row r="16" spans="1:13" ht="31" x14ac:dyDescent="0.35">
      <c r="A16" s="6" t="s">
        <v>97</v>
      </c>
      <c r="B16" s="59">
        <v>365</v>
      </c>
      <c r="C16" s="59">
        <v>11.41</v>
      </c>
      <c r="D16" s="71">
        <f t="shared" si="9"/>
        <v>1460</v>
      </c>
      <c r="E16" s="73">
        <f t="shared" si="10"/>
        <v>7.8150684931506849E-3</v>
      </c>
      <c r="F16" s="73">
        <f t="shared" si="11"/>
        <v>1.3025114155251142E-3</v>
      </c>
      <c r="H16" s="53"/>
      <c r="I16" s="59"/>
      <c r="J16" s="59"/>
      <c r="K16" s="59"/>
      <c r="L16" s="75"/>
      <c r="M16" s="75"/>
    </row>
    <row r="17" spans="1:13" x14ac:dyDescent="0.35">
      <c r="A17" s="6" t="s">
        <v>98</v>
      </c>
      <c r="B17" s="59">
        <v>308</v>
      </c>
      <c r="C17" s="59">
        <v>79.39</v>
      </c>
      <c r="D17" s="71">
        <f t="shared" si="9"/>
        <v>1232</v>
      </c>
      <c r="E17" s="73">
        <f t="shared" si="10"/>
        <v>6.4439935064935061E-2</v>
      </c>
      <c r="F17" s="73">
        <f t="shared" si="11"/>
        <v>1.0739989177489178E-2</v>
      </c>
      <c r="H17" s="53"/>
      <c r="I17" s="59"/>
      <c r="J17" s="59"/>
      <c r="K17" s="59"/>
      <c r="L17" s="75"/>
      <c r="M17" s="75"/>
    </row>
    <row r="18" spans="1:13" x14ac:dyDescent="0.35">
      <c r="A18" s="6" t="s">
        <v>99</v>
      </c>
      <c r="B18" s="59">
        <v>296</v>
      </c>
      <c r="C18" s="59">
        <v>72.930000000000007</v>
      </c>
      <c r="D18" s="71">
        <f t="shared" si="9"/>
        <v>1184</v>
      </c>
      <c r="E18" s="73">
        <f t="shared" si="10"/>
        <v>6.159628378378379E-2</v>
      </c>
      <c r="F18" s="73">
        <f t="shared" si="11"/>
        <v>1.0266047297297298E-2</v>
      </c>
      <c r="H18" s="53"/>
      <c r="I18" s="59"/>
      <c r="J18" s="59"/>
      <c r="K18" s="59"/>
      <c r="L18" s="75"/>
      <c r="M18" s="75"/>
    </row>
    <row r="19" spans="1:13" x14ac:dyDescent="0.35">
      <c r="A19" s="6" t="s">
        <v>100</v>
      </c>
      <c r="B19" s="59">
        <v>286</v>
      </c>
      <c r="C19" s="59">
        <v>247.06</v>
      </c>
      <c r="D19" s="71">
        <f t="shared" si="9"/>
        <v>1144</v>
      </c>
      <c r="E19" s="73">
        <f t="shared" si="10"/>
        <v>0.21596153846153845</v>
      </c>
      <c r="F19" s="73">
        <f t="shared" si="11"/>
        <v>3.5993589743589745E-2</v>
      </c>
      <c r="H19" s="53"/>
      <c r="I19" s="59"/>
      <c r="J19" s="59"/>
      <c r="K19" s="59"/>
      <c r="L19" s="75"/>
      <c r="M19" s="75"/>
    </row>
    <row r="20" spans="1:13" x14ac:dyDescent="0.35">
      <c r="A20" s="6" t="s">
        <v>101</v>
      </c>
      <c r="B20" s="59">
        <v>286</v>
      </c>
      <c r="C20" s="59">
        <v>58.56</v>
      </c>
      <c r="D20" s="71">
        <f t="shared" si="9"/>
        <v>1144</v>
      </c>
      <c r="E20" s="73">
        <f t="shared" si="10"/>
        <v>5.118881118881119E-2</v>
      </c>
      <c r="F20" s="73">
        <f t="shared" si="11"/>
        <v>8.531468531468531E-3</v>
      </c>
      <c r="H20" s="53"/>
      <c r="I20" s="59"/>
      <c r="J20" s="59"/>
      <c r="K20" s="59"/>
      <c r="L20" s="75"/>
      <c r="M20" s="75"/>
    </row>
    <row r="21" spans="1:13" x14ac:dyDescent="0.35">
      <c r="A21" s="6" t="s">
        <v>102</v>
      </c>
      <c r="B21" s="59">
        <v>270</v>
      </c>
      <c r="C21" s="59">
        <v>54.34</v>
      </c>
      <c r="D21" s="71">
        <f t="shared" si="9"/>
        <v>1080</v>
      </c>
      <c r="E21" s="73">
        <f t="shared" si="10"/>
        <v>5.0314814814814819E-2</v>
      </c>
      <c r="F21" s="73">
        <f t="shared" si="11"/>
        <v>8.3858024691358026E-3</v>
      </c>
      <c r="H21" s="53"/>
      <c r="I21" s="59"/>
      <c r="J21" s="59"/>
      <c r="K21" s="59"/>
      <c r="L21" s="75"/>
      <c r="M21" s="75"/>
    </row>
    <row r="22" spans="1:13" x14ac:dyDescent="0.35">
      <c r="A22" s="6" t="s">
        <v>103</v>
      </c>
      <c r="B22" s="59">
        <v>275</v>
      </c>
      <c r="C22" s="59">
        <v>70.150000000000006</v>
      </c>
      <c r="D22" s="71">
        <f t="shared" si="9"/>
        <v>1100</v>
      </c>
      <c r="E22" s="73">
        <f t="shared" si="10"/>
        <v>6.3772727272727273E-2</v>
      </c>
      <c r="F22" s="73">
        <f t="shared" si="11"/>
        <v>1.062878787878788E-2</v>
      </c>
      <c r="H22" s="53"/>
      <c r="I22" s="59"/>
      <c r="J22" s="59"/>
      <c r="K22" s="59"/>
      <c r="L22" s="75"/>
      <c r="M22" s="75"/>
    </row>
    <row r="23" spans="1:13" ht="31" x14ac:dyDescent="0.35">
      <c r="A23" s="6" t="s">
        <v>104</v>
      </c>
      <c r="B23" s="59">
        <v>268</v>
      </c>
      <c r="C23" s="59">
        <v>522.37</v>
      </c>
      <c r="D23" s="71">
        <f t="shared" si="9"/>
        <v>1072</v>
      </c>
      <c r="E23" s="73">
        <f t="shared" si="10"/>
        <v>0.48728544776119403</v>
      </c>
      <c r="F23" s="73">
        <f t="shared" si="11"/>
        <v>8.1214241293532344E-2</v>
      </c>
      <c r="H23" s="53"/>
      <c r="I23" s="59"/>
      <c r="J23" s="59"/>
      <c r="K23" s="59"/>
      <c r="L23" s="75"/>
      <c r="M23" s="75"/>
    </row>
    <row r="24" spans="1:13" x14ac:dyDescent="0.35">
      <c r="B24" s="71">
        <f>SUM(B4:B23)</f>
        <v>6734</v>
      </c>
      <c r="C24" s="71">
        <f>SUM(C4:C23)</f>
        <v>5539.6000000000013</v>
      </c>
      <c r="D24" s="71">
        <f>SUM(D4:D23)</f>
        <v>26936</v>
      </c>
      <c r="E24" s="73">
        <f>C24/D24</f>
        <v>0.20565785565785571</v>
      </c>
      <c r="F24" s="73">
        <f t="shared" si="2"/>
        <v>3.4276309276309286E-2</v>
      </c>
      <c r="I24" s="71">
        <f>SUM(I4:I23)</f>
        <v>932</v>
      </c>
      <c r="J24" s="71">
        <f>SUM(J4:J23)</f>
        <v>4847</v>
      </c>
      <c r="K24" s="71">
        <f>SUM(K4:K23)</f>
        <v>3728</v>
      </c>
      <c r="L24" s="73">
        <f>J24/K24</f>
        <v>1.3001609442060085</v>
      </c>
      <c r="M24" s="73">
        <f t="shared" si="5"/>
        <v>0.21669349070100144</v>
      </c>
    </row>
    <row r="26" spans="1:13" x14ac:dyDescent="0.35">
      <c r="B26" s="7" t="s">
        <v>52</v>
      </c>
      <c r="C26" s="7" t="s">
        <v>84</v>
      </c>
    </row>
    <row r="27" spans="1:13" x14ac:dyDescent="0.35">
      <c r="B27" s="72">
        <f>C24/B24</f>
        <v>0.82263142263142286</v>
      </c>
      <c r="C27" s="72">
        <f>J24/I24</f>
        <v>5.2006437768240339</v>
      </c>
      <c r="D27" s="1" t="s">
        <v>70</v>
      </c>
    </row>
    <row r="28" spans="1:13" x14ac:dyDescent="0.35">
      <c r="B28" s="73">
        <f>C24/(B24*24)</f>
        <v>3.4276309276309286E-2</v>
      </c>
      <c r="C28" s="73">
        <f>J24/(I24*24)</f>
        <v>0.21669349070100144</v>
      </c>
      <c r="D28" s="1" t="s">
        <v>71</v>
      </c>
    </row>
    <row r="30" spans="1:13" x14ac:dyDescent="0.35">
      <c r="A30" s="76"/>
      <c r="B30" s="30">
        <v>4.6100000000000003</v>
      </c>
      <c r="C30" s="78">
        <v>2.63</v>
      </c>
      <c r="D30" s="1" t="s">
        <v>73</v>
      </c>
    </row>
    <row r="32" spans="1:13" x14ac:dyDescent="0.35">
      <c r="B32" s="72">
        <f>B30*B27</f>
        <v>3.7923308583308595</v>
      </c>
      <c r="C32" s="72">
        <f>C30*C27</f>
        <v>13.677693133047208</v>
      </c>
      <c r="D32" s="1" t="s">
        <v>74</v>
      </c>
    </row>
    <row r="34" spans="2:4" x14ac:dyDescent="0.35">
      <c r="B34" s="71">
        <f>B32*365</f>
        <v>1384.2007632907637</v>
      </c>
      <c r="C34" s="71">
        <f>C32*365</f>
        <v>4992.3579935622311</v>
      </c>
      <c r="D34" s="1" t="s">
        <v>75</v>
      </c>
    </row>
    <row r="36" spans="2:4" x14ac:dyDescent="0.35">
      <c r="B36" s="30">
        <v>12</v>
      </c>
      <c r="C36" s="30">
        <v>12</v>
      </c>
      <c r="D36" s="1" t="s">
        <v>80</v>
      </c>
    </row>
    <row r="38" spans="2:4" x14ac:dyDescent="0.35">
      <c r="B38" s="71">
        <f>B34+B36</f>
        <v>1396.2007632907637</v>
      </c>
      <c r="C38" s="71">
        <f>C34+C36</f>
        <v>5004.3579935622311</v>
      </c>
      <c r="D38" s="1" t="s">
        <v>81</v>
      </c>
    </row>
  </sheetData>
  <pageMargins left="0.7" right="0.7" top="0.75" bottom="0.75" header="0.3" footer="0.3"/>
  <pageSetup scale="47" orientation="portrait" r:id="rId1"/>
  <headerFooter>
    <oddHeader>&amp;R&amp;"-,Bold"Case No. 2020-00350
Attachment to Response to MHS-KFTC-KSES-1 Question No. 29(d)
Seelye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H21"/>
  <sheetViews>
    <sheetView view="pageLayout" zoomScaleNormal="80" workbookViewId="0"/>
  </sheetViews>
  <sheetFormatPr defaultColWidth="8.921875" defaultRowHeight="15.5" x14ac:dyDescent="0.35"/>
  <cols>
    <col min="1" max="1" width="25.15234375" style="1" bestFit="1" customWidth="1"/>
    <col min="2" max="7" width="20.84375" style="1" customWidth="1"/>
    <col min="8" max="8" width="14.3828125" style="1" customWidth="1"/>
    <col min="9" max="18" width="10.4609375" style="1" bestFit="1" customWidth="1"/>
    <col min="19" max="19" width="10.61328125" style="1" bestFit="1" customWidth="1"/>
    <col min="20" max="16384" width="8.921875" style="1"/>
  </cols>
  <sheetData>
    <row r="1" spans="1:8" ht="61.5" x14ac:dyDescent="1.35">
      <c r="A1" s="118" t="s">
        <v>121</v>
      </c>
      <c r="B1" s="67"/>
    </row>
    <row r="3" spans="1:8" x14ac:dyDescent="0.35">
      <c r="A3" s="29" t="s">
        <v>49</v>
      </c>
    </row>
    <row r="4" spans="1:8" x14ac:dyDescent="0.35">
      <c r="B4" s="31" t="s">
        <v>108</v>
      </c>
    </row>
    <row r="5" spans="1:8" ht="61.5" x14ac:dyDescent="1.35">
      <c r="A5" s="3" t="s">
        <v>110</v>
      </c>
      <c r="B5" s="119"/>
      <c r="C5" s="35" t="s">
        <v>51</v>
      </c>
      <c r="F5" s="118"/>
      <c r="G5" s="67"/>
      <c r="H5" s="67"/>
    </row>
    <row r="6" spans="1:8" x14ac:dyDescent="0.35">
      <c r="A6" s="2" t="s">
        <v>37</v>
      </c>
      <c r="B6" s="119"/>
      <c r="C6" s="35" t="s">
        <v>52</v>
      </c>
    </row>
    <row r="7" spans="1:8" x14ac:dyDescent="0.35">
      <c r="A7" s="2" t="s">
        <v>92</v>
      </c>
      <c r="B7" s="119"/>
      <c r="C7" s="35" t="s">
        <v>52</v>
      </c>
    </row>
    <row r="8" spans="1:8" x14ac:dyDescent="0.35">
      <c r="A8" s="2" t="s">
        <v>38</v>
      </c>
      <c r="B8" s="119"/>
      <c r="C8" s="35" t="s">
        <v>52</v>
      </c>
    </row>
    <row r="9" spans="1:8" x14ac:dyDescent="0.35">
      <c r="A9" s="2" t="s">
        <v>39</v>
      </c>
      <c r="B9" s="120"/>
      <c r="C9" s="36"/>
    </row>
    <row r="10" spans="1:8" x14ac:dyDescent="0.35">
      <c r="A10" s="2" t="s">
        <v>40</v>
      </c>
      <c r="B10" s="121"/>
      <c r="C10" s="35"/>
    </row>
    <row r="11" spans="1:8" x14ac:dyDescent="0.35">
      <c r="A11" s="4" t="s">
        <v>41</v>
      </c>
      <c r="B11" s="122"/>
      <c r="C11" s="35"/>
    </row>
    <row r="12" spans="1:8" ht="16" thickBot="1" x14ac:dyDescent="0.4">
      <c r="A12" s="70" t="s">
        <v>42</v>
      </c>
      <c r="B12" s="123"/>
      <c r="C12" s="35"/>
    </row>
    <row r="13" spans="1:8" ht="16" thickTop="1" x14ac:dyDescent="0.35">
      <c r="A13" s="8" t="s">
        <v>43</v>
      </c>
      <c r="B13" s="69">
        <v>800.85</v>
      </c>
      <c r="C13" s="34" t="s">
        <v>50</v>
      </c>
    </row>
    <row r="14" spans="1:8" x14ac:dyDescent="0.35">
      <c r="B14" s="37"/>
    </row>
    <row r="15" spans="1:8" x14ac:dyDescent="0.35">
      <c r="A15" s="29" t="s">
        <v>48</v>
      </c>
      <c r="B15" s="37"/>
    </row>
    <row r="16" spans="1:8" x14ac:dyDescent="0.35">
      <c r="B16" s="37"/>
    </row>
    <row r="17" spans="1:3" x14ac:dyDescent="0.35">
      <c r="A17" s="1" t="s">
        <v>44</v>
      </c>
      <c r="B17" s="68">
        <f>2*2*31.5</f>
        <v>126</v>
      </c>
      <c r="C17" s="37" t="s">
        <v>47</v>
      </c>
    </row>
    <row r="18" spans="1:3" x14ac:dyDescent="0.35">
      <c r="A18" s="33" t="s">
        <v>109</v>
      </c>
      <c r="B18" s="32">
        <v>0</v>
      </c>
      <c r="C18" s="37" t="s">
        <v>45</v>
      </c>
    </row>
    <row r="19" spans="1:3" x14ac:dyDescent="0.35">
      <c r="A19" s="8" t="s">
        <v>43</v>
      </c>
      <c r="B19" s="68">
        <f>SUM(B17:B18)</f>
        <v>126</v>
      </c>
    </row>
    <row r="20" spans="1:3" x14ac:dyDescent="0.35">
      <c r="A20" s="18"/>
      <c r="B20" s="37"/>
    </row>
    <row r="21" spans="1:3" x14ac:dyDescent="0.35">
      <c r="A21" s="28"/>
      <c r="B21" s="37"/>
    </row>
  </sheetData>
  <pageMargins left="0.7" right="0.7" top="0.75" bottom="0.75" header="0.3" footer="0.3"/>
  <pageSetup scale="58" orientation="portrait" r:id="rId1"/>
  <headerFooter>
    <oddHeader>&amp;R&amp;"-,Bold"Case No. 2020-00350
Attachment to Response to MHS-KFTC-KSES-1 Question No. 29(d)
Seelye
CONFIDENTIAL INFORMATION REDACTED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3" ma:contentTypeDescription="Create a new document." ma:contentTypeScope="" ma:versionID="cacfa8175316c073b911f4e929358acd">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3e7f21d9c579c12408c77b5d4d8fcc13"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029</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Metro Housing Coalition/Kentuckians for the Commonwealth/Kentucky Solar Energy Society - MHC/KFTC/KSES</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3983421C-5666-4E56-9377-5DFFD5FD54C7}"/>
</file>

<file path=customXml/itemProps2.xml><?xml version="1.0" encoding="utf-8"?>
<ds:datastoreItem xmlns:ds="http://schemas.openxmlformats.org/officeDocument/2006/customXml" ds:itemID="{A6A8137B-6E76-4EA1-A32A-844CC7934655}"/>
</file>

<file path=customXml/itemProps3.xml><?xml version="1.0" encoding="utf-8"?>
<ds:datastoreItem xmlns:ds="http://schemas.openxmlformats.org/officeDocument/2006/customXml" ds:itemID="{B6E1AAB7-728D-4DAE-8774-1361072728F9}"/>
</file>

<file path=customXml/itemProps4.xml><?xml version="1.0" encoding="utf-8"?>
<ds:datastoreItem xmlns:ds="http://schemas.openxmlformats.org/officeDocument/2006/customXml" ds:itemID="{5982F06E-9BB6-4CA8-8AFF-F9E25240C520}"/>
</file>

<file path=customXml/itemProps5.xml><?xml version="1.0" encoding="utf-8"?>
<ds:datastoreItem xmlns:ds="http://schemas.openxmlformats.org/officeDocument/2006/customXml" ds:itemID="{7A2EB81D-C5C8-4D8F-B1EF-17BA834EEF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LGE Rate Summary</vt:lpstr>
      <vt:lpstr>KU Rate Summary</vt:lpstr>
      <vt:lpstr>WACC - Carrying Charges</vt:lpstr>
      <vt:lpstr>2019 EV Usage Data</vt:lpstr>
      <vt:lpstr>REDACTED - Costs_Reference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Shakespere Poles</dc:title>
  <dc:subject>Historic Decoative Poles</dc:subject>
  <dc:creator>LG&amp;E</dc:creator>
  <cp:lastModifiedBy>Hurst, Brian</cp:lastModifiedBy>
  <cp:lastPrinted>2018-07-02T18:22:14Z</cp:lastPrinted>
  <dcterms:created xsi:type="dcterms:W3CDTF">1998-12-11T20:03:45Z</dcterms:created>
  <dcterms:modified xsi:type="dcterms:W3CDTF">2021-01-20T16:23:27Z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dee1c6-0c13-46fe-9f7d-d5b32ad2c571_Enabled">
    <vt:lpwstr>true</vt:lpwstr>
  </property>
  <property fmtid="{D5CDD505-2E9C-101B-9397-08002B2CF9AE}" pid="3" name="MSIP_Label_0adee1c6-0c13-46fe-9f7d-d5b32ad2c571_SetDate">
    <vt:lpwstr>2020-10-16T14:32:00Z</vt:lpwstr>
  </property>
  <property fmtid="{D5CDD505-2E9C-101B-9397-08002B2CF9AE}" pid="4" name="MSIP_Label_0adee1c6-0c13-46fe-9f7d-d5b32ad2c571_Method">
    <vt:lpwstr>Privileged</vt:lpwstr>
  </property>
  <property fmtid="{D5CDD505-2E9C-101B-9397-08002B2CF9AE}" pid="5" name="MSIP_Label_0adee1c6-0c13-46fe-9f7d-d5b32ad2c571_Name">
    <vt:lpwstr>0adee1c6-0c13-46fe-9f7d-d5b32ad2c571</vt:lpwstr>
  </property>
  <property fmtid="{D5CDD505-2E9C-101B-9397-08002B2CF9AE}" pid="6" name="MSIP_Label_0adee1c6-0c13-46fe-9f7d-d5b32ad2c571_SiteId">
    <vt:lpwstr>5ee3b0ba-a559-45ee-a69e-6d3e963a3e72</vt:lpwstr>
  </property>
  <property fmtid="{D5CDD505-2E9C-101B-9397-08002B2CF9AE}" pid="7" name="MSIP_Label_0adee1c6-0c13-46fe-9f7d-d5b32ad2c571_ActionId">
    <vt:lpwstr>930d9519-7445-44d7-a495-1fe775c51c4f</vt:lpwstr>
  </property>
  <property fmtid="{D5CDD505-2E9C-101B-9397-08002B2CF9AE}" pid="8" name="MSIP_Label_0adee1c6-0c13-46fe-9f7d-d5b32ad2c571_ContentBits">
    <vt:lpwstr>0</vt:lpwstr>
  </property>
  <property fmtid="{D5CDD505-2E9C-101B-9397-08002B2CF9AE}" pid="9" name="ContentTypeId">
    <vt:lpwstr>0x0101002D0103853DF7894DB347713A7250CD66</vt:lpwstr>
  </property>
</Properties>
</file>