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aiecon.sharepoint.com/Cases/20 Cases/20.20 KU - LG&amp;E/Watkins Responses to DRs/PSC/"/>
    </mc:Choice>
  </mc:AlternateContent>
  <xr:revisionPtr revIDLastSave="62" documentId="8_{AB4CCCCF-03CC-4419-AFB8-06D7B71593F9}" xr6:coauthVersionLast="46" xr6:coauthVersionMax="46" xr10:uidLastSave="{F9750E31-3BAF-4B95-A768-711C89D13008}"/>
  <bookViews>
    <workbookView xWindow="-110" yWindow="-110" windowWidth="19420" windowHeight="10420" xr2:uid="{C729261F-82BA-45C3-86B5-19D30297749B}"/>
  </bookViews>
  <sheets>
    <sheet name="LGE Option 1" sheetId="1" r:id="rId1"/>
    <sheet name="LGE Option 2" sheetId="2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6" i="2" l="1"/>
  <c r="H45" i="2"/>
  <c r="K45" i="2" s="1"/>
  <c r="H44" i="2"/>
  <c r="M44" i="2" s="1"/>
  <c r="N43" i="2"/>
  <c r="M43" i="2"/>
  <c r="K43" i="2"/>
  <c r="E43" i="2"/>
  <c r="E46" i="2" s="1"/>
  <c r="H42" i="2"/>
  <c r="M42" i="2" s="1"/>
  <c r="M41" i="2"/>
  <c r="H41" i="2"/>
  <c r="H46" i="2" s="1"/>
  <c r="M46" i="2" s="1"/>
  <c r="G37" i="2"/>
  <c r="H37" i="2" s="1"/>
  <c r="M37" i="2" s="1"/>
  <c r="E37" i="2"/>
  <c r="H36" i="2"/>
  <c r="G36" i="2"/>
  <c r="D36" i="2"/>
  <c r="E36" i="2" s="1"/>
  <c r="H34" i="2"/>
  <c r="E34" i="2"/>
  <c r="H33" i="2"/>
  <c r="E33" i="2"/>
  <c r="M32" i="2"/>
  <c r="H32" i="2"/>
  <c r="E31" i="2"/>
  <c r="M30" i="2"/>
  <c r="H30" i="2"/>
  <c r="E29" i="2"/>
  <c r="H27" i="2"/>
  <c r="E27" i="2"/>
  <c r="J26" i="2"/>
  <c r="K26" i="2" s="1"/>
  <c r="N26" i="2" s="1"/>
  <c r="G26" i="2"/>
  <c r="H26" i="2" s="1"/>
  <c r="E26" i="2"/>
  <c r="E21" i="2"/>
  <c r="E62" i="2" s="1"/>
  <c r="H20" i="2"/>
  <c r="K20" i="2" s="1"/>
  <c r="H19" i="2"/>
  <c r="M19" i="2" s="1"/>
  <c r="N18" i="2"/>
  <c r="M18" i="2"/>
  <c r="K18" i="2"/>
  <c r="E18" i="2"/>
  <c r="H17" i="2"/>
  <c r="M17" i="2" s="1"/>
  <c r="M16" i="2"/>
  <c r="H16" i="2"/>
  <c r="K16" i="2" s="1"/>
  <c r="G12" i="2"/>
  <c r="H12" i="2" s="1"/>
  <c r="E12" i="2"/>
  <c r="E61" i="2" s="1"/>
  <c r="H11" i="2"/>
  <c r="M11" i="2" s="1"/>
  <c r="G11" i="2"/>
  <c r="D11" i="2"/>
  <c r="E11" i="2" s="1"/>
  <c r="H9" i="2"/>
  <c r="D9" i="2"/>
  <c r="E9" i="2" s="1"/>
  <c r="N8" i="2"/>
  <c r="K8" i="2"/>
  <c r="J8" i="2"/>
  <c r="H8" i="2"/>
  <c r="E8" i="2"/>
  <c r="E14" i="2" s="1"/>
  <c r="E22" i="2" s="1"/>
  <c r="E43" i="1"/>
  <c r="E18" i="1"/>
  <c r="D9" i="1"/>
  <c r="D11" i="1" s="1"/>
  <c r="E11" i="1" s="1"/>
  <c r="M32" i="1"/>
  <c r="M30" i="1"/>
  <c r="J26" i="1"/>
  <c r="K26" i="1" s="1"/>
  <c r="K18" i="1"/>
  <c r="J8" i="1"/>
  <c r="K8" i="1" s="1"/>
  <c r="K43" i="1"/>
  <c r="H45" i="1"/>
  <c r="K45" i="1" s="1"/>
  <c r="H44" i="1"/>
  <c r="K44" i="1" s="1"/>
  <c r="N44" i="1" s="1"/>
  <c r="H42" i="1"/>
  <c r="M42" i="1" s="1"/>
  <c r="H41" i="1"/>
  <c r="M41" i="1" s="1"/>
  <c r="G37" i="1"/>
  <c r="H37" i="1" s="1"/>
  <c r="G36" i="1"/>
  <c r="H36" i="1" s="1"/>
  <c r="H34" i="1"/>
  <c r="H33" i="1"/>
  <c r="H32" i="1"/>
  <c r="H30" i="1"/>
  <c r="G26" i="1"/>
  <c r="H26" i="1" s="1"/>
  <c r="G11" i="1"/>
  <c r="H11" i="1" s="1"/>
  <c r="E46" i="1"/>
  <c r="M18" i="1"/>
  <c r="D36" i="1"/>
  <c r="E36" i="1" s="1"/>
  <c r="E34" i="1"/>
  <c r="E33" i="1"/>
  <c r="E31" i="1"/>
  <c r="E29" i="1"/>
  <c r="E37" i="1"/>
  <c r="H27" i="1"/>
  <c r="E27" i="1"/>
  <c r="E26" i="1"/>
  <c r="G12" i="1"/>
  <c r="H12" i="1" s="1"/>
  <c r="H9" i="1"/>
  <c r="H20" i="1"/>
  <c r="K20" i="1" s="1"/>
  <c r="H19" i="1"/>
  <c r="M19" i="1" s="1"/>
  <c r="H17" i="1"/>
  <c r="M17" i="1" s="1"/>
  <c r="H16" i="1"/>
  <c r="M16" i="1" s="1"/>
  <c r="E12" i="1"/>
  <c r="E61" i="1" s="1"/>
  <c r="H8" i="1"/>
  <c r="E8" i="1"/>
  <c r="E60" i="1" s="1"/>
  <c r="E59" i="2" l="1"/>
  <c r="E63" i="2" s="1"/>
  <c r="H14" i="2"/>
  <c r="M12" i="2"/>
  <c r="E39" i="2"/>
  <c r="E47" i="2" s="1"/>
  <c r="N16" i="2"/>
  <c r="M9" i="2"/>
  <c r="H39" i="2"/>
  <c r="M26" i="2"/>
  <c r="M36" i="2"/>
  <c r="J12" i="2"/>
  <c r="K12" i="2" s="1"/>
  <c r="N12" i="2" s="1"/>
  <c r="J37" i="2"/>
  <c r="K37" i="2" s="1"/>
  <c r="N37" i="2" s="1"/>
  <c r="E60" i="2"/>
  <c r="K41" i="2"/>
  <c r="K17" i="2"/>
  <c r="N17" i="2" s="1"/>
  <c r="M8" i="2"/>
  <c r="H21" i="2"/>
  <c r="M21" i="2" s="1"/>
  <c r="K19" i="2"/>
  <c r="N19" i="2" s="1"/>
  <c r="K42" i="2"/>
  <c r="N42" i="2" s="1"/>
  <c r="K44" i="2"/>
  <c r="N44" i="2" s="1"/>
  <c r="M8" i="1"/>
  <c r="N18" i="1"/>
  <c r="M36" i="1"/>
  <c r="M12" i="1"/>
  <c r="N43" i="1"/>
  <c r="M43" i="1"/>
  <c r="M37" i="1"/>
  <c r="N26" i="1"/>
  <c r="E21" i="1"/>
  <c r="E62" i="1" s="1"/>
  <c r="K42" i="1"/>
  <c r="N42" i="1" s="1"/>
  <c r="K19" i="1"/>
  <c r="N19" i="1" s="1"/>
  <c r="M11" i="1"/>
  <c r="J37" i="1"/>
  <c r="K37" i="1" s="1"/>
  <c r="N37" i="1" s="1"/>
  <c r="M26" i="1"/>
  <c r="N8" i="1"/>
  <c r="H21" i="1"/>
  <c r="K17" i="1"/>
  <c r="N17" i="1" s="1"/>
  <c r="K41" i="1"/>
  <c r="N41" i="1" s="1"/>
  <c r="H46" i="1"/>
  <c r="M46" i="1" s="1"/>
  <c r="J12" i="1"/>
  <c r="K12" i="1" s="1"/>
  <c r="N12" i="1" s="1"/>
  <c r="M44" i="1"/>
  <c r="E66" i="1"/>
  <c r="K16" i="1"/>
  <c r="H14" i="1"/>
  <c r="E9" i="1"/>
  <c r="E14" i="1" s="1"/>
  <c r="E39" i="1"/>
  <c r="E47" i="1" s="1"/>
  <c r="H39" i="1"/>
  <c r="N41" i="2" l="1"/>
  <c r="K46" i="2"/>
  <c r="N46" i="2" s="1"/>
  <c r="M39" i="2"/>
  <c r="H47" i="2"/>
  <c r="K21" i="2"/>
  <c r="N21" i="2" s="1"/>
  <c r="M14" i="2"/>
  <c r="H22" i="2"/>
  <c r="M22" i="2" s="1"/>
  <c r="E49" i="2"/>
  <c r="E55" i="2" s="1"/>
  <c r="E56" i="2" s="1"/>
  <c r="M21" i="1"/>
  <c r="E22" i="1"/>
  <c r="E59" i="1" s="1"/>
  <c r="E63" i="1" s="1"/>
  <c r="K46" i="1"/>
  <c r="N46" i="1" s="1"/>
  <c r="K21" i="1"/>
  <c r="N21" i="1" s="1"/>
  <c r="N16" i="1"/>
  <c r="H47" i="1"/>
  <c r="M39" i="1"/>
  <c r="H22" i="1"/>
  <c r="M14" i="1"/>
  <c r="M9" i="1"/>
  <c r="E57" i="2" l="1"/>
  <c r="K47" i="2" s="1"/>
  <c r="E65" i="2"/>
  <c r="E67" i="2" s="1"/>
  <c r="E68" i="2" s="1"/>
  <c r="H49" i="2"/>
  <c r="M47" i="2"/>
  <c r="M22" i="1"/>
  <c r="H49" i="1"/>
  <c r="K39" i="2" l="1"/>
  <c r="N39" i="2" s="1"/>
  <c r="N47" i="2"/>
  <c r="H50" i="2"/>
  <c r="M49" i="2"/>
  <c r="J11" i="2"/>
  <c r="K11" i="2" s="1"/>
  <c r="N11" i="2" s="1"/>
  <c r="J9" i="2"/>
  <c r="K9" i="2" s="1"/>
  <c r="M47" i="1"/>
  <c r="E49" i="1"/>
  <c r="H50" i="1" s="1"/>
  <c r="N9" i="2" l="1"/>
  <c r="K14" i="2"/>
  <c r="M49" i="1"/>
  <c r="E55" i="1"/>
  <c r="E56" i="1" s="1"/>
  <c r="E57" i="1" s="1"/>
  <c r="N14" i="2" l="1"/>
  <c r="K22" i="2"/>
  <c r="E65" i="1"/>
  <c r="E67" i="1" s="1"/>
  <c r="E68" i="1" s="1"/>
  <c r="K47" i="1"/>
  <c r="N22" i="2" l="1"/>
  <c r="K49" i="2"/>
  <c r="K39" i="1"/>
  <c r="N39" i="1" s="1"/>
  <c r="N47" i="1"/>
  <c r="J9" i="1"/>
  <c r="K9" i="1" s="1"/>
  <c r="N9" i="1" s="1"/>
  <c r="J11" i="1"/>
  <c r="K11" i="1" s="1"/>
  <c r="N11" i="1" s="1"/>
  <c r="K50" i="2" l="1"/>
  <c r="N49" i="2"/>
  <c r="K14" i="1"/>
  <c r="K22" i="1" l="1"/>
  <c r="N14" i="1"/>
  <c r="K49" i="1" l="1"/>
  <c r="N22" i="1"/>
  <c r="N49" i="1" l="1"/>
  <c r="K50" i="1"/>
</calcChain>
</file>

<file path=xl/sharedStrings.xml><?xml version="1.0" encoding="utf-8"?>
<sst xmlns="http://schemas.openxmlformats.org/spreadsheetml/2006/main" count="164" uniqueCount="52">
  <si>
    <t>Rate</t>
  </si>
  <si>
    <t>Rate RS</t>
  </si>
  <si>
    <t>Billing</t>
  </si>
  <si>
    <t>Determinants</t>
  </si>
  <si>
    <t>Current</t>
  </si>
  <si>
    <t>Basic Service Charge-Daily</t>
  </si>
  <si>
    <t>Energy Charge</t>
  </si>
  <si>
    <t>Revenue</t>
  </si>
  <si>
    <t>OAG</t>
  </si>
  <si>
    <t>Proposed</t>
  </si>
  <si>
    <t>Solar Energy Credit (Base Energy)</t>
  </si>
  <si>
    <t>Solar Energy Credit (SQF Charge)</t>
  </si>
  <si>
    <t>FAC Revenue</t>
  </si>
  <si>
    <t>DSM Revenue</t>
  </si>
  <si>
    <t>ECR Mechanism Revenue</t>
  </si>
  <si>
    <t>OSS Mechanism Revenue</t>
  </si>
  <si>
    <t>ECR Base Revenue</t>
  </si>
  <si>
    <t>Total RS Revenue</t>
  </si>
  <si>
    <t>Rate RTOD</t>
  </si>
  <si>
    <t>Total RTOD Revenue</t>
  </si>
  <si>
    <t>Energy Charge (RTOD-Demand Only)</t>
  </si>
  <si>
    <t>Off-Peak Energy (Current Rating Periods)</t>
  </si>
  <si>
    <t>Off-Peak Energy (Proposed Rating Periods)</t>
  </si>
  <si>
    <t>On-Peak Energy (Current Rating Periods)</t>
  </si>
  <si>
    <t>On-Peak Energy (Proposed Rating Periods)</t>
  </si>
  <si>
    <t>Peak Demand</t>
  </si>
  <si>
    <t>Base Demand</t>
  </si>
  <si>
    <t xml:space="preserve">Subtotal Base Rates </t>
  </si>
  <si>
    <t>Subtotal Other Rate Revenue</t>
  </si>
  <si>
    <t>TOTAL RESIDENTIAL REVENUE</t>
  </si>
  <si>
    <t>Proposed Increase</t>
  </si>
  <si>
    <t>Percent</t>
  </si>
  <si>
    <t>Change</t>
  </si>
  <si>
    <t>No Position</t>
  </si>
  <si>
    <t>RTOD amount of Increase</t>
  </si>
  <si>
    <t>Less Solar SQf Revenue</t>
  </si>
  <si>
    <t>Total RS</t>
  </si>
  <si>
    <t>Less Customer Charge</t>
  </si>
  <si>
    <t>Subtotal</t>
  </si>
  <si>
    <t>RS amount Increase</t>
  </si>
  <si>
    <t>RS Total Increase</t>
  </si>
  <si>
    <t>Less ECR Decrease</t>
  </si>
  <si>
    <t>RS Design Increase</t>
  </si>
  <si>
    <t>RS Design Pct Increase</t>
  </si>
  <si>
    <t>Less Non Base Revenue</t>
  </si>
  <si>
    <t>Total Residential Increase</t>
  </si>
  <si>
    <t>Option 1</t>
  </si>
  <si>
    <t>RS Pct of Total Residential Current Rev</t>
  </si>
  <si>
    <t>RS Rate Design Calcs</t>
  </si>
  <si>
    <t>Option 2</t>
  </si>
  <si>
    <t>LGE - OAG Residential Rate Design @ LGE Proposed Overall Increase</t>
  </si>
  <si>
    <t>LGE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</si>
</sst>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00"/>
    <numFmt numFmtId="166" formatCode="&quot;$&quot;#,##0.00000"/>
    <numFmt numFmtId="167" formatCode="&quot;$&quot;#,##0"/>
    <numFmt numFmtId="168" formatCode="&quot;$&quot;#,##0.00"/>
    <numFmt numFmtId="169" formatCode="_(&quot;$&quot;* #,##0_);_(&quot;$&quot;* \(#,##0\);_(&quot;$&quot;* &quot;-&quot;??_);_(@_)"/>
    <numFmt numFmtId="170" formatCode="0.000%"/>
    <numFmt numFmtId="171" formatCode="0.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164" fontId="0" fillId="0" borderId="0" xfId="1" applyNumberFormat="1" applyFont="1"/>
    <xf numFmtId="165" fontId="0" fillId="0" borderId="0" xfId="0" applyNumberFormat="1"/>
    <xf numFmtId="166" fontId="0" fillId="0" borderId="0" xfId="0" applyNumberFormat="1"/>
    <xf numFmtId="166" fontId="0" fillId="0" borderId="0" xfId="2" applyNumberFormat="1" applyFont="1"/>
    <xf numFmtId="167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165" fontId="0" fillId="0" borderId="1" xfId="0" applyNumberFormat="1" applyBorder="1"/>
    <xf numFmtId="167" fontId="0" fillId="0" borderId="1" xfId="0" applyNumberFormat="1" applyBorder="1"/>
    <xf numFmtId="0" fontId="2" fillId="0" borderId="0" xfId="0" applyFont="1"/>
    <xf numFmtId="0" fontId="0" fillId="0" borderId="2" xfId="0" applyBorder="1"/>
    <xf numFmtId="167" fontId="0" fillId="0" borderId="2" xfId="0" applyNumberFormat="1" applyBorder="1"/>
    <xf numFmtId="168" fontId="0" fillId="0" borderId="0" xfId="0" applyNumberFormat="1"/>
    <xf numFmtId="168" fontId="0" fillId="0" borderId="0" xfId="2" applyNumberFormat="1" applyFont="1"/>
    <xf numFmtId="0" fontId="3" fillId="0" borderId="0" xfId="0" applyFont="1"/>
    <xf numFmtId="167" fontId="3" fillId="0" borderId="0" xfId="0" applyNumberFormat="1" applyFont="1"/>
    <xf numFmtId="0" fontId="0" fillId="0" borderId="0" xfId="0" applyFill="1" applyBorder="1" applyAlignment="1">
      <alignment horizontal="center"/>
    </xf>
    <xf numFmtId="10" fontId="0" fillId="0" borderId="0" xfId="3" applyNumberFormat="1" applyFont="1"/>
    <xf numFmtId="169" fontId="0" fillId="0" borderId="0" xfId="2" applyNumberFormat="1" applyFont="1"/>
    <xf numFmtId="170" fontId="0" fillId="0" borderId="0" xfId="3" applyNumberFormat="1" applyFont="1"/>
    <xf numFmtId="171" fontId="0" fillId="0" borderId="0" xfId="3" applyNumberFormat="1" applyFont="1"/>
    <xf numFmtId="169" fontId="0" fillId="0" borderId="0" xfId="0" applyNumberFormat="1"/>
    <xf numFmtId="167" fontId="4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0" fontId="5" fillId="0" borderId="0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6" fontId="0" fillId="0" borderId="0" xfId="0" applyNumberForma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8C465-A5CF-4227-92EE-7DF298C3EA0D}">
  <dimension ref="A1:O68"/>
  <sheetViews>
    <sheetView tabSelected="1" zoomScale="106" zoomScaleNormal="106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7" sqref="B7"/>
    </sheetView>
  </sheetViews>
  <sheetFormatPr defaultRowHeight="14.5" x14ac:dyDescent="0.35"/>
  <cols>
    <col min="1" max="1" width="3.54296875" customWidth="1"/>
    <col min="2" max="2" width="37.26953125" customWidth="1"/>
    <col min="3" max="3" width="16.08984375" bestFit="1" customWidth="1"/>
    <col min="4" max="4" width="11.08984375" customWidth="1"/>
    <col min="5" max="5" width="13.1796875" customWidth="1"/>
    <col min="6" max="6" width="3.54296875" customWidth="1"/>
    <col min="8" max="8" width="12.08984375" bestFit="1" customWidth="1"/>
    <col min="9" max="9" width="3.6328125" customWidth="1"/>
    <col min="10" max="10" width="8.81640625" bestFit="1" customWidth="1"/>
    <col min="11" max="11" width="12.08984375" bestFit="1" customWidth="1"/>
    <col min="12" max="12" width="3.36328125" customWidth="1"/>
  </cols>
  <sheetData>
    <row r="1" spans="1:15" x14ac:dyDescent="0.35">
      <c r="A1" s="30" t="s">
        <v>50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x14ac:dyDescent="0.35">
      <c r="A2" s="31" t="s">
        <v>46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5" x14ac:dyDescent="0.3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25" t="s">
        <v>51</v>
      </c>
      <c r="N3" s="25" t="s">
        <v>8</v>
      </c>
    </row>
    <row r="4" spans="1:15" x14ac:dyDescent="0.35">
      <c r="A4" s="11"/>
      <c r="B4" s="11"/>
      <c r="C4" s="25"/>
      <c r="D4" s="25"/>
      <c r="E4" s="25"/>
      <c r="F4" s="25"/>
      <c r="G4" s="25" t="s">
        <v>51</v>
      </c>
      <c r="H4" s="25" t="s">
        <v>51</v>
      </c>
      <c r="I4" s="11"/>
      <c r="J4" s="25" t="s">
        <v>8</v>
      </c>
      <c r="K4" s="25" t="s">
        <v>8</v>
      </c>
      <c r="L4" s="11"/>
      <c r="M4" s="25" t="s">
        <v>9</v>
      </c>
      <c r="N4" s="25" t="s">
        <v>9</v>
      </c>
    </row>
    <row r="5" spans="1:15" x14ac:dyDescent="0.35">
      <c r="A5" s="11"/>
      <c r="B5" s="11"/>
      <c r="C5" s="25" t="s">
        <v>2</v>
      </c>
      <c r="D5" s="25" t="s">
        <v>4</v>
      </c>
      <c r="E5" s="25" t="s">
        <v>4</v>
      </c>
      <c r="F5" s="25"/>
      <c r="G5" s="25" t="s">
        <v>9</v>
      </c>
      <c r="H5" s="25" t="s">
        <v>9</v>
      </c>
      <c r="I5" s="11"/>
      <c r="J5" s="25" t="s">
        <v>9</v>
      </c>
      <c r="K5" s="25" t="s">
        <v>9</v>
      </c>
      <c r="L5" s="11"/>
      <c r="M5" s="25" t="s">
        <v>31</v>
      </c>
      <c r="N5" s="25" t="s">
        <v>31</v>
      </c>
    </row>
    <row r="6" spans="1:15" x14ac:dyDescent="0.35">
      <c r="A6" s="11"/>
      <c r="B6" s="11"/>
      <c r="C6" s="26" t="s">
        <v>3</v>
      </c>
      <c r="D6" s="26" t="s">
        <v>0</v>
      </c>
      <c r="E6" s="26" t="s">
        <v>7</v>
      </c>
      <c r="F6" s="25"/>
      <c r="G6" s="26" t="s">
        <v>0</v>
      </c>
      <c r="H6" s="26" t="s">
        <v>7</v>
      </c>
      <c r="I6" s="11"/>
      <c r="J6" s="26" t="s">
        <v>0</v>
      </c>
      <c r="K6" s="26" t="s">
        <v>7</v>
      </c>
      <c r="L6" s="11"/>
      <c r="M6" s="27" t="s">
        <v>32</v>
      </c>
      <c r="N6" s="27" t="s">
        <v>32</v>
      </c>
    </row>
    <row r="7" spans="1:15" x14ac:dyDescent="0.35">
      <c r="A7" s="11" t="s">
        <v>1</v>
      </c>
    </row>
    <row r="8" spans="1:15" x14ac:dyDescent="0.35">
      <c r="B8" t="s">
        <v>5</v>
      </c>
      <c r="C8" s="1">
        <v>137763842</v>
      </c>
      <c r="D8" s="15">
        <v>0.45</v>
      </c>
      <c r="E8" s="5">
        <f>C8*D8</f>
        <v>61993728.899999999</v>
      </c>
      <c r="G8" s="15">
        <v>0.52</v>
      </c>
      <c r="H8" s="5">
        <f>G8*C8</f>
        <v>71637197.840000004</v>
      </c>
      <c r="J8" s="15">
        <f>D8</f>
        <v>0.45</v>
      </c>
      <c r="K8" s="5">
        <f>J8*C8</f>
        <v>61993728.899999999</v>
      </c>
      <c r="M8" s="19">
        <f>+H8/E8-1</f>
        <v>0.15555555555555567</v>
      </c>
      <c r="N8" s="19">
        <f>+K8/E8-1</f>
        <v>0</v>
      </c>
      <c r="O8" s="6"/>
    </row>
    <row r="9" spans="1:15" x14ac:dyDescent="0.35">
      <c r="B9" t="s">
        <v>6</v>
      </c>
      <c r="C9" s="1">
        <v>4048068533</v>
      </c>
      <c r="D9" s="3">
        <f>0.06072+0.03206</f>
        <v>9.2780000000000001E-2</v>
      </c>
      <c r="E9" s="5">
        <f>C9*D9</f>
        <v>375579798.49173999</v>
      </c>
      <c r="G9" s="3">
        <v>0.10482</v>
      </c>
      <c r="H9" s="5">
        <f>G9*C9</f>
        <v>424318543.62905997</v>
      </c>
      <c r="J9" s="3">
        <f>+D9*(1+E$68)</f>
        <v>0.10720118192742105</v>
      </c>
      <c r="K9" s="5">
        <f>J9*C9</f>
        <v>433957731.26080143</v>
      </c>
      <c r="M9" s="19">
        <f t="shared" ref="M9:M49" si="0">+H9/E9-1</f>
        <v>0.12976934684199182</v>
      </c>
      <c r="N9" s="19">
        <f t="shared" ref="N9:N49" si="1">+K9/E9-1</f>
        <v>0.15543416606403371</v>
      </c>
      <c r="O9" s="6"/>
    </row>
    <row r="10" spans="1:15" x14ac:dyDescent="0.35">
      <c r="C10" s="1"/>
      <c r="D10" s="3"/>
      <c r="E10" s="5"/>
      <c r="G10" s="3"/>
      <c r="H10" s="5"/>
      <c r="J10" s="3"/>
      <c r="K10" s="5"/>
      <c r="M10" s="19"/>
      <c r="N10" s="19"/>
      <c r="O10" s="6"/>
    </row>
    <row r="11" spans="1:15" x14ac:dyDescent="0.35">
      <c r="B11" t="s">
        <v>10</v>
      </c>
      <c r="C11" s="1">
        <v>-714369</v>
      </c>
      <c r="D11" s="3">
        <f>D9</f>
        <v>9.2780000000000001E-2</v>
      </c>
      <c r="E11" s="5">
        <f>C11*D11</f>
        <v>-66279.15582</v>
      </c>
      <c r="G11" s="3">
        <f>G9</f>
        <v>0.10482</v>
      </c>
      <c r="H11" s="5">
        <f>G11*C11</f>
        <v>-74880.158580000003</v>
      </c>
      <c r="J11" s="3">
        <f>+D11*(1+E$68)</f>
        <v>0.10720118192742105</v>
      </c>
      <c r="K11" s="5">
        <f>+J11*C11</f>
        <v>-76581.201132309841</v>
      </c>
      <c r="M11" s="19">
        <f t="shared" si="0"/>
        <v>0.12976934684199182</v>
      </c>
      <c r="N11" s="19">
        <f t="shared" si="1"/>
        <v>0.15543416606403371</v>
      </c>
      <c r="O11" s="18"/>
    </row>
    <row r="12" spans="1:15" x14ac:dyDescent="0.35">
      <c r="B12" t="s">
        <v>11</v>
      </c>
      <c r="C12" s="1">
        <v>-167793</v>
      </c>
      <c r="D12" s="3">
        <v>2.1729999999999999E-2</v>
      </c>
      <c r="E12" s="5">
        <f>C12*D12</f>
        <v>-3646.1418899999999</v>
      </c>
      <c r="G12" s="3">
        <f>D12</f>
        <v>2.1729999999999999E-2</v>
      </c>
      <c r="H12" s="5">
        <f>G12*C12</f>
        <v>-3646.1418899999999</v>
      </c>
      <c r="J12" s="3">
        <f>G12</f>
        <v>2.1729999999999999E-2</v>
      </c>
      <c r="K12" s="5">
        <f>J12*C12</f>
        <v>-3646.1418899999999</v>
      </c>
      <c r="M12" s="19">
        <f t="shared" si="0"/>
        <v>0</v>
      </c>
      <c r="N12" s="19">
        <f t="shared" si="1"/>
        <v>0</v>
      </c>
    </row>
    <row r="13" spans="1:15" x14ac:dyDescent="0.35">
      <c r="B13" s="7"/>
      <c r="C13" s="8"/>
      <c r="D13" s="9"/>
      <c r="E13" s="10"/>
      <c r="F13" s="7"/>
      <c r="G13" s="7"/>
      <c r="H13" s="7"/>
      <c r="J13" s="7"/>
      <c r="K13" s="7"/>
      <c r="M13" s="19"/>
      <c r="N13" s="19"/>
    </row>
    <row r="14" spans="1:15" x14ac:dyDescent="0.35">
      <c r="B14" t="s">
        <v>27</v>
      </c>
      <c r="C14" s="1"/>
      <c r="D14" s="2"/>
      <c r="E14" s="5">
        <f>SUM(E8:E12)</f>
        <v>437503602.09402996</v>
      </c>
      <c r="H14" s="5">
        <f>SUM(H8:H12)</f>
        <v>495877215.16858995</v>
      </c>
      <c r="K14" s="5">
        <f>SUM(K8:K12)</f>
        <v>495871232.81777912</v>
      </c>
      <c r="M14" s="19">
        <f t="shared" si="0"/>
        <v>0.13342430278325823</v>
      </c>
      <c r="N14" s="19">
        <f t="shared" si="1"/>
        <v>0.13341062895112943</v>
      </c>
    </row>
    <row r="15" spans="1:15" x14ac:dyDescent="0.35">
      <c r="C15" s="1"/>
      <c r="D15" s="2"/>
      <c r="E15" s="5"/>
      <c r="M15" s="19"/>
      <c r="N15" s="19"/>
    </row>
    <row r="16" spans="1:15" x14ac:dyDescent="0.35">
      <c r="B16" t="s">
        <v>12</v>
      </c>
      <c r="C16" s="1"/>
      <c r="D16" s="2"/>
      <c r="E16" s="5">
        <v>-5797216</v>
      </c>
      <c r="H16" s="5">
        <f>E16</f>
        <v>-5797216</v>
      </c>
      <c r="K16" s="5">
        <f>H16</f>
        <v>-5797216</v>
      </c>
      <c r="M16" s="19">
        <f t="shared" si="0"/>
        <v>0</v>
      </c>
      <c r="N16" s="19">
        <f t="shared" si="1"/>
        <v>0</v>
      </c>
    </row>
    <row r="17" spans="1:14" x14ac:dyDescent="0.35">
      <c r="B17" t="s">
        <v>13</v>
      </c>
      <c r="C17" s="1"/>
      <c r="D17" s="2"/>
      <c r="E17" s="5">
        <v>4225874</v>
      </c>
      <c r="H17" s="5">
        <f>E17</f>
        <v>4225874</v>
      </c>
      <c r="K17" s="5">
        <f>H17</f>
        <v>4225874</v>
      </c>
      <c r="M17" s="19">
        <f t="shared" si="0"/>
        <v>0</v>
      </c>
      <c r="N17" s="19">
        <f t="shared" si="1"/>
        <v>0</v>
      </c>
    </row>
    <row r="18" spans="1:14" x14ac:dyDescent="0.35">
      <c r="B18" t="s">
        <v>14</v>
      </c>
      <c r="C18" s="1"/>
      <c r="E18" s="5">
        <f>9261676+5238798</f>
        <v>14500474</v>
      </c>
      <c r="H18" s="5">
        <v>9261676</v>
      </c>
      <c r="K18" s="5">
        <f>H18</f>
        <v>9261676</v>
      </c>
      <c r="M18" s="19">
        <f t="shared" si="0"/>
        <v>-0.36128460352399516</v>
      </c>
      <c r="N18" s="19">
        <f t="shared" si="1"/>
        <v>-0.36128460352399516</v>
      </c>
    </row>
    <row r="19" spans="1:14" x14ac:dyDescent="0.35">
      <c r="B19" t="s">
        <v>15</v>
      </c>
      <c r="C19" s="1"/>
      <c r="E19" s="5">
        <v>-313793</v>
      </c>
      <c r="H19" s="5">
        <f>E19</f>
        <v>-313793</v>
      </c>
      <c r="K19" s="5">
        <f>H19</f>
        <v>-313793</v>
      </c>
      <c r="M19" s="19">
        <f t="shared" si="0"/>
        <v>0</v>
      </c>
      <c r="N19" s="19">
        <f t="shared" si="1"/>
        <v>0</v>
      </c>
    </row>
    <row r="20" spans="1:14" x14ac:dyDescent="0.35">
      <c r="B20" s="16" t="s">
        <v>16</v>
      </c>
      <c r="C20" s="16"/>
      <c r="D20" s="16"/>
      <c r="E20" s="17">
        <v>0</v>
      </c>
      <c r="F20" s="16"/>
      <c r="G20" s="16"/>
      <c r="H20" s="17">
        <f>E20</f>
        <v>0</v>
      </c>
      <c r="I20" s="16"/>
      <c r="J20" s="16"/>
      <c r="K20" s="17">
        <f>H20</f>
        <v>0</v>
      </c>
      <c r="M20" s="21"/>
      <c r="N20" s="19"/>
    </row>
    <row r="21" spans="1:14" x14ac:dyDescent="0.35">
      <c r="B21" s="7" t="s">
        <v>28</v>
      </c>
      <c r="C21" s="7"/>
      <c r="D21" s="7"/>
      <c r="E21" s="10">
        <f>SUM(E16:E20)</f>
        <v>12615339</v>
      </c>
      <c r="F21" s="7"/>
      <c r="G21" s="7"/>
      <c r="H21" s="10">
        <f>SUM(H16:H20)</f>
        <v>7376541</v>
      </c>
      <c r="J21" s="7"/>
      <c r="K21" s="10">
        <f>SUM(K16:K20)</f>
        <v>7376541</v>
      </c>
      <c r="M21" s="19">
        <f t="shared" si="0"/>
        <v>-0.41527207473378247</v>
      </c>
      <c r="N21" s="19">
        <f t="shared" si="1"/>
        <v>-0.41527207473378247</v>
      </c>
    </row>
    <row r="22" spans="1:14" x14ac:dyDescent="0.35">
      <c r="B22" t="s">
        <v>17</v>
      </c>
      <c r="E22" s="5">
        <f>E14+E21</f>
        <v>450118941.09402996</v>
      </c>
      <c r="H22" s="5">
        <f>H14+H21</f>
        <v>503253756.16858995</v>
      </c>
      <c r="K22" s="5">
        <f>K14+K21</f>
        <v>503247773.81777912</v>
      </c>
      <c r="L22" s="5"/>
      <c r="M22" s="19">
        <f t="shared" si="0"/>
        <v>0.11804616563216364</v>
      </c>
      <c r="N22" s="19">
        <f t="shared" si="1"/>
        <v>0.11803287503213622</v>
      </c>
    </row>
    <row r="23" spans="1:14" ht="15" thickBot="1" x14ac:dyDescent="0.4">
      <c r="A23" s="12"/>
      <c r="B23" s="12"/>
      <c r="C23" s="12"/>
      <c r="D23" s="12"/>
      <c r="E23" s="13"/>
      <c r="F23" s="12"/>
      <c r="G23" s="12"/>
      <c r="H23" s="12"/>
      <c r="J23" s="12"/>
      <c r="K23" s="12"/>
      <c r="M23" s="19"/>
      <c r="N23" s="19"/>
    </row>
    <row r="24" spans="1:14" ht="15" thickTop="1" x14ac:dyDescent="0.35">
      <c r="E24" s="5"/>
      <c r="M24" s="19"/>
      <c r="N24" s="19"/>
    </row>
    <row r="25" spans="1:14" x14ac:dyDescent="0.35">
      <c r="A25" s="11" t="s">
        <v>18</v>
      </c>
      <c r="E25" s="5"/>
      <c r="M25" s="19"/>
      <c r="N25" s="19"/>
    </row>
    <row r="26" spans="1:14" x14ac:dyDescent="0.35">
      <c r="B26" t="s">
        <v>5</v>
      </c>
      <c r="C26" s="1">
        <v>59721</v>
      </c>
      <c r="D26" s="15">
        <v>0.45</v>
      </c>
      <c r="E26" s="5">
        <f>C26*D26</f>
        <v>26874.45</v>
      </c>
      <c r="G26" s="15">
        <f>G8</f>
        <v>0.52</v>
      </c>
      <c r="H26" s="5">
        <f>G26*C26</f>
        <v>31054.920000000002</v>
      </c>
      <c r="J26" s="15">
        <f>D26</f>
        <v>0.45</v>
      </c>
      <c r="K26" s="5">
        <f>J26*C26</f>
        <v>26874.45</v>
      </c>
      <c r="M26" s="19">
        <f t="shared" si="0"/>
        <v>0.15555555555555567</v>
      </c>
      <c r="N26" s="19">
        <f t="shared" si="1"/>
        <v>0</v>
      </c>
    </row>
    <row r="27" spans="1:14" x14ac:dyDescent="0.35">
      <c r="B27" t="s">
        <v>20</v>
      </c>
      <c r="C27" s="1">
        <v>0</v>
      </c>
      <c r="D27" s="3">
        <v>5.3010000000000002E-2</v>
      </c>
      <c r="E27" s="5">
        <f>C27*D27</f>
        <v>0</v>
      </c>
      <c r="G27" s="3">
        <v>5.3400000000000003E-2</v>
      </c>
      <c r="H27" s="5">
        <f>G27*C27</f>
        <v>0</v>
      </c>
      <c r="J27" s="32" t="s">
        <v>33</v>
      </c>
      <c r="K27" s="32"/>
      <c r="M27" s="19"/>
      <c r="N27" s="19"/>
    </row>
    <row r="28" spans="1:14" x14ac:dyDescent="0.35">
      <c r="C28" s="1"/>
      <c r="D28" s="3"/>
      <c r="E28" s="5"/>
      <c r="G28" s="3"/>
      <c r="H28" s="5"/>
      <c r="J28" s="3"/>
      <c r="K28" s="5"/>
      <c r="M28" s="19"/>
      <c r="N28" s="19"/>
    </row>
    <row r="29" spans="1:14" x14ac:dyDescent="0.35">
      <c r="B29" t="s">
        <v>21</v>
      </c>
      <c r="C29" s="1">
        <v>1590144</v>
      </c>
      <c r="D29" s="4">
        <v>7.0800000000000002E-2</v>
      </c>
      <c r="E29" s="5">
        <f>C29*D29</f>
        <v>112582.1952</v>
      </c>
      <c r="G29" s="3"/>
      <c r="H29" s="5"/>
      <c r="J29" s="3"/>
      <c r="K29" s="5"/>
      <c r="M29" s="19"/>
      <c r="N29" s="19"/>
    </row>
    <row r="30" spans="1:14" x14ac:dyDescent="0.35">
      <c r="B30" t="s">
        <v>22</v>
      </c>
      <c r="C30" s="1">
        <v>1514572</v>
      </c>
      <c r="D30" s="3"/>
      <c r="E30" s="5"/>
      <c r="G30" s="3">
        <v>8.1799999999999998E-2</v>
      </c>
      <c r="H30" s="5">
        <f>G30*C30</f>
        <v>123891.9896</v>
      </c>
      <c r="J30" s="32" t="s">
        <v>33</v>
      </c>
      <c r="K30" s="32"/>
      <c r="M30" s="19">
        <f>+G30/D29-1</f>
        <v>0.15536723163841804</v>
      </c>
      <c r="N30" s="19"/>
    </row>
    <row r="31" spans="1:14" x14ac:dyDescent="0.35">
      <c r="B31" t="s">
        <v>23</v>
      </c>
      <c r="C31" s="1">
        <v>176683</v>
      </c>
      <c r="D31" s="3">
        <v>0.20508000000000001</v>
      </c>
      <c r="E31" s="5">
        <f>C31*D31</f>
        <v>36234.149640000003</v>
      </c>
      <c r="G31" s="3"/>
      <c r="H31" s="5"/>
      <c r="J31" s="3"/>
      <c r="K31" s="5"/>
      <c r="M31" s="19"/>
      <c r="N31" s="19"/>
    </row>
    <row r="32" spans="1:14" x14ac:dyDescent="0.35">
      <c r="B32" t="s">
        <v>24</v>
      </c>
      <c r="C32" s="1">
        <v>252254</v>
      </c>
      <c r="D32" s="3"/>
      <c r="E32" s="5"/>
      <c r="G32" s="3">
        <v>0.17949000000000001</v>
      </c>
      <c r="H32" s="5">
        <f>G32*C32</f>
        <v>45277.070460000003</v>
      </c>
      <c r="J32" s="32" t="s">
        <v>33</v>
      </c>
      <c r="K32" s="32"/>
      <c r="M32" s="19">
        <f>+G32/D31-1</f>
        <v>-0.12478057343475712</v>
      </c>
      <c r="N32" s="19"/>
    </row>
    <row r="33" spans="2:15" x14ac:dyDescent="0.35">
      <c r="B33" t="s">
        <v>25</v>
      </c>
      <c r="C33" s="1">
        <v>0</v>
      </c>
      <c r="D33" s="14">
        <v>7.62</v>
      </c>
      <c r="E33" s="5">
        <f>C33*D33</f>
        <v>0</v>
      </c>
      <c r="G33" s="14">
        <v>9.25</v>
      </c>
      <c r="H33" s="5">
        <f>G33*C33</f>
        <v>0</v>
      </c>
      <c r="J33" s="32" t="s">
        <v>33</v>
      </c>
      <c r="K33" s="32"/>
      <c r="M33" s="19"/>
      <c r="N33" s="19"/>
      <c r="O33" s="14"/>
    </row>
    <row r="34" spans="2:15" x14ac:dyDescent="0.35">
      <c r="B34" t="s">
        <v>26</v>
      </c>
      <c r="C34" s="1">
        <v>0</v>
      </c>
      <c r="D34" s="14">
        <v>3.48</v>
      </c>
      <c r="E34" s="5">
        <f>C34*D34</f>
        <v>0</v>
      </c>
      <c r="G34" s="14">
        <v>4.22</v>
      </c>
      <c r="H34" s="5">
        <f>G34*C34</f>
        <v>0</v>
      </c>
      <c r="J34" s="32" t="s">
        <v>33</v>
      </c>
      <c r="K34" s="32"/>
      <c r="M34" s="19"/>
      <c r="N34" s="19"/>
    </row>
    <row r="35" spans="2:15" x14ac:dyDescent="0.35">
      <c r="C35" s="1"/>
      <c r="D35" s="3"/>
      <c r="E35" s="5"/>
      <c r="G35" s="3"/>
      <c r="H35" s="5"/>
      <c r="J35" s="3"/>
      <c r="K35" s="5"/>
      <c r="M35" s="19"/>
      <c r="N35" s="19"/>
    </row>
    <row r="36" spans="2:15" x14ac:dyDescent="0.35">
      <c r="B36" t="s">
        <v>10</v>
      </c>
      <c r="C36" s="1">
        <v>-11551</v>
      </c>
      <c r="D36" s="3">
        <f>D29</f>
        <v>7.0800000000000002E-2</v>
      </c>
      <c r="E36" s="5">
        <f>C36*D36</f>
        <v>-817.81079999999997</v>
      </c>
      <c r="G36" s="3">
        <f>G32</f>
        <v>0.17949000000000001</v>
      </c>
      <c r="H36" s="5">
        <f>G36*C36</f>
        <v>-2073.28899</v>
      </c>
      <c r="J36" s="32" t="s">
        <v>33</v>
      </c>
      <c r="K36" s="32"/>
      <c r="M36" s="19">
        <f t="shared" si="0"/>
        <v>1.5351694915254237</v>
      </c>
      <c r="N36" s="19"/>
    </row>
    <row r="37" spans="2:15" x14ac:dyDescent="0.35">
      <c r="B37" t="s">
        <v>11</v>
      </c>
      <c r="C37" s="1">
        <v>-3601</v>
      </c>
      <c r="D37" s="3">
        <v>2.1729999999999999E-2</v>
      </c>
      <c r="E37" s="5">
        <f>C37*D37</f>
        <v>-78.24973</v>
      </c>
      <c r="G37" s="3">
        <f>D37</f>
        <v>2.1729999999999999E-2</v>
      </c>
      <c r="H37" s="5">
        <f>G37*C37</f>
        <v>-78.24973</v>
      </c>
      <c r="J37" s="3">
        <f>G37</f>
        <v>2.1729999999999999E-2</v>
      </c>
      <c r="K37" s="5">
        <f>+J37*C37</f>
        <v>-78.24973</v>
      </c>
      <c r="M37" s="19">
        <f t="shared" si="0"/>
        <v>0</v>
      </c>
      <c r="N37" s="19">
        <f t="shared" si="1"/>
        <v>0</v>
      </c>
    </row>
    <row r="38" spans="2:15" x14ac:dyDescent="0.35">
      <c r="B38" s="7"/>
      <c r="C38" s="8"/>
      <c r="D38" s="9"/>
      <c r="E38" s="10"/>
      <c r="F38" s="7"/>
      <c r="G38" s="7"/>
      <c r="H38" s="7"/>
      <c r="J38" s="7"/>
      <c r="K38" s="7"/>
      <c r="M38" s="19"/>
      <c r="N38" s="19"/>
    </row>
    <row r="39" spans="2:15" x14ac:dyDescent="0.35">
      <c r="B39" t="s">
        <v>27</v>
      </c>
      <c r="C39" s="1"/>
      <c r="D39" s="2"/>
      <c r="E39" s="5">
        <f>SUM(E26:E37)</f>
        <v>174794.73430999997</v>
      </c>
      <c r="H39" s="5">
        <f>SUM(H26:H37)</f>
        <v>198072.44134000002</v>
      </c>
      <c r="J39" s="5"/>
      <c r="K39" s="5">
        <f>+K47-K46</f>
        <v>198064.01056085411</v>
      </c>
      <c r="M39" s="19">
        <f t="shared" si="0"/>
        <v>0.13317167202941493</v>
      </c>
      <c r="N39" s="19">
        <f t="shared" si="1"/>
        <v>0.13312343957447759</v>
      </c>
    </row>
    <row r="40" spans="2:15" x14ac:dyDescent="0.35">
      <c r="C40" s="1"/>
      <c r="D40" s="2"/>
      <c r="E40" s="5"/>
      <c r="M40" s="19"/>
      <c r="N40" s="19"/>
    </row>
    <row r="41" spans="2:15" x14ac:dyDescent="0.35">
      <c r="B41" t="s">
        <v>12</v>
      </c>
      <c r="C41" s="1"/>
      <c r="D41" s="2"/>
      <c r="E41" s="5">
        <v>-2520</v>
      </c>
      <c r="H41" s="5">
        <f>E41</f>
        <v>-2520</v>
      </c>
      <c r="K41" s="5">
        <f>H41</f>
        <v>-2520</v>
      </c>
      <c r="M41" s="19">
        <f t="shared" si="0"/>
        <v>0</v>
      </c>
      <c r="N41" s="19">
        <f t="shared" si="1"/>
        <v>0</v>
      </c>
    </row>
    <row r="42" spans="2:15" x14ac:dyDescent="0.35">
      <c r="B42" t="s">
        <v>13</v>
      </c>
      <c r="C42" s="1"/>
      <c r="D42" s="2"/>
      <c r="E42" s="5">
        <v>1619</v>
      </c>
      <c r="H42" s="5">
        <f>E42</f>
        <v>1619</v>
      </c>
      <c r="K42" s="5">
        <f t="shared" ref="K42:K45" si="2">H42</f>
        <v>1619</v>
      </c>
      <c r="M42" s="19">
        <f t="shared" si="0"/>
        <v>0</v>
      </c>
      <c r="N42" s="19">
        <f t="shared" si="1"/>
        <v>0</v>
      </c>
    </row>
    <row r="43" spans="2:15" x14ac:dyDescent="0.35">
      <c r="B43" t="s">
        <v>14</v>
      </c>
      <c r="C43" s="1"/>
      <c r="E43" s="5">
        <f>3475+2102</f>
        <v>5577</v>
      </c>
      <c r="H43" s="5">
        <v>3475</v>
      </c>
      <c r="K43" s="5">
        <f t="shared" si="2"/>
        <v>3475</v>
      </c>
      <c r="M43" s="19">
        <f t="shared" si="0"/>
        <v>-0.37690514613591541</v>
      </c>
      <c r="N43" s="19">
        <f t="shared" si="1"/>
        <v>-0.37690514613591541</v>
      </c>
    </row>
    <row r="44" spans="2:15" x14ac:dyDescent="0.35">
      <c r="B44" t="s">
        <v>15</v>
      </c>
      <c r="C44" s="1"/>
      <c r="E44" s="5">
        <v>-137</v>
      </c>
      <c r="H44" s="5">
        <f>E44</f>
        <v>-137</v>
      </c>
      <c r="K44" s="5">
        <f t="shared" si="2"/>
        <v>-137</v>
      </c>
      <c r="M44" s="19">
        <f t="shared" si="0"/>
        <v>0</v>
      </c>
      <c r="N44" s="19">
        <f t="shared" si="1"/>
        <v>0</v>
      </c>
    </row>
    <row r="45" spans="2:15" x14ac:dyDescent="0.35">
      <c r="B45" s="16" t="s">
        <v>16</v>
      </c>
      <c r="C45" s="16"/>
      <c r="D45" s="16"/>
      <c r="E45" s="17">
        <v>0</v>
      </c>
      <c r="F45" s="16"/>
      <c r="G45" s="5"/>
      <c r="H45" s="17">
        <f>E45</f>
        <v>0</v>
      </c>
      <c r="I45" s="16"/>
      <c r="J45" s="16"/>
      <c r="K45" s="17">
        <f t="shared" si="2"/>
        <v>0</v>
      </c>
      <c r="M45" s="19"/>
      <c r="N45" s="19"/>
    </row>
    <row r="46" spans="2:15" x14ac:dyDescent="0.35">
      <c r="B46" s="7" t="s">
        <v>28</v>
      </c>
      <c r="C46" s="7"/>
      <c r="D46" s="7"/>
      <c r="E46" s="10">
        <f>SUM(E41:E45)</f>
        <v>4539</v>
      </c>
      <c r="F46" s="7"/>
      <c r="G46" s="7"/>
      <c r="H46" s="10">
        <f>SUM(H41:H45)</f>
        <v>2437</v>
      </c>
      <c r="J46" s="7"/>
      <c r="K46" s="10">
        <f>SUM(K41:K45)</f>
        <v>2437</v>
      </c>
      <c r="M46" s="19">
        <f t="shared" si="0"/>
        <v>-0.46309759858999777</v>
      </c>
      <c r="N46" s="19">
        <f t="shared" si="1"/>
        <v>-0.46309759858999777</v>
      </c>
    </row>
    <row r="47" spans="2:15" x14ac:dyDescent="0.35">
      <c r="B47" t="s">
        <v>19</v>
      </c>
      <c r="E47" s="5">
        <f>E39+E46</f>
        <v>179333.73430999997</v>
      </c>
      <c r="H47" s="5">
        <f>H39+H46</f>
        <v>200509.44134000002</v>
      </c>
      <c r="J47" s="5"/>
      <c r="K47" s="5">
        <f>+E47+E57</f>
        <v>200501.01056085411</v>
      </c>
      <c r="L47" s="5"/>
      <c r="M47" s="19">
        <f t="shared" si="0"/>
        <v>0.11807988670662084</v>
      </c>
      <c r="N47" s="19">
        <f t="shared" si="1"/>
        <v>0.11803287503211157</v>
      </c>
    </row>
    <row r="48" spans="2:15" x14ac:dyDescent="0.35">
      <c r="E48" s="5"/>
      <c r="M48" s="19"/>
      <c r="N48" s="19"/>
    </row>
    <row r="49" spans="1:14" x14ac:dyDescent="0.35">
      <c r="B49" t="s">
        <v>29</v>
      </c>
      <c r="E49" s="5">
        <f>+E47+E22</f>
        <v>450298274.82833993</v>
      </c>
      <c r="H49" s="5">
        <f>+H47+H22</f>
        <v>503454265.60992998</v>
      </c>
      <c r="K49" s="5">
        <f>+K47+K22</f>
        <v>503448274.82833999</v>
      </c>
      <c r="L49" s="5"/>
      <c r="M49" s="19">
        <f t="shared" si="0"/>
        <v>0.11804617906176484</v>
      </c>
      <c r="N49" s="19">
        <f t="shared" si="1"/>
        <v>0.11803287503213644</v>
      </c>
    </row>
    <row r="50" spans="1:14" x14ac:dyDescent="0.35">
      <c r="B50" t="s">
        <v>30</v>
      </c>
      <c r="H50" s="5">
        <f>+H49-E49</f>
        <v>53155990.781590044</v>
      </c>
      <c r="K50" s="24">
        <f>+K49-E49</f>
        <v>53150000.00000006</v>
      </c>
      <c r="M50" s="19"/>
      <c r="N50" s="19"/>
    </row>
    <row r="52" spans="1:14" x14ac:dyDescent="0.3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4" x14ac:dyDescent="0.35">
      <c r="A53" s="28"/>
      <c r="B53" s="29" t="s">
        <v>48</v>
      </c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</row>
    <row r="54" spans="1:14" x14ac:dyDescent="0.35">
      <c r="B54" t="s">
        <v>45</v>
      </c>
      <c r="E54" s="20">
        <v>53150000</v>
      </c>
    </row>
    <row r="55" spans="1:14" x14ac:dyDescent="0.35">
      <c r="B55" t="s">
        <v>47</v>
      </c>
      <c r="E55" s="22">
        <f>+E22/E49</f>
        <v>0.99960174456724638</v>
      </c>
    </row>
    <row r="56" spans="1:14" x14ac:dyDescent="0.35">
      <c r="B56" t="s">
        <v>39</v>
      </c>
      <c r="E56" s="20">
        <f>+E54*E55</f>
        <v>53128832.723749146</v>
      </c>
      <c r="H56" s="5"/>
    </row>
    <row r="57" spans="1:14" x14ac:dyDescent="0.35">
      <c r="B57" t="s">
        <v>34</v>
      </c>
      <c r="E57" s="23">
        <f>+E54-E56</f>
        <v>21167.276250854135</v>
      </c>
      <c r="H57" s="5"/>
    </row>
    <row r="58" spans="1:14" x14ac:dyDescent="0.35">
      <c r="E58" s="17"/>
      <c r="H58" s="17"/>
    </row>
    <row r="59" spans="1:14" x14ac:dyDescent="0.35">
      <c r="B59" t="s">
        <v>36</v>
      </c>
      <c r="E59" s="23">
        <f>+E22</f>
        <v>450118941.09402996</v>
      </c>
      <c r="H59" s="5"/>
      <c r="K59" s="23"/>
    </row>
    <row r="60" spans="1:14" x14ac:dyDescent="0.35">
      <c r="B60" t="s">
        <v>37</v>
      </c>
      <c r="E60" s="5">
        <f>E8</f>
        <v>61993728.899999999</v>
      </c>
      <c r="K60" s="5"/>
    </row>
    <row r="61" spans="1:14" x14ac:dyDescent="0.35">
      <c r="B61" t="s">
        <v>35</v>
      </c>
      <c r="E61" s="5">
        <f>E12</f>
        <v>-3646.1418899999999</v>
      </c>
      <c r="H61" s="5"/>
      <c r="K61" s="5"/>
    </row>
    <row r="62" spans="1:14" x14ac:dyDescent="0.35">
      <c r="B62" t="s">
        <v>44</v>
      </c>
      <c r="E62" s="5">
        <f>E21</f>
        <v>12615339</v>
      </c>
      <c r="H62" s="5"/>
      <c r="K62" s="5"/>
    </row>
    <row r="63" spans="1:14" x14ac:dyDescent="0.35">
      <c r="B63" t="s">
        <v>38</v>
      </c>
      <c r="E63" s="5">
        <f>+E59-E60-E61-E62</f>
        <v>375513519.33591998</v>
      </c>
      <c r="H63" s="5"/>
    </row>
    <row r="64" spans="1:14" x14ac:dyDescent="0.35">
      <c r="E64" s="17"/>
      <c r="H64" s="17"/>
    </row>
    <row r="65" spans="2:14" x14ac:dyDescent="0.35">
      <c r="B65" t="s">
        <v>40</v>
      </c>
      <c r="E65" s="5">
        <f>+E56</f>
        <v>53128832.723749146</v>
      </c>
      <c r="H65" s="5"/>
    </row>
    <row r="66" spans="2:14" x14ac:dyDescent="0.35">
      <c r="B66" t="s">
        <v>41</v>
      </c>
      <c r="E66" s="10">
        <f>+H18-E18</f>
        <v>-5238798</v>
      </c>
    </row>
    <row r="67" spans="2:14" x14ac:dyDescent="0.35">
      <c r="B67" t="s">
        <v>42</v>
      </c>
      <c r="E67" s="5">
        <f>+E65-E66</f>
        <v>58367630.723749146</v>
      </c>
      <c r="H67" s="5"/>
      <c r="M67" s="19"/>
    </row>
    <row r="68" spans="2:14" x14ac:dyDescent="0.35">
      <c r="B68" t="s">
        <v>43</v>
      </c>
      <c r="E68" s="19">
        <f>+E67/E63</f>
        <v>0.15543416606403379</v>
      </c>
      <c r="H68" s="5"/>
      <c r="K68" s="20"/>
      <c r="N68" s="19"/>
    </row>
  </sheetData>
  <mergeCells count="8">
    <mergeCell ref="A1:N1"/>
    <mergeCell ref="A2:N2"/>
    <mergeCell ref="J36:K36"/>
    <mergeCell ref="J27:K27"/>
    <mergeCell ref="J30:K30"/>
    <mergeCell ref="J32:K32"/>
    <mergeCell ref="J33:K33"/>
    <mergeCell ref="J34:K3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F9C65-621B-46F4-BF0D-3E2329156CF6}">
  <dimension ref="A1:O68"/>
  <sheetViews>
    <sheetView zoomScale="106" zoomScaleNormal="106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55" sqref="E55"/>
    </sheetView>
  </sheetViews>
  <sheetFormatPr defaultRowHeight="14.5" x14ac:dyDescent="0.35"/>
  <cols>
    <col min="1" max="1" width="3.54296875" customWidth="1"/>
    <col min="2" max="2" width="37.26953125" customWidth="1"/>
    <col min="3" max="3" width="16.08984375" bestFit="1" customWidth="1"/>
    <col min="4" max="4" width="11.08984375" customWidth="1"/>
    <col min="5" max="5" width="13.1796875" customWidth="1"/>
    <col min="6" max="6" width="3.54296875" customWidth="1"/>
    <col min="8" max="8" width="12.08984375" bestFit="1" customWidth="1"/>
    <col min="9" max="9" width="3.6328125" customWidth="1"/>
    <col min="10" max="10" width="8.81640625" bestFit="1" customWidth="1"/>
    <col min="11" max="11" width="12.08984375" bestFit="1" customWidth="1"/>
    <col min="12" max="12" width="3.36328125" customWidth="1"/>
  </cols>
  <sheetData>
    <row r="1" spans="1:15" x14ac:dyDescent="0.35">
      <c r="A1" s="30" t="s">
        <v>50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x14ac:dyDescent="0.35">
      <c r="A2" s="31" t="s">
        <v>49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5" x14ac:dyDescent="0.3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25" t="s">
        <v>51</v>
      </c>
      <c r="N3" s="25" t="s">
        <v>8</v>
      </c>
    </row>
    <row r="4" spans="1:15" x14ac:dyDescent="0.35">
      <c r="A4" s="11"/>
      <c r="B4" s="11"/>
      <c r="C4" s="25"/>
      <c r="D4" s="25"/>
      <c r="E4" s="25"/>
      <c r="F4" s="25"/>
      <c r="G4" s="25" t="s">
        <v>51</v>
      </c>
      <c r="H4" s="25" t="s">
        <v>51</v>
      </c>
      <c r="I4" s="11"/>
      <c r="J4" s="25" t="s">
        <v>8</v>
      </c>
      <c r="K4" s="25" t="s">
        <v>8</v>
      </c>
      <c r="L4" s="11"/>
      <c r="M4" s="25" t="s">
        <v>9</v>
      </c>
      <c r="N4" s="25" t="s">
        <v>9</v>
      </c>
    </row>
    <row r="5" spans="1:15" x14ac:dyDescent="0.35">
      <c r="A5" s="11"/>
      <c r="B5" s="11"/>
      <c r="C5" s="25" t="s">
        <v>2</v>
      </c>
      <c r="D5" s="25" t="s">
        <v>4</v>
      </c>
      <c r="E5" s="25" t="s">
        <v>4</v>
      </c>
      <c r="F5" s="25"/>
      <c r="G5" s="25" t="s">
        <v>9</v>
      </c>
      <c r="H5" s="25" t="s">
        <v>9</v>
      </c>
      <c r="I5" s="11"/>
      <c r="J5" s="25" t="s">
        <v>9</v>
      </c>
      <c r="K5" s="25" t="s">
        <v>9</v>
      </c>
      <c r="L5" s="11"/>
      <c r="M5" s="25" t="s">
        <v>31</v>
      </c>
      <c r="N5" s="25" t="s">
        <v>31</v>
      </c>
    </row>
    <row r="6" spans="1:15" x14ac:dyDescent="0.35">
      <c r="A6" s="11"/>
      <c r="B6" s="11"/>
      <c r="C6" s="26" t="s">
        <v>3</v>
      </c>
      <c r="D6" s="26" t="s">
        <v>0</v>
      </c>
      <c r="E6" s="26" t="s">
        <v>7</v>
      </c>
      <c r="F6" s="25"/>
      <c r="G6" s="26" t="s">
        <v>0</v>
      </c>
      <c r="H6" s="26" t="s">
        <v>7</v>
      </c>
      <c r="I6" s="11"/>
      <c r="J6" s="26" t="s">
        <v>0</v>
      </c>
      <c r="K6" s="26" t="s">
        <v>7</v>
      </c>
      <c r="L6" s="11"/>
      <c r="M6" s="27" t="s">
        <v>32</v>
      </c>
      <c r="N6" s="27" t="s">
        <v>32</v>
      </c>
    </row>
    <row r="7" spans="1:15" x14ac:dyDescent="0.35">
      <c r="A7" s="11" t="s">
        <v>1</v>
      </c>
    </row>
    <row r="8" spans="1:15" x14ac:dyDescent="0.35">
      <c r="B8" t="s">
        <v>5</v>
      </c>
      <c r="C8" s="1">
        <v>137763842</v>
      </c>
      <c r="D8" s="15">
        <v>0.45</v>
      </c>
      <c r="E8" s="5">
        <f>C8*D8</f>
        <v>61993728.899999999</v>
      </c>
      <c r="G8" s="15">
        <v>0.52</v>
      </c>
      <c r="H8" s="5">
        <f>G8*C8</f>
        <v>71637197.840000004</v>
      </c>
      <c r="J8" s="15">
        <f>D8</f>
        <v>0.45</v>
      </c>
      <c r="K8" s="5">
        <f>J8*C8</f>
        <v>61993728.899999999</v>
      </c>
      <c r="M8" s="19">
        <f>+H8/E8-1</f>
        <v>0.15555555555555567</v>
      </c>
      <c r="N8" s="19">
        <f>+K8/E8-1</f>
        <v>0</v>
      </c>
      <c r="O8" s="6"/>
    </row>
    <row r="9" spans="1:15" x14ac:dyDescent="0.35">
      <c r="B9" t="s">
        <v>6</v>
      </c>
      <c r="C9" s="1">
        <v>4048068533</v>
      </c>
      <c r="D9" s="3">
        <f>0.06072+0.03206</f>
        <v>9.2780000000000001E-2</v>
      </c>
      <c r="E9" s="5">
        <f>C9*D9</f>
        <v>375579798.49173999</v>
      </c>
      <c r="G9" s="3">
        <v>0.10482</v>
      </c>
      <c r="H9" s="5">
        <f>G9*C9</f>
        <v>424318543.62905997</v>
      </c>
      <c r="J9" s="3">
        <f>+D9*(1+E$68)</f>
        <v>0.10657805998173724</v>
      </c>
      <c r="K9" s="5">
        <f>J9*C9</f>
        <v>431435290.92025703</v>
      </c>
      <c r="M9" s="19">
        <f t="shared" ref="M9:M49" si="0">+H9/E9-1</f>
        <v>0.12976934684199182</v>
      </c>
      <c r="N9" s="19">
        <f t="shared" ref="N9:N49" si="1">+K9/E9-1</f>
        <v>0.14871804248477294</v>
      </c>
      <c r="O9" s="6"/>
    </row>
    <row r="10" spans="1:15" x14ac:dyDescent="0.35">
      <c r="C10" s="1"/>
      <c r="D10" s="3"/>
      <c r="E10" s="5"/>
      <c r="G10" s="3"/>
      <c r="H10" s="5"/>
      <c r="J10" s="3"/>
      <c r="K10" s="5"/>
      <c r="M10" s="19"/>
      <c r="N10" s="19"/>
      <c r="O10" s="6"/>
    </row>
    <row r="11" spans="1:15" x14ac:dyDescent="0.35">
      <c r="B11" t="s">
        <v>10</v>
      </c>
      <c r="C11" s="1">
        <v>-714369</v>
      </c>
      <c r="D11" s="3">
        <f>D9</f>
        <v>9.2780000000000001E-2</v>
      </c>
      <c r="E11" s="5">
        <f>C11*D11</f>
        <v>-66279.15582</v>
      </c>
      <c r="G11" s="3">
        <f>G9</f>
        <v>0.10482</v>
      </c>
      <c r="H11" s="5">
        <f>G11*C11</f>
        <v>-74880.158580000003</v>
      </c>
      <c r="J11" s="3">
        <f>+D11*(1+E$68)</f>
        <v>0.10657805998173724</v>
      </c>
      <c r="K11" s="5">
        <f>+J11*C11</f>
        <v>-76136.06213109364</v>
      </c>
      <c r="M11" s="19">
        <f t="shared" si="0"/>
        <v>0.12976934684199182</v>
      </c>
      <c r="N11" s="19">
        <f t="shared" si="1"/>
        <v>0.14871804248477294</v>
      </c>
      <c r="O11" s="18"/>
    </row>
    <row r="12" spans="1:15" x14ac:dyDescent="0.35">
      <c r="B12" t="s">
        <v>11</v>
      </c>
      <c r="C12" s="1">
        <v>-167793</v>
      </c>
      <c r="D12" s="3">
        <v>2.1729999999999999E-2</v>
      </c>
      <c r="E12" s="5">
        <f>C12*D12</f>
        <v>-3646.1418899999999</v>
      </c>
      <c r="G12" s="3">
        <f>D12</f>
        <v>2.1729999999999999E-2</v>
      </c>
      <c r="H12" s="5">
        <f>G12*C12</f>
        <v>-3646.1418899999999</v>
      </c>
      <c r="J12" s="3">
        <f>G12</f>
        <v>2.1729999999999999E-2</v>
      </c>
      <c r="K12" s="5">
        <f>J12*C12</f>
        <v>-3646.1418899999999</v>
      </c>
      <c r="M12" s="19">
        <f t="shared" si="0"/>
        <v>0</v>
      </c>
      <c r="N12" s="19">
        <f t="shared" si="1"/>
        <v>0</v>
      </c>
    </row>
    <row r="13" spans="1:15" x14ac:dyDescent="0.35">
      <c r="B13" s="7"/>
      <c r="C13" s="8"/>
      <c r="D13" s="9"/>
      <c r="E13" s="10"/>
      <c r="F13" s="7"/>
      <c r="G13" s="7"/>
      <c r="H13" s="7"/>
      <c r="J13" s="7"/>
      <c r="K13" s="7"/>
      <c r="M13" s="19"/>
      <c r="N13" s="19"/>
    </row>
    <row r="14" spans="1:15" x14ac:dyDescent="0.35">
      <c r="B14" t="s">
        <v>27</v>
      </c>
      <c r="C14" s="1"/>
      <c r="D14" s="2"/>
      <c r="E14" s="5">
        <f>SUM(E8:E12)</f>
        <v>437503602.09402996</v>
      </c>
      <c r="H14" s="5">
        <f>SUM(H8:H12)</f>
        <v>495877215.16858995</v>
      </c>
      <c r="K14" s="5">
        <f>SUM(K8:K12)</f>
        <v>493349237.61623591</v>
      </c>
      <c r="M14" s="19">
        <f t="shared" si="0"/>
        <v>0.13342430278325823</v>
      </c>
      <c r="N14" s="19">
        <f t="shared" si="1"/>
        <v>0.12764611595175701</v>
      </c>
    </row>
    <row r="15" spans="1:15" x14ac:dyDescent="0.35">
      <c r="C15" s="1"/>
      <c r="D15" s="2"/>
      <c r="E15" s="5"/>
      <c r="M15" s="19"/>
      <c r="N15" s="19"/>
    </row>
    <row r="16" spans="1:15" x14ac:dyDescent="0.35">
      <c r="B16" t="s">
        <v>12</v>
      </c>
      <c r="C16" s="1"/>
      <c r="D16" s="2"/>
      <c r="E16" s="5">
        <v>-5797216</v>
      </c>
      <c r="H16" s="5">
        <f>E16</f>
        <v>-5797216</v>
      </c>
      <c r="K16" s="5">
        <f>H16</f>
        <v>-5797216</v>
      </c>
      <c r="M16" s="19">
        <f t="shared" si="0"/>
        <v>0</v>
      </c>
      <c r="N16" s="19">
        <f t="shared" si="1"/>
        <v>0</v>
      </c>
    </row>
    <row r="17" spans="1:14" x14ac:dyDescent="0.35">
      <c r="B17" t="s">
        <v>13</v>
      </c>
      <c r="C17" s="1"/>
      <c r="D17" s="2"/>
      <c r="E17" s="5">
        <v>4225874</v>
      </c>
      <c r="H17" s="5">
        <f>E17</f>
        <v>4225874</v>
      </c>
      <c r="K17" s="5">
        <f>H17</f>
        <v>4225874</v>
      </c>
      <c r="M17" s="19">
        <f t="shared" si="0"/>
        <v>0</v>
      </c>
      <c r="N17" s="19">
        <f t="shared" si="1"/>
        <v>0</v>
      </c>
    </row>
    <row r="18" spans="1:14" x14ac:dyDescent="0.35">
      <c r="B18" t="s">
        <v>14</v>
      </c>
      <c r="C18" s="1"/>
      <c r="E18" s="5">
        <f>9261676+5238798</f>
        <v>14500474</v>
      </c>
      <c r="H18" s="5">
        <v>9261676</v>
      </c>
      <c r="K18" s="5">
        <f>H18</f>
        <v>9261676</v>
      </c>
      <c r="M18" s="19">
        <f t="shared" si="0"/>
        <v>-0.36128460352399516</v>
      </c>
      <c r="N18" s="19">
        <f t="shared" si="1"/>
        <v>-0.36128460352399516</v>
      </c>
    </row>
    <row r="19" spans="1:14" x14ac:dyDescent="0.35">
      <c r="B19" t="s">
        <v>15</v>
      </c>
      <c r="C19" s="1"/>
      <c r="E19" s="5">
        <v>-313793</v>
      </c>
      <c r="H19" s="5">
        <f>E19</f>
        <v>-313793</v>
      </c>
      <c r="K19" s="5">
        <f>H19</f>
        <v>-313793</v>
      </c>
      <c r="M19" s="19">
        <f t="shared" si="0"/>
        <v>0</v>
      </c>
      <c r="N19" s="19">
        <f t="shared" si="1"/>
        <v>0</v>
      </c>
    </row>
    <row r="20" spans="1:14" x14ac:dyDescent="0.35">
      <c r="B20" s="16" t="s">
        <v>16</v>
      </c>
      <c r="C20" s="16"/>
      <c r="D20" s="16"/>
      <c r="E20" s="17">
        <v>0</v>
      </c>
      <c r="F20" s="16"/>
      <c r="G20" s="16"/>
      <c r="H20" s="17">
        <f>E20</f>
        <v>0</v>
      </c>
      <c r="I20" s="16"/>
      <c r="J20" s="16"/>
      <c r="K20" s="17">
        <f>H20</f>
        <v>0</v>
      </c>
      <c r="M20" s="21"/>
      <c r="N20" s="19"/>
    </row>
    <row r="21" spans="1:14" x14ac:dyDescent="0.35">
      <c r="B21" s="7" t="s">
        <v>28</v>
      </c>
      <c r="C21" s="7"/>
      <c r="D21" s="7"/>
      <c r="E21" s="10">
        <f>SUM(E16:E20)</f>
        <v>12615339</v>
      </c>
      <c r="F21" s="7"/>
      <c r="G21" s="7"/>
      <c r="H21" s="10">
        <f>SUM(H16:H20)</f>
        <v>7376541</v>
      </c>
      <c r="J21" s="7"/>
      <c r="K21" s="10">
        <f>SUM(K16:K20)</f>
        <v>7376541</v>
      </c>
      <c r="M21" s="19">
        <f t="shared" si="0"/>
        <v>-0.41527207473378247</v>
      </c>
      <c r="N21" s="19">
        <f t="shared" si="1"/>
        <v>-0.41527207473378247</v>
      </c>
    </row>
    <row r="22" spans="1:14" x14ac:dyDescent="0.35">
      <c r="B22" t="s">
        <v>17</v>
      </c>
      <c r="E22" s="5">
        <f>E14+E21</f>
        <v>450118941.09402996</v>
      </c>
      <c r="H22" s="5">
        <f>H14+H21</f>
        <v>503253756.16858995</v>
      </c>
      <c r="K22" s="5">
        <f>K14+K21</f>
        <v>500725778.61623591</v>
      </c>
      <c r="L22" s="5"/>
      <c r="M22" s="19">
        <f t="shared" si="0"/>
        <v>0.11804616563216364</v>
      </c>
      <c r="N22" s="19">
        <f t="shared" si="1"/>
        <v>0.1124299221872429</v>
      </c>
    </row>
    <row r="23" spans="1:14" ht="15" thickBot="1" x14ac:dyDescent="0.4">
      <c r="A23" s="12"/>
      <c r="B23" s="12"/>
      <c r="C23" s="12"/>
      <c r="D23" s="12"/>
      <c r="E23" s="13"/>
      <c r="F23" s="12"/>
      <c r="G23" s="12"/>
      <c r="H23" s="12"/>
      <c r="J23" s="12"/>
      <c r="K23" s="12"/>
      <c r="M23" s="19"/>
      <c r="N23" s="19"/>
    </row>
    <row r="24" spans="1:14" ht="15" thickTop="1" x14ac:dyDescent="0.35">
      <c r="E24" s="5"/>
      <c r="M24" s="19"/>
      <c r="N24" s="19"/>
    </row>
    <row r="25" spans="1:14" x14ac:dyDescent="0.35">
      <c r="A25" s="11" t="s">
        <v>18</v>
      </c>
      <c r="E25" s="5"/>
      <c r="M25" s="19"/>
      <c r="N25" s="19"/>
    </row>
    <row r="26" spans="1:14" x14ac:dyDescent="0.35">
      <c r="B26" t="s">
        <v>5</v>
      </c>
      <c r="C26" s="1">
        <v>59721</v>
      </c>
      <c r="D26" s="15">
        <v>0.45</v>
      </c>
      <c r="E26" s="5">
        <f>C26*D26</f>
        <v>26874.45</v>
      </c>
      <c r="G26" s="15">
        <f>G8</f>
        <v>0.52</v>
      </c>
      <c r="H26" s="5">
        <f>G26*C26</f>
        <v>31054.920000000002</v>
      </c>
      <c r="J26" s="15">
        <f>D26</f>
        <v>0.45</v>
      </c>
      <c r="K26" s="5">
        <f>J26*C26</f>
        <v>26874.45</v>
      </c>
      <c r="M26" s="19">
        <f t="shared" si="0"/>
        <v>0.15555555555555567</v>
      </c>
      <c r="N26" s="19">
        <f t="shared" si="1"/>
        <v>0</v>
      </c>
    </row>
    <row r="27" spans="1:14" x14ac:dyDescent="0.35">
      <c r="B27" t="s">
        <v>20</v>
      </c>
      <c r="C27" s="1">
        <v>0</v>
      </c>
      <c r="D27" s="3">
        <v>5.3010000000000002E-2</v>
      </c>
      <c r="E27" s="5">
        <f>C27*D27</f>
        <v>0</v>
      </c>
      <c r="G27" s="3">
        <v>5.3400000000000003E-2</v>
      </c>
      <c r="H27" s="5">
        <f>G27*C27</f>
        <v>0</v>
      </c>
      <c r="J27" s="32" t="s">
        <v>33</v>
      </c>
      <c r="K27" s="32"/>
      <c r="M27" s="19"/>
      <c r="N27" s="19"/>
    </row>
    <row r="28" spans="1:14" x14ac:dyDescent="0.35">
      <c r="C28" s="1"/>
      <c r="D28" s="3"/>
      <c r="E28" s="5"/>
      <c r="G28" s="3"/>
      <c r="H28" s="5"/>
      <c r="J28" s="3"/>
      <c r="K28" s="5"/>
      <c r="M28" s="19"/>
      <c r="N28" s="19"/>
    </row>
    <row r="29" spans="1:14" x14ac:dyDescent="0.35">
      <c r="B29" t="s">
        <v>21</v>
      </c>
      <c r="C29" s="1">
        <v>1590144</v>
      </c>
      <c r="D29" s="4">
        <v>7.0800000000000002E-2</v>
      </c>
      <c r="E29" s="5">
        <f>C29*D29</f>
        <v>112582.1952</v>
      </c>
      <c r="G29" s="3"/>
      <c r="H29" s="5"/>
      <c r="J29" s="3"/>
      <c r="K29" s="5"/>
      <c r="M29" s="19"/>
      <c r="N29" s="19"/>
    </row>
    <row r="30" spans="1:14" x14ac:dyDescent="0.35">
      <c r="B30" t="s">
        <v>22</v>
      </c>
      <c r="C30" s="1">
        <v>1514572</v>
      </c>
      <c r="D30" s="3"/>
      <c r="E30" s="5"/>
      <c r="G30" s="3">
        <v>8.1799999999999998E-2</v>
      </c>
      <c r="H30" s="5">
        <f>G30*C30</f>
        <v>123891.9896</v>
      </c>
      <c r="J30" s="32" t="s">
        <v>33</v>
      </c>
      <c r="K30" s="32"/>
      <c r="M30" s="19">
        <f>+G30/D29-1</f>
        <v>0.15536723163841804</v>
      </c>
      <c r="N30" s="19"/>
    </row>
    <row r="31" spans="1:14" x14ac:dyDescent="0.35">
      <c r="B31" t="s">
        <v>23</v>
      </c>
      <c r="C31" s="1">
        <v>176683</v>
      </c>
      <c r="D31" s="3">
        <v>0.20508000000000001</v>
      </c>
      <c r="E31" s="5">
        <f>C31*D31</f>
        <v>36234.149640000003</v>
      </c>
      <c r="G31" s="3"/>
      <c r="H31" s="5"/>
      <c r="J31" s="3"/>
      <c r="K31" s="5"/>
      <c r="M31" s="19"/>
      <c r="N31" s="19"/>
    </row>
    <row r="32" spans="1:14" x14ac:dyDescent="0.35">
      <c r="B32" t="s">
        <v>24</v>
      </c>
      <c r="C32" s="1">
        <v>252254</v>
      </c>
      <c r="D32" s="3"/>
      <c r="E32" s="5"/>
      <c r="G32" s="3">
        <v>0.17949000000000001</v>
      </c>
      <c r="H32" s="5">
        <f>G32*C32</f>
        <v>45277.070460000003</v>
      </c>
      <c r="J32" s="32" t="s">
        <v>33</v>
      </c>
      <c r="K32" s="32"/>
      <c r="M32" s="19">
        <f>+G32/D31-1</f>
        <v>-0.12478057343475712</v>
      </c>
      <c r="N32" s="19"/>
    </row>
    <row r="33" spans="2:15" x14ac:dyDescent="0.35">
      <c r="B33" t="s">
        <v>25</v>
      </c>
      <c r="C33" s="1">
        <v>0</v>
      </c>
      <c r="D33" s="14">
        <v>7.62</v>
      </c>
      <c r="E33" s="5">
        <f>C33*D33</f>
        <v>0</v>
      </c>
      <c r="G33" s="14">
        <v>9.25</v>
      </c>
      <c r="H33" s="5">
        <f>G33*C33</f>
        <v>0</v>
      </c>
      <c r="J33" s="32" t="s">
        <v>33</v>
      </c>
      <c r="K33" s="32"/>
      <c r="M33" s="19"/>
      <c r="N33" s="19"/>
      <c r="O33" s="14"/>
    </row>
    <row r="34" spans="2:15" x14ac:dyDescent="0.35">
      <c r="B34" t="s">
        <v>26</v>
      </c>
      <c r="C34" s="1">
        <v>0</v>
      </c>
      <c r="D34" s="14">
        <v>3.48</v>
      </c>
      <c r="E34" s="5">
        <f>C34*D34</f>
        <v>0</v>
      </c>
      <c r="G34" s="14">
        <v>4.22</v>
      </c>
      <c r="H34" s="5">
        <f>G34*C34</f>
        <v>0</v>
      </c>
      <c r="J34" s="32" t="s">
        <v>33</v>
      </c>
      <c r="K34" s="32"/>
      <c r="M34" s="19"/>
      <c r="N34" s="19"/>
    </row>
    <row r="35" spans="2:15" x14ac:dyDescent="0.35">
      <c r="C35" s="1"/>
      <c r="D35" s="3"/>
      <c r="E35" s="5"/>
      <c r="G35" s="3"/>
      <c r="H35" s="5"/>
      <c r="J35" s="3"/>
      <c r="K35" s="5"/>
      <c r="M35" s="19"/>
      <c r="N35" s="19"/>
    </row>
    <row r="36" spans="2:15" x14ac:dyDescent="0.35">
      <c r="B36" t="s">
        <v>10</v>
      </c>
      <c r="C36" s="1">
        <v>-11551</v>
      </c>
      <c r="D36" s="3">
        <f>D29</f>
        <v>7.0800000000000002E-2</v>
      </c>
      <c r="E36" s="5">
        <f>C36*D36</f>
        <v>-817.81079999999997</v>
      </c>
      <c r="G36" s="3">
        <f>G32</f>
        <v>0.17949000000000001</v>
      </c>
      <c r="H36" s="5">
        <f>G36*C36</f>
        <v>-2073.28899</v>
      </c>
      <c r="J36" s="32" t="s">
        <v>33</v>
      </c>
      <c r="K36" s="32"/>
      <c r="M36" s="19">
        <f t="shared" si="0"/>
        <v>1.5351694915254237</v>
      </c>
      <c r="N36" s="19"/>
    </row>
    <row r="37" spans="2:15" x14ac:dyDescent="0.35">
      <c r="B37" t="s">
        <v>11</v>
      </c>
      <c r="C37" s="1">
        <v>-3601</v>
      </c>
      <c r="D37" s="3">
        <v>2.1729999999999999E-2</v>
      </c>
      <c r="E37" s="5">
        <f>C37*D37</f>
        <v>-78.24973</v>
      </c>
      <c r="G37" s="3">
        <f>D37</f>
        <v>2.1729999999999999E-2</v>
      </c>
      <c r="H37" s="5">
        <f>G37*C37</f>
        <v>-78.24973</v>
      </c>
      <c r="J37" s="3">
        <f>G37</f>
        <v>2.1729999999999999E-2</v>
      </c>
      <c r="K37" s="5">
        <f>+J37*C37</f>
        <v>-78.24973</v>
      </c>
      <c r="M37" s="19">
        <f t="shared" si="0"/>
        <v>0</v>
      </c>
      <c r="N37" s="19">
        <f t="shared" si="1"/>
        <v>0</v>
      </c>
    </row>
    <row r="38" spans="2:15" x14ac:dyDescent="0.35">
      <c r="B38" s="7"/>
      <c r="C38" s="8"/>
      <c r="D38" s="9"/>
      <c r="E38" s="10"/>
      <c r="F38" s="7"/>
      <c r="G38" s="7"/>
      <c r="H38" s="7"/>
      <c r="J38" s="7"/>
      <c r="K38" s="7"/>
      <c r="M38" s="19"/>
      <c r="N38" s="19"/>
    </row>
    <row r="39" spans="2:15" x14ac:dyDescent="0.35">
      <c r="B39" t="s">
        <v>27</v>
      </c>
      <c r="C39" s="1"/>
      <c r="D39" s="2"/>
      <c r="E39" s="5">
        <f>SUM(E26:E37)</f>
        <v>174794.73430999997</v>
      </c>
      <c r="H39" s="5">
        <f>SUM(H26:H37)</f>
        <v>198072.44134000002</v>
      </c>
      <c r="J39" s="5"/>
      <c r="K39" s="5">
        <f>+K47-K46</f>
        <v>197059.21210402134</v>
      </c>
      <c r="M39" s="19">
        <f t="shared" si="0"/>
        <v>0.13317167202941493</v>
      </c>
      <c r="N39" s="19">
        <f t="shared" si="1"/>
        <v>0.12737499148306797</v>
      </c>
    </row>
    <row r="40" spans="2:15" x14ac:dyDescent="0.35">
      <c r="C40" s="1"/>
      <c r="D40" s="2"/>
      <c r="E40" s="5"/>
      <c r="M40" s="19"/>
      <c r="N40" s="19"/>
    </row>
    <row r="41" spans="2:15" x14ac:dyDescent="0.35">
      <c r="B41" t="s">
        <v>12</v>
      </c>
      <c r="C41" s="1"/>
      <c r="D41" s="2"/>
      <c r="E41" s="5">
        <v>-2520</v>
      </c>
      <c r="H41" s="5">
        <f>E41</f>
        <v>-2520</v>
      </c>
      <c r="K41" s="5">
        <f>H41</f>
        <v>-2520</v>
      </c>
      <c r="M41" s="19">
        <f t="shared" si="0"/>
        <v>0</v>
      </c>
      <c r="N41" s="19">
        <f t="shared" si="1"/>
        <v>0</v>
      </c>
    </row>
    <row r="42" spans="2:15" x14ac:dyDescent="0.35">
      <c r="B42" t="s">
        <v>13</v>
      </c>
      <c r="C42" s="1"/>
      <c r="D42" s="2"/>
      <c r="E42" s="5">
        <v>1619</v>
      </c>
      <c r="H42" s="5">
        <f>E42</f>
        <v>1619</v>
      </c>
      <c r="K42" s="5">
        <f t="shared" ref="K42:K45" si="2">H42</f>
        <v>1619</v>
      </c>
      <c r="M42" s="19">
        <f t="shared" si="0"/>
        <v>0</v>
      </c>
      <c r="N42" s="19">
        <f t="shared" si="1"/>
        <v>0</v>
      </c>
    </row>
    <row r="43" spans="2:15" x14ac:dyDescent="0.35">
      <c r="B43" t="s">
        <v>14</v>
      </c>
      <c r="C43" s="1"/>
      <c r="E43" s="5">
        <f>3475+2102</f>
        <v>5577</v>
      </c>
      <c r="H43" s="5">
        <v>3475</v>
      </c>
      <c r="K43" s="5">
        <f t="shared" si="2"/>
        <v>3475</v>
      </c>
      <c r="M43" s="19">
        <f t="shared" si="0"/>
        <v>-0.37690514613591541</v>
      </c>
      <c r="N43" s="19">
        <f t="shared" si="1"/>
        <v>-0.37690514613591541</v>
      </c>
    </row>
    <row r="44" spans="2:15" x14ac:dyDescent="0.35">
      <c r="B44" t="s">
        <v>15</v>
      </c>
      <c r="C44" s="1"/>
      <c r="E44" s="5">
        <v>-137</v>
      </c>
      <c r="H44" s="5">
        <f>E44</f>
        <v>-137</v>
      </c>
      <c r="K44" s="5">
        <f t="shared" si="2"/>
        <v>-137</v>
      </c>
      <c r="M44" s="19">
        <f t="shared" si="0"/>
        <v>0</v>
      </c>
      <c r="N44" s="19">
        <f t="shared" si="1"/>
        <v>0</v>
      </c>
    </row>
    <row r="45" spans="2:15" x14ac:dyDescent="0.35">
      <c r="B45" s="16" t="s">
        <v>16</v>
      </c>
      <c r="C45" s="16"/>
      <c r="D45" s="16"/>
      <c r="E45" s="17">
        <v>0</v>
      </c>
      <c r="F45" s="16"/>
      <c r="G45" s="5"/>
      <c r="H45" s="17">
        <f>E45</f>
        <v>0</v>
      </c>
      <c r="I45" s="16"/>
      <c r="J45" s="16"/>
      <c r="K45" s="17">
        <f t="shared" si="2"/>
        <v>0</v>
      </c>
      <c r="M45" s="19"/>
      <c r="N45" s="19"/>
    </row>
    <row r="46" spans="2:15" x14ac:dyDescent="0.35">
      <c r="B46" s="7" t="s">
        <v>28</v>
      </c>
      <c r="C46" s="7"/>
      <c r="D46" s="7"/>
      <c r="E46" s="10">
        <f>SUM(E41:E45)</f>
        <v>4539</v>
      </c>
      <c r="F46" s="7"/>
      <c r="G46" s="7"/>
      <c r="H46" s="10">
        <f>SUM(H41:H45)</f>
        <v>2437</v>
      </c>
      <c r="J46" s="7"/>
      <c r="K46" s="10">
        <f>SUM(K41:K45)</f>
        <v>2437</v>
      </c>
      <c r="M46" s="19">
        <f t="shared" si="0"/>
        <v>-0.46309759858999777</v>
      </c>
      <c r="N46" s="19">
        <f t="shared" si="1"/>
        <v>-0.46309759858999777</v>
      </c>
    </row>
    <row r="47" spans="2:15" x14ac:dyDescent="0.35">
      <c r="B47" t="s">
        <v>19</v>
      </c>
      <c r="E47" s="5">
        <f>E39+E46</f>
        <v>179333.73430999997</v>
      </c>
      <c r="H47" s="5">
        <f>H39+H46</f>
        <v>200509.44134000002</v>
      </c>
      <c r="J47" s="5"/>
      <c r="K47" s="5">
        <f>+E47+E57</f>
        <v>199496.21210402134</v>
      </c>
      <c r="L47" s="5"/>
      <c r="M47" s="19">
        <f t="shared" si="0"/>
        <v>0.11807988670662084</v>
      </c>
      <c r="N47" s="19">
        <f t="shared" si="1"/>
        <v>0.11242992218724512</v>
      </c>
    </row>
    <row r="48" spans="2:15" x14ac:dyDescent="0.35">
      <c r="E48" s="5"/>
      <c r="M48" s="19"/>
      <c r="N48" s="19"/>
    </row>
    <row r="49" spans="1:14" x14ac:dyDescent="0.35">
      <c r="B49" t="s">
        <v>29</v>
      </c>
      <c r="E49" s="5">
        <f>+E47+E22</f>
        <v>450298274.82833993</v>
      </c>
      <c r="H49" s="5">
        <f>+H47+H22</f>
        <v>503454265.60992998</v>
      </c>
      <c r="K49" s="5">
        <f>+K47+K22</f>
        <v>500925274.82833993</v>
      </c>
      <c r="L49" s="5"/>
      <c r="M49" s="19">
        <f t="shared" si="0"/>
        <v>0.11804617906176484</v>
      </c>
      <c r="N49" s="19">
        <f t="shared" si="1"/>
        <v>0.1124299221872429</v>
      </c>
    </row>
    <row r="50" spans="1:14" x14ac:dyDescent="0.35">
      <c r="B50" t="s">
        <v>30</v>
      </c>
      <c r="H50" s="5">
        <f>+H49-E49</f>
        <v>53155990.781590044</v>
      </c>
      <c r="K50" s="24">
        <f>+K49-E49</f>
        <v>50627000</v>
      </c>
      <c r="M50" s="19"/>
      <c r="N50" s="19"/>
    </row>
    <row r="52" spans="1:14" x14ac:dyDescent="0.3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4" x14ac:dyDescent="0.35">
      <c r="A53" s="28"/>
      <c r="B53" s="29" t="s">
        <v>48</v>
      </c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</row>
    <row r="54" spans="1:14" x14ac:dyDescent="0.35">
      <c r="B54" t="s">
        <v>45</v>
      </c>
      <c r="E54" s="20">
        <v>50627000</v>
      </c>
    </row>
    <row r="55" spans="1:14" x14ac:dyDescent="0.35">
      <c r="B55" t="s">
        <v>47</v>
      </c>
      <c r="E55" s="22">
        <f>+E22/E49</f>
        <v>0.99960174456724638</v>
      </c>
    </row>
    <row r="56" spans="1:14" x14ac:dyDescent="0.35">
      <c r="B56" t="s">
        <v>39</v>
      </c>
      <c r="E56" s="20">
        <f>+E54*E55</f>
        <v>50606837.522205979</v>
      </c>
      <c r="H56" s="5"/>
    </row>
    <row r="57" spans="1:14" x14ac:dyDescent="0.35">
      <c r="B57" t="s">
        <v>34</v>
      </c>
      <c r="E57" s="23">
        <f>+E54-E56</f>
        <v>20162.477794021368</v>
      </c>
      <c r="H57" s="5"/>
    </row>
    <row r="58" spans="1:14" x14ac:dyDescent="0.35">
      <c r="E58" s="17"/>
      <c r="H58" s="17"/>
    </row>
    <row r="59" spans="1:14" x14ac:dyDescent="0.35">
      <c r="B59" t="s">
        <v>36</v>
      </c>
      <c r="E59" s="23">
        <f>+E22</f>
        <v>450118941.09402996</v>
      </c>
      <c r="H59" s="5"/>
      <c r="K59" s="23"/>
    </row>
    <row r="60" spans="1:14" x14ac:dyDescent="0.35">
      <c r="B60" t="s">
        <v>37</v>
      </c>
      <c r="E60" s="5">
        <f>E8</f>
        <v>61993728.899999999</v>
      </c>
      <c r="K60" s="5"/>
    </row>
    <row r="61" spans="1:14" x14ac:dyDescent="0.35">
      <c r="B61" t="s">
        <v>35</v>
      </c>
      <c r="E61" s="5">
        <f>E12</f>
        <v>-3646.1418899999999</v>
      </c>
      <c r="H61" s="5"/>
      <c r="K61" s="5"/>
    </row>
    <row r="62" spans="1:14" x14ac:dyDescent="0.35">
      <c r="B62" t="s">
        <v>44</v>
      </c>
      <c r="E62" s="5">
        <f>E21</f>
        <v>12615339</v>
      </c>
      <c r="H62" s="5"/>
      <c r="K62" s="5"/>
    </row>
    <row r="63" spans="1:14" x14ac:dyDescent="0.35">
      <c r="B63" t="s">
        <v>38</v>
      </c>
      <c r="E63" s="5">
        <f>+E59-E60-E61-E62</f>
        <v>375513519.33591998</v>
      </c>
      <c r="H63" s="5"/>
    </row>
    <row r="64" spans="1:14" x14ac:dyDescent="0.35">
      <c r="E64" s="17"/>
      <c r="H64" s="17"/>
    </row>
    <row r="65" spans="2:14" x14ac:dyDescent="0.35">
      <c r="B65" t="s">
        <v>40</v>
      </c>
      <c r="E65" s="5">
        <f>+E56</f>
        <v>50606837.522205979</v>
      </c>
      <c r="H65" s="5"/>
    </row>
    <row r="66" spans="2:14" x14ac:dyDescent="0.35">
      <c r="B66" t="s">
        <v>41</v>
      </c>
      <c r="E66" s="10">
        <f>+H18-E18</f>
        <v>-5238798</v>
      </c>
    </row>
    <row r="67" spans="2:14" x14ac:dyDescent="0.35">
      <c r="B67" t="s">
        <v>42</v>
      </c>
      <c r="E67" s="5">
        <f>+E65-E66</f>
        <v>55845635.522205979</v>
      </c>
      <c r="H67" s="5"/>
      <c r="M67" s="19"/>
    </row>
    <row r="68" spans="2:14" x14ac:dyDescent="0.35">
      <c r="B68" t="s">
        <v>43</v>
      </c>
      <c r="E68" s="19">
        <f>+E67/E63</f>
        <v>0.14871804248477302</v>
      </c>
      <c r="H68" s="5"/>
      <c r="K68" s="20"/>
      <c r="N68" s="19"/>
    </row>
  </sheetData>
  <mergeCells count="8">
    <mergeCell ref="J34:K34"/>
    <mergeCell ref="J36:K36"/>
    <mergeCell ref="A1:N1"/>
    <mergeCell ref="A2:N2"/>
    <mergeCell ref="J27:K27"/>
    <mergeCell ref="J30:K30"/>
    <mergeCell ref="J32:K32"/>
    <mergeCell ref="J33:K3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36B2FDCA5E0F4286BAC6B79B3C73BE" ma:contentTypeVersion="6" ma:contentTypeDescription="Create a new document." ma:contentTypeScope="" ma:versionID="c361dac65aaf585faa4a5796004d5552">
  <xsd:schema xmlns:xsd="http://www.w3.org/2001/XMLSchema" xmlns:xs="http://www.w3.org/2001/XMLSchema" xmlns:p="http://schemas.microsoft.com/office/2006/metadata/properties" xmlns:ns2="7f951e58-41a2-4bf3-9155-aa863c7baa62" xmlns:ns3="89a46536-e78d-4d6c-8a03-83d02364c101" targetNamespace="http://schemas.microsoft.com/office/2006/metadata/properties" ma:root="true" ma:fieldsID="469c634806545500d466bf0e737c3950" ns2:_="" ns3:_="">
    <xsd:import namespace="7f951e58-41a2-4bf3-9155-aa863c7baa62"/>
    <xsd:import namespace="89a46536-e78d-4d6c-8a03-83d02364c1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951e58-41a2-4bf3-9155-aa863c7baa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46536-e78d-4d6c-8a03-83d02364c10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67A748-C389-4AB7-9021-99B56EF4E3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45631C-E08E-4EDA-8A62-2DA46C82579F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89a46536-e78d-4d6c-8a03-83d02364c101"/>
    <ds:schemaRef ds:uri="7f951e58-41a2-4bf3-9155-aa863c7baa62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EB46CE4-710D-4B5F-BE74-817F0E7E7B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951e58-41a2-4bf3-9155-aa863c7baa62"/>
    <ds:schemaRef ds:uri="89a46536-e78d-4d6c-8a03-83d02364c1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LGE Option 1</vt:lpstr>
      <vt:lpstr>LGE Option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Dolen</dc:creator>
  <cp:lastModifiedBy>Jenny Dolen</cp:lastModifiedBy>
  <dcterms:created xsi:type="dcterms:W3CDTF">2021-03-19T18:54:32Z</dcterms:created>
  <dcterms:modified xsi:type="dcterms:W3CDTF">2021-03-22T13:57:29Z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0x010100D236B2FDCA5E0F4286BAC6B79B3C73BE</vt:lpwstr>
  </property>
</Properties>
</file>