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s\Desktop\Filings - 2021-04-01\"/>
    </mc:Choice>
  </mc:AlternateContent>
  <bookViews>
    <workbookView xWindow="27510" yWindow="105" windowWidth="21600" windowHeight="19845" activeTab="1"/>
  </bookViews>
  <sheets>
    <sheet name="LVP-2" sheetId="13" r:id="rId1"/>
    <sheet name="LVP-3" sheetId="2" r:id="rId2"/>
    <sheet name="LVP-4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localSheetId="2" hidden="1">'[3]COST OF SERVICE'!#REF!</definedName>
    <definedName name="_Fill" hidden="1">'[3]COST OF SERVICE'!#REF!</definedName>
    <definedName name="_xlnm._FilterDatabase" localSheetId="1" hidden="1">'LVP-3'!$A$6:$Y$165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2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2">#REF!</definedName>
    <definedName name="Calculation_of_Ok_Juris_Cost_of_Fuel">#REF!</definedName>
    <definedName name="Comparison_of_Fuel_Okla_Juris" localSheetId="2">#REF!</definedName>
    <definedName name="Comparison_of_Fuel_Okla_Juris">#REF!</definedName>
    <definedName name="CONOCO_FAC" localSheetId="2">#REF!</definedName>
    <definedName name="CONOCO_FAC">#REF!</definedName>
    <definedName name="cp_by_group" localSheetId="2">#REF!</definedName>
    <definedName name="cp_by_group">#REF!</definedName>
    <definedName name="cp_by_serv_level" localSheetId="2">#REF!</definedName>
    <definedName name="cp_by_serv_level">#REF!</definedName>
    <definedName name="cp_input_area" localSheetId="2">#REF!</definedName>
    <definedName name="cp_input_area">#REF!</definedName>
    <definedName name="DATA">'[1]OKLA DATA'!$A$1:$B$118</definedName>
    <definedName name="Data_for_Above_Calculations" localSheetId="2">#REF!</definedName>
    <definedName name="Data_for_Above_Calculations">#REF!</definedName>
    <definedName name="dfsdfsdfsdf" localSheetId="2" hidden="1">'[3]COST OF SERVICE'!#REF!</definedName>
    <definedName name="dfsdfsdfsdf" hidden="1">'[3]COST OF SERVICE'!#REF!</definedName>
    <definedName name="EGEXMPCA.XLS" localSheetId="2">[6]Input_Data!#REF!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2">#REF!</definedName>
    <definedName name="FAC_CALC">#REF!</definedName>
    <definedName name="FCTCcalcN">"optbox_FCcalcN"</definedName>
    <definedName name="FCTCcalcY">"optbox_FccalcY"</definedName>
    <definedName name="FUEL_EXCLUSION_SECTION" localSheetId="2">#REF!</definedName>
    <definedName name="FUEL_EXCLUSION_SECTION">#REF!</definedName>
    <definedName name="Fuel_Pro_Forma_Adj" localSheetId="2">#REF!</definedName>
    <definedName name="Fuel_Pro_Forma_Adj">#REF!</definedName>
    <definedName name="GASCOST" localSheetId="2">#REF!</definedName>
    <definedName name="GASCOST">#REF!</definedName>
    <definedName name="GeogiaPac">'[4]Customer Bill Details (External'!$O$319</definedName>
    <definedName name="ghfgh" localSheetId="2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2">#REF!</definedName>
    <definedName name="JBL">#REF!</definedName>
    <definedName name="Juris_Weather_Adj_Data" localSheetId="2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2">#REF!</definedName>
    <definedName name="OKCOALADJ">#REF!</definedName>
    <definedName name="OKLAFAC" localSheetId="2">#REF!</definedName>
    <definedName name="OKLAFAC">#REF!</definedName>
    <definedName name="Page" localSheetId="2">#REF!</definedName>
    <definedName name="Page">#REF!</definedName>
    <definedName name="PAGE_1" localSheetId="2">#REF!</definedName>
    <definedName name="PAGE_1">#REF!</definedName>
    <definedName name="PAGE_2" localSheetId="2">#REF!</definedName>
    <definedName name="PAGE_2">#REF!</definedName>
    <definedName name="PAGE_3">#N/A</definedName>
    <definedName name="PAGE_4">#N/A</definedName>
    <definedName name="Pageheaders" localSheetId="2">'[7]COST OF SERVICE'!#REF!</definedName>
    <definedName name="Pageheaders">'[7]COST OF SERVICE'!#REF!</definedName>
    <definedName name="Percent" localSheetId="2">#REF!</definedName>
    <definedName name="Percent">#REF!</definedName>
    <definedName name="Plains">'[4]Customer Bill Details (External'!$O$402</definedName>
    <definedName name="print_all_D_1" localSheetId="2">#REF!</definedName>
    <definedName name="print_all_D_1">#REF!</definedName>
    <definedName name="_xlnm.Print_Area" localSheetId="0">'LVP-2'!$A$1:$J$33</definedName>
    <definedName name="_xlnm.Print_Titles" localSheetId="1">'LVP-3'!$1:$9</definedName>
    <definedName name="QF1_PG1">[8]QF1_PG1!$A$1:$F$47</definedName>
    <definedName name="QF1_PG2">[8]QF1_PG2!$A$1:$H$55</definedName>
    <definedName name="QF1_PG3">[8]QF1_PG3!$A$1:$E$42</definedName>
    <definedName name="Reconcilement" localSheetId="2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2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2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2">#REF!</definedName>
    <definedName name="Weather_Fuel_Cost_Calc">#REF!</definedName>
    <definedName name="WEIGHAVG" localSheetId="2">#REF!</definedName>
    <definedName name="WEIGHAVG">#REF!</definedName>
    <definedName name="WP_B9a">[11]WP_B9!$A$29:$U$61</definedName>
    <definedName name="WP_B9b" localSheetId="2">[11]WP_B9!#REF!</definedName>
    <definedName name="WP_B9b">[11]WP_B9!#REF!</definedName>
    <definedName name="WP_G6" localSheetId="2">#REF!</definedName>
    <definedName name="WP_G6">#REF!</definedName>
    <definedName name="wrn.ACC._.PROV." localSheetId="2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2" hidden="1">{"CAP_ALLOC_SUMMARY",#N/A,FALSE,"Alloc Summary"}</definedName>
    <definedName name="wrn.CAPACITY._.ALLOC._.SUMMARY." hidden="1">{"CAP_ALLOC_SUMMARY",#N/A,FALSE,"Alloc Summary"}</definedName>
    <definedName name="wrn.CUST._.REV._.ALLOC._.INPUT." localSheetId="2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2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2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2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2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2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2" hidden="1">{"SCHK1",#N/A,FALSE,"FILING REPORTS"}</definedName>
    <definedName name="wrn.SCHEDULE_K_1." hidden="1">{"SCHK1",#N/A,FALSE,"FILING REPORTS"}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2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2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2">#REF!</definedName>
    <definedName name="Year_End_Customer_Adjustmen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9" l="1"/>
  <c r="H12" i="19"/>
  <c r="H11" i="19"/>
  <c r="H15" i="19" l="1"/>
  <c r="H20" i="19" s="1"/>
  <c r="H13" i="13"/>
  <c r="H12" i="13"/>
  <c r="H11" i="13"/>
  <c r="Y212" i="2"/>
  <c r="Y211" i="2"/>
  <c r="W212" i="2"/>
  <c r="W211" i="2"/>
  <c r="U212" i="2"/>
  <c r="U211" i="2"/>
  <c r="O213" i="2"/>
  <c r="I213" i="2"/>
  <c r="O212" i="2"/>
  <c r="O211" i="2"/>
  <c r="I212" i="2"/>
  <c r="I211" i="2"/>
  <c r="G209" i="2" a="1"/>
  <c r="G209" i="2" s="1"/>
  <c r="G202" i="2" a="1"/>
  <c r="G202" i="2" s="1"/>
  <c r="G195" i="2" a="1"/>
  <c r="G195" i="2" s="1"/>
  <c r="G188" i="2" a="1"/>
  <c r="G188" i="2" s="1"/>
  <c r="G181" i="2" a="1"/>
  <c r="G181" i="2" s="1"/>
  <c r="G176" i="2"/>
  <c r="G169" i="2"/>
  <c r="W205" i="2"/>
  <c r="W198" i="2"/>
  <c r="W191" i="2"/>
  <c r="U205" i="2"/>
  <c r="U198" i="2"/>
  <c r="U191" i="2"/>
  <c r="O205" i="2"/>
  <c r="O198" i="2"/>
  <c r="O191" i="2"/>
  <c r="I205" i="2"/>
  <c r="I198" i="2"/>
  <c r="I191" i="2"/>
  <c r="W184" i="2"/>
  <c r="U184" i="2"/>
  <c r="O184" i="2"/>
  <c r="I184" i="2"/>
  <c r="I183" i="2"/>
  <c r="W213" i="2"/>
  <c r="U213" i="2"/>
  <c r="W210" i="2"/>
  <c r="U210" i="2"/>
  <c r="O210" i="2"/>
  <c r="W206" i="2"/>
  <c r="U206" i="2"/>
  <c r="W204" i="2"/>
  <c r="U204" i="2"/>
  <c r="W203" i="2"/>
  <c r="U203" i="2"/>
  <c r="W199" i="2"/>
  <c r="U199" i="2"/>
  <c r="W197" i="2"/>
  <c r="U197" i="2"/>
  <c r="W196" i="2"/>
  <c r="U196" i="2"/>
  <c r="W192" i="2"/>
  <c r="U192" i="2"/>
  <c r="W190" i="2"/>
  <c r="U190" i="2"/>
  <c r="W189" i="2"/>
  <c r="U189" i="2"/>
  <c r="W185" i="2"/>
  <c r="W183" i="2"/>
  <c r="W182" i="2"/>
  <c r="U185" i="2"/>
  <c r="U183" i="2"/>
  <c r="U182" i="2"/>
  <c r="O206" i="2"/>
  <c r="O199" i="2"/>
  <c r="O192" i="2"/>
  <c r="O185" i="2"/>
  <c r="O204" i="2"/>
  <c r="O197" i="2"/>
  <c r="O190" i="2"/>
  <c r="O183" i="2"/>
  <c r="O203" i="2"/>
  <c r="O196" i="2"/>
  <c r="O189" i="2"/>
  <c r="O182" i="2"/>
  <c r="I206" i="2"/>
  <c r="I199" i="2"/>
  <c r="I192" i="2"/>
  <c r="I185" i="2"/>
  <c r="I204" i="2"/>
  <c r="I197" i="2"/>
  <c r="I190" i="2"/>
  <c r="I210" i="2"/>
  <c r="I203" i="2"/>
  <c r="I196" i="2"/>
  <c r="I189" i="2"/>
  <c r="I182" i="2"/>
  <c r="I170" i="2"/>
  <c r="W178" i="2"/>
  <c r="W177" i="2"/>
  <c r="W176" i="2"/>
  <c r="W175" i="2"/>
  <c r="W174" i="2"/>
  <c r="W173" i="2"/>
  <c r="W172" i="2"/>
  <c r="W171" i="2"/>
  <c r="U178" i="2"/>
  <c r="U177" i="2"/>
  <c r="U176" i="2"/>
  <c r="U175" i="2"/>
  <c r="U174" i="2"/>
  <c r="U173" i="2"/>
  <c r="U172" i="2"/>
  <c r="U171" i="2"/>
  <c r="O178" i="2"/>
  <c r="O177" i="2"/>
  <c r="O176" i="2"/>
  <c r="O175" i="2"/>
  <c r="O174" i="2"/>
  <c r="O173" i="2"/>
  <c r="O172" i="2"/>
  <c r="O171" i="2"/>
  <c r="I178" i="2"/>
  <c r="I177" i="2"/>
  <c r="I176" i="2"/>
  <c r="I175" i="2"/>
  <c r="I174" i="2"/>
  <c r="I173" i="2"/>
  <c r="I172" i="2"/>
  <c r="I171" i="2"/>
  <c r="W170" i="2"/>
  <c r="U170" i="2"/>
  <c r="O170" i="2"/>
  <c r="Y165" i="2"/>
  <c r="Y210" i="2" s="1"/>
  <c r="Q165" i="2"/>
  <c r="Y164" i="2"/>
  <c r="Q164" i="2"/>
  <c r="Y163" i="2"/>
  <c r="Y162" i="2"/>
  <c r="Q162" i="2"/>
  <c r="Y161" i="2"/>
  <c r="Q161" i="2"/>
  <c r="Q160" i="2"/>
  <c r="Y159" i="2"/>
  <c r="Q159" i="2"/>
  <c r="Y158" i="2"/>
  <c r="Q158" i="2"/>
  <c r="Y157" i="2"/>
  <c r="Q157" i="2"/>
  <c r="Q156" i="2"/>
  <c r="Y155" i="2"/>
  <c r="Q155" i="2"/>
  <c r="Y154" i="2"/>
  <c r="Q154" i="2"/>
  <c r="Y153" i="2"/>
  <c r="Q153" i="2"/>
  <c r="Q152" i="2"/>
  <c r="Y151" i="2"/>
  <c r="Q151" i="2"/>
  <c r="Y150" i="2"/>
  <c r="Q150" i="2"/>
  <c r="Y149" i="2"/>
  <c r="Q149" i="2"/>
  <c r="Y148" i="2"/>
  <c r="Q148" i="2"/>
  <c r="Y147" i="2"/>
  <c r="Q147" i="2"/>
  <c r="Y146" i="2"/>
  <c r="Q146" i="2"/>
  <c r="Y145" i="2"/>
  <c r="Q145" i="2"/>
  <c r="Y144" i="2"/>
  <c r="Q144" i="2"/>
  <c r="Y143" i="2"/>
  <c r="Q143" i="2"/>
  <c r="Y142" i="2"/>
  <c r="Q142" i="2"/>
  <c r="Y141" i="2"/>
  <c r="Q141" i="2"/>
  <c r="Y140" i="2"/>
  <c r="Q140" i="2"/>
  <c r="Y139" i="2"/>
  <c r="Q139" i="2"/>
  <c r="Y138" i="2"/>
  <c r="Q138" i="2"/>
  <c r="Y137" i="2"/>
  <c r="Q137" i="2"/>
  <c r="Y136" i="2"/>
  <c r="Q136" i="2"/>
  <c r="Y135" i="2"/>
  <c r="Q135" i="2"/>
  <c r="Y134" i="2"/>
  <c r="Q134" i="2"/>
  <c r="Y133" i="2"/>
  <c r="Q133" i="2"/>
  <c r="Y132" i="2"/>
  <c r="Q132" i="2"/>
  <c r="Y131" i="2"/>
  <c r="Q131" i="2"/>
  <c r="Y130" i="2"/>
  <c r="Q130" i="2"/>
  <c r="Y129" i="2"/>
  <c r="Q129" i="2"/>
  <c r="Y128" i="2"/>
  <c r="Q128" i="2"/>
  <c r="Y127" i="2"/>
  <c r="Q127" i="2"/>
  <c r="Y126" i="2"/>
  <c r="Q126" i="2"/>
  <c r="Y125" i="2"/>
  <c r="Q125" i="2"/>
  <c r="Y124" i="2"/>
  <c r="Q124" i="2"/>
  <c r="Y123" i="2"/>
  <c r="Q123" i="2"/>
  <c r="Y122" i="2"/>
  <c r="Q122" i="2"/>
  <c r="Y121" i="2"/>
  <c r="Q121" i="2"/>
  <c r="Y120" i="2"/>
  <c r="Q120" i="2"/>
  <c r="Y119" i="2"/>
  <c r="Q119" i="2"/>
  <c r="Y118" i="2"/>
  <c r="Q118" i="2"/>
  <c r="Q117" i="2"/>
  <c r="Y116" i="2"/>
  <c r="Q116" i="2"/>
  <c r="Y115" i="2"/>
  <c r="Q115" i="2"/>
  <c r="Y114" i="2"/>
  <c r="Q114" i="2"/>
  <c r="Y113" i="2"/>
  <c r="Q113" i="2"/>
  <c r="Y112" i="2"/>
  <c r="Q112" i="2"/>
  <c r="Y111" i="2"/>
  <c r="Q111" i="2"/>
  <c r="Y110" i="2"/>
  <c r="Q110" i="2"/>
  <c r="Y109" i="2"/>
  <c r="Q109" i="2"/>
  <c r="Y108" i="2"/>
  <c r="Q108" i="2"/>
  <c r="Y107" i="2"/>
  <c r="Q107" i="2"/>
  <c r="Y106" i="2"/>
  <c r="Y105" i="2"/>
  <c r="Q105" i="2"/>
  <c r="Y104" i="2"/>
  <c r="Q104" i="2"/>
  <c r="Q103" i="2"/>
  <c r="Y102" i="2"/>
  <c r="Q102" i="2"/>
  <c r="Y101" i="2"/>
  <c r="Q101" i="2"/>
  <c r="Y100" i="2"/>
  <c r="Q100" i="2"/>
  <c r="Y99" i="2"/>
  <c r="Q99" i="2"/>
  <c r="Y98" i="2"/>
  <c r="Q98" i="2"/>
  <c r="Q97" i="2"/>
  <c r="Q96" i="2"/>
  <c r="Y95" i="2"/>
  <c r="Q95" i="2"/>
  <c r="Q94" i="2"/>
  <c r="Y93" i="2"/>
  <c r="Q93" i="2"/>
  <c r="Y92" i="2"/>
  <c r="Q92" i="2"/>
  <c r="Y91" i="2"/>
  <c r="Q91" i="2"/>
  <c r="Q90" i="2"/>
  <c r="Y89" i="2"/>
  <c r="Q89" i="2"/>
  <c r="Y88" i="2"/>
  <c r="Q88" i="2"/>
  <c r="Y87" i="2"/>
  <c r="Q87" i="2"/>
  <c r="Y86" i="2"/>
  <c r="Q86" i="2"/>
  <c r="Y85" i="2"/>
  <c r="Q85" i="2"/>
  <c r="Y84" i="2"/>
  <c r="Q84" i="2"/>
  <c r="Y83" i="2"/>
  <c r="Q83" i="2"/>
  <c r="Y82" i="2"/>
  <c r="Q82" i="2"/>
  <c r="Y81" i="2"/>
  <c r="Q81" i="2"/>
  <c r="Y80" i="2"/>
  <c r="Q80" i="2"/>
  <c r="Y79" i="2"/>
  <c r="Q79" i="2"/>
  <c r="Y78" i="2"/>
  <c r="Q78" i="2"/>
  <c r="Y77" i="2"/>
  <c r="Q77" i="2"/>
  <c r="Y76" i="2"/>
  <c r="Q76" i="2"/>
  <c r="Y75" i="2"/>
  <c r="Q75" i="2"/>
  <c r="Y74" i="2"/>
  <c r="Q74" i="2"/>
  <c r="Y73" i="2"/>
  <c r="Q73" i="2"/>
  <c r="Y72" i="2"/>
  <c r="Q72" i="2"/>
  <c r="Y71" i="2"/>
  <c r="Q71" i="2"/>
  <c r="Y70" i="2"/>
  <c r="Q70" i="2"/>
  <c r="Y69" i="2"/>
  <c r="Q69" i="2"/>
  <c r="Y68" i="2"/>
  <c r="Q68" i="2"/>
  <c r="Y67" i="2"/>
  <c r="Q67" i="2"/>
  <c r="Y66" i="2"/>
  <c r="Q66" i="2"/>
  <c r="Y65" i="2"/>
  <c r="Q65" i="2"/>
  <c r="Y64" i="2"/>
  <c r="Q64" i="2"/>
  <c r="Y63" i="2"/>
  <c r="Q63" i="2"/>
  <c r="Y62" i="2"/>
  <c r="Q62" i="2"/>
  <c r="Y61" i="2"/>
  <c r="Q61" i="2"/>
  <c r="Y60" i="2"/>
  <c r="Q60" i="2"/>
  <c r="Y59" i="2"/>
  <c r="Q59" i="2"/>
  <c r="Y58" i="2"/>
  <c r="Q58" i="2"/>
  <c r="Y57" i="2"/>
  <c r="Q57" i="2"/>
  <c r="Y56" i="2"/>
  <c r="Q56" i="2"/>
  <c r="Y55" i="2"/>
  <c r="Q55" i="2"/>
  <c r="Y54" i="2"/>
  <c r="Q54" i="2"/>
  <c r="Y53" i="2"/>
  <c r="Q53" i="2"/>
  <c r="Y52" i="2"/>
  <c r="Q52" i="2"/>
  <c r="Y51" i="2"/>
  <c r="Q51" i="2"/>
  <c r="Y50" i="2"/>
  <c r="Q50" i="2"/>
  <c r="Y49" i="2"/>
  <c r="Q49" i="2"/>
  <c r="Y48" i="2"/>
  <c r="Q48" i="2"/>
  <c r="Y47" i="2"/>
  <c r="Q47" i="2"/>
  <c r="Y46" i="2"/>
  <c r="Q46" i="2"/>
  <c r="Y45" i="2"/>
  <c r="Q45" i="2"/>
  <c r="Y44" i="2"/>
  <c r="Q44" i="2"/>
  <c r="Y43" i="2"/>
  <c r="Q43" i="2"/>
  <c r="Y42" i="2"/>
  <c r="Q42" i="2"/>
  <c r="Y41" i="2"/>
  <c r="Q41" i="2"/>
  <c r="Y40" i="2"/>
  <c r="Q40" i="2"/>
  <c r="Y39" i="2"/>
  <c r="Q39" i="2"/>
  <c r="Y38" i="2"/>
  <c r="Q38" i="2"/>
  <c r="Y36" i="2"/>
  <c r="Q36" i="2"/>
  <c r="Y35" i="2"/>
  <c r="Q35" i="2"/>
  <c r="Y34" i="2"/>
  <c r="Q34" i="2"/>
  <c r="Y33" i="2"/>
  <c r="Q33" i="2"/>
  <c r="Y32" i="2"/>
  <c r="Q32" i="2"/>
  <c r="Y31" i="2"/>
  <c r="Q31" i="2"/>
  <c r="Y30" i="2"/>
  <c r="Q30" i="2"/>
  <c r="Y29" i="2"/>
  <c r="Q29" i="2"/>
  <c r="Q28" i="2"/>
  <c r="Q27" i="2"/>
  <c r="Y26" i="2"/>
  <c r="Q26" i="2"/>
  <c r="Q25" i="2"/>
  <c r="Y24" i="2"/>
  <c r="Q24" i="2"/>
  <c r="Y23" i="2"/>
  <c r="Q23" i="2"/>
  <c r="Y22" i="2"/>
  <c r="Q22" i="2"/>
  <c r="Y21" i="2"/>
  <c r="Q21" i="2"/>
  <c r="Y20" i="2"/>
  <c r="Q20" i="2"/>
  <c r="Q19" i="2"/>
  <c r="Y18" i="2"/>
  <c r="Q18" i="2"/>
  <c r="Y17" i="2"/>
  <c r="Q17" i="2"/>
  <c r="Y16" i="2"/>
  <c r="Q16" i="2"/>
  <c r="Y15" i="2"/>
  <c r="Q15" i="2"/>
  <c r="Y14" i="2"/>
  <c r="Q14" i="2"/>
  <c r="Y13" i="2"/>
  <c r="Q13" i="2"/>
  <c r="Y12" i="2"/>
  <c r="Q12" i="2"/>
  <c r="Y11" i="2"/>
  <c r="Q11" i="2"/>
  <c r="Y10" i="2"/>
  <c r="Q10" i="2"/>
  <c r="H21" i="19" l="1"/>
  <c r="H23" i="19" s="1"/>
  <c r="H25" i="19" s="1"/>
  <c r="H27" i="19" s="1"/>
  <c r="H15" i="13"/>
  <c r="H20" i="13" s="1"/>
  <c r="H21" i="13" s="1"/>
  <c r="H23" i="13" s="1"/>
  <c r="H25" i="13" s="1"/>
  <c r="H27" i="13" s="1"/>
  <c r="Q211" i="2"/>
  <c r="Y184" i="2"/>
  <c r="Y213" i="2"/>
  <c r="Y198" i="2"/>
  <c r="Y205" i="2"/>
  <c r="Q212" i="2"/>
  <c r="Y191" i="2"/>
  <c r="Q205" i="2"/>
  <c r="Q198" i="2"/>
  <c r="Y192" i="2"/>
  <c r="Y204" i="2"/>
  <c r="Q184" i="2"/>
  <c r="Y197" i="2"/>
  <c r="Y203" i="2"/>
  <c r="Y190" i="2"/>
  <c r="Y175" i="2"/>
  <c r="Y178" i="2"/>
  <c r="Y189" i="2"/>
  <c r="Y206" i="2"/>
  <c r="Y171" i="2"/>
  <c r="Y183" i="2"/>
  <c r="Y196" i="2"/>
  <c r="Y176" i="2"/>
  <c r="Y185" i="2"/>
  <c r="Q191" i="2"/>
  <c r="Y177" i="2"/>
  <c r="Y199" i="2"/>
  <c r="Q213" i="2"/>
  <c r="Y173" i="2"/>
  <c r="Y172" i="2"/>
  <c r="Y170" i="2"/>
  <c r="Y174" i="2"/>
  <c r="Y182" i="2"/>
  <c r="Q199" i="2"/>
  <c r="Q192" i="2"/>
  <c r="Q185" i="2"/>
  <c r="Q204" i="2"/>
  <c r="Q197" i="2"/>
  <c r="Q190" i="2"/>
  <c r="Q183" i="2"/>
  <c r="Q203" i="2"/>
  <c r="Q196" i="2"/>
  <c r="Q189" i="2"/>
  <c r="Q182" i="2"/>
  <c r="Q206" i="2"/>
  <c r="Q210" i="2"/>
  <c r="Q178" i="2"/>
  <c r="Q177" i="2"/>
  <c r="Q176" i="2"/>
  <c r="Q171" i="2"/>
  <c r="Q170" i="2"/>
  <c r="Q172" i="2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<sst xmlns="http://schemas.openxmlformats.org/spreadsheetml/2006/main" count="1215" uniqueCount="417">
  <si>
    <t>Reported Authorized Returns on Equity, Electric Utility Rate Cases Completed, 2017 to Present</t>
  </si>
  <si>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</si>
  <si>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</si>
  <si>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</si>
  <si>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</si>
  <si>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</si>
  <si>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</si>
  <si>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</si>
  <si>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</si>
  <si>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</si>
  <si>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ROE Fully Litigated or Settled</t>
  </si>
  <si>
    <t>Approved WACC</t>
  </si>
  <si>
    <t>Approved Equity Ratio</t>
  </si>
  <si>
    <t>Equity Contribution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</si>
  <si>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</si>
  <si>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</si>
  <si>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</si>
  <si>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</si>
  <si>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</si>
  <si>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</si>
  <si>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</si>
  <si>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</si>
  <si>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</si>
  <si>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</si>
  <si>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</si>
  <si>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</si>
  <si>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</si>
  <si>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</si>
  <si>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(8) - (5)</t>
  </si>
  <si>
    <t>(8) X (13)</t>
  </si>
  <si>
    <t>Wyoming</t>
  </si>
  <si>
    <t>MDU Resources Group Inc.</t>
  </si>
  <si>
    <t>MDU</t>
  </si>
  <si>
    <t>2004-117-ER-16</t>
  </si>
  <si>
    <t>V</t>
  </si>
  <si>
    <t>Settled</t>
  </si>
  <si>
    <t>New York</t>
  </si>
  <si>
    <t>Consolidated Edison Co. of NY</t>
  </si>
  <si>
    <t>ED</t>
  </si>
  <si>
    <t>16-E-0060</t>
  </si>
  <si>
    <t>D</t>
  </si>
  <si>
    <t>Michigan</t>
  </si>
  <si>
    <t>DTE Electric Co.</t>
  </si>
  <si>
    <t>DTE</t>
  </si>
  <si>
    <t>U-18014</t>
  </si>
  <si>
    <t>Fully Litigated</t>
  </si>
  <si>
    <t>Maryland</t>
  </si>
  <si>
    <t>Delmarva Power &amp; Light Co.</t>
  </si>
  <si>
    <t>EXC</t>
  </si>
  <si>
    <t>New Jersey</t>
  </si>
  <si>
    <t>Rockland Electric Company</t>
  </si>
  <si>
    <t>ER-16050428</t>
  </si>
  <si>
    <t>Arizona</t>
  </si>
  <si>
    <t>Tucson Electric Power Co.</t>
  </si>
  <si>
    <t>FTS</t>
  </si>
  <si>
    <t>E-01933A-15-0322</t>
  </si>
  <si>
    <t>Consumers Energy Co.</t>
  </si>
  <si>
    <t>CMS</t>
  </si>
  <si>
    <t>U-17990</t>
  </si>
  <si>
    <t>Minnesota</t>
  </si>
  <si>
    <t>Otter Tail Power Co.</t>
  </si>
  <si>
    <t>OTTR</t>
  </si>
  <si>
    <t>E-017/GR-15-1033</t>
  </si>
  <si>
    <t>Oklahoma</t>
  </si>
  <si>
    <t>Oklahoma Gas &amp; Electric Co.</t>
  </si>
  <si>
    <t>OGE</t>
  </si>
  <si>
    <t>PUD 201500273</t>
  </si>
  <si>
    <t>Florida</t>
  </si>
  <si>
    <t>Gulf Power Co.</t>
  </si>
  <si>
    <t>NEE</t>
  </si>
  <si>
    <t>160186-EI</t>
  </si>
  <si>
    <t>N/A</t>
  </si>
  <si>
    <t>New Hampshire</t>
  </si>
  <si>
    <t>Liberty Utilities Granite St</t>
  </si>
  <si>
    <t>AQN</t>
  </si>
  <si>
    <t>DE-16-383</t>
  </si>
  <si>
    <t>Unitil Energy Systems Inc.</t>
  </si>
  <si>
    <t>UTL</t>
  </si>
  <si>
    <t>DE-16-384</t>
  </si>
  <si>
    <t>Missouri</t>
  </si>
  <si>
    <t>Kansas City Power &amp; Light</t>
  </si>
  <si>
    <t>EVRG</t>
  </si>
  <si>
    <t>ER-2016-0285</t>
  </si>
  <si>
    <t>Northern States Power Co.</t>
  </si>
  <si>
    <t>XEL</t>
  </si>
  <si>
    <t>E-022/GR-15-826</t>
  </si>
  <si>
    <t>Arkansas</t>
  </si>
  <si>
    <t>16-052-U</t>
  </si>
  <si>
    <t>Delaware</t>
  </si>
  <si>
    <t>16-0649</t>
  </si>
  <si>
    <t>North Dakota</t>
  </si>
  <si>
    <t>PU-16-666</t>
  </si>
  <si>
    <t>Kentucky</t>
  </si>
  <si>
    <t>Kentucky Utilities Co.</t>
  </si>
  <si>
    <t>PPL</t>
  </si>
  <si>
    <t>2016-00370</t>
  </si>
  <si>
    <t>Louisville Gas &amp; Electric Co.</t>
  </si>
  <si>
    <t>2016-00371</t>
  </si>
  <si>
    <t>District of Columbia</t>
  </si>
  <si>
    <t>Potomac Electric Power Co.</t>
  </si>
  <si>
    <t>FC-1139</t>
  </si>
  <si>
    <t>Arizona Public Service Co.</t>
  </si>
  <si>
    <t>PNW</t>
  </si>
  <si>
    <t>E-01345A-16-0036</t>
  </si>
  <si>
    <t>Atlantic City Electric Co.</t>
  </si>
  <si>
    <t>ER-17030308</t>
  </si>
  <si>
    <t>Texas</t>
  </si>
  <si>
    <t>Oncor Electric Delivery Co.</t>
  </si>
  <si>
    <t>SRE</t>
  </si>
  <si>
    <t>California</t>
  </si>
  <si>
    <t>Pacific Gas &amp; Electric Co.</t>
  </si>
  <si>
    <t>PCG</t>
  </si>
  <si>
    <t>Advice No. 5148-E</t>
  </si>
  <si>
    <t>San Diego Gas &amp; Electric Co.</t>
  </si>
  <si>
    <t>Advice No. 3120-E</t>
  </si>
  <si>
    <t>Southern California Edison Co.</t>
  </si>
  <si>
    <t>EIX</t>
  </si>
  <si>
    <t>Advice No. 3665-E</t>
  </si>
  <si>
    <t>Tampa Electric Co.</t>
  </si>
  <si>
    <t>EMA</t>
  </si>
  <si>
    <t>20170210-EI</t>
  </si>
  <si>
    <t>Ω</t>
  </si>
  <si>
    <t>Alaska</t>
  </si>
  <si>
    <t>Alaska Electric Light Power</t>
  </si>
  <si>
    <t>AVA</t>
  </si>
  <si>
    <t>U-16-086</t>
  </si>
  <si>
    <t>Massachusetts</t>
  </si>
  <si>
    <t>NSTAR Electric Co.</t>
  </si>
  <si>
    <t>ES</t>
  </si>
  <si>
    <t>17-05</t>
  </si>
  <si>
    <t>Western Massachusetts Electric</t>
  </si>
  <si>
    <t>Washington</t>
  </si>
  <si>
    <t>Puget Sound Energy Inc.</t>
  </si>
  <si>
    <t>UE-170033</t>
  </si>
  <si>
    <t>Illinois</t>
  </si>
  <si>
    <t>Ameren Illinois</t>
  </si>
  <si>
    <t>AEE</t>
  </si>
  <si>
    <t>17-0197</t>
  </si>
  <si>
    <t>Commonwealth Edison Co.</t>
  </si>
  <si>
    <t>17-0196</t>
  </si>
  <si>
    <t>Wisconsin</t>
  </si>
  <si>
    <t>Northern States Power Co. - WI</t>
  </si>
  <si>
    <t>4220-UR-123</t>
  </si>
  <si>
    <t>El Paso Electric Co.</t>
  </si>
  <si>
    <t>EE</t>
  </si>
  <si>
    <t>Southwestern Electric Power Co.</t>
  </si>
  <si>
    <t>AEP</t>
  </si>
  <si>
    <t>Oregon</t>
  </si>
  <si>
    <t>Portland General Electric Co.</t>
  </si>
  <si>
    <t>POR</t>
  </si>
  <si>
    <t>UE 319</t>
  </si>
  <si>
    <t>New Mexico</t>
  </si>
  <si>
    <t>Public Service Co. of NM</t>
  </si>
  <si>
    <t>PNM</t>
  </si>
  <si>
    <t>16-00276-UT</t>
  </si>
  <si>
    <t>Vermont</t>
  </si>
  <si>
    <t>Green Mountain Power Corp</t>
  </si>
  <si>
    <t>17-3112-INV</t>
  </si>
  <si>
    <t>Idaho</t>
  </si>
  <si>
    <t>Avista Corp.</t>
  </si>
  <si>
    <t>AVU-E-17-01</t>
  </si>
  <si>
    <t>Nevada</t>
  </si>
  <si>
    <t>Nevada Power Co.</t>
  </si>
  <si>
    <t>BRK.A</t>
  </si>
  <si>
    <t>17-06003</t>
  </si>
  <si>
    <t>Kentucky Power Co.</t>
  </si>
  <si>
    <t>2017-00179</t>
  </si>
  <si>
    <t>Public Service Co. of OK</t>
  </si>
  <si>
    <t>PUD 201700151</t>
  </si>
  <si>
    <t>Iowa</t>
  </si>
  <si>
    <t>Interstate Power &amp; Light Co.</t>
  </si>
  <si>
    <t>LNT</t>
  </si>
  <si>
    <t>RPU-2017-0001</t>
  </si>
  <si>
    <t>North Carolina</t>
  </si>
  <si>
    <t>Duke Energy Progress Inc.</t>
  </si>
  <si>
    <t>DUK</t>
  </si>
  <si>
    <t>E-2, Sub 1142</t>
  </si>
  <si>
    <t>ALLETE (Minnesota Power)</t>
  </si>
  <si>
    <t>ALE</t>
  </si>
  <si>
    <t>E-015/GR-16-664</t>
  </si>
  <si>
    <t>Niagara Mohawk Power Corp.</t>
  </si>
  <si>
    <t>NG</t>
  </si>
  <si>
    <t>17-E-0238</t>
  </si>
  <si>
    <t>U-18322</t>
  </si>
  <si>
    <t>Indiana Michigan Power Co.</t>
  </si>
  <si>
    <t>U-18370</t>
  </si>
  <si>
    <t>Duke Energy Kentucky Inc.</t>
  </si>
  <si>
    <t>2017-00321</t>
  </si>
  <si>
    <t>Connecticut</t>
  </si>
  <si>
    <t>Connecticut Light and Power</t>
  </si>
  <si>
    <t>17-10-46</t>
  </si>
  <si>
    <t>U-18255</t>
  </si>
  <si>
    <t>UE-170485</t>
  </si>
  <si>
    <t>Indiana</t>
  </si>
  <si>
    <t>Central Hudson Gas &amp; Electric</t>
  </si>
  <si>
    <t>17-E-0459</t>
  </si>
  <si>
    <t>Hawaii</t>
  </si>
  <si>
    <t>Hawaiian Electric Co.</t>
  </si>
  <si>
    <t>HE</t>
  </si>
  <si>
    <t>2016-0328</t>
  </si>
  <si>
    <t>Duke Energy Carolinas LLC</t>
  </si>
  <si>
    <t>E-7, Sub 1146</t>
  </si>
  <si>
    <t>‡</t>
  </si>
  <si>
    <t>Maine</t>
  </si>
  <si>
    <t>Versant Power</t>
  </si>
  <si>
    <t>2017-00198</t>
  </si>
  <si>
    <t>Hawaii Electric Light Co</t>
  </si>
  <si>
    <t>2015-0170</t>
  </si>
  <si>
    <t>FC-1150</t>
  </si>
  <si>
    <t>17-0977</t>
  </si>
  <si>
    <t>Rhode Island</t>
  </si>
  <si>
    <t>Narragansett Electric Co.</t>
  </si>
  <si>
    <t>4770 (electric)</t>
  </si>
  <si>
    <t>Southwestern Public Service Co</t>
  </si>
  <si>
    <t>17-00255-UT</t>
  </si>
  <si>
    <t>Wisconsin Power and Light Co</t>
  </si>
  <si>
    <t>6680-UR-121 (Elec)</t>
  </si>
  <si>
    <t>Madison Gas and Electric Co.</t>
  </si>
  <si>
    <t>MGEE</t>
  </si>
  <si>
    <t>3270-UR-122 (Elec)</t>
  </si>
  <si>
    <t>PU-17-398</t>
  </si>
  <si>
    <t>Ohio</t>
  </si>
  <si>
    <t>Dayton Power and Light Co.</t>
  </si>
  <si>
    <t>AES</t>
  </si>
  <si>
    <t>15-1830-EL-AIR</t>
  </si>
  <si>
    <t>*</t>
  </si>
  <si>
    <t>Kansas</t>
  </si>
  <si>
    <t>Westar Energy Inc.</t>
  </si>
  <si>
    <t>18-WSEE-328-RTS</t>
  </si>
  <si>
    <t>Pennsylvania</t>
  </si>
  <si>
    <t>UGI Utilities Inc.</t>
  </si>
  <si>
    <t>UGI</t>
  </si>
  <si>
    <t>R-2017-2640058</t>
  </si>
  <si>
    <t>Public Service Electric Gas</t>
  </si>
  <si>
    <t>PEG</t>
  </si>
  <si>
    <t>ER18010029</t>
  </si>
  <si>
    <t>Indianapolis Power &amp; Light Co.</t>
  </si>
  <si>
    <t>18-0807</t>
  </si>
  <si>
    <t>18-0808</t>
  </si>
  <si>
    <t>18-KCPE-480-RTS</t>
  </si>
  <si>
    <t>UE-335</t>
  </si>
  <si>
    <t>Duke Energy Ohio Inc.</t>
  </si>
  <si>
    <t>17-0032-EL-AIR</t>
  </si>
  <si>
    <t>Texas-New Mexico Power Co.</t>
  </si>
  <si>
    <t>Green Mountain Power Corp.</t>
  </si>
  <si>
    <t>18-0974-TF</t>
  </si>
  <si>
    <t>U-20134</t>
  </si>
  <si>
    <t>West Virginia</t>
  </si>
  <si>
    <t>Appalachian Power Co.</t>
  </si>
  <si>
    <t>18-0646-E-42T</t>
  </si>
  <si>
    <t>ER18080925</t>
  </si>
  <si>
    <t>Orange &amp; Rockland Utilities Inc.</t>
  </si>
  <si>
    <t>18-E-0067</t>
  </si>
  <si>
    <t>Public Service Company of OK</t>
  </si>
  <si>
    <t>PUD201800097</t>
  </si>
  <si>
    <t>Potomac Edison Co.</t>
  </si>
  <si>
    <t>FE</t>
  </si>
  <si>
    <t>2018-00294</t>
  </si>
  <si>
    <t>2018-00295</t>
  </si>
  <si>
    <t>South Carolina</t>
  </si>
  <si>
    <t>DUL</t>
  </si>
  <si>
    <t>2018-319-E</t>
  </si>
  <si>
    <t>U-20162</t>
  </si>
  <si>
    <t>Duke Energy Progress LLC</t>
  </si>
  <si>
    <t>2018-318-E</t>
  </si>
  <si>
    <t>South Dakota</t>
  </si>
  <si>
    <t>EL18-021</t>
  </si>
  <si>
    <t>Maui Electric Company Ltd</t>
  </si>
  <si>
    <t>2017-0150</t>
  </si>
  <si>
    <t>Upper Peninsula Power Co.</t>
  </si>
  <si>
    <t>U-20276</t>
  </si>
  <si>
    <t>19-1932-TF</t>
  </si>
  <si>
    <t>Northern States Power Co - WI</t>
  </si>
  <si>
    <t>4220-UR-124</t>
  </si>
  <si>
    <t>Massachusetts Electric Co.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</si>
  <si>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</si>
  <si>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</si>
  <si>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</si>
  <si>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</si>
  <si>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</si>
  <si>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</si>
  <si>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</si>
  <si>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</si>
  <si>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</si>
  <si>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</si>
  <si>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</si>
  <si>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</si>
  <si>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</si>
  <si>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</si>
  <si>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AVU-E-19-04</t>
  </si>
  <si>
    <t>19-0387</t>
  </si>
  <si>
    <t>Northern Indiana Public Service Co.</t>
  </si>
  <si>
    <t>NI</t>
  </si>
  <si>
    <t>19-0436</t>
  </si>
  <si>
    <t>Georgia</t>
  </si>
  <si>
    <t>Georgia Power Co.</t>
  </si>
  <si>
    <t>SO</t>
  </si>
  <si>
    <t>Baltimore Gas and Electric Co.</t>
  </si>
  <si>
    <t>A-19-04-015</t>
  </si>
  <si>
    <t>A-19-04-017</t>
  </si>
  <si>
    <t>A-19-04-014</t>
  </si>
  <si>
    <t>19-008-U</t>
  </si>
  <si>
    <t>Sierra Pacific Power Co.</t>
  </si>
  <si>
    <t>19-06002</t>
  </si>
  <si>
    <t>RPU-2019-0001</t>
  </si>
  <si>
    <t>¥</t>
  </si>
  <si>
    <t>19-E-0065</t>
  </si>
  <si>
    <t>ER19050552</t>
  </si>
  <si>
    <t>U-20359</t>
  </si>
  <si>
    <t>PacifiCorp</t>
  </si>
  <si>
    <t>A-18-04-002</t>
  </si>
  <si>
    <t>Colorado</t>
  </si>
  <si>
    <t>Public Service Company of Colorado</t>
  </si>
  <si>
    <t>19AL-0268E</t>
  </si>
  <si>
    <t>Centerpoint Energy</t>
  </si>
  <si>
    <t>CNP</t>
  </si>
  <si>
    <t>Central Maine Power Co.</t>
  </si>
  <si>
    <t>IBE</t>
  </si>
  <si>
    <t>2018-00194</t>
  </si>
  <si>
    <t>Virginia Electric &amp; Power Co.</t>
  </si>
  <si>
    <t>E-22 Sub 562</t>
  </si>
  <si>
    <t>AEP Texas Inc.</t>
  </si>
  <si>
    <t>UE-190334</t>
  </si>
  <si>
    <t>Fitchburg Gas &amp; Electric Light</t>
  </si>
  <si>
    <t>DPU 19-130</t>
  </si>
  <si>
    <t>2019-00271</t>
  </si>
  <si>
    <t>U-20561</t>
  </si>
  <si>
    <t>19-00170-UT</t>
  </si>
  <si>
    <t>Duke Energy Indiana, LLC</t>
  </si>
  <si>
    <t>DE-19-064</t>
  </si>
  <si>
    <t>Empire District Electric Co.</t>
  </si>
  <si>
    <t>ER-2019-0374</t>
  </si>
  <si>
    <t>UE-190529</t>
  </si>
  <si>
    <t> </t>
  </si>
  <si>
    <t>2018-0368</t>
  </si>
  <si>
    <t>Liberty Utilities</t>
  </si>
  <si>
    <t>Liberty Utilities (CalPeco Electric)</t>
  </si>
  <si>
    <t>A-18-12-001</t>
  </si>
  <si>
    <t>20-1407-TF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</si>
  <si>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</si>
  <si>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</si>
  <si>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</si>
  <si>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</si>
  <si>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</si>
  <si>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</si>
  <si>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</si>
  <si>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</si>
  <si>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</si>
  <si>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3270-UR-123 (Elec)</t>
  </si>
  <si>
    <t>20-0381</t>
  </si>
  <si>
    <t>20-0393</t>
  </si>
  <si>
    <t>20-06003</t>
  </si>
  <si>
    <t>UE-191024</t>
  </si>
  <si>
    <t>Public Service Co. of NH</t>
  </si>
  <si>
    <t>DE-19-057</t>
  </si>
  <si>
    <t>U-20697</t>
  </si>
  <si>
    <t>UE 374</t>
  </si>
  <si>
    <t>E-1933A-19-0028</t>
  </si>
  <si>
    <t>6680-UR-122 (Elec)</t>
  </si>
  <si>
    <t>Utah</t>
  </si>
  <si>
    <t>20-035-04</t>
  </si>
  <si>
    <t>C-2020-00174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</si>
  <si>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</si>
  <si>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</si>
  <si>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</si>
  <si>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</si>
  <si>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</si>
  <si>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</si>
  <si>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</si>
  <si>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</si>
  <si>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</si>
  <si>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(Distribution Only, exc. IL FRP)</t>
  </si>
  <si>
    <t>Source: S&amp;P Global Market Intelligence</t>
  </si>
  <si>
    <t>Last Updated:</t>
  </si>
  <si>
    <t>* Due to Rounding, the ROE Award is reported as 10.00 on the S&amp;P Global Website.</t>
  </si>
  <si>
    <t>‡ S&amp;P incorrectly reports this value as 9.9%</t>
  </si>
  <si>
    <t>Ω Utility did not file a full rate case, approved ROE based on a settlement</t>
  </si>
  <si>
    <t>¥ Weighted to include ratemaking-principles rate base and ROE</t>
  </si>
  <si>
    <t>2/25/2021</t>
  </si>
  <si>
    <t>Schedule J-1</t>
  </si>
  <si>
    <t>Capital Component</t>
  </si>
  <si>
    <t>Percent of Total Capital</t>
  </si>
  <si>
    <t>Cost</t>
  </si>
  <si>
    <t>Weighted Cost</t>
  </si>
  <si>
    <t>Short-term Debt</t>
  </si>
  <si>
    <t>Long-term Debt</t>
  </si>
  <si>
    <t>Common Equity</t>
  </si>
  <si>
    <t>(2)+(3)+(4)</t>
  </si>
  <si>
    <t>Rate of Return (ROE = 9.73%)</t>
  </si>
  <si>
    <t>= (5)</t>
  </si>
  <si>
    <t>(6) x (7)</t>
  </si>
  <si>
    <t>Schedule C-1</t>
  </si>
  <si>
    <t>(9) - (8)</t>
  </si>
  <si>
    <t>Schedule H-1</t>
  </si>
  <si>
    <t>(10) x (11)</t>
  </si>
  <si>
    <t>Schedule M-2.1</t>
  </si>
  <si>
    <t>(12) / (13)</t>
  </si>
  <si>
    <t>Percent of Increase from ROE Increase</t>
  </si>
  <si>
    <t>Adjusted Income Requirement (ROE = 9.73%)</t>
  </si>
  <si>
    <t>Difference in Income Requirement</t>
  </si>
  <si>
    <t>Conversion Factor</t>
  </si>
  <si>
    <t>Difference in Revenue Requirement</t>
  </si>
  <si>
    <t>Requested Revenue Requirement Increase</t>
  </si>
  <si>
    <t>2) Calculate Revenue Requirement Impact at the Proposed ROE</t>
  </si>
  <si>
    <t>Rate of Return at Current ROE (9.73%)</t>
  </si>
  <si>
    <t>1)  Calculate Rate of Return Using Proposed Capital Structure/Current ROE (9.73%)</t>
  </si>
  <si>
    <t>2)  Calculate Revenue Requirement Impact at the Proposed ROE (10.00%)</t>
  </si>
  <si>
    <t>Rate Base</t>
  </si>
  <si>
    <t>1) Calculate Rate of Return Using the National Average ROE (9.55%)</t>
  </si>
  <si>
    <t>Rate of Return at KPCO's Awarded ROE (9.30%)</t>
  </si>
  <si>
    <t>Rate of Return (ROE = 9.30%)</t>
  </si>
  <si>
    <t>Adjusted Income Requirement (ROE = 9.30%)</t>
  </si>
  <si>
    <t>Calculation of Revenue Requirement Impact of LG&amp;E's Proposed Increase in ROE</t>
  </si>
  <si>
    <t>LG&amp;E Requested Rate of Return on Capitalization</t>
  </si>
  <si>
    <t>LG&amp;E's Proposed Income Requirement</t>
  </si>
  <si>
    <t>Calculation of Revenue Requirement Impact of LG&amp;E's Proposed ROE vs. 
ROE Awarded to KPCO in 2021</t>
  </si>
  <si>
    <t>Revised Schedule J-1.1/J-1.2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</si>
</sst>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000000%"/>
    <numFmt numFmtId="167" formatCode="_(* #,##0.000000_);_(* \(#,##0.000000\);_(* &quot;-&quot;_);_(@_)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10" fontId="6" fillId="0" borderId="0" xfId="0" applyNumberFormat="1" applyFont="1"/>
    <xf numFmtId="1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0" fontId="6" fillId="0" borderId="0" xfId="2" applyNumberFormat="1" applyFont="1" applyFill="1" applyBorder="1"/>
    <xf numFmtId="0" fontId="7" fillId="0" borderId="0" xfId="3" applyFont="1"/>
    <xf numFmtId="164" fontId="7" fillId="0" borderId="0" xfId="1" applyNumberFormat="1" applyFont="1" applyFill="1"/>
    <xf numFmtId="0" fontId="9" fillId="0" borderId="0" xfId="3" applyFont="1"/>
    <xf numFmtId="164" fontId="7" fillId="0" borderId="0" xfId="1" applyNumberFormat="1" applyFont="1" applyFill="1" applyBorder="1"/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/>
    <xf numFmtId="0" fontId="7" fillId="0" borderId="1" xfId="0" quotePrefix="1" applyFont="1" applyBorder="1" applyAlignment="1">
      <alignment horizontal="left" vertical="top" wrapText="1"/>
    </xf>
    <xf numFmtId="10" fontId="6" fillId="0" borderId="1" xfId="0" applyNumberFormat="1" applyFont="1" applyBorder="1"/>
    <xf numFmtId="1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2" applyNumberFormat="1" applyFont="1" applyFill="1" applyBorder="1"/>
    <xf numFmtId="0" fontId="7" fillId="0" borderId="1" xfId="3" applyFont="1" applyBorder="1"/>
    <xf numFmtId="164" fontId="7" fillId="0" borderId="1" xfId="1" applyNumberFormat="1" applyFont="1" applyFill="1" applyBorder="1"/>
    <xf numFmtId="0" fontId="9" fillId="0" borderId="1" xfId="3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65" fontId="6" fillId="0" borderId="0" xfId="2" applyNumberFormat="1" applyFont="1" applyFill="1" applyBorder="1"/>
    <xf numFmtId="0" fontId="10" fillId="0" borderId="0" xfId="0" applyFont="1"/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10" fontId="13" fillId="0" borderId="0" xfId="0" applyNumberFormat="1" applyFont="1"/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15" fillId="0" borderId="1" xfId="3" applyFont="1" applyBorder="1"/>
    <xf numFmtId="0" fontId="15" fillId="0" borderId="0" xfId="3" applyFont="1"/>
    <xf numFmtId="0" fontId="4" fillId="0" borderId="0" xfId="0" applyFont="1"/>
    <xf numFmtId="10" fontId="4" fillId="0" borderId="0" xfId="0" applyNumberFormat="1" applyFont="1"/>
    <xf numFmtId="164" fontId="15" fillId="0" borderId="0" xfId="1" applyNumberFormat="1" applyFont="1" applyFill="1"/>
    <xf numFmtId="10" fontId="4" fillId="0" borderId="0" xfId="2" applyNumberFormat="1" applyFont="1"/>
    <xf numFmtId="0" fontId="4" fillId="0" borderId="1" xfId="0" applyFont="1" applyBorder="1" applyAlignment="1">
      <alignment horizontal="left"/>
    </xf>
    <xf numFmtId="0" fontId="13" fillId="0" borderId="0" xfId="0" applyFont="1" applyFill="1"/>
    <xf numFmtId="0" fontId="12" fillId="0" borderId="0" xfId="0" applyFont="1" applyFill="1"/>
    <xf numFmtId="10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/>
    <xf numFmtId="0" fontId="11" fillId="0" borderId="0" xfId="0" applyFont="1" applyFill="1" applyAlignment="1">
      <alignment horizontal="center" wrapText="1"/>
    </xf>
    <xf numFmtId="10" fontId="13" fillId="0" borderId="0" xfId="0" applyNumberFormat="1" applyFont="1" applyFill="1"/>
    <xf numFmtId="0" fontId="14" fillId="0" borderId="0" xfId="0" applyFont="1" applyFill="1"/>
    <xf numFmtId="10" fontId="6" fillId="0" borderId="0" xfId="0" applyNumberFormat="1" applyFont="1" applyFill="1"/>
    <xf numFmtId="0" fontId="0" fillId="0" borderId="0" xfId="0" applyFill="1"/>
    <xf numFmtId="0" fontId="7" fillId="0" borderId="0" xfId="3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9" fillId="0" borderId="0" xfId="3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7" fillId="0" borderId="0" xfId="0" quotePrefix="1" applyFont="1" applyFill="1" applyAlignment="1">
      <alignment horizontal="left" vertical="top" wrapText="1"/>
    </xf>
    <xf numFmtId="14" fontId="7" fillId="0" borderId="0" xfId="0" applyNumberFormat="1" applyFont="1" applyFill="1" applyAlignment="1">
      <alignment horizontal="right" vertical="top" wrapText="1"/>
    </xf>
    <xf numFmtId="49" fontId="15" fillId="0" borderId="0" xfId="3" applyNumberFormat="1" applyFont="1"/>
    <xf numFmtId="0" fontId="13" fillId="0" borderId="2" xfId="0" applyFont="1" applyFill="1" applyBorder="1"/>
    <xf numFmtId="0" fontId="12" fillId="0" borderId="2" xfId="0" applyFont="1" applyFill="1" applyBorder="1"/>
    <xf numFmtId="10" fontId="13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10" fontId="13" fillId="0" borderId="2" xfId="0" applyNumberFormat="1" applyFont="1" applyFill="1" applyBorder="1"/>
    <xf numFmtId="164" fontId="7" fillId="0" borderId="2" xfId="1" applyNumberFormat="1" applyFont="1" applyFill="1" applyBorder="1"/>
    <xf numFmtId="0" fontId="14" fillId="0" borderId="2" xfId="0" applyFont="1" applyFill="1" applyBorder="1"/>
    <xf numFmtId="10" fontId="6" fillId="0" borderId="2" xfId="0" applyNumberFormat="1" applyFont="1" applyFill="1" applyBorder="1"/>
    <xf numFmtId="10" fontId="4" fillId="0" borderId="0" xfId="0" applyNumberFormat="1" applyFont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10" fontId="13" fillId="0" borderId="1" xfId="0" applyNumberFormat="1" applyFont="1" applyBorder="1"/>
    <xf numFmtId="14" fontId="13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4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4" fillId="0" borderId="0" xfId="0" applyFont="1" applyFill="1"/>
    <xf numFmtId="10" fontId="4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10" fontId="4" fillId="0" borderId="1" xfId="0" applyNumberFormat="1" applyFont="1" applyFill="1" applyBorder="1"/>
    <xf numFmtId="10" fontId="0" fillId="0" borderId="0" xfId="0" applyNumberFormat="1" applyFill="1"/>
    <xf numFmtId="166" fontId="0" fillId="0" borderId="0" xfId="0" applyNumberFormat="1" applyFill="1"/>
    <xf numFmtId="10" fontId="4" fillId="0" borderId="0" xfId="0" applyNumberFormat="1" applyFont="1" applyFill="1" applyAlignment="1">
      <alignment horizontal="right"/>
    </xf>
    <xf numFmtId="49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10" fontId="0" fillId="0" borderId="0" xfId="0" applyNumberFormat="1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10" fontId="18" fillId="0" borderId="0" xfId="0" applyNumberFormat="1" applyFont="1"/>
    <xf numFmtId="0" fontId="18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10" fontId="10" fillId="0" borderId="0" xfId="2" applyNumberFormat="1" applyFont="1" applyAlignment="1">
      <alignment horizontal="right"/>
    </xf>
    <xf numFmtId="10" fontId="10" fillId="0" borderId="0" xfId="0" applyNumberFormat="1" applyFont="1"/>
    <xf numFmtId="0" fontId="10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quotePrefix="1" applyNumberFormat="1" applyFont="1" applyAlignment="1">
      <alignment horizontal="center"/>
    </xf>
    <xf numFmtId="10" fontId="3" fillId="0" borderId="0" xfId="0" applyNumberFormat="1" applyFont="1"/>
    <xf numFmtId="10" fontId="3" fillId="0" borderId="0" xfId="2" applyNumberFormat="1" applyFont="1" applyAlignment="1">
      <alignment horizontal="right"/>
    </xf>
    <xf numFmtId="168" fontId="10" fillId="0" borderId="0" xfId="4" applyNumberFormat="1" applyFont="1"/>
    <xf numFmtId="0" fontId="0" fillId="0" borderId="0" xfId="0" applyAlignment="1">
      <alignment horizontal="center"/>
    </xf>
    <xf numFmtId="10" fontId="4" fillId="0" borderId="0" xfId="2" applyNumberFormat="1" applyFont="1" applyFill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10" fillId="0" borderId="0" xfId="0" applyNumberFormat="1" applyFont="1"/>
    <xf numFmtId="168" fontId="3" fillId="0" borderId="0" xfId="4" applyNumberFormat="1" applyFont="1"/>
    <xf numFmtId="10" fontId="3" fillId="0" borderId="0" xfId="2" applyNumberFormat="1" applyFont="1"/>
    <xf numFmtId="168" fontId="10" fillId="0" borderId="0" xfId="4" applyNumberFormat="1" applyFont="1" applyAlignment="1"/>
    <xf numFmtId="10" fontId="10" fillId="0" borderId="0" xfId="0" applyNumberFormat="1" applyFont="1" applyAlignment="1"/>
    <xf numFmtId="42" fontId="3" fillId="0" borderId="0" xfId="4" applyNumberFormat="1" applyFont="1" applyAlignment="1"/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/>
    <xf numFmtId="0" fontId="10" fillId="0" borderId="0" xfId="0" applyFont="1"/>
    <xf numFmtId="49" fontId="17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/>
  </cellXfs>
  <cellStyles count="5">
    <cellStyle name="Comma" xfId="1" builtinId="3"/>
    <cellStyle name="Currency" xfId="4" builtinId="4"/>
    <cellStyle name="Normal" xfId="0" builtinId="0"/>
    <cellStyle name="Normal 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selection activeCell="B20" sqref="B20"/>
    </sheetView>
  </sheetViews>
  <sheetFormatPr defaultRowHeight="15" x14ac:dyDescent="0.25"/>
  <cols>
    <col min="1" max="1" width="9.140625" style="102"/>
    <col min="2" max="2" width="23.140625" style="102" bestFit="1" customWidth="1"/>
    <col min="3" max="3" width="5.7109375" customWidth="1"/>
    <col min="4" max="4" width="20.5703125" customWidth="1"/>
    <col min="5" max="6" width="12.7109375" customWidth="1"/>
    <col min="7" max="7" width="5.7109375" customWidth="1"/>
    <col min="8" max="8" width="14.5703125" bestFit="1" customWidth="1"/>
  </cols>
  <sheetData>
    <row r="1" spans="1:10" s="106" customFormat="1" x14ac:dyDescent="0.25">
      <c r="A1" s="102"/>
      <c r="B1" s="102"/>
    </row>
    <row r="2" spans="1:10" s="106" customFormat="1" x14ac:dyDescent="0.25">
      <c r="A2" s="102"/>
      <c r="B2" s="102"/>
    </row>
    <row r="3" spans="1:10" s="106" customFormat="1" x14ac:dyDescent="0.25">
      <c r="A3" s="102"/>
      <c r="B3" s="102"/>
    </row>
    <row r="4" spans="1:10" ht="18.75" x14ac:dyDescent="0.3">
      <c r="A4" s="139" t="s">
        <v>412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25">
      <c r="A5" s="125"/>
      <c r="B5" s="125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111" t="s">
        <v>14</v>
      </c>
      <c r="B6" s="126" t="s">
        <v>379</v>
      </c>
      <c r="C6" s="134"/>
      <c r="D6" s="138" t="s">
        <v>413</v>
      </c>
      <c r="E6" s="138"/>
      <c r="F6" s="138"/>
      <c r="G6" s="134"/>
      <c r="H6" s="114">
        <v>7.17E-2</v>
      </c>
      <c r="I6" s="134"/>
      <c r="J6" s="134"/>
    </row>
    <row r="7" spans="1:10" s="104" customFormat="1" x14ac:dyDescent="0.25">
      <c r="A7" s="111"/>
      <c r="B7" s="111"/>
      <c r="C7" s="134"/>
      <c r="D7" s="134"/>
      <c r="E7" s="134"/>
      <c r="F7" s="134"/>
      <c r="G7" s="134"/>
      <c r="H7" s="134"/>
      <c r="I7" s="134"/>
      <c r="J7" s="134"/>
    </row>
    <row r="8" spans="1:10" x14ac:dyDescent="0.25">
      <c r="A8" s="140" t="s">
        <v>405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0" x14ac:dyDescent="0.25">
      <c r="A9" s="111"/>
      <c r="B9" s="111"/>
      <c r="C9" s="134"/>
      <c r="D9" s="134"/>
      <c r="E9" s="134"/>
      <c r="F9" s="134"/>
      <c r="G9" s="134"/>
      <c r="H9" s="134"/>
      <c r="I9" s="134"/>
      <c r="J9" s="134"/>
    </row>
    <row r="10" spans="1:10" s="103" customFormat="1" ht="26.25" x14ac:dyDescent="0.25">
      <c r="A10" s="111"/>
      <c r="B10" s="111"/>
      <c r="C10" s="127"/>
      <c r="D10" s="127" t="s">
        <v>380</v>
      </c>
      <c r="E10" s="2" t="s">
        <v>381</v>
      </c>
      <c r="F10" s="127" t="s">
        <v>382</v>
      </c>
      <c r="G10" s="127"/>
      <c r="H10" s="127" t="s">
        <v>383</v>
      </c>
      <c r="I10" s="127"/>
      <c r="J10" s="127"/>
    </row>
    <row r="11" spans="1:10" x14ac:dyDescent="0.25">
      <c r="A11" s="111" t="s">
        <v>15</v>
      </c>
      <c r="B11" s="126" t="s">
        <v>416</v>
      </c>
      <c r="C11" s="134"/>
      <c r="D11" s="134" t="s">
        <v>384</v>
      </c>
      <c r="E11" s="114">
        <v>1.26E-2</v>
      </c>
      <c r="F11" s="114">
        <v>4.5999999999999999E-3</v>
      </c>
      <c r="G11" s="134"/>
      <c r="H11" s="114">
        <f>E11*F11</f>
        <v>5.7960000000000001E-5</v>
      </c>
      <c r="I11" s="134"/>
      <c r="J11" s="134"/>
    </row>
    <row r="12" spans="1:10" x14ac:dyDescent="0.25">
      <c r="A12" s="111" t="s">
        <v>16</v>
      </c>
      <c r="B12" s="126" t="s">
        <v>416</v>
      </c>
      <c r="C12" s="134"/>
      <c r="D12" s="134" t="s">
        <v>385</v>
      </c>
      <c r="E12" s="114">
        <v>0.45550000000000002</v>
      </c>
      <c r="F12" s="114">
        <v>4.0399999999999998E-2</v>
      </c>
      <c r="G12" s="134"/>
      <c r="H12" s="114">
        <f t="shared" ref="H12:H13" si="0">E12*F12</f>
        <v>1.8402200000000001E-2</v>
      </c>
      <c r="I12" s="134"/>
      <c r="J12" s="134"/>
    </row>
    <row r="13" spans="1:10" x14ac:dyDescent="0.25">
      <c r="A13" s="111" t="s">
        <v>17</v>
      </c>
      <c r="B13" s="126" t="s">
        <v>416</v>
      </c>
      <c r="C13" s="134"/>
      <c r="D13" s="134" t="s">
        <v>386</v>
      </c>
      <c r="E13" s="114">
        <v>0.53190000000000004</v>
      </c>
      <c r="F13" s="114">
        <v>9.7299999999999998E-2</v>
      </c>
      <c r="G13" s="134"/>
      <c r="H13" s="114">
        <f t="shared" si="0"/>
        <v>5.175387E-2</v>
      </c>
      <c r="I13" s="134"/>
      <c r="J13" s="134"/>
    </row>
    <row r="14" spans="1:10" x14ac:dyDescent="0.25">
      <c r="A14" s="111"/>
      <c r="B14" s="126"/>
      <c r="C14" s="134"/>
      <c r="D14" s="134"/>
      <c r="E14" s="114"/>
      <c r="F14" s="134"/>
      <c r="G14" s="134"/>
      <c r="H14" s="134"/>
      <c r="I14" s="134"/>
      <c r="J14" s="134"/>
    </row>
    <row r="15" spans="1:10" x14ac:dyDescent="0.25">
      <c r="A15" s="111" t="s">
        <v>18</v>
      </c>
      <c r="B15" s="126" t="s">
        <v>387</v>
      </c>
      <c r="C15" s="134"/>
      <c r="D15" s="141" t="s">
        <v>404</v>
      </c>
      <c r="E15" s="141"/>
      <c r="F15" s="141"/>
      <c r="G15" s="134"/>
      <c r="H15" s="120">
        <f>SUM(H11:H13)</f>
        <v>7.0214029999999997E-2</v>
      </c>
      <c r="I15" s="134"/>
      <c r="J15" s="134"/>
    </row>
    <row r="16" spans="1:10" x14ac:dyDescent="0.25">
      <c r="A16" s="111"/>
      <c r="B16" s="111"/>
      <c r="C16" s="134"/>
      <c r="D16" s="134"/>
      <c r="E16" s="134"/>
      <c r="F16" s="134"/>
      <c r="G16" s="134"/>
      <c r="H16" s="134"/>
      <c r="I16" s="134"/>
      <c r="J16" s="134"/>
    </row>
    <row r="17" spans="1:10" x14ac:dyDescent="0.25">
      <c r="A17" s="140" t="s">
        <v>406</v>
      </c>
      <c r="B17" s="140"/>
      <c r="C17" s="140"/>
      <c r="D17" s="140"/>
      <c r="E17" s="140"/>
      <c r="F17" s="140"/>
      <c r="G17" s="140"/>
      <c r="H17" s="140"/>
      <c r="I17" s="140"/>
      <c r="J17" s="140"/>
    </row>
    <row r="18" spans="1:10" x14ac:dyDescent="0.25">
      <c r="A18" s="111"/>
      <c r="B18" s="111"/>
      <c r="C18" s="134"/>
      <c r="D18" s="134"/>
      <c r="E18" s="134"/>
      <c r="F18" s="134"/>
      <c r="G18" s="134"/>
      <c r="H18" s="134"/>
      <c r="I18" s="134"/>
      <c r="J18" s="134"/>
    </row>
    <row r="19" spans="1:10" x14ac:dyDescent="0.25">
      <c r="A19" s="111" t="s">
        <v>19</v>
      </c>
      <c r="B19" s="126" t="s">
        <v>416</v>
      </c>
      <c r="C19" s="134"/>
      <c r="D19" s="138" t="s">
        <v>407</v>
      </c>
      <c r="E19" s="138"/>
      <c r="F19" s="138"/>
      <c r="G19" s="134"/>
      <c r="H19" s="122">
        <v>3449573908</v>
      </c>
      <c r="I19" s="134"/>
      <c r="J19" s="134"/>
    </row>
    <row r="20" spans="1:10" x14ac:dyDescent="0.25">
      <c r="A20" s="111" t="s">
        <v>20</v>
      </c>
      <c r="B20" s="126" t="s">
        <v>389</v>
      </c>
      <c r="C20" s="134"/>
      <c r="D20" s="138" t="s">
        <v>388</v>
      </c>
      <c r="E20" s="138"/>
      <c r="F20" s="138"/>
      <c r="G20" s="134"/>
      <c r="H20" s="114">
        <f>H15</f>
        <v>7.0214029999999997E-2</v>
      </c>
      <c r="I20" s="134"/>
      <c r="J20" s="134"/>
    </row>
    <row r="21" spans="1:10" x14ac:dyDescent="0.25">
      <c r="A21" s="111" t="s">
        <v>21</v>
      </c>
      <c r="B21" s="126" t="s">
        <v>390</v>
      </c>
      <c r="C21" s="134"/>
      <c r="D21" s="138" t="s">
        <v>398</v>
      </c>
      <c r="E21" s="138"/>
      <c r="F21" s="138"/>
      <c r="G21" s="134"/>
      <c r="H21" s="122">
        <f>H19*H20</f>
        <v>242208485.86352924</v>
      </c>
      <c r="I21" s="134"/>
      <c r="J21" s="134"/>
    </row>
    <row r="22" spans="1:10" x14ac:dyDescent="0.25">
      <c r="A22" s="111" t="s">
        <v>22</v>
      </c>
      <c r="B22" s="126" t="s">
        <v>391</v>
      </c>
      <c r="C22" s="134"/>
      <c r="D22" s="138" t="s">
        <v>414</v>
      </c>
      <c r="E22" s="138"/>
      <c r="F22" s="138"/>
      <c r="G22" s="134"/>
      <c r="H22" s="122">
        <v>248313187</v>
      </c>
      <c r="I22" s="134"/>
      <c r="J22" s="134"/>
    </row>
    <row r="23" spans="1:10" x14ac:dyDescent="0.25">
      <c r="A23" s="111" t="s">
        <v>23</v>
      </c>
      <c r="B23" s="126" t="s">
        <v>392</v>
      </c>
      <c r="C23" s="134"/>
      <c r="D23" s="138" t="s">
        <v>399</v>
      </c>
      <c r="E23" s="138"/>
      <c r="F23" s="138"/>
      <c r="G23" s="134"/>
      <c r="H23" s="122">
        <f>H22-H21</f>
        <v>6104701.1364707649</v>
      </c>
      <c r="I23" s="134"/>
      <c r="J23" s="134"/>
    </row>
    <row r="24" spans="1:10" x14ac:dyDescent="0.25">
      <c r="A24" s="111" t="s">
        <v>24</v>
      </c>
      <c r="B24" s="126" t="s">
        <v>393</v>
      </c>
      <c r="C24" s="134"/>
      <c r="D24" s="138" t="s">
        <v>400</v>
      </c>
      <c r="E24" s="138"/>
      <c r="F24" s="138"/>
      <c r="G24" s="134"/>
      <c r="H24" s="128">
        <v>1.3378369999999999</v>
      </c>
      <c r="I24" s="134"/>
      <c r="J24" s="134"/>
    </row>
    <row r="25" spans="1:10" x14ac:dyDescent="0.25">
      <c r="A25" s="111" t="s">
        <v>25</v>
      </c>
      <c r="B25" s="126" t="s">
        <v>394</v>
      </c>
      <c r="C25" s="134"/>
      <c r="D25" s="141" t="s">
        <v>401</v>
      </c>
      <c r="E25" s="141"/>
      <c r="F25" s="141"/>
      <c r="G25" s="134"/>
      <c r="H25" s="129">
        <f>H23*H24</f>
        <v>8167095.054312638</v>
      </c>
      <c r="I25" s="134"/>
      <c r="J25" s="134"/>
    </row>
    <row r="26" spans="1:10" x14ac:dyDescent="0.25">
      <c r="A26" s="111" t="s">
        <v>26</v>
      </c>
      <c r="B26" s="126" t="s">
        <v>395</v>
      </c>
      <c r="C26" s="134"/>
      <c r="D26" s="138" t="s">
        <v>402</v>
      </c>
      <c r="E26" s="138"/>
      <c r="F26" s="138"/>
      <c r="G26" s="134"/>
      <c r="H26" s="122">
        <v>131248802</v>
      </c>
      <c r="I26" s="134"/>
      <c r="J26" s="134"/>
    </row>
    <row r="27" spans="1:10" x14ac:dyDescent="0.25">
      <c r="A27" s="111" t="s">
        <v>27</v>
      </c>
      <c r="B27" s="126" t="s">
        <v>396</v>
      </c>
      <c r="C27" s="134"/>
      <c r="D27" s="141" t="s">
        <v>397</v>
      </c>
      <c r="E27" s="141"/>
      <c r="F27" s="141"/>
      <c r="G27" s="134"/>
      <c r="H27" s="130">
        <f>H25/H26</f>
        <v>6.2226054103812989E-2</v>
      </c>
      <c r="I27" s="134"/>
      <c r="J27" s="134"/>
    </row>
  </sheetData>
  <mergeCells count="14">
    <mergeCell ref="D6:F6"/>
    <mergeCell ref="A4:J4"/>
    <mergeCell ref="A8:J8"/>
    <mergeCell ref="D26:F26"/>
    <mergeCell ref="D27:F27"/>
    <mergeCell ref="D15:F15"/>
    <mergeCell ref="D20:F20"/>
    <mergeCell ref="D21:F21"/>
    <mergeCell ref="D22:F22"/>
    <mergeCell ref="D23:F23"/>
    <mergeCell ref="D24:F24"/>
    <mergeCell ref="D25:F25"/>
    <mergeCell ref="A17:J17"/>
    <mergeCell ref="D19:F19"/>
  </mergeCells>
  <pageMargins left="0.7" right="0.7" top="0.75" bottom="0.75" header="0.3" footer="0.3"/>
  <pageSetup scale="99" orientation="landscape" r:id="rId1"/>
  <headerFooter>
    <oddHeader>&amp;R&amp;"-,Bold"&amp;10Walmart, Inc.
Exhibit LVP-2
Kentucky Public Service Commission Case No. 2020-00350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79"/>
  <sheetViews>
    <sheetView tabSelected="1" zoomScale="90" zoomScaleNormal="90" workbookViewId="0">
      <selection activeCell="AE5" sqref="AE5"/>
    </sheetView>
  </sheetViews>
  <sheetFormatPr defaultRowHeight="15" x14ac:dyDescent="0.25"/>
  <cols>
    <col min="1" max="1" width="15.85546875" bestFit="1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7.85546875" bestFit="1" customWidth="1"/>
    <col min="8" max="8" width="0.42578125" customWidth="1"/>
    <col min="9" max="9" width="9.42578125" customWidth="1"/>
    <col min="10" max="10" width="2" style="6" bestFit="1" customWidth="1"/>
    <col min="11" max="11" width="10.5703125" bestFit="1" customWidth="1"/>
    <col min="12" max="12" width="0.42578125" customWidth="1"/>
    <col min="13" max="13" width="10.140625" customWidth="1"/>
    <col min="14" max="14" width="0.42578125" customWidth="1"/>
    <col min="15" max="15" width="18.7109375" bestFit="1" customWidth="1"/>
    <col min="16" max="16" width="1.5703125" style="6" bestFit="1" customWidth="1"/>
    <col min="18" max="18" width="0.42578125" customWidth="1"/>
    <col min="19" max="19" width="13.28515625" bestFit="1" customWidth="1"/>
    <col min="20" max="20" width="0.42578125" customWidth="1"/>
    <col min="22" max="22" width="0.42578125" customWidth="1"/>
    <col min="24" max="24" width="0.42578125" customWidth="1"/>
    <col min="25" max="25" width="11" customWidth="1"/>
    <col min="26" max="26" width="0.42578125" customWidth="1"/>
    <col min="28" max="28" width="0.42578125" customWidth="1"/>
    <col min="29" max="29" width="9.7109375" customWidth="1"/>
  </cols>
  <sheetData>
    <row r="2" spans="1:25" s="106" customFormat="1" x14ac:dyDescent="0.25">
      <c r="J2" s="6"/>
      <c r="P2" s="6"/>
    </row>
    <row r="4" spans="1:25" ht="15.75" x14ac:dyDescent="0.25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6" spans="1:25" s="2" customFormat="1" ht="63.75" x14ac:dyDescent="0.2">
      <c r="A6" s="1" t="s">
        <v>1</v>
      </c>
      <c r="C6" s="1" t="s">
        <v>2</v>
      </c>
      <c r="E6" s="1" t="s">
        <v>3</v>
      </c>
      <c r="G6" s="1" t="s">
        <v>4</v>
      </c>
      <c r="I6" s="1" t="s">
        <v>5</v>
      </c>
      <c r="J6" s="3"/>
      <c r="K6" s="1" t="s">
        <v>6</v>
      </c>
      <c r="M6" s="1" t="s">
        <v>7</v>
      </c>
      <c r="O6" s="1" t="s">
        <v>8</v>
      </c>
      <c r="P6" s="3"/>
      <c r="Q6" s="1" t="s">
        <v>9</v>
      </c>
      <c r="S6" s="1" t="s">
        <v>10</v>
      </c>
      <c r="U6" s="1" t="s">
        <v>11</v>
      </c>
      <c r="W6" s="1" t="s">
        <v>12</v>
      </c>
      <c r="Y6" s="1" t="s">
        <v>13</v>
      </c>
    </row>
    <row r="7" spans="1:25" s="4" customFormat="1" ht="12" x14ac:dyDescent="0.2">
      <c r="A7" s="4" t="s">
        <v>14</v>
      </c>
      <c r="C7" s="4" t="s">
        <v>15</v>
      </c>
      <c r="E7" s="4" t="s">
        <v>16</v>
      </c>
      <c r="G7" s="4" t="s">
        <v>17</v>
      </c>
      <c r="I7" s="4" t="s">
        <v>18</v>
      </c>
      <c r="J7" s="5"/>
      <c r="K7" s="4" t="s">
        <v>19</v>
      </c>
      <c r="M7" s="4" t="s">
        <v>20</v>
      </c>
      <c r="O7" s="4" t="s">
        <v>21</v>
      </c>
      <c r="P7" s="5"/>
      <c r="Q7" s="4" t="s">
        <v>22</v>
      </c>
      <c r="S7" s="4" t="s">
        <v>24</v>
      </c>
      <c r="U7" s="4" t="s">
        <v>25</v>
      </c>
      <c r="W7" s="4" t="s">
        <v>26</v>
      </c>
      <c r="Y7" s="4" t="s">
        <v>27</v>
      </c>
    </row>
    <row r="8" spans="1:25" s="4" customFormat="1" ht="12" x14ac:dyDescent="0.2">
      <c r="J8" s="5"/>
      <c r="P8" s="5"/>
      <c r="Q8" s="4" t="s">
        <v>28</v>
      </c>
      <c r="Y8" s="4" t="s">
        <v>29</v>
      </c>
    </row>
    <row r="10" spans="1:25" x14ac:dyDescent="0.25">
      <c r="A10" s="7" t="s">
        <v>30</v>
      </c>
      <c r="C10" s="7" t="s">
        <v>31</v>
      </c>
      <c r="D10" s="7"/>
      <c r="E10" s="7" t="s">
        <v>32</v>
      </c>
      <c r="F10" s="7"/>
      <c r="G10" s="8" t="s">
        <v>33</v>
      </c>
      <c r="I10" s="9">
        <v>0.10100000000000001</v>
      </c>
      <c r="J10" s="7"/>
      <c r="K10" s="10">
        <v>42753</v>
      </c>
      <c r="L10" s="7"/>
      <c r="M10" s="11" t="s">
        <v>34</v>
      </c>
      <c r="O10" s="12">
        <v>9.4500000000000001E-2</v>
      </c>
      <c r="P10" s="13"/>
      <c r="Q10" s="14">
        <f t="shared" ref="Q10:Q36" si="0">(O10-I10)*10000</f>
        <v>-65.000000000000057</v>
      </c>
      <c r="S10" s="15" t="s">
        <v>35</v>
      </c>
      <c r="U10" s="9">
        <v>7.2499999999999995E-2</v>
      </c>
      <c r="V10" s="9"/>
      <c r="W10" s="9">
        <v>0.50990000000000002</v>
      </c>
      <c r="Y10" s="9">
        <f t="shared" ref="Y10:Y18" si="1">W10*O10</f>
        <v>4.8185550000000001E-2</v>
      </c>
    </row>
    <row r="11" spans="1:25" x14ac:dyDescent="0.25">
      <c r="A11" s="7" t="s">
        <v>36</v>
      </c>
      <c r="C11" s="7" t="s">
        <v>37</v>
      </c>
      <c r="D11" s="7"/>
      <c r="E11" s="7" t="s">
        <v>38</v>
      </c>
      <c r="F11" s="7"/>
      <c r="G11" s="8" t="s">
        <v>39</v>
      </c>
      <c r="I11" s="9">
        <v>9.7500000000000003E-2</v>
      </c>
      <c r="J11" s="7"/>
      <c r="K11" s="10">
        <v>42759</v>
      </c>
      <c r="L11" s="7"/>
      <c r="M11" s="11" t="s">
        <v>40</v>
      </c>
      <c r="O11" s="12">
        <v>0.09</v>
      </c>
      <c r="P11" s="13"/>
      <c r="Q11" s="14">
        <f t="shared" si="0"/>
        <v>-75.000000000000071</v>
      </c>
      <c r="S11" s="15" t="s">
        <v>35</v>
      </c>
      <c r="U11" s="9">
        <v>6.8199999999999997E-2</v>
      </c>
      <c r="V11" s="9"/>
      <c r="W11" s="9">
        <v>0.48</v>
      </c>
      <c r="Y11" s="9">
        <f t="shared" si="1"/>
        <v>4.3199999999999995E-2</v>
      </c>
    </row>
    <row r="12" spans="1:25" x14ac:dyDescent="0.25">
      <c r="A12" s="7" t="s">
        <v>41</v>
      </c>
      <c r="C12" s="7" t="s">
        <v>42</v>
      </c>
      <c r="D12" s="7"/>
      <c r="E12" s="7" t="s">
        <v>43</v>
      </c>
      <c r="F12" s="7"/>
      <c r="G12" s="8" t="s">
        <v>44</v>
      </c>
      <c r="I12" s="9">
        <v>0.105</v>
      </c>
      <c r="J12" s="7"/>
      <c r="K12" s="10">
        <v>42766</v>
      </c>
      <c r="L12" s="7"/>
      <c r="M12" s="11" t="s">
        <v>34</v>
      </c>
      <c r="O12" s="12">
        <v>0.10100000000000001</v>
      </c>
      <c r="P12" s="13"/>
      <c r="Q12" s="14">
        <f t="shared" si="0"/>
        <v>-39.999999999999893</v>
      </c>
      <c r="S12" s="15" t="s">
        <v>45</v>
      </c>
      <c r="U12" s="9">
        <v>5.5500000000000001E-2</v>
      </c>
      <c r="V12" s="9"/>
      <c r="W12" s="9">
        <v>0.37490000000000001</v>
      </c>
      <c r="Y12" s="9">
        <f t="shared" si="1"/>
        <v>3.7864900000000007E-2</v>
      </c>
    </row>
    <row r="13" spans="1:25" x14ac:dyDescent="0.25">
      <c r="A13" s="7" t="s">
        <v>46</v>
      </c>
      <c r="C13" s="7" t="s">
        <v>47</v>
      </c>
      <c r="D13" s="7"/>
      <c r="E13" s="7" t="s">
        <v>48</v>
      </c>
      <c r="F13" s="7"/>
      <c r="G13" s="8">
        <v>9424</v>
      </c>
      <c r="I13" s="9">
        <v>0.106</v>
      </c>
      <c r="J13" s="7"/>
      <c r="K13" s="10">
        <v>42781</v>
      </c>
      <c r="L13" s="7"/>
      <c r="M13" s="11" t="s">
        <v>40</v>
      </c>
      <c r="O13" s="12">
        <v>9.6000000000000002E-2</v>
      </c>
      <c r="P13" s="13"/>
      <c r="Q13" s="14">
        <f t="shared" si="0"/>
        <v>-99.999999999999943</v>
      </c>
      <c r="S13" s="15" t="s">
        <v>45</v>
      </c>
      <c r="U13" s="9">
        <v>6.7400000000000002E-2</v>
      </c>
      <c r="V13" s="9"/>
      <c r="W13" s="9">
        <v>0.49099999999999999</v>
      </c>
      <c r="Y13" s="9">
        <f t="shared" si="1"/>
        <v>4.7135999999999997E-2</v>
      </c>
    </row>
    <row r="14" spans="1:25" x14ac:dyDescent="0.25">
      <c r="A14" s="7" t="s">
        <v>49</v>
      </c>
      <c r="C14" s="7" t="s">
        <v>50</v>
      </c>
      <c r="D14" s="7"/>
      <c r="E14" s="7" t="s">
        <v>38</v>
      </c>
      <c r="F14" s="7"/>
      <c r="G14" s="8" t="s">
        <v>51</v>
      </c>
      <c r="I14" s="9">
        <v>0.10199999999999999</v>
      </c>
      <c r="J14" s="7"/>
      <c r="K14" s="10">
        <v>42788</v>
      </c>
      <c r="L14" s="7"/>
      <c r="M14" s="11" t="s">
        <v>40</v>
      </c>
      <c r="O14" s="12">
        <v>9.6000000000000002E-2</v>
      </c>
      <c r="P14" s="13"/>
      <c r="Q14" s="16">
        <f t="shared" si="0"/>
        <v>-59.999999999999915</v>
      </c>
      <c r="S14" s="15" t="s">
        <v>35</v>
      </c>
      <c r="U14" s="9">
        <v>7.4700000000000003E-2</v>
      </c>
      <c r="V14" s="9"/>
      <c r="W14" s="9">
        <v>0.497</v>
      </c>
      <c r="Y14" s="9">
        <f t="shared" si="1"/>
        <v>4.7711999999999997E-2</v>
      </c>
    </row>
    <row r="15" spans="1:25" x14ac:dyDescent="0.25">
      <c r="A15" s="7" t="s">
        <v>52</v>
      </c>
      <c r="C15" s="7" t="s">
        <v>53</v>
      </c>
      <c r="D15" s="7"/>
      <c r="E15" s="7" t="s">
        <v>54</v>
      </c>
      <c r="F15" s="7"/>
      <c r="G15" s="8" t="s">
        <v>55</v>
      </c>
      <c r="I15" s="9">
        <v>0.10349999999999999</v>
      </c>
      <c r="J15" s="7"/>
      <c r="K15" s="10">
        <v>42790</v>
      </c>
      <c r="L15" s="7"/>
      <c r="M15" s="11" t="s">
        <v>34</v>
      </c>
      <c r="O15" s="12">
        <v>9.7500000000000003E-2</v>
      </c>
      <c r="P15" s="13"/>
      <c r="Q15" s="14">
        <f t="shared" si="0"/>
        <v>-59.999999999999915</v>
      </c>
      <c r="S15" s="15" t="s">
        <v>35</v>
      </c>
      <c r="U15" s="9">
        <v>7.0400000000000004E-2</v>
      </c>
      <c r="V15" s="9"/>
      <c r="W15" s="9">
        <v>0.50029999999999997</v>
      </c>
      <c r="Y15" s="9">
        <f t="shared" si="1"/>
        <v>4.8779249999999996E-2</v>
      </c>
    </row>
    <row r="16" spans="1:25" x14ac:dyDescent="0.25">
      <c r="A16" s="7" t="s">
        <v>41</v>
      </c>
      <c r="C16" s="7" t="s">
        <v>56</v>
      </c>
      <c r="D16" s="7"/>
      <c r="E16" s="7" t="s">
        <v>57</v>
      </c>
      <c r="F16" s="7"/>
      <c r="G16" s="8" t="s">
        <v>58</v>
      </c>
      <c r="I16" s="9">
        <v>0.107</v>
      </c>
      <c r="J16" s="7"/>
      <c r="K16" s="10">
        <v>42794</v>
      </c>
      <c r="L16" s="7"/>
      <c r="M16" s="11" t="s">
        <v>34</v>
      </c>
      <c r="O16" s="12">
        <v>0.10100000000000001</v>
      </c>
      <c r="P16" s="13"/>
      <c r="Q16" s="14">
        <f t="shared" si="0"/>
        <v>-59.999999999999915</v>
      </c>
      <c r="S16" s="15" t="s">
        <v>45</v>
      </c>
      <c r="U16" s="9">
        <v>5.9400000000000001E-2</v>
      </c>
      <c r="V16" s="9"/>
      <c r="W16" s="9">
        <v>0.40749999999999997</v>
      </c>
      <c r="Y16" s="9">
        <f t="shared" si="1"/>
        <v>4.11575E-2</v>
      </c>
    </row>
    <row r="17" spans="1:25" x14ac:dyDescent="0.25">
      <c r="A17" s="7" t="s">
        <v>59</v>
      </c>
      <c r="C17" s="7" t="s">
        <v>60</v>
      </c>
      <c r="D17" s="7"/>
      <c r="E17" s="7" t="s">
        <v>61</v>
      </c>
      <c r="F17" s="7"/>
      <c r="G17" s="8" t="s">
        <v>62</v>
      </c>
      <c r="I17" s="9">
        <v>0.10050000000000001</v>
      </c>
      <c r="J17" s="7"/>
      <c r="K17" s="10">
        <v>42796</v>
      </c>
      <c r="L17" s="7"/>
      <c r="M17" s="11" t="s">
        <v>34</v>
      </c>
      <c r="O17" s="12">
        <v>9.4100000000000003E-2</v>
      </c>
      <c r="P17" s="13"/>
      <c r="Q17" s="14">
        <f t="shared" si="0"/>
        <v>-64.000000000000028</v>
      </c>
      <c r="S17" s="15" t="s">
        <v>45</v>
      </c>
      <c r="U17" s="9">
        <v>7.51E-2</v>
      </c>
      <c r="V17" s="9"/>
      <c r="W17" s="9">
        <v>0.52500000000000002</v>
      </c>
      <c r="Y17" s="9">
        <f t="shared" si="1"/>
        <v>4.9402500000000002E-2</v>
      </c>
    </row>
    <row r="18" spans="1:25" x14ac:dyDescent="0.25">
      <c r="A18" s="7" t="s">
        <v>63</v>
      </c>
      <c r="C18" s="7" t="s">
        <v>64</v>
      </c>
      <c r="D18" s="7"/>
      <c r="E18" s="7" t="s">
        <v>65</v>
      </c>
      <c r="F18" s="7"/>
      <c r="G18" s="8" t="s">
        <v>66</v>
      </c>
      <c r="I18" s="9">
        <v>0.10249999999999999</v>
      </c>
      <c r="J18" s="7"/>
      <c r="K18" s="10">
        <v>42814</v>
      </c>
      <c r="L18" s="7"/>
      <c r="M18" s="11" t="s">
        <v>34</v>
      </c>
      <c r="O18" s="12">
        <v>9.5000000000000001E-2</v>
      </c>
      <c r="P18" s="13"/>
      <c r="Q18" s="14">
        <f t="shared" si="0"/>
        <v>-74.999999999999929</v>
      </c>
      <c r="S18" s="15" t="s">
        <v>45</v>
      </c>
      <c r="U18" s="9">
        <v>7.6899999999999996E-2</v>
      </c>
      <c r="V18" s="9"/>
      <c r="W18" s="9">
        <v>0.53310000000000002</v>
      </c>
      <c r="Y18" s="9">
        <f t="shared" si="1"/>
        <v>5.0644500000000002E-2</v>
      </c>
    </row>
    <row r="19" spans="1:25" x14ac:dyDescent="0.25">
      <c r="A19" s="7" t="s">
        <v>67</v>
      </c>
      <c r="C19" s="7" t="s">
        <v>68</v>
      </c>
      <c r="D19" s="7"/>
      <c r="E19" s="7" t="s">
        <v>69</v>
      </c>
      <c r="F19" s="7"/>
      <c r="G19" s="8" t="s">
        <v>70</v>
      </c>
      <c r="I19" s="9">
        <v>0.11</v>
      </c>
      <c r="J19" s="7"/>
      <c r="K19" s="10">
        <v>42829</v>
      </c>
      <c r="L19" s="7"/>
      <c r="M19" s="11" t="s">
        <v>34</v>
      </c>
      <c r="O19" s="12">
        <v>0.10249999999999999</v>
      </c>
      <c r="P19" s="13"/>
      <c r="Q19" s="14">
        <f t="shared" si="0"/>
        <v>-75.000000000000071</v>
      </c>
      <c r="S19" s="15" t="s">
        <v>35</v>
      </c>
      <c r="U19" s="17" t="s">
        <v>71</v>
      </c>
      <c r="V19" s="17"/>
      <c r="W19" s="17" t="s">
        <v>71</v>
      </c>
      <c r="X19" s="18"/>
      <c r="Y19" s="17" t="s">
        <v>71</v>
      </c>
    </row>
    <row r="20" spans="1:25" x14ac:dyDescent="0.25">
      <c r="A20" s="7" t="s">
        <v>72</v>
      </c>
      <c r="C20" s="7" t="s">
        <v>73</v>
      </c>
      <c r="D20" s="7"/>
      <c r="E20" s="7" t="s">
        <v>74</v>
      </c>
      <c r="F20" s="7"/>
      <c r="G20" s="8" t="s">
        <v>75</v>
      </c>
      <c r="I20" s="9">
        <v>0.10299999999999999</v>
      </c>
      <c r="J20" s="7"/>
      <c r="K20" s="10">
        <v>42837</v>
      </c>
      <c r="L20" s="7"/>
      <c r="M20" s="11" t="s">
        <v>40</v>
      </c>
      <c r="O20" s="12">
        <v>9.4E-2</v>
      </c>
      <c r="P20" s="13"/>
      <c r="Q20" s="14">
        <f t="shared" si="0"/>
        <v>-89.999999999999943</v>
      </c>
      <c r="S20" s="15" t="s">
        <v>35</v>
      </c>
      <c r="U20" s="9">
        <v>7.6399999999999996E-2</v>
      </c>
      <c r="V20" s="9"/>
      <c r="W20" s="9">
        <v>0.5</v>
      </c>
      <c r="Y20" s="9">
        <f>W20*O20</f>
        <v>4.7E-2</v>
      </c>
    </row>
    <row r="21" spans="1:25" x14ac:dyDescent="0.25">
      <c r="A21" s="7" t="s">
        <v>72</v>
      </c>
      <c r="C21" s="7" t="s">
        <v>76</v>
      </c>
      <c r="D21" s="7"/>
      <c r="E21" s="7" t="s">
        <v>77</v>
      </c>
      <c r="F21" s="7"/>
      <c r="G21" s="8" t="s">
        <v>78</v>
      </c>
      <c r="I21" s="9">
        <v>0.10299999999999999</v>
      </c>
      <c r="J21" s="7"/>
      <c r="K21" s="10">
        <v>42845</v>
      </c>
      <c r="L21" s="7"/>
      <c r="M21" s="11" t="s">
        <v>40</v>
      </c>
      <c r="O21" s="12">
        <v>9.5000000000000001E-2</v>
      </c>
      <c r="P21" s="13"/>
      <c r="Q21" s="14">
        <f t="shared" si="0"/>
        <v>-79.999999999999929</v>
      </c>
      <c r="S21" s="15" t="s">
        <v>35</v>
      </c>
      <c r="U21" s="9">
        <v>8.3400000000000002E-2</v>
      </c>
      <c r="V21" s="9"/>
      <c r="W21" s="9">
        <v>0.50970000000000004</v>
      </c>
      <c r="Y21" s="9">
        <f>W21*O21</f>
        <v>4.8421500000000006E-2</v>
      </c>
    </row>
    <row r="22" spans="1:25" x14ac:dyDescent="0.25">
      <c r="A22" s="7" t="s">
        <v>79</v>
      </c>
      <c r="C22" s="7" t="s">
        <v>80</v>
      </c>
      <c r="D22" s="7"/>
      <c r="E22" s="7" t="s">
        <v>81</v>
      </c>
      <c r="F22" s="7"/>
      <c r="G22" s="8" t="s">
        <v>82</v>
      </c>
      <c r="I22" s="9">
        <v>9.9000000000000005E-2</v>
      </c>
      <c r="J22" s="7"/>
      <c r="K22" s="10">
        <v>42858</v>
      </c>
      <c r="L22" s="7"/>
      <c r="M22" s="11" t="s">
        <v>34</v>
      </c>
      <c r="O22" s="12">
        <v>9.5000000000000001E-2</v>
      </c>
      <c r="P22" s="13"/>
      <c r="Q22" s="14">
        <f t="shared" si="0"/>
        <v>-40.000000000000036</v>
      </c>
      <c r="S22" s="15" t="s">
        <v>45</v>
      </c>
      <c r="U22" s="9">
        <v>7.4300000000000005E-2</v>
      </c>
      <c r="V22" s="9"/>
      <c r="W22" s="9">
        <v>0.49199999999999999</v>
      </c>
      <c r="Y22" s="9">
        <f>W22*O22</f>
        <v>4.6739999999999997E-2</v>
      </c>
    </row>
    <row r="23" spans="1:25" x14ac:dyDescent="0.25">
      <c r="A23" s="7" t="s">
        <v>59</v>
      </c>
      <c r="C23" s="7" t="s">
        <v>83</v>
      </c>
      <c r="D23" s="7"/>
      <c r="E23" s="7" t="s">
        <v>84</v>
      </c>
      <c r="F23" s="7"/>
      <c r="G23" s="8" t="s">
        <v>85</v>
      </c>
      <c r="I23" s="9">
        <v>0.1</v>
      </c>
      <c r="J23" s="7"/>
      <c r="K23" s="10">
        <v>42866</v>
      </c>
      <c r="L23" s="7"/>
      <c r="M23" s="11" t="s">
        <v>34</v>
      </c>
      <c r="O23" s="12">
        <v>9.1999999999999998E-2</v>
      </c>
      <c r="P23" s="13"/>
      <c r="Q23" s="14">
        <f t="shared" si="0"/>
        <v>-80.000000000000071</v>
      </c>
      <c r="S23" s="15" t="s">
        <v>35</v>
      </c>
      <c r="U23" s="9">
        <v>7.0800000000000002E-2</v>
      </c>
      <c r="V23" s="9"/>
      <c r="W23" s="9">
        <v>0.52500000000000002</v>
      </c>
      <c r="Y23" s="9">
        <f>W23*O23</f>
        <v>4.8300000000000003E-2</v>
      </c>
    </row>
    <row r="24" spans="1:25" x14ac:dyDescent="0.25">
      <c r="A24" s="7" t="s">
        <v>86</v>
      </c>
      <c r="C24" s="7" t="s">
        <v>64</v>
      </c>
      <c r="D24" s="7"/>
      <c r="E24" s="7" t="s">
        <v>65</v>
      </c>
      <c r="F24" s="7"/>
      <c r="G24" s="8" t="s">
        <v>87</v>
      </c>
      <c r="I24" s="9">
        <v>0.10249999999999999</v>
      </c>
      <c r="J24" s="7"/>
      <c r="K24" s="10">
        <v>42873</v>
      </c>
      <c r="L24" s="7"/>
      <c r="M24" s="11" t="s">
        <v>34</v>
      </c>
      <c r="O24" s="12">
        <v>9.5000000000000001E-2</v>
      </c>
      <c r="P24" s="13"/>
      <c r="Q24" s="14">
        <f t="shared" si="0"/>
        <v>-74.999999999999929</v>
      </c>
      <c r="S24" s="15" t="s">
        <v>35</v>
      </c>
      <c r="U24" s="9">
        <v>5.4199999999999998E-2</v>
      </c>
      <c r="V24" s="9"/>
      <c r="W24" s="9">
        <v>0.36380000000000001</v>
      </c>
      <c r="Y24" s="9">
        <f>W24*O24</f>
        <v>3.4561000000000001E-2</v>
      </c>
    </row>
    <row r="25" spans="1:25" x14ac:dyDescent="0.25">
      <c r="A25" s="7" t="s">
        <v>88</v>
      </c>
      <c r="C25" s="7" t="s">
        <v>47</v>
      </c>
      <c r="D25" s="7"/>
      <c r="E25" s="7" t="s">
        <v>48</v>
      </c>
      <c r="F25" s="7"/>
      <c r="G25" s="8" t="s">
        <v>89</v>
      </c>
      <c r="I25" s="9">
        <v>0.106</v>
      </c>
      <c r="J25" s="7"/>
      <c r="K25" s="10">
        <v>42878</v>
      </c>
      <c r="L25" s="7"/>
      <c r="M25" s="11" t="s">
        <v>40</v>
      </c>
      <c r="O25" s="12">
        <v>9.7000000000000003E-2</v>
      </c>
      <c r="P25" s="13"/>
      <c r="Q25" s="14">
        <f t="shared" si="0"/>
        <v>-89.999999999999943</v>
      </c>
      <c r="S25" s="15" t="s">
        <v>35</v>
      </c>
      <c r="U25" s="17" t="s">
        <v>71</v>
      </c>
      <c r="V25" s="17"/>
      <c r="W25" s="17" t="s">
        <v>71</v>
      </c>
      <c r="X25" s="18"/>
      <c r="Y25" s="17" t="s">
        <v>71</v>
      </c>
    </row>
    <row r="26" spans="1:25" x14ac:dyDescent="0.25">
      <c r="A26" s="7" t="s">
        <v>90</v>
      </c>
      <c r="C26" s="7" t="s">
        <v>31</v>
      </c>
      <c r="D26" s="7"/>
      <c r="E26" s="7" t="s">
        <v>32</v>
      </c>
      <c r="F26" s="7"/>
      <c r="G26" s="8" t="s">
        <v>91</v>
      </c>
      <c r="I26" s="9">
        <v>0.1</v>
      </c>
      <c r="J26" s="7"/>
      <c r="K26" s="10">
        <v>42902</v>
      </c>
      <c r="L26" s="7"/>
      <c r="M26" s="11" t="s">
        <v>34</v>
      </c>
      <c r="O26" s="12">
        <v>9.6500000000000002E-2</v>
      </c>
      <c r="P26" s="13"/>
      <c r="Q26" s="14">
        <f t="shared" si="0"/>
        <v>-35.000000000000028</v>
      </c>
      <c r="S26" s="15" t="s">
        <v>35</v>
      </c>
      <c r="U26" s="9">
        <v>7.3599999999999999E-2</v>
      </c>
      <c r="V26" s="9"/>
      <c r="W26" s="9">
        <v>0.51400000000000001</v>
      </c>
      <c r="Y26" s="9">
        <f>W26*O26</f>
        <v>4.9600999999999999E-2</v>
      </c>
    </row>
    <row r="27" spans="1:25" s="64" customFormat="1" x14ac:dyDescent="0.25">
      <c r="A27" s="73" t="s">
        <v>92</v>
      </c>
      <c r="C27" s="73" t="s">
        <v>93</v>
      </c>
      <c r="D27" s="73"/>
      <c r="E27" s="73" t="s">
        <v>94</v>
      </c>
      <c r="F27" s="73"/>
      <c r="G27" s="74" t="s">
        <v>95</v>
      </c>
      <c r="I27" s="63">
        <v>0.1023</v>
      </c>
      <c r="J27" s="73"/>
      <c r="K27" s="75">
        <v>42908</v>
      </c>
      <c r="L27" s="73"/>
      <c r="M27" s="70" t="s">
        <v>34</v>
      </c>
      <c r="O27" s="12">
        <v>9.7000000000000003E-2</v>
      </c>
      <c r="P27" s="65"/>
      <c r="Q27" s="14">
        <f t="shared" si="0"/>
        <v>-52.999999999999993</v>
      </c>
      <c r="S27" s="71" t="s">
        <v>35</v>
      </c>
      <c r="U27" s="68" t="s">
        <v>71</v>
      </c>
      <c r="V27" s="68"/>
      <c r="W27" s="68" t="s">
        <v>71</v>
      </c>
      <c r="X27" s="72"/>
      <c r="Y27" s="68" t="s">
        <v>71</v>
      </c>
    </row>
    <row r="28" spans="1:25" s="64" customFormat="1" x14ac:dyDescent="0.25">
      <c r="A28" s="73" t="s">
        <v>92</v>
      </c>
      <c r="C28" s="73" t="s">
        <v>96</v>
      </c>
      <c r="D28" s="73"/>
      <c r="E28" s="73" t="s">
        <v>94</v>
      </c>
      <c r="F28" s="73"/>
      <c r="G28" s="74" t="s">
        <v>97</v>
      </c>
      <c r="I28" s="63">
        <v>0.1023</v>
      </c>
      <c r="J28" s="73"/>
      <c r="K28" s="75">
        <v>42908</v>
      </c>
      <c r="L28" s="73"/>
      <c r="M28" s="70" t="s">
        <v>34</v>
      </c>
      <c r="O28" s="12">
        <v>9.7000000000000003E-2</v>
      </c>
      <c r="P28" s="65"/>
      <c r="Q28" s="14">
        <f t="shared" si="0"/>
        <v>-52.999999999999993</v>
      </c>
      <c r="S28" s="71" t="s">
        <v>35</v>
      </c>
      <c r="U28" s="68" t="s">
        <v>71</v>
      </c>
      <c r="V28" s="68"/>
      <c r="W28" s="68" t="s">
        <v>71</v>
      </c>
      <c r="X28" s="72"/>
      <c r="Y28" s="68" t="s">
        <v>71</v>
      </c>
    </row>
    <row r="29" spans="1:25" ht="24" x14ac:dyDescent="0.25">
      <c r="A29" s="7" t="s">
        <v>98</v>
      </c>
      <c r="C29" s="7" t="s">
        <v>99</v>
      </c>
      <c r="D29" s="7"/>
      <c r="E29" s="7" t="s">
        <v>48</v>
      </c>
      <c r="F29" s="7"/>
      <c r="G29" s="8" t="s">
        <v>100</v>
      </c>
      <c r="I29" s="9">
        <v>0.106</v>
      </c>
      <c r="J29" s="7"/>
      <c r="K29" s="10">
        <v>42940</v>
      </c>
      <c r="L29" s="7"/>
      <c r="M29" s="11" t="s">
        <v>40</v>
      </c>
      <c r="O29" s="12">
        <v>9.5000000000000001E-2</v>
      </c>
      <c r="P29" s="13"/>
      <c r="Q29" s="14">
        <f t="shared" si="0"/>
        <v>-109.99999999999996</v>
      </c>
      <c r="S29" s="15" t="s">
        <v>45</v>
      </c>
      <c r="U29" s="9">
        <v>7.46E-2</v>
      </c>
      <c r="V29" s="9"/>
      <c r="W29" s="9">
        <v>0.4914</v>
      </c>
      <c r="Y29" s="9">
        <f t="shared" ref="Y29:Y36" si="2">W29*O29</f>
        <v>4.6683000000000002E-2</v>
      </c>
    </row>
    <row r="30" spans="1:25" x14ac:dyDescent="0.25">
      <c r="A30" s="7" t="s">
        <v>52</v>
      </c>
      <c r="C30" s="7" t="s">
        <v>101</v>
      </c>
      <c r="D30" s="7"/>
      <c r="E30" s="7" t="s">
        <v>102</v>
      </c>
      <c r="F30" s="7"/>
      <c r="G30" s="8" t="s">
        <v>103</v>
      </c>
      <c r="I30" s="9">
        <v>0.105</v>
      </c>
      <c r="J30" s="7"/>
      <c r="K30" s="10">
        <v>42962</v>
      </c>
      <c r="L30" s="7"/>
      <c r="M30" s="11" t="s">
        <v>34</v>
      </c>
      <c r="O30" s="12">
        <v>0.1</v>
      </c>
      <c r="P30" s="13"/>
      <c r="Q30" s="14">
        <f t="shared" si="0"/>
        <v>-49.999999999999908</v>
      </c>
      <c r="S30" s="15" t="s">
        <v>35</v>
      </c>
      <c r="U30" s="9">
        <v>7.85E-2</v>
      </c>
      <c r="V30" s="9"/>
      <c r="W30" s="9">
        <v>0.55800000000000005</v>
      </c>
      <c r="Y30" s="9">
        <f t="shared" si="2"/>
        <v>5.5800000000000009E-2</v>
      </c>
    </row>
    <row r="31" spans="1:25" x14ac:dyDescent="0.25">
      <c r="A31" s="7" t="s">
        <v>49</v>
      </c>
      <c r="C31" s="7" t="s">
        <v>104</v>
      </c>
      <c r="D31" s="7"/>
      <c r="E31" s="7" t="s">
        <v>48</v>
      </c>
      <c r="F31" s="7"/>
      <c r="G31" s="8" t="s">
        <v>105</v>
      </c>
      <c r="I31" s="9">
        <v>0.10100000000000001</v>
      </c>
      <c r="J31" s="7"/>
      <c r="K31" s="10">
        <v>43000</v>
      </c>
      <c r="L31" s="7"/>
      <c r="M31" s="11" t="s">
        <v>40</v>
      </c>
      <c r="O31" s="12">
        <v>9.6000000000000002E-2</v>
      </c>
      <c r="P31" s="13"/>
      <c r="Q31" s="14">
        <f t="shared" si="0"/>
        <v>-50.000000000000043</v>
      </c>
      <c r="S31" s="15" t="s">
        <v>35</v>
      </c>
      <c r="U31" s="9">
        <v>7.5999999999999998E-2</v>
      </c>
      <c r="V31" s="9"/>
      <c r="W31" s="9">
        <v>0.50470000000000004</v>
      </c>
      <c r="Y31" s="9">
        <f t="shared" si="2"/>
        <v>4.8451200000000007E-2</v>
      </c>
    </row>
    <row r="32" spans="1:25" x14ac:dyDescent="0.25">
      <c r="A32" s="7" t="s">
        <v>106</v>
      </c>
      <c r="C32" s="7" t="s">
        <v>107</v>
      </c>
      <c r="D32" s="7"/>
      <c r="E32" s="7" t="s">
        <v>108</v>
      </c>
      <c r="F32" s="7"/>
      <c r="G32" s="8">
        <v>46957</v>
      </c>
      <c r="I32" s="9">
        <v>0.10249999999999999</v>
      </c>
      <c r="J32" s="7"/>
      <c r="K32" s="10">
        <v>43006</v>
      </c>
      <c r="L32" s="7"/>
      <c r="M32" s="11" t="s">
        <v>40</v>
      </c>
      <c r="O32" s="12">
        <v>9.8000000000000004E-2</v>
      </c>
      <c r="P32" s="13"/>
      <c r="Q32" s="14">
        <f t="shared" si="0"/>
        <v>-44.999999999999901</v>
      </c>
      <c r="S32" s="15" t="s">
        <v>35</v>
      </c>
      <c r="U32" s="9">
        <v>7.4399999999999994E-2</v>
      </c>
      <c r="V32" s="9"/>
      <c r="W32" s="9">
        <v>0.42499999999999999</v>
      </c>
      <c r="Y32" s="9">
        <f t="shared" si="2"/>
        <v>4.165E-2</v>
      </c>
    </row>
    <row r="33" spans="1:25" x14ac:dyDescent="0.25">
      <c r="A33" s="7" t="s">
        <v>46</v>
      </c>
      <c r="C33" s="7" t="s">
        <v>99</v>
      </c>
      <c r="D33" s="7"/>
      <c r="E33" s="7" t="s">
        <v>48</v>
      </c>
      <c r="F33" s="7"/>
      <c r="G33" s="8">
        <v>9443</v>
      </c>
      <c r="I33" s="9">
        <v>0.10100000000000001</v>
      </c>
      <c r="J33" s="7"/>
      <c r="K33" s="10">
        <v>43028</v>
      </c>
      <c r="L33" s="7"/>
      <c r="M33" s="11" t="s">
        <v>40</v>
      </c>
      <c r="O33" s="12">
        <v>9.5000000000000001E-2</v>
      </c>
      <c r="P33" s="13"/>
      <c r="Q33" s="14">
        <f t="shared" si="0"/>
        <v>-60.000000000000057</v>
      </c>
      <c r="S33" s="15" t="s">
        <v>45</v>
      </c>
      <c r="U33" s="9">
        <v>7.4300000000000005E-2</v>
      </c>
      <c r="V33" s="9"/>
      <c r="W33" s="9">
        <v>0.50149999999999995</v>
      </c>
      <c r="Y33" s="9">
        <f t="shared" si="2"/>
        <v>4.7642499999999997E-2</v>
      </c>
    </row>
    <row r="34" spans="1:25" x14ac:dyDescent="0.25">
      <c r="A34" s="7" t="s">
        <v>109</v>
      </c>
      <c r="C34" s="7" t="s">
        <v>110</v>
      </c>
      <c r="D34" s="7"/>
      <c r="E34" s="7" t="s">
        <v>111</v>
      </c>
      <c r="F34" s="7"/>
      <c r="G34" s="8" t="s">
        <v>112</v>
      </c>
      <c r="I34" s="9">
        <v>0.10249999999999999</v>
      </c>
      <c r="J34" s="7"/>
      <c r="K34" s="10">
        <v>43034</v>
      </c>
      <c r="L34" s="7"/>
      <c r="M34" s="11" t="s">
        <v>34</v>
      </c>
      <c r="O34" s="12">
        <v>0.10249999999999999</v>
      </c>
      <c r="P34" s="13"/>
      <c r="Q34" s="14">
        <f t="shared" si="0"/>
        <v>0</v>
      </c>
      <c r="S34" s="15" t="s">
        <v>35</v>
      </c>
      <c r="U34" s="9">
        <v>7.6899999999999996E-2</v>
      </c>
      <c r="V34" s="9"/>
      <c r="W34" s="9">
        <v>0.52</v>
      </c>
      <c r="Y34" s="9">
        <f t="shared" si="2"/>
        <v>5.33E-2</v>
      </c>
    </row>
    <row r="35" spans="1:25" x14ac:dyDescent="0.25">
      <c r="A35" s="7" t="s">
        <v>109</v>
      </c>
      <c r="C35" s="7" t="s">
        <v>113</v>
      </c>
      <c r="D35" s="7"/>
      <c r="E35" s="7" t="s">
        <v>108</v>
      </c>
      <c r="F35" s="7"/>
      <c r="G35" s="8" t="s">
        <v>114</v>
      </c>
      <c r="I35" s="9">
        <v>0.10199999999999999</v>
      </c>
      <c r="J35" s="7"/>
      <c r="K35" s="10">
        <v>43034</v>
      </c>
      <c r="L35" s="7"/>
      <c r="M35" s="11" t="s">
        <v>34</v>
      </c>
      <c r="O35" s="12">
        <v>0.10199999999999999</v>
      </c>
      <c r="P35" s="13"/>
      <c r="Q35" s="14">
        <f t="shared" si="0"/>
        <v>0</v>
      </c>
      <c r="S35" s="15" t="s">
        <v>35</v>
      </c>
      <c r="U35" s="9">
        <v>7.5499999999999998E-2</v>
      </c>
      <c r="V35" s="9"/>
      <c r="W35" s="9">
        <v>0.52</v>
      </c>
      <c r="Y35" s="9">
        <f t="shared" si="2"/>
        <v>5.3039999999999997E-2</v>
      </c>
    </row>
    <row r="36" spans="1:25" x14ac:dyDescent="0.25">
      <c r="A36" s="7" t="s">
        <v>109</v>
      </c>
      <c r="C36" s="7" t="s">
        <v>115</v>
      </c>
      <c r="D36" s="7"/>
      <c r="E36" s="7" t="s">
        <v>116</v>
      </c>
      <c r="F36" s="7"/>
      <c r="G36" s="8" t="s">
        <v>117</v>
      </c>
      <c r="I36" s="9">
        <v>0.10299999999999999</v>
      </c>
      <c r="J36" s="7"/>
      <c r="K36" s="10">
        <v>43034</v>
      </c>
      <c r="L36" s="7"/>
      <c r="M36" s="11" t="s">
        <v>34</v>
      </c>
      <c r="O36" s="12">
        <v>0.10299999999999999</v>
      </c>
      <c r="P36" s="13"/>
      <c r="Q36" s="14">
        <f t="shared" si="0"/>
        <v>0</v>
      </c>
      <c r="S36" s="15" t="s">
        <v>35</v>
      </c>
      <c r="U36" s="9">
        <v>7.6100000000000001E-2</v>
      </c>
      <c r="V36" s="9"/>
      <c r="W36" s="9">
        <v>0.48</v>
      </c>
      <c r="Y36" s="9">
        <f t="shared" si="2"/>
        <v>4.9439999999999998E-2</v>
      </c>
    </row>
    <row r="37" spans="1:25" x14ac:dyDescent="0.25">
      <c r="A37" s="7" t="s">
        <v>67</v>
      </c>
      <c r="C37" s="7" t="s">
        <v>118</v>
      </c>
      <c r="D37" s="7"/>
      <c r="E37" s="7" t="s">
        <v>119</v>
      </c>
      <c r="F37" s="7"/>
      <c r="G37" s="8" t="s">
        <v>120</v>
      </c>
      <c r="I37" s="17" t="s">
        <v>71</v>
      </c>
      <c r="J37" s="7" t="s">
        <v>121</v>
      </c>
      <c r="K37" s="10">
        <v>43045</v>
      </c>
      <c r="L37" s="7"/>
      <c r="M37" s="11" t="s">
        <v>34</v>
      </c>
      <c r="O37" s="12">
        <v>0.10249999999999999</v>
      </c>
      <c r="P37" s="13"/>
      <c r="Q37" s="17" t="s">
        <v>71</v>
      </c>
      <c r="S37" s="15" t="s">
        <v>35</v>
      </c>
      <c r="U37" s="17" t="s">
        <v>71</v>
      </c>
      <c r="V37" s="17"/>
      <c r="W37" s="17" t="s">
        <v>71</v>
      </c>
      <c r="X37" s="18"/>
      <c r="Y37" s="17" t="s">
        <v>71</v>
      </c>
    </row>
    <row r="38" spans="1:25" x14ac:dyDescent="0.25">
      <c r="A38" s="7" t="s">
        <v>122</v>
      </c>
      <c r="C38" s="7" t="s">
        <v>123</v>
      </c>
      <c r="D38" s="7"/>
      <c r="E38" s="7" t="s">
        <v>124</v>
      </c>
      <c r="F38" s="7"/>
      <c r="G38" s="8" t="s">
        <v>125</v>
      </c>
      <c r="I38" s="9">
        <v>0.13800000000000001</v>
      </c>
      <c r="J38" s="7"/>
      <c r="K38" s="10">
        <v>43054</v>
      </c>
      <c r="L38" s="7"/>
      <c r="M38" s="11" t="s">
        <v>34</v>
      </c>
      <c r="O38" s="12">
        <v>0.1195</v>
      </c>
      <c r="P38" s="13"/>
      <c r="Q38" s="14">
        <f t="shared" ref="Q38:Q101" si="3">(O38-I38)*10000</f>
        <v>-185.00000000000017</v>
      </c>
      <c r="S38" s="15" t="s">
        <v>35</v>
      </c>
      <c r="U38" s="9">
        <v>8.9099999999999999E-2</v>
      </c>
      <c r="V38" s="9"/>
      <c r="W38" s="9">
        <v>0.58179999999999998</v>
      </c>
      <c r="Y38" s="9">
        <f t="shared" ref="Y38:Y69" si="4">W38*O38</f>
        <v>6.9525099999999992E-2</v>
      </c>
    </row>
    <row r="39" spans="1:25" x14ac:dyDescent="0.25">
      <c r="A39" s="7" t="s">
        <v>126</v>
      </c>
      <c r="C39" s="7" t="s">
        <v>127</v>
      </c>
      <c r="D39" s="7"/>
      <c r="E39" s="7" t="s">
        <v>128</v>
      </c>
      <c r="F39" s="7"/>
      <c r="G39" s="8" t="s">
        <v>129</v>
      </c>
      <c r="I39" s="9">
        <v>0.105</v>
      </c>
      <c r="J39" s="7"/>
      <c r="K39" s="10">
        <v>43069</v>
      </c>
      <c r="L39" s="7"/>
      <c r="M39" s="11" t="s">
        <v>40</v>
      </c>
      <c r="O39" s="12">
        <v>0.1</v>
      </c>
      <c r="P39" s="13"/>
      <c r="Q39" s="14">
        <f t="shared" si="3"/>
        <v>-49.999999999999908</v>
      </c>
      <c r="S39" s="15" t="s">
        <v>45</v>
      </c>
      <c r="U39" s="9">
        <v>7.3300000000000004E-2</v>
      </c>
      <c r="V39" s="9"/>
      <c r="W39" s="9">
        <v>0.53339999999999999</v>
      </c>
      <c r="Y39" s="9">
        <f t="shared" si="4"/>
        <v>5.3339999999999999E-2</v>
      </c>
    </row>
    <row r="40" spans="1:25" x14ac:dyDescent="0.25">
      <c r="A40" s="7" t="s">
        <v>126</v>
      </c>
      <c r="C40" s="7" t="s">
        <v>130</v>
      </c>
      <c r="D40" s="7"/>
      <c r="E40" s="7" t="s">
        <v>128</v>
      </c>
      <c r="F40" s="7"/>
      <c r="G40" s="8" t="s">
        <v>129</v>
      </c>
      <c r="I40" s="9">
        <v>0.105</v>
      </c>
      <c r="J40" s="7"/>
      <c r="K40" s="10">
        <v>43069</v>
      </c>
      <c r="L40" s="7"/>
      <c r="M40" s="11" t="s">
        <v>40</v>
      </c>
      <c r="O40" s="12">
        <v>0.1</v>
      </c>
      <c r="P40" s="13"/>
      <c r="Q40" s="14">
        <f t="shared" si="3"/>
        <v>-49.999999999999908</v>
      </c>
      <c r="S40" s="15" t="s">
        <v>45</v>
      </c>
      <c r="U40" s="9">
        <v>7.2599999999999998E-2</v>
      </c>
      <c r="V40" s="9"/>
      <c r="W40" s="9">
        <v>0.54510000000000003</v>
      </c>
      <c r="Y40" s="9">
        <f t="shared" si="4"/>
        <v>5.4510000000000003E-2</v>
      </c>
    </row>
    <row r="41" spans="1:25" x14ac:dyDescent="0.25">
      <c r="A41" s="7" t="s">
        <v>131</v>
      </c>
      <c r="C41" s="7" t="s">
        <v>132</v>
      </c>
      <c r="D41" s="7"/>
      <c r="E41" s="7"/>
      <c r="F41" s="7"/>
      <c r="G41" s="8" t="s">
        <v>133</v>
      </c>
      <c r="I41" s="9">
        <v>9.8000000000000004E-2</v>
      </c>
      <c r="J41" s="7"/>
      <c r="K41" s="10">
        <v>43074</v>
      </c>
      <c r="L41" s="7"/>
      <c r="M41" s="11" t="s">
        <v>34</v>
      </c>
      <c r="O41" s="12">
        <v>9.5000000000000001E-2</v>
      </c>
      <c r="P41" s="13"/>
      <c r="Q41" s="14">
        <f t="shared" si="3"/>
        <v>-30.000000000000028</v>
      </c>
      <c r="S41" s="15" t="s">
        <v>35</v>
      </c>
      <c r="U41" s="9">
        <v>7.5999999999999998E-2</v>
      </c>
      <c r="V41" s="9"/>
      <c r="W41" s="9">
        <v>0.48499999999999999</v>
      </c>
      <c r="Y41" s="9">
        <f t="shared" si="4"/>
        <v>4.6074999999999998E-2</v>
      </c>
    </row>
    <row r="42" spans="1:25" x14ac:dyDescent="0.25">
      <c r="A42" s="7" t="s">
        <v>134</v>
      </c>
      <c r="C42" s="7" t="s">
        <v>135</v>
      </c>
      <c r="D42" s="7"/>
      <c r="E42" s="7" t="s">
        <v>136</v>
      </c>
      <c r="F42" s="7"/>
      <c r="G42" s="8" t="s">
        <v>137</v>
      </c>
      <c r="I42" s="9">
        <v>8.4000000000000005E-2</v>
      </c>
      <c r="J42" s="7"/>
      <c r="K42" s="10">
        <v>43075</v>
      </c>
      <c r="L42" s="7"/>
      <c r="M42" s="11" t="s">
        <v>40</v>
      </c>
      <c r="O42" s="12">
        <v>8.4000000000000005E-2</v>
      </c>
      <c r="P42" s="13"/>
      <c r="Q42" s="14">
        <f t="shared" si="3"/>
        <v>0</v>
      </c>
      <c r="S42" s="15" t="s">
        <v>45</v>
      </c>
      <c r="U42" s="9">
        <v>7.0400000000000004E-2</v>
      </c>
      <c r="V42" s="9"/>
      <c r="W42" s="9">
        <v>0.5</v>
      </c>
      <c r="Y42" s="9">
        <f t="shared" si="4"/>
        <v>4.2000000000000003E-2</v>
      </c>
    </row>
    <row r="43" spans="1:25" x14ac:dyDescent="0.25">
      <c r="A43" s="7" t="s">
        <v>134</v>
      </c>
      <c r="C43" s="7" t="s">
        <v>138</v>
      </c>
      <c r="D43" s="7"/>
      <c r="E43" s="7" t="s">
        <v>48</v>
      </c>
      <c r="F43" s="7"/>
      <c r="G43" s="8" t="s">
        <v>139</v>
      </c>
      <c r="I43" s="9">
        <v>8.4000000000000005E-2</v>
      </c>
      <c r="J43" s="7"/>
      <c r="K43" s="10">
        <v>43075</v>
      </c>
      <c r="L43" s="7"/>
      <c r="M43" s="11" t="s">
        <v>40</v>
      </c>
      <c r="O43" s="12">
        <v>8.4000000000000005E-2</v>
      </c>
      <c r="P43" s="13"/>
      <c r="Q43" s="14">
        <f t="shared" si="3"/>
        <v>0</v>
      </c>
      <c r="S43" s="15" t="s">
        <v>45</v>
      </c>
      <c r="U43" s="9">
        <v>6.4699999999999994E-2</v>
      </c>
      <c r="V43" s="9"/>
      <c r="W43" s="9">
        <v>0.45889999999999997</v>
      </c>
      <c r="Y43" s="9">
        <f t="shared" si="4"/>
        <v>3.8547600000000001E-2</v>
      </c>
    </row>
    <row r="44" spans="1:25" x14ac:dyDescent="0.25">
      <c r="A44" s="7" t="s">
        <v>140</v>
      </c>
      <c r="C44" s="7" t="s">
        <v>141</v>
      </c>
      <c r="D44" s="7"/>
      <c r="E44" s="7" t="s">
        <v>84</v>
      </c>
      <c r="F44" s="7"/>
      <c r="G44" s="8" t="s">
        <v>142</v>
      </c>
      <c r="I44" s="9">
        <v>0.1</v>
      </c>
      <c r="J44" s="7"/>
      <c r="K44" s="10">
        <v>43076</v>
      </c>
      <c r="L44" s="7"/>
      <c r="M44" s="11" t="s">
        <v>34</v>
      </c>
      <c r="O44" s="12">
        <v>9.8000000000000004E-2</v>
      </c>
      <c r="P44" s="13"/>
      <c r="Q44" s="14">
        <f t="shared" si="3"/>
        <v>-20.000000000000018</v>
      </c>
      <c r="S44" s="15" t="s">
        <v>45</v>
      </c>
      <c r="U44" s="9">
        <v>7.5600000000000001E-2</v>
      </c>
      <c r="V44" s="9"/>
      <c r="W44" s="9">
        <v>0.51449999999999996</v>
      </c>
      <c r="Y44" s="9">
        <f t="shared" si="4"/>
        <v>5.0421000000000001E-2</v>
      </c>
    </row>
    <row r="45" spans="1:25" x14ac:dyDescent="0.25">
      <c r="A45" s="7" t="s">
        <v>106</v>
      </c>
      <c r="C45" s="7" t="s">
        <v>143</v>
      </c>
      <c r="D45" s="7"/>
      <c r="E45" s="7" t="s">
        <v>144</v>
      </c>
      <c r="F45" s="7"/>
      <c r="G45" s="8">
        <v>46831</v>
      </c>
      <c r="I45" s="9">
        <v>0.105</v>
      </c>
      <c r="J45" s="7"/>
      <c r="K45" s="10">
        <v>43083</v>
      </c>
      <c r="L45" s="7"/>
      <c r="M45" s="11" t="s">
        <v>34</v>
      </c>
      <c r="O45" s="12">
        <v>9.6500000000000002E-2</v>
      </c>
      <c r="P45" s="13"/>
      <c r="Q45" s="14">
        <f t="shared" si="3"/>
        <v>-84.999999999999943</v>
      </c>
      <c r="S45" s="15" t="s">
        <v>35</v>
      </c>
      <c r="U45" s="9">
        <v>7.7299999999999994E-2</v>
      </c>
      <c r="V45" s="9"/>
      <c r="W45" s="9">
        <v>0.48349999999999999</v>
      </c>
      <c r="Y45" s="9">
        <f t="shared" si="4"/>
        <v>4.6657749999999998E-2</v>
      </c>
    </row>
    <row r="46" spans="1:25" x14ac:dyDescent="0.25">
      <c r="A46" s="7" t="s">
        <v>106</v>
      </c>
      <c r="C46" s="7" t="s">
        <v>145</v>
      </c>
      <c r="D46" s="7"/>
      <c r="E46" s="7" t="s">
        <v>146</v>
      </c>
      <c r="F46" s="7"/>
      <c r="G46" s="8">
        <v>46449</v>
      </c>
      <c r="I46" s="9">
        <v>0.1</v>
      </c>
      <c r="J46" s="7"/>
      <c r="K46" s="10">
        <v>43083</v>
      </c>
      <c r="L46" s="7"/>
      <c r="M46" s="11" t="s">
        <v>34</v>
      </c>
      <c r="O46" s="12">
        <v>9.6000000000000002E-2</v>
      </c>
      <c r="P46" s="13"/>
      <c r="Q46" s="14">
        <f t="shared" si="3"/>
        <v>-40.000000000000036</v>
      </c>
      <c r="S46" s="15" t="s">
        <v>45</v>
      </c>
      <c r="U46" s="9">
        <v>7.1800000000000003E-2</v>
      </c>
      <c r="V46" s="9"/>
      <c r="W46" s="9">
        <v>0.48459999999999998</v>
      </c>
      <c r="Y46" s="9">
        <f t="shared" si="4"/>
        <v>4.6521599999999996E-2</v>
      </c>
    </row>
    <row r="47" spans="1:25" x14ac:dyDescent="0.25">
      <c r="A47" s="7" t="s">
        <v>147</v>
      </c>
      <c r="C47" s="7" t="s">
        <v>148</v>
      </c>
      <c r="D47" s="7"/>
      <c r="E47" s="7" t="s">
        <v>149</v>
      </c>
      <c r="F47" s="7"/>
      <c r="G47" s="8" t="s">
        <v>150</v>
      </c>
      <c r="I47" s="9">
        <v>9.7500000000000003E-2</v>
      </c>
      <c r="J47" s="7"/>
      <c r="K47" s="10">
        <v>43087</v>
      </c>
      <c r="L47" s="7"/>
      <c r="M47" s="11" t="s">
        <v>34</v>
      </c>
      <c r="O47" s="12">
        <v>9.5000000000000001E-2</v>
      </c>
      <c r="P47" s="13"/>
      <c r="Q47" s="14">
        <f t="shared" si="3"/>
        <v>-25.000000000000021</v>
      </c>
      <c r="S47" s="15" t="s">
        <v>35</v>
      </c>
      <c r="U47" s="9">
        <v>7.3499999999999996E-2</v>
      </c>
      <c r="V47" s="9"/>
      <c r="W47" s="9">
        <v>0.5</v>
      </c>
      <c r="Y47" s="9">
        <f t="shared" si="4"/>
        <v>4.7500000000000001E-2</v>
      </c>
    </row>
    <row r="48" spans="1:25" x14ac:dyDescent="0.25">
      <c r="A48" s="7" t="s">
        <v>151</v>
      </c>
      <c r="C48" s="7" t="s">
        <v>152</v>
      </c>
      <c r="D48" s="7"/>
      <c r="E48" s="7" t="s">
        <v>153</v>
      </c>
      <c r="F48" s="7"/>
      <c r="G48" s="8" t="s">
        <v>154</v>
      </c>
      <c r="I48" s="9">
        <v>0.1013</v>
      </c>
      <c r="J48" s="7"/>
      <c r="K48" s="10">
        <v>43089</v>
      </c>
      <c r="L48" s="7"/>
      <c r="M48" s="11" t="s">
        <v>34</v>
      </c>
      <c r="O48" s="12">
        <v>9.5799999999999996E-2</v>
      </c>
      <c r="P48" s="13"/>
      <c r="Q48" s="14">
        <f t="shared" si="3"/>
        <v>-55.00000000000005</v>
      </c>
      <c r="S48" s="15" t="s">
        <v>35</v>
      </c>
      <c r="U48" s="9">
        <v>7.2300000000000003E-2</v>
      </c>
      <c r="V48" s="9"/>
      <c r="W48" s="9">
        <v>0.49609999999999999</v>
      </c>
      <c r="Y48" s="9">
        <f t="shared" si="4"/>
        <v>4.752638E-2</v>
      </c>
    </row>
    <row r="49" spans="1:25" x14ac:dyDescent="0.25">
      <c r="A49" s="7" t="s">
        <v>155</v>
      </c>
      <c r="C49" s="7" t="s">
        <v>156</v>
      </c>
      <c r="D49" s="7"/>
      <c r="E49" s="7"/>
      <c r="F49" s="7"/>
      <c r="G49" s="8" t="s">
        <v>157</v>
      </c>
      <c r="I49" s="9">
        <v>9.5000000000000001E-2</v>
      </c>
      <c r="J49" s="7"/>
      <c r="K49" s="10">
        <v>43090</v>
      </c>
      <c r="L49" s="7"/>
      <c r="M49" s="11" t="s">
        <v>34</v>
      </c>
      <c r="O49" s="12">
        <v>9.0999999999999998E-2</v>
      </c>
      <c r="P49" s="13"/>
      <c r="Q49" s="16">
        <f t="shared" si="3"/>
        <v>-40.000000000000036</v>
      </c>
      <c r="S49" s="15" t="s">
        <v>35</v>
      </c>
      <c r="U49" s="9">
        <v>6.8699999999999997E-2</v>
      </c>
      <c r="V49" s="9"/>
      <c r="W49" s="9">
        <v>0.48599999999999999</v>
      </c>
      <c r="Y49" s="9">
        <f t="shared" si="4"/>
        <v>4.4225999999999994E-2</v>
      </c>
    </row>
    <row r="50" spans="1:25" x14ac:dyDescent="0.25">
      <c r="A50" s="7" t="s">
        <v>158</v>
      </c>
      <c r="C50" s="7" t="s">
        <v>159</v>
      </c>
      <c r="D50" s="7"/>
      <c r="E50" s="7" t="s">
        <v>124</v>
      </c>
      <c r="F50" s="7"/>
      <c r="G50" s="8" t="s">
        <v>160</v>
      </c>
      <c r="I50" s="9">
        <v>9.9000000000000005E-2</v>
      </c>
      <c r="J50" s="7"/>
      <c r="K50" s="10">
        <v>43097</v>
      </c>
      <c r="L50" s="7"/>
      <c r="M50" s="11" t="s">
        <v>34</v>
      </c>
      <c r="O50" s="12">
        <v>9.5000000000000001E-2</v>
      </c>
      <c r="P50" s="13"/>
      <c r="Q50" s="14">
        <f t="shared" si="3"/>
        <v>-40.000000000000036</v>
      </c>
      <c r="S50" s="15" t="s">
        <v>35</v>
      </c>
      <c r="U50" s="9">
        <v>7.6100000000000001E-2</v>
      </c>
      <c r="V50" s="9"/>
      <c r="W50" s="9">
        <v>0.5</v>
      </c>
      <c r="Y50" s="9">
        <f t="shared" si="4"/>
        <v>4.7500000000000001E-2</v>
      </c>
    </row>
    <row r="51" spans="1:25" x14ac:dyDescent="0.25">
      <c r="A51" s="19" t="s">
        <v>161</v>
      </c>
      <c r="B51" s="20"/>
      <c r="C51" s="19" t="s">
        <v>162</v>
      </c>
      <c r="D51" s="19"/>
      <c r="E51" s="19" t="s">
        <v>163</v>
      </c>
      <c r="F51" s="19"/>
      <c r="G51" s="21" t="s">
        <v>164</v>
      </c>
      <c r="H51" s="20"/>
      <c r="I51" s="22">
        <v>0.10100000000000001</v>
      </c>
      <c r="J51" s="19"/>
      <c r="K51" s="23">
        <v>43098</v>
      </c>
      <c r="L51" s="19"/>
      <c r="M51" s="24" t="s">
        <v>34</v>
      </c>
      <c r="N51" s="20"/>
      <c r="O51" s="25">
        <v>9.5000000000000001E-2</v>
      </c>
      <c r="P51" s="26"/>
      <c r="Q51" s="27">
        <f t="shared" si="3"/>
        <v>-60.000000000000057</v>
      </c>
      <c r="R51" s="20"/>
      <c r="S51" s="28" t="s">
        <v>45</v>
      </c>
      <c r="T51" s="20"/>
      <c r="U51" s="22">
        <v>0.08</v>
      </c>
      <c r="V51" s="22"/>
      <c r="W51" s="22">
        <v>0.49990000000000001</v>
      </c>
      <c r="X51" s="20"/>
      <c r="Y51" s="22">
        <f t="shared" si="4"/>
        <v>4.7490500000000005E-2</v>
      </c>
    </row>
    <row r="52" spans="1:25" s="64" customFormat="1" x14ac:dyDescent="0.25">
      <c r="A52" s="73" t="s">
        <v>92</v>
      </c>
      <c r="C52" s="73" t="s">
        <v>165</v>
      </c>
      <c r="D52" s="73"/>
      <c r="E52" s="73" t="s">
        <v>146</v>
      </c>
      <c r="F52" s="73"/>
      <c r="G52" s="74" t="s">
        <v>166</v>
      </c>
      <c r="I52" s="63">
        <v>0.1031</v>
      </c>
      <c r="J52" s="73"/>
      <c r="K52" s="75">
        <v>43118</v>
      </c>
      <c r="L52" s="73"/>
      <c r="M52" s="70" t="s">
        <v>34</v>
      </c>
      <c r="O52" s="12">
        <v>9.7000000000000003E-2</v>
      </c>
      <c r="P52" s="65"/>
      <c r="Q52" s="16">
        <f t="shared" si="3"/>
        <v>-60.999999999999943</v>
      </c>
      <c r="S52" s="71" t="s">
        <v>35</v>
      </c>
      <c r="U52" s="63">
        <v>6.4399999999999999E-2</v>
      </c>
      <c r="V52" s="63"/>
      <c r="W52" s="63">
        <v>0.4168</v>
      </c>
      <c r="Y52" s="63">
        <f t="shared" si="4"/>
        <v>4.0429600000000003E-2</v>
      </c>
    </row>
    <row r="53" spans="1:25" x14ac:dyDescent="0.25">
      <c r="A53" s="7" t="s">
        <v>63</v>
      </c>
      <c r="C53" s="7" t="s">
        <v>167</v>
      </c>
      <c r="D53" s="7"/>
      <c r="E53" s="7" t="s">
        <v>146</v>
      </c>
      <c r="F53" s="7"/>
      <c r="G53" s="8" t="s">
        <v>168</v>
      </c>
      <c r="I53" s="9">
        <v>0.1</v>
      </c>
      <c r="J53" s="7"/>
      <c r="K53" s="10">
        <v>43131</v>
      </c>
      <c r="L53" s="7"/>
      <c r="M53" s="11" t="s">
        <v>34</v>
      </c>
      <c r="O53" s="12">
        <v>9.2999999999999999E-2</v>
      </c>
      <c r="P53" s="13"/>
      <c r="Q53" s="14">
        <f t="shared" si="3"/>
        <v>-70.000000000000057</v>
      </c>
      <c r="S53" s="15" t="s">
        <v>45</v>
      </c>
      <c r="U53" s="9">
        <v>6.88E-2</v>
      </c>
      <c r="V53" s="9"/>
      <c r="W53" s="9">
        <v>0.48509999999999998</v>
      </c>
      <c r="Y53" s="9">
        <f t="shared" si="4"/>
        <v>4.5114299999999996E-2</v>
      </c>
    </row>
    <row r="54" spans="1:25" x14ac:dyDescent="0.25">
      <c r="A54" s="7" t="s">
        <v>169</v>
      </c>
      <c r="C54" s="7" t="s">
        <v>170</v>
      </c>
      <c r="D54" s="7"/>
      <c r="E54" s="7" t="s">
        <v>171</v>
      </c>
      <c r="F54" s="7"/>
      <c r="G54" s="8" t="s">
        <v>172</v>
      </c>
      <c r="I54" s="9">
        <v>0.1057</v>
      </c>
      <c r="J54" s="7"/>
      <c r="K54" s="10">
        <v>43133</v>
      </c>
      <c r="L54" s="7"/>
      <c r="M54" s="11" t="s">
        <v>34</v>
      </c>
      <c r="O54" s="12">
        <v>9.98E-2</v>
      </c>
      <c r="P54" s="13"/>
      <c r="Q54" s="14">
        <f t="shared" si="3"/>
        <v>-59.000000000000021</v>
      </c>
      <c r="S54" s="15" t="s">
        <v>35</v>
      </c>
      <c r="U54" s="9">
        <v>7.4899999999999994E-2</v>
      </c>
      <c r="V54" s="9"/>
      <c r="W54" s="9">
        <v>0.49020000000000002</v>
      </c>
      <c r="Y54" s="9">
        <f t="shared" si="4"/>
        <v>4.892196E-2</v>
      </c>
    </row>
    <row r="55" spans="1:25" x14ac:dyDescent="0.25">
      <c r="A55" s="7" t="s">
        <v>173</v>
      </c>
      <c r="C55" s="7" t="s">
        <v>174</v>
      </c>
      <c r="D55" s="7"/>
      <c r="E55" s="7" t="s">
        <v>175</v>
      </c>
      <c r="F55" s="7"/>
      <c r="G55" s="8" t="s">
        <v>176</v>
      </c>
      <c r="I55" s="9">
        <v>0.1075</v>
      </c>
      <c r="J55" s="7"/>
      <c r="K55" s="10">
        <v>43154</v>
      </c>
      <c r="L55" s="7"/>
      <c r="M55" s="11" t="s">
        <v>34</v>
      </c>
      <c r="O55" s="12">
        <v>9.9000000000000005E-2</v>
      </c>
      <c r="P55" s="13"/>
      <c r="Q55" s="14">
        <f t="shared" si="3"/>
        <v>-84.999999999999943</v>
      </c>
      <c r="S55" s="15" t="s">
        <v>35</v>
      </c>
      <c r="U55" s="9">
        <v>7.0900000000000005E-2</v>
      </c>
      <c r="V55" s="9"/>
      <c r="W55" s="9">
        <v>0.52</v>
      </c>
      <c r="Y55" s="9">
        <f t="shared" si="4"/>
        <v>5.1480000000000005E-2</v>
      </c>
    </row>
    <row r="56" spans="1:25" x14ac:dyDescent="0.25">
      <c r="A56" s="7" t="s">
        <v>59</v>
      </c>
      <c r="C56" s="7" t="s">
        <v>177</v>
      </c>
      <c r="D56" s="7"/>
      <c r="E56" s="7" t="s">
        <v>178</v>
      </c>
      <c r="F56" s="7"/>
      <c r="G56" s="8" t="s">
        <v>179</v>
      </c>
      <c r="I56" s="9">
        <v>0.10150000000000001</v>
      </c>
      <c r="J56" s="7"/>
      <c r="K56" s="10">
        <v>43171</v>
      </c>
      <c r="L56" s="7"/>
      <c r="M56" s="11" t="s">
        <v>34</v>
      </c>
      <c r="O56" s="12">
        <v>9.2499999999999999E-2</v>
      </c>
      <c r="P56" s="13"/>
      <c r="Q56" s="14">
        <f t="shared" si="3"/>
        <v>-90.000000000000085</v>
      </c>
      <c r="S56" s="15" t="s">
        <v>45</v>
      </c>
      <c r="U56" s="9">
        <v>7.0599999999999996E-2</v>
      </c>
      <c r="V56" s="9"/>
      <c r="W56" s="9">
        <v>0.53810000000000002</v>
      </c>
      <c r="Y56" s="9">
        <f t="shared" si="4"/>
        <v>4.9774249999999999E-2</v>
      </c>
    </row>
    <row r="57" spans="1:25" x14ac:dyDescent="0.25">
      <c r="A57" s="7" t="s">
        <v>36</v>
      </c>
      <c r="C57" s="7" t="s">
        <v>180</v>
      </c>
      <c r="D57" s="7"/>
      <c r="E57" s="7" t="s">
        <v>181</v>
      </c>
      <c r="F57" s="7"/>
      <c r="G57" s="8" t="s">
        <v>182</v>
      </c>
      <c r="I57" s="9">
        <v>9.7900000000000001E-2</v>
      </c>
      <c r="J57" s="7"/>
      <c r="K57" s="10">
        <v>43174</v>
      </c>
      <c r="L57" s="7"/>
      <c r="M57" s="11" t="s">
        <v>40</v>
      </c>
      <c r="O57" s="12">
        <v>0.09</v>
      </c>
      <c r="P57" s="13"/>
      <c r="Q57" s="14">
        <f t="shared" si="3"/>
        <v>-79.000000000000043</v>
      </c>
      <c r="S57" s="15" t="s">
        <v>35</v>
      </c>
      <c r="U57" s="9">
        <v>6.5299999999999997E-2</v>
      </c>
      <c r="V57" s="9"/>
      <c r="W57" s="9">
        <v>0.48</v>
      </c>
      <c r="Y57" s="9">
        <f t="shared" si="4"/>
        <v>4.3199999999999995E-2</v>
      </c>
    </row>
    <row r="58" spans="1:25" x14ac:dyDescent="0.25">
      <c r="A58" s="7" t="s">
        <v>41</v>
      </c>
      <c r="C58" s="7" t="s">
        <v>56</v>
      </c>
      <c r="D58" s="7"/>
      <c r="E58" s="7" t="s">
        <v>57</v>
      </c>
      <c r="F58" s="7"/>
      <c r="G58" s="8" t="s">
        <v>183</v>
      </c>
      <c r="I58" s="9">
        <v>0.105</v>
      </c>
      <c r="J58" s="7"/>
      <c r="K58" s="10">
        <v>43188</v>
      </c>
      <c r="L58" s="7"/>
      <c r="M58" s="11" t="s">
        <v>34</v>
      </c>
      <c r="O58" s="12">
        <v>0.1</v>
      </c>
      <c r="P58" s="13"/>
      <c r="Q58" s="14">
        <f t="shared" si="3"/>
        <v>-49.999999999999908</v>
      </c>
      <c r="S58" s="15" t="s">
        <v>45</v>
      </c>
      <c r="U58" s="9">
        <v>5.8900000000000001E-2</v>
      </c>
      <c r="V58" s="9"/>
      <c r="W58" s="9">
        <v>0.40889999999999999</v>
      </c>
      <c r="Y58" s="9">
        <f t="shared" si="4"/>
        <v>4.0890000000000003E-2</v>
      </c>
    </row>
    <row r="59" spans="1:25" x14ac:dyDescent="0.25">
      <c r="A59" s="7" t="s">
        <v>41</v>
      </c>
      <c r="C59" s="7" t="s">
        <v>184</v>
      </c>
      <c r="D59" s="7"/>
      <c r="E59" s="7" t="s">
        <v>146</v>
      </c>
      <c r="F59" s="7"/>
      <c r="G59" s="8" t="s">
        <v>185</v>
      </c>
      <c r="I59" s="9">
        <v>0.106</v>
      </c>
      <c r="J59" s="7"/>
      <c r="K59" s="10">
        <v>43202</v>
      </c>
      <c r="L59" s="7"/>
      <c r="M59" s="11" t="s">
        <v>34</v>
      </c>
      <c r="O59" s="12">
        <v>9.9000000000000005E-2</v>
      </c>
      <c r="P59" s="13"/>
      <c r="Q59" s="14">
        <f t="shared" si="3"/>
        <v>-69.999999999999929</v>
      </c>
      <c r="S59" s="15" t="s">
        <v>45</v>
      </c>
      <c r="U59" s="9">
        <v>5.7599999999999998E-2</v>
      </c>
      <c r="V59" s="9"/>
      <c r="W59" s="9">
        <v>0.36380000000000001</v>
      </c>
      <c r="Y59" s="9">
        <f t="shared" si="4"/>
        <v>3.6016200000000005E-2</v>
      </c>
    </row>
    <row r="60" spans="1:25" s="64" customFormat="1" x14ac:dyDescent="0.25">
      <c r="A60" s="73" t="s">
        <v>92</v>
      </c>
      <c r="C60" s="73" t="s">
        <v>186</v>
      </c>
      <c r="D60" s="73"/>
      <c r="E60" s="73" t="s">
        <v>175</v>
      </c>
      <c r="F60" s="73"/>
      <c r="G60" s="74" t="s">
        <v>187</v>
      </c>
      <c r="I60" s="63">
        <v>0.10299999999999999</v>
      </c>
      <c r="J60" s="73"/>
      <c r="K60" s="75">
        <v>43203</v>
      </c>
      <c r="L60" s="73"/>
      <c r="M60" s="70" t="s">
        <v>34</v>
      </c>
      <c r="O60" s="12">
        <v>9.7299999999999998E-2</v>
      </c>
      <c r="P60" s="65"/>
      <c r="Q60" s="14">
        <f t="shared" si="3"/>
        <v>-56.999999999999964</v>
      </c>
      <c r="S60" s="71" t="s">
        <v>45</v>
      </c>
      <c r="U60" s="63">
        <v>6.83E-2</v>
      </c>
      <c r="V60" s="63"/>
      <c r="W60" s="63">
        <v>0.49249999999999999</v>
      </c>
      <c r="Y60" s="63">
        <f t="shared" si="4"/>
        <v>4.7920249999999998E-2</v>
      </c>
    </row>
    <row r="61" spans="1:25" x14ac:dyDescent="0.25">
      <c r="A61" s="7" t="s">
        <v>188</v>
      </c>
      <c r="C61" s="7" t="s">
        <v>189</v>
      </c>
      <c r="D61" s="7"/>
      <c r="E61" s="7" t="s">
        <v>128</v>
      </c>
      <c r="F61" s="7"/>
      <c r="G61" s="8" t="s">
        <v>190</v>
      </c>
      <c r="I61" s="9">
        <v>0.105</v>
      </c>
      <c r="J61" s="7"/>
      <c r="K61" s="10">
        <v>43208</v>
      </c>
      <c r="L61" s="7"/>
      <c r="M61" s="11" t="s">
        <v>40</v>
      </c>
      <c r="O61" s="12">
        <v>9.2499999999999999E-2</v>
      </c>
      <c r="P61" s="13"/>
      <c r="Q61" s="14">
        <f t="shared" si="3"/>
        <v>-124.99999999999997</v>
      </c>
      <c r="S61" s="15" t="s">
        <v>35</v>
      </c>
      <c r="U61" s="9">
        <v>7.0900000000000005E-2</v>
      </c>
      <c r="V61" s="9"/>
      <c r="W61" s="9">
        <v>0.53</v>
      </c>
      <c r="Y61" s="9">
        <f t="shared" si="4"/>
        <v>4.9024999999999999E-2</v>
      </c>
    </row>
    <row r="62" spans="1:25" x14ac:dyDescent="0.25">
      <c r="A62" s="7" t="s">
        <v>41</v>
      </c>
      <c r="C62" s="7" t="s">
        <v>42</v>
      </c>
      <c r="D62" s="7"/>
      <c r="E62" s="7" t="s">
        <v>43</v>
      </c>
      <c r="F62" s="7"/>
      <c r="G62" s="8" t="s">
        <v>191</v>
      </c>
      <c r="I62" s="9">
        <v>0.105</v>
      </c>
      <c r="J62" s="7"/>
      <c r="K62" s="10">
        <v>43208</v>
      </c>
      <c r="L62" s="7"/>
      <c r="M62" s="11" t="s">
        <v>34</v>
      </c>
      <c r="O62" s="12">
        <v>0.1</v>
      </c>
      <c r="P62" s="13"/>
      <c r="Q62" s="14">
        <f t="shared" si="3"/>
        <v>-49.999999999999908</v>
      </c>
      <c r="S62" s="15" t="s">
        <v>45</v>
      </c>
      <c r="U62" s="9">
        <v>5.3400000000000003E-2</v>
      </c>
      <c r="V62" s="9"/>
      <c r="W62" s="9">
        <v>0.36840000000000001</v>
      </c>
      <c r="Y62" s="9">
        <f t="shared" si="4"/>
        <v>3.6840000000000005E-2</v>
      </c>
    </row>
    <row r="63" spans="1:25" x14ac:dyDescent="0.25">
      <c r="A63" s="7" t="s">
        <v>131</v>
      </c>
      <c r="C63" s="7" t="s">
        <v>159</v>
      </c>
      <c r="D63" s="7"/>
      <c r="E63" s="7" t="s">
        <v>124</v>
      </c>
      <c r="F63" s="7"/>
      <c r="G63" s="8" t="s">
        <v>192</v>
      </c>
      <c r="I63" s="9">
        <v>9.9000000000000005E-2</v>
      </c>
      <c r="J63" s="7"/>
      <c r="K63" s="10">
        <v>43216</v>
      </c>
      <c r="L63" s="7"/>
      <c r="M63" s="11" t="s">
        <v>34</v>
      </c>
      <c r="O63" s="12">
        <v>9.5000000000000001E-2</v>
      </c>
      <c r="P63" s="13"/>
      <c r="Q63" s="14">
        <f t="shared" si="3"/>
        <v>-40.000000000000036</v>
      </c>
      <c r="S63" s="15" t="s">
        <v>45</v>
      </c>
      <c r="U63" s="9">
        <v>7.4999999999999997E-2</v>
      </c>
      <c r="V63" s="9"/>
      <c r="W63" s="9">
        <v>0.48499999999999999</v>
      </c>
      <c r="Y63" s="9">
        <f t="shared" si="4"/>
        <v>4.6074999999999998E-2</v>
      </c>
    </row>
    <row r="64" spans="1:25" x14ac:dyDescent="0.25">
      <c r="A64" s="7" t="s">
        <v>193</v>
      </c>
      <c r="C64" s="7" t="s">
        <v>184</v>
      </c>
      <c r="D64" s="7"/>
      <c r="E64" s="7" t="s">
        <v>146</v>
      </c>
      <c r="F64" s="7"/>
      <c r="G64" s="8">
        <v>44967</v>
      </c>
      <c r="I64" s="9">
        <v>0.106</v>
      </c>
      <c r="J64" s="7"/>
      <c r="K64" s="10">
        <v>43250</v>
      </c>
      <c r="L64" s="7"/>
      <c r="M64" s="11" t="s">
        <v>34</v>
      </c>
      <c r="O64" s="12">
        <v>9.9500000000000005E-2</v>
      </c>
      <c r="P64" s="13"/>
      <c r="Q64" s="14">
        <f t="shared" si="3"/>
        <v>-64.999999999999915</v>
      </c>
      <c r="S64" s="15" t="s">
        <v>35</v>
      </c>
      <c r="U64" s="9">
        <v>5.5100000000000003E-2</v>
      </c>
      <c r="V64" s="9"/>
      <c r="W64" s="9">
        <v>0.35730000000000001</v>
      </c>
      <c r="Y64" s="9">
        <f t="shared" si="4"/>
        <v>3.5551350000000002E-2</v>
      </c>
    </row>
    <row r="65" spans="1:25" x14ac:dyDescent="0.25">
      <c r="A65" s="7" t="s">
        <v>46</v>
      </c>
      <c r="C65" s="7" t="s">
        <v>99</v>
      </c>
      <c r="D65" s="7"/>
      <c r="E65" s="7" t="s">
        <v>48</v>
      </c>
      <c r="F65" s="7"/>
      <c r="G65" s="8">
        <v>9472</v>
      </c>
      <c r="I65" s="9">
        <v>0.10100000000000001</v>
      </c>
      <c r="J65" s="7"/>
      <c r="K65" s="10">
        <v>43251</v>
      </c>
      <c r="L65" s="7"/>
      <c r="M65" s="11" t="s">
        <v>40</v>
      </c>
      <c r="O65" s="12">
        <v>9.5000000000000001E-2</v>
      </c>
      <c r="P65" s="13"/>
      <c r="Q65" s="14">
        <f t="shared" si="3"/>
        <v>-60.000000000000057</v>
      </c>
      <c r="S65" s="15" t="s">
        <v>35</v>
      </c>
      <c r="U65" s="9">
        <v>7.0300000000000001E-2</v>
      </c>
      <c r="V65" s="9"/>
      <c r="W65" s="9">
        <v>0.50439999999999996</v>
      </c>
      <c r="Y65" s="9">
        <f t="shared" si="4"/>
        <v>4.7917999999999995E-2</v>
      </c>
    </row>
    <row r="66" spans="1:25" x14ac:dyDescent="0.25">
      <c r="A66" s="7" t="s">
        <v>36</v>
      </c>
      <c r="C66" s="7" t="s">
        <v>194</v>
      </c>
      <c r="D66" s="7"/>
      <c r="E66" s="7" t="s">
        <v>54</v>
      </c>
      <c r="F66" s="7"/>
      <c r="G66" s="8" t="s">
        <v>195</v>
      </c>
      <c r="I66" s="9">
        <v>9.5000000000000001E-2</v>
      </c>
      <c r="J66" s="7"/>
      <c r="K66" s="10">
        <v>43265</v>
      </c>
      <c r="L66" s="7"/>
      <c r="M66" s="11" t="s">
        <v>40</v>
      </c>
      <c r="O66" s="12">
        <v>8.7999999999999995E-2</v>
      </c>
      <c r="P66" s="13"/>
      <c r="Q66" s="14">
        <f t="shared" si="3"/>
        <v>-70.000000000000057</v>
      </c>
      <c r="S66" s="15" t="s">
        <v>35</v>
      </c>
      <c r="U66" s="9">
        <v>6.4399999999999999E-2</v>
      </c>
      <c r="V66" s="9"/>
      <c r="W66" s="9">
        <v>0.48</v>
      </c>
      <c r="Y66" s="9">
        <f t="shared" si="4"/>
        <v>4.2239999999999993E-2</v>
      </c>
    </row>
    <row r="67" spans="1:25" x14ac:dyDescent="0.25">
      <c r="A67" s="6" t="s">
        <v>196</v>
      </c>
      <c r="C67" s="6" t="s">
        <v>197</v>
      </c>
      <c r="D67" s="6"/>
      <c r="E67" s="6" t="s">
        <v>198</v>
      </c>
      <c r="F67" s="6"/>
      <c r="G67" s="29" t="s">
        <v>199</v>
      </c>
      <c r="I67" s="17">
        <v>0.106</v>
      </c>
      <c r="K67" s="30">
        <v>43273</v>
      </c>
      <c r="L67" s="6"/>
      <c r="M67" s="11" t="s">
        <v>34</v>
      </c>
      <c r="O67" s="9">
        <v>9.5000000000000001E-2</v>
      </c>
      <c r="Q67" s="14">
        <f t="shared" si="3"/>
        <v>-109.99999999999996</v>
      </c>
      <c r="S67" s="15" t="s">
        <v>35</v>
      </c>
      <c r="U67" s="9">
        <v>7.5700000000000003E-2</v>
      </c>
      <c r="V67" s="9"/>
      <c r="W67" s="9">
        <v>0.57099999999999995</v>
      </c>
      <c r="Y67" s="9">
        <f t="shared" si="4"/>
        <v>5.4244999999999995E-2</v>
      </c>
    </row>
    <row r="68" spans="1:25" x14ac:dyDescent="0.25">
      <c r="A68" s="7" t="s">
        <v>173</v>
      </c>
      <c r="C68" s="7" t="s">
        <v>200</v>
      </c>
      <c r="D68" s="7"/>
      <c r="E68" s="7" t="s">
        <v>175</v>
      </c>
      <c r="F68" s="7"/>
      <c r="G68" s="8" t="s">
        <v>201</v>
      </c>
      <c r="I68" s="9">
        <v>0.1075</v>
      </c>
      <c r="J68" s="7" t="s">
        <v>202</v>
      </c>
      <c r="K68" s="10">
        <v>43273</v>
      </c>
      <c r="L68" s="7"/>
      <c r="M68" s="11" t="s">
        <v>34</v>
      </c>
      <c r="O68" s="12">
        <v>9.9000000000000005E-2</v>
      </c>
      <c r="P68" s="13"/>
      <c r="Q68" s="14">
        <f t="shared" si="3"/>
        <v>-84.999999999999943</v>
      </c>
      <c r="S68" s="15" t="s">
        <v>35</v>
      </c>
      <c r="U68" s="9">
        <v>7.3499999999999996E-2</v>
      </c>
      <c r="V68" s="9"/>
      <c r="W68" s="9">
        <v>0.52</v>
      </c>
      <c r="Y68" s="9">
        <f t="shared" si="4"/>
        <v>5.1480000000000005E-2</v>
      </c>
    </row>
    <row r="69" spans="1:25" x14ac:dyDescent="0.25">
      <c r="A69" s="7" t="s">
        <v>203</v>
      </c>
      <c r="C69" s="7" t="s">
        <v>204</v>
      </c>
      <c r="D69" s="7"/>
      <c r="E69" s="7"/>
      <c r="F69" s="7"/>
      <c r="G69" s="8" t="s">
        <v>205</v>
      </c>
      <c r="I69" s="9">
        <v>9.5000000000000001E-2</v>
      </c>
      <c r="J69" s="7"/>
      <c r="K69" s="10">
        <v>43279</v>
      </c>
      <c r="L69" s="7"/>
      <c r="M69" s="11" t="s">
        <v>40</v>
      </c>
      <c r="O69" s="12">
        <v>9.35E-2</v>
      </c>
      <c r="P69" s="13"/>
      <c r="Q69" s="14">
        <f t="shared" si="3"/>
        <v>-15.000000000000014</v>
      </c>
      <c r="S69" s="15" t="s">
        <v>45</v>
      </c>
      <c r="U69" s="9">
        <v>7.1800000000000003E-2</v>
      </c>
      <c r="V69" s="9"/>
      <c r="W69" s="9">
        <v>0.49</v>
      </c>
      <c r="Y69" s="9">
        <f t="shared" si="4"/>
        <v>4.5815000000000002E-2</v>
      </c>
    </row>
    <row r="70" spans="1:25" x14ac:dyDescent="0.25">
      <c r="A70" s="7" t="s">
        <v>196</v>
      </c>
      <c r="C70" s="7" t="s">
        <v>206</v>
      </c>
      <c r="D70" s="7"/>
      <c r="E70" s="7" t="s">
        <v>198</v>
      </c>
      <c r="F70" s="7"/>
      <c r="G70" s="8" t="s">
        <v>207</v>
      </c>
      <c r="I70" s="9">
        <v>0.106</v>
      </c>
      <c r="J70" s="7"/>
      <c r="K70" s="10">
        <v>43280</v>
      </c>
      <c r="L70" s="7"/>
      <c r="M70" s="11" t="s">
        <v>34</v>
      </c>
      <c r="O70" s="12">
        <v>9.5000000000000001E-2</v>
      </c>
      <c r="P70" s="13"/>
      <c r="Q70" s="14">
        <f t="shared" si="3"/>
        <v>-109.99999999999996</v>
      </c>
      <c r="S70" s="15" t="s">
        <v>35</v>
      </c>
      <c r="U70" s="9">
        <v>7.8E-2</v>
      </c>
      <c r="V70" s="9"/>
      <c r="W70" s="9">
        <v>0.56689999999999996</v>
      </c>
      <c r="Y70" s="9">
        <f t="shared" ref="Y70:Y89" si="5">W70*O70</f>
        <v>5.3855499999999994E-2</v>
      </c>
    </row>
    <row r="71" spans="1:25" ht="24" x14ac:dyDescent="0.25">
      <c r="A71" s="7" t="s">
        <v>98</v>
      </c>
      <c r="C71" s="7" t="s">
        <v>99</v>
      </c>
      <c r="D71" s="7"/>
      <c r="E71" s="7" t="s">
        <v>48</v>
      </c>
      <c r="F71" s="7"/>
      <c r="G71" s="8" t="s">
        <v>208</v>
      </c>
      <c r="I71" s="9">
        <v>0.10100000000000001</v>
      </c>
      <c r="J71" s="7"/>
      <c r="K71" s="10">
        <v>43320</v>
      </c>
      <c r="L71" s="7"/>
      <c r="M71" s="11" t="s">
        <v>40</v>
      </c>
      <c r="O71" s="12">
        <v>9.5299999999999996E-2</v>
      </c>
      <c r="P71" s="13"/>
      <c r="Q71" s="14">
        <f t="shared" si="3"/>
        <v>-57.000000000000107</v>
      </c>
      <c r="S71" s="15" t="s">
        <v>35</v>
      </c>
      <c r="U71" s="9">
        <v>7.4499999999999997E-2</v>
      </c>
      <c r="V71" s="9"/>
      <c r="W71" s="9">
        <v>0.50439999999999996</v>
      </c>
      <c r="Y71" s="9">
        <f t="shared" si="5"/>
        <v>4.8069319999999992E-2</v>
      </c>
    </row>
    <row r="72" spans="1:25" x14ac:dyDescent="0.25">
      <c r="A72" s="7" t="s">
        <v>88</v>
      </c>
      <c r="C72" s="7" t="s">
        <v>47</v>
      </c>
      <c r="D72" s="7"/>
      <c r="E72" s="7" t="s">
        <v>48</v>
      </c>
      <c r="F72" s="7"/>
      <c r="G72" s="8" t="s">
        <v>209</v>
      </c>
      <c r="I72" s="9">
        <v>0.10100000000000001</v>
      </c>
      <c r="J72" s="7"/>
      <c r="K72" s="10">
        <v>43333</v>
      </c>
      <c r="L72" s="7"/>
      <c r="M72" s="11" t="s">
        <v>40</v>
      </c>
      <c r="O72" s="12">
        <v>9.7000000000000003E-2</v>
      </c>
      <c r="P72" s="13"/>
      <c r="Q72" s="14">
        <f t="shared" si="3"/>
        <v>-40.000000000000036</v>
      </c>
      <c r="S72" s="15" t="s">
        <v>35</v>
      </c>
      <c r="U72" s="9">
        <v>6.7799999999999999E-2</v>
      </c>
      <c r="V72" s="9"/>
      <c r="W72" s="9">
        <v>0.50519999999999998</v>
      </c>
      <c r="Y72" s="9">
        <f t="shared" si="5"/>
        <v>4.9004399999999997E-2</v>
      </c>
    </row>
    <row r="73" spans="1:25" x14ac:dyDescent="0.25">
      <c r="A73" s="7" t="s">
        <v>210</v>
      </c>
      <c r="C73" s="7" t="s">
        <v>211</v>
      </c>
      <c r="D73" s="7"/>
      <c r="E73" s="7" t="s">
        <v>181</v>
      </c>
      <c r="F73" s="7"/>
      <c r="G73" s="8" t="s">
        <v>212</v>
      </c>
      <c r="I73" s="9">
        <v>0.10100000000000001</v>
      </c>
      <c r="J73" s="7"/>
      <c r="K73" s="10">
        <v>43336</v>
      </c>
      <c r="L73" s="7"/>
      <c r="M73" s="11" t="s">
        <v>40</v>
      </c>
      <c r="O73" s="12">
        <v>9.2799999999999994E-2</v>
      </c>
      <c r="P73" s="13"/>
      <c r="Q73" s="14">
        <f t="shared" si="3"/>
        <v>-82.000000000000128</v>
      </c>
      <c r="S73" s="15" t="s">
        <v>35</v>
      </c>
      <c r="U73" s="9">
        <v>6.9699999999999998E-2</v>
      </c>
      <c r="V73" s="9"/>
      <c r="W73" s="9">
        <v>0.50949999999999995</v>
      </c>
      <c r="Y73" s="9">
        <f t="shared" si="5"/>
        <v>4.7281599999999993E-2</v>
      </c>
    </row>
    <row r="74" spans="1:25" x14ac:dyDescent="0.25">
      <c r="A74" s="7" t="s">
        <v>151</v>
      </c>
      <c r="C74" s="7" t="s">
        <v>213</v>
      </c>
      <c r="D74" s="7"/>
      <c r="E74" s="7" t="s">
        <v>84</v>
      </c>
      <c r="F74" s="7"/>
      <c r="G74" s="8" t="s">
        <v>214</v>
      </c>
      <c r="I74" s="9">
        <v>0.10249999999999999</v>
      </c>
      <c r="J74" s="7"/>
      <c r="K74" s="10">
        <v>43348</v>
      </c>
      <c r="L74" s="7"/>
      <c r="M74" s="11" t="s">
        <v>34</v>
      </c>
      <c r="O74" s="12">
        <v>9.0999999999999998E-2</v>
      </c>
      <c r="P74" s="13"/>
      <c r="Q74" s="14">
        <f t="shared" si="3"/>
        <v>-114.99999999999996</v>
      </c>
      <c r="S74" s="15" t="s">
        <v>45</v>
      </c>
      <c r="U74" s="9">
        <v>7.2400000000000006E-2</v>
      </c>
      <c r="V74" s="9"/>
      <c r="W74" s="9">
        <v>0.53969999999999996</v>
      </c>
      <c r="Y74" s="9">
        <f t="shared" si="5"/>
        <v>4.9112699999999995E-2</v>
      </c>
    </row>
    <row r="75" spans="1:25" x14ac:dyDescent="0.25">
      <c r="A75" s="7" t="s">
        <v>140</v>
      </c>
      <c r="C75" s="7" t="s">
        <v>215</v>
      </c>
      <c r="D75" s="7"/>
      <c r="E75" s="7" t="s">
        <v>171</v>
      </c>
      <c r="F75" s="7"/>
      <c r="G75" s="8" t="s">
        <v>216</v>
      </c>
      <c r="I75" s="9">
        <v>0.1</v>
      </c>
      <c r="J75" s="7"/>
      <c r="K75" s="10">
        <v>43357</v>
      </c>
      <c r="L75" s="7"/>
      <c r="M75" s="11" t="s">
        <v>34</v>
      </c>
      <c r="O75" s="12">
        <v>0.1</v>
      </c>
      <c r="P75" s="13"/>
      <c r="Q75" s="14">
        <f t="shared" si="3"/>
        <v>0</v>
      </c>
      <c r="S75" s="15" t="s">
        <v>35</v>
      </c>
      <c r="U75" s="9">
        <v>7.0800000000000002E-2</v>
      </c>
      <c r="V75" s="9"/>
      <c r="W75" s="9">
        <v>0.52</v>
      </c>
      <c r="Y75" s="9">
        <f t="shared" si="5"/>
        <v>5.2000000000000005E-2</v>
      </c>
    </row>
    <row r="76" spans="1:25" x14ac:dyDescent="0.25">
      <c r="A76" s="6" t="s">
        <v>140</v>
      </c>
      <c r="C76" s="6" t="s">
        <v>217</v>
      </c>
      <c r="D76" s="6"/>
      <c r="E76" s="6" t="s">
        <v>218</v>
      </c>
      <c r="F76" s="6"/>
      <c r="G76" s="6" t="s">
        <v>219</v>
      </c>
      <c r="I76" s="9">
        <v>9.8000000000000004E-2</v>
      </c>
      <c r="K76" s="30">
        <v>43363</v>
      </c>
      <c r="L76" s="6"/>
      <c r="M76" s="11" t="s">
        <v>34</v>
      </c>
      <c r="O76" s="9">
        <v>9.8000000000000004E-2</v>
      </c>
      <c r="P76" s="13"/>
      <c r="Q76" s="14">
        <f t="shared" si="3"/>
        <v>0</v>
      </c>
      <c r="S76" s="15" t="s">
        <v>35</v>
      </c>
      <c r="U76" s="9">
        <v>7.0999999999999994E-2</v>
      </c>
      <c r="V76" s="9"/>
      <c r="W76" s="9">
        <v>0.56059999999999999</v>
      </c>
      <c r="Y76" s="9">
        <f t="shared" si="5"/>
        <v>5.4938800000000003E-2</v>
      </c>
    </row>
    <row r="77" spans="1:25" x14ac:dyDescent="0.25">
      <c r="A77" s="7" t="s">
        <v>90</v>
      </c>
      <c r="C77" s="7" t="s">
        <v>60</v>
      </c>
      <c r="D77" s="7"/>
      <c r="E77" s="7" t="s">
        <v>61</v>
      </c>
      <c r="F77" s="7"/>
      <c r="G77" s="8" t="s">
        <v>220</v>
      </c>
      <c r="I77" s="9">
        <v>0.10299999999999999</v>
      </c>
      <c r="J77" s="7"/>
      <c r="K77" s="10">
        <v>43369</v>
      </c>
      <c r="L77" s="7"/>
      <c r="M77" s="11" t="s">
        <v>34</v>
      </c>
      <c r="O77" s="12">
        <v>9.7699999999999995E-2</v>
      </c>
      <c r="P77" s="13"/>
      <c r="Q77" s="14">
        <f t="shared" si="3"/>
        <v>-52.999999999999993</v>
      </c>
      <c r="S77" s="15" t="s">
        <v>35</v>
      </c>
      <c r="U77" s="9">
        <v>7.6399999999999996E-2</v>
      </c>
      <c r="V77" s="9"/>
      <c r="W77" s="9">
        <v>0.52500000000000002</v>
      </c>
      <c r="Y77" s="9">
        <f t="shared" si="5"/>
        <v>5.1292499999999998E-2</v>
      </c>
    </row>
    <row r="78" spans="1:25" x14ac:dyDescent="0.25">
      <c r="A78" s="7" t="s">
        <v>221</v>
      </c>
      <c r="C78" s="7" t="s">
        <v>222</v>
      </c>
      <c r="D78" s="7"/>
      <c r="E78" s="7" t="s">
        <v>223</v>
      </c>
      <c r="F78" s="7"/>
      <c r="G78" s="8" t="s">
        <v>224</v>
      </c>
      <c r="I78" s="9">
        <v>0.105</v>
      </c>
      <c r="J78" s="7"/>
      <c r="K78" s="10">
        <v>43369</v>
      </c>
      <c r="L78" s="7"/>
      <c r="M78" s="11" t="s">
        <v>40</v>
      </c>
      <c r="O78" s="31">
        <v>9.9989999999999996E-2</v>
      </c>
      <c r="P78" s="13" t="s">
        <v>225</v>
      </c>
      <c r="Q78" s="14">
        <f t="shared" si="3"/>
        <v>-50.100000000000009</v>
      </c>
      <c r="S78" s="15" t="s">
        <v>35</v>
      </c>
      <c r="U78" s="9">
        <v>7.2700000000000001E-2</v>
      </c>
      <c r="V78" s="9"/>
      <c r="W78" s="9">
        <v>0.47520000000000001</v>
      </c>
      <c r="Y78" s="9">
        <f t="shared" si="5"/>
        <v>4.7515247999999996E-2</v>
      </c>
    </row>
    <row r="79" spans="1:25" x14ac:dyDescent="0.25">
      <c r="A79" s="7" t="s">
        <v>226</v>
      </c>
      <c r="C79" s="7" t="s">
        <v>227</v>
      </c>
      <c r="D79" s="7"/>
      <c r="E79" s="7" t="s">
        <v>81</v>
      </c>
      <c r="F79" s="7"/>
      <c r="G79" s="8" t="s">
        <v>228</v>
      </c>
      <c r="I79" s="9">
        <v>9.8500000000000004E-2</v>
      </c>
      <c r="J79" s="7"/>
      <c r="K79" s="10">
        <v>43370</v>
      </c>
      <c r="L79" s="7"/>
      <c r="M79" s="11" t="s">
        <v>34</v>
      </c>
      <c r="O79" s="12">
        <v>9.2999999999999999E-2</v>
      </c>
      <c r="P79" s="13"/>
      <c r="Q79" s="14">
        <f t="shared" si="3"/>
        <v>-55.00000000000005</v>
      </c>
      <c r="S79" s="15" t="s">
        <v>35</v>
      </c>
      <c r="U79" s="9">
        <v>7.0599999999999996E-2</v>
      </c>
      <c r="V79" s="9"/>
      <c r="W79" s="9">
        <v>0.51239999999999997</v>
      </c>
      <c r="Y79" s="9">
        <f t="shared" si="5"/>
        <v>4.76532E-2</v>
      </c>
    </row>
    <row r="80" spans="1:25" x14ac:dyDescent="0.25">
      <c r="A80" s="7" t="s">
        <v>229</v>
      </c>
      <c r="C80" s="7" t="s">
        <v>230</v>
      </c>
      <c r="D80" s="7"/>
      <c r="E80" s="7" t="s">
        <v>231</v>
      </c>
      <c r="F80" s="7"/>
      <c r="G80" s="8" t="s">
        <v>232</v>
      </c>
      <c r="I80" s="9">
        <v>0.1125</v>
      </c>
      <c r="J80" s="7"/>
      <c r="K80" s="10">
        <v>43377</v>
      </c>
      <c r="L80" s="7"/>
      <c r="M80" s="11" t="s">
        <v>40</v>
      </c>
      <c r="O80" s="12">
        <v>9.8500000000000004E-2</v>
      </c>
      <c r="P80" s="13"/>
      <c r="Q80" s="14">
        <f t="shared" si="3"/>
        <v>-139.99999999999997</v>
      </c>
      <c r="S80" s="15" t="s">
        <v>45</v>
      </c>
      <c r="U80" s="9">
        <v>7.4800000000000005E-2</v>
      </c>
      <c r="V80" s="9"/>
      <c r="W80" s="9">
        <v>0.54020000000000001</v>
      </c>
      <c r="Y80" s="9">
        <f t="shared" si="5"/>
        <v>5.3209700000000006E-2</v>
      </c>
    </row>
    <row r="81" spans="1:25" x14ac:dyDescent="0.25">
      <c r="A81" s="7" t="s">
        <v>49</v>
      </c>
      <c r="C81" s="7" t="s">
        <v>233</v>
      </c>
      <c r="D81" s="7"/>
      <c r="E81" s="7" t="s">
        <v>234</v>
      </c>
      <c r="F81" s="7"/>
      <c r="G81" s="8" t="s">
        <v>235</v>
      </c>
      <c r="I81" s="9">
        <v>0.10299999999999999</v>
      </c>
      <c r="J81" s="7"/>
      <c r="K81" s="10">
        <v>43402</v>
      </c>
      <c r="L81" s="7"/>
      <c r="M81" s="11" t="s">
        <v>40</v>
      </c>
      <c r="O81" s="12">
        <v>9.6000000000000002E-2</v>
      </c>
      <c r="P81" s="13"/>
      <c r="Q81" s="14">
        <f t="shared" si="3"/>
        <v>-69.999999999999929</v>
      </c>
      <c r="S81" s="15" t="s">
        <v>35</v>
      </c>
      <c r="U81" s="9">
        <v>6.9900000000000004E-2</v>
      </c>
      <c r="V81" s="9"/>
      <c r="W81" s="9">
        <v>0.54</v>
      </c>
      <c r="Y81" s="9">
        <f t="shared" si="5"/>
        <v>5.1840000000000004E-2</v>
      </c>
    </row>
    <row r="82" spans="1:25" x14ac:dyDescent="0.25">
      <c r="A82" s="7" t="s">
        <v>193</v>
      </c>
      <c r="C82" s="7" t="s">
        <v>236</v>
      </c>
      <c r="D82" s="7"/>
      <c r="E82" s="7" t="s">
        <v>223</v>
      </c>
      <c r="F82" s="7"/>
      <c r="G82" s="8">
        <v>45029</v>
      </c>
      <c r="I82" s="9">
        <v>0.1032</v>
      </c>
      <c r="J82" s="7"/>
      <c r="K82" s="10">
        <v>43404</v>
      </c>
      <c r="L82" s="7"/>
      <c r="M82" s="11" t="s">
        <v>34</v>
      </c>
      <c r="O82" s="12">
        <v>9.9900000000000003E-2</v>
      </c>
      <c r="P82" s="13"/>
      <c r="Q82" s="14">
        <f t="shared" si="3"/>
        <v>-32.999999999999972</v>
      </c>
      <c r="S82" s="15" t="s">
        <v>35</v>
      </c>
      <c r="U82" s="9">
        <v>6.59E-2</v>
      </c>
      <c r="V82" s="9"/>
      <c r="W82" s="9">
        <v>0.3967</v>
      </c>
      <c r="Y82" s="9">
        <f t="shared" si="5"/>
        <v>3.9630329999999998E-2</v>
      </c>
    </row>
    <row r="83" spans="1:25" x14ac:dyDescent="0.25">
      <c r="A83" s="7" t="s">
        <v>134</v>
      </c>
      <c r="C83" s="7" t="s">
        <v>135</v>
      </c>
      <c r="D83" s="7"/>
      <c r="E83" s="7" t="s">
        <v>136</v>
      </c>
      <c r="F83" s="7"/>
      <c r="G83" s="8" t="s">
        <v>237</v>
      </c>
      <c r="I83" s="9">
        <v>8.6900000000000005E-2</v>
      </c>
      <c r="J83" s="7"/>
      <c r="K83" s="10">
        <v>43405</v>
      </c>
      <c r="L83" s="7"/>
      <c r="M83" s="11" t="s">
        <v>40</v>
      </c>
      <c r="O83" s="12">
        <v>8.6900000000000005E-2</v>
      </c>
      <c r="P83" s="13"/>
      <c r="Q83" s="14">
        <f t="shared" si="3"/>
        <v>0</v>
      </c>
      <c r="S83" s="15" t="s">
        <v>45</v>
      </c>
      <c r="U83" s="9">
        <v>6.9900000000000004E-2</v>
      </c>
      <c r="V83" s="9"/>
      <c r="W83" s="9">
        <v>0.5</v>
      </c>
      <c r="Y83" s="9">
        <f t="shared" si="5"/>
        <v>4.3450000000000003E-2</v>
      </c>
    </row>
    <row r="84" spans="1:25" x14ac:dyDescent="0.25">
      <c r="A84" s="7" t="s">
        <v>134</v>
      </c>
      <c r="C84" s="7" t="s">
        <v>138</v>
      </c>
      <c r="D84" s="7"/>
      <c r="E84" s="7" t="s">
        <v>48</v>
      </c>
      <c r="F84" s="7"/>
      <c r="G84" s="8" t="s">
        <v>238</v>
      </c>
      <c r="I84" s="9">
        <v>8.6900000000000005E-2</v>
      </c>
      <c r="J84" s="7"/>
      <c r="K84" s="10">
        <v>43438</v>
      </c>
      <c r="L84" s="7"/>
      <c r="M84" s="11" t="s">
        <v>40</v>
      </c>
      <c r="O84" s="12">
        <v>8.6900000000000005E-2</v>
      </c>
      <c r="Q84" s="14">
        <f t="shared" si="3"/>
        <v>0</v>
      </c>
      <c r="S84" s="32" t="s">
        <v>45</v>
      </c>
      <c r="U84" s="9">
        <v>6.5199999999999994E-2</v>
      </c>
      <c r="V84" s="9"/>
      <c r="W84" s="9">
        <v>0.47110000000000002</v>
      </c>
      <c r="Y84" s="9">
        <f t="shared" si="5"/>
        <v>4.0938590000000004E-2</v>
      </c>
    </row>
    <row r="85" spans="1:25" x14ac:dyDescent="0.25">
      <c r="A85" s="7" t="s">
        <v>226</v>
      </c>
      <c r="C85" s="7" t="s">
        <v>80</v>
      </c>
      <c r="D85" s="7"/>
      <c r="E85" s="7" t="s">
        <v>81</v>
      </c>
      <c r="F85" s="7"/>
      <c r="G85" s="8" t="s">
        <v>239</v>
      </c>
      <c r="I85" s="9">
        <v>9.8500000000000004E-2</v>
      </c>
      <c r="J85" s="7"/>
      <c r="K85" s="10">
        <v>43447</v>
      </c>
      <c r="L85" s="7"/>
      <c r="M85" s="11" t="s">
        <v>34</v>
      </c>
      <c r="O85" s="12">
        <v>9.2999999999999999E-2</v>
      </c>
      <c r="Q85" s="14">
        <f t="shared" si="3"/>
        <v>-55.00000000000005</v>
      </c>
      <c r="S85" s="32" t="s">
        <v>35</v>
      </c>
      <c r="U85" s="9">
        <v>7.0699999999999999E-2</v>
      </c>
      <c r="V85" s="9"/>
      <c r="W85" s="9">
        <v>0.4909</v>
      </c>
      <c r="Y85" s="9">
        <f t="shared" si="5"/>
        <v>4.5653699999999998E-2</v>
      </c>
    </row>
    <row r="86" spans="1:25" x14ac:dyDescent="0.25">
      <c r="A86" s="6" t="s">
        <v>147</v>
      </c>
      <c r="C86" s="6" t="s">
        <v>148</v>
      </c>
      <c r="D86" s="6"/>
      <c r="E86" s="6" t="s">
        <v>149</v>
      </c>
      <c r="F86" s="6"/>
      <c r="G86" s="6" t="s">
        <v>240</v>
      </c>
      <c r="I86" s="9">
        <v>9.5000000000000001E-2</v>
      </c>
      <c r="K86" s="30">
        <v>43448</v>
      </c>
      <c r="L86" s="6"/>
      <c r="M86" s="11" t="s">
        <v>34</v>
      </c>
      <c r="O86" s="9">
        <v>9.5000000000000001E-2</v>
      </c>
      <c r="Q86" s="14">
        <f t="shared" si="3"/>
        <v>0</v>
      </c>
      <c r="S86" s="32" t="s">
        <v>35</v>
      </c>
      <c r="U86" s="9">
        <v>7.2999999999999995E-2</v>
      </c>
      <c r="V86" s="9"/>
      <c r="W86" s="9">
        <v>0.5</v>
      </c>
      <c r="Y86" s="9">
        <f t="shared" si="5"/>
        <v>4.7500000000000001E-2</v>
      </c>
    </row>
    <row r="87" spans="1:25" x14ac:dyDescent="0.25">
      <c r="A87" s="6" t="s">
        <v>221</v>
      </c>
      <c r="C87" s="6" t="s">
        <v>241</v>
      </c>
      <c r="D87" s="6"/>
      <c r="E87" s="6" t="s">
        <v>175</v>
      </c>
      <c r="F87" s="6"/>
      <c r="G87" s="6" t="s">
        <v>242</v>
      </c>
      <c r="I87" s="9">
        <v>0.104</v>
      </c>
      <c r="K87" s="30">
        <v>43453</v>
      </c>
      <c r="L87" s="6"/>
      <c r="M87" s="11" t="s">
        <v>40</v>
      </c>
      <c r="O87" s="9">
        <v>9.8400000000000001E-2</v>
      </c>
      <c r="Q87" s="14">
        <f t="shared" si="3"/>
        <v>-55.999999999999936</v>
      </c>
      <c r="S87" s="32" t="s">
        <v>35</v>
      </c>
      <c r="U87" s="9">
        <v>7.5399999999999995E-2</v>
      </c>
      <c r="V87" s="9"/>
      <c r="W87" s="9">
        <v>0.50749999999999995</v>
      </c>
      <c r="Y87" s="9">
        <f t="shared" si="5"/>
        <v>4.9937999999999996E-2</v>
      </c>
    </row>
    <row r="88" spans="1:25" x14ac:dyDescent="0.25">
      <c r="A88" s="6" t="s">
        <v>106</v>
      </c>
      <c r="C88" s="6" t="s">
        <v>243</v>
      </c>
      <c r="D88" s="6"/>
      <c r="E88" s="6" t="s">
        <v>153</v>
      </c>
      <c r="F88" s="6"/>
      <c r="G88" s="29">
        <v>48401</v>
      </c>
      <c r="I88" s="9">
        <v>0.105</v>
      </c>
      <c r="K88" s="30">
        <v>43454</v>
      </c>
      <c r="L88" s="6"/>
      <c r="M88" s="11" t="s">
        <v>40</v>
      </c>
      <c r="O88" s="9">
        <v>9.6500000000000002E-2</v>
      </c>
      <c r="Q88" s="14">
        <f t="shared" si="3"/>
        <v>-84.999999999999943</v>
      </c>
      <c r="S88" s="32" t="s">
        <v>35</v>
      </c>
      <c r="U88" s="9">
        <v>7.8899999999999998E-2</v>
      </c>
      <c r="V88" s="9"/>
      <c r="W88" s="9">
        <v>0.45</v>
      </c>
      <c r="Y88" s="9">
        <f t="shared" si="5"/>
        <v>4.3425000000000005E-2</v>
      </c>
    </row>
    <row r="89" spans="1:25" x14ac:dyDescent="0.25">
      <c r="A89" s="33" t="s">
        <v>155</v>
      </c>
      <c r="B89" s="20"/>
      <c r="C89" s="33" t="s">
        <v>244</v>
      </c>
      <c r="D89" s="33"/>
      <c r="E89" s="33"/>
      <c r="F89" s="33"/>
      <c r="G89" s="33" t="s">
        <v>245</v>
      </c>
      <c r="H89" s="20"/>
      <c r="I89" s="22">
        <v>9.2999999999999999E-2</v>
      </c>
      <c r="J89" s="33"/>
      <c r="K89" s="34">
        <v>43455</v>
      </c>
      <c r="L89" s="33"/>
      <c r="M89" s="24" t="s">
        <v>40</v>
      </c>
      <c r="N89" s="20"/>
      <c r="O89" s="22">
        <v>9.2999999999999999E-2</v>
      </c>
      <c r="P89" s="26"/>
      <c r="Q89" s="27">
        <f t="shared" si="3"/>
        <v>0</v>
      </c>
      <c r="R89" s="20"/>
      <c r="S89" s="28" t="s">
        <v>45</v>
      </c>
      <c r="T89" s="20"/>
      <c r="U89" s="22">
        <v>5.2600000000000001E-2</v>
      </c>
      <c r="V89" s="22"/>
      <c r="W89" s="22">
        <v>0.4985</v>
      </c>
      <c r="X89" s="20"/>
      <c r="Y89" s="22">
        <f t="shared" si="5"/>
        <v>4.6360499999999999E-2</v>
      </c>
    </row>
    <row r="90" spans="1:25" x14ac:dyDescent="0.25">
      <c r="A90" s="6" t="s">
        <v>41</v>
      </c>
      <c r="C90" s="6" t="s">
        <v>56</v>
      </c>
      <c r="D90" s="6"/>
      <c r="E90" s="6" t="s">
        <v>57</v>
      </c>
      <c r="F90" s="6"/>
      <c r="G90" s="6" t="s">
        <v>246</v>
      </c>
      <c r="I90" s="9">
        <v>0.1075</v>
      </c>
      <c r="K90" s="30">
        <v>43474</v>
      </c>
      <c r="L90" s="6"/>
      <c r="M90" s="11" t="s">
        <v>34</v>
      </c>
      <c r="O90" s="9">
        <v>0.1</v>
      </c>
      <c r="P90" s="13"/>
      <c r="Q90" s="14">
        <f t="shared" si="3"/>
        <v>-74.999999999999929</v>
      </c>
      <c r="S90" s="15" t="s">
        <v>35</v>
      </c>
      <c r="U90" s="17" t="s">
        <v>71</v>
      </c>
      <c r="V90" s="17"/>
      <c r="W90" s="17" t="s">
        <v>71</v>
      </c>
      <c r="X90" s="18"/>
      <c r="Y90" s="17" t="s">
        <v>71</v>
      </c>
    </row>
    <row r="91" spans="1:25" x14ac:dyDescent="0.25">
      <c r="A91" s="6" t="s">
        <v>247</v>
      </c>
      <c r="C91" s="6" t="s">
        <v>248</v>
      </c>
      <c r="D91" s="6"/>
      <c r="E91" s="6" t="s">
        <v>146</v>
      </c>
      <c r="F91" s="6"/>
      <c r="G91" s="29" t="s">
        <v>249</v>
      </c>
      <c r="I91" s="9">
        <v>0.1022</v>
      </c>
      <c r="K91" s="30">
        <v>43523</v>
      </c>
      <c r="L91" s="6"/>
      <c r="M91" s="11" t="s">
        <v>34</v>
      </c>
      <c r="O91" s="9">
        <v>9.7500000000000003E-2</v>
      </c>
      <c r="P91" s="13"/>
      <c r="Q91" s="14">
        <f t="shared" si="3"/>
        <v>-46.999999999999957</v>
      </c>
      <c r="S91" s="15" t="s">
        <v>35</v>
      </c>
      <c r="U91" s="9">
        <v>7.2800000000000004E-2</v>
      </c>
      <c r="V91" s="9"/>
      <c r="W91" s="9">
        <v>0.50160000000000005</v>
      </c>
      <c r="Y91" s="9">
        <f>W91*O91</f>
        <v>4.8906000000000005E-2</v>
      </c>
    </row>
    <row r="92" spans="1:25" x14ac:dyDescent="0.25">
      <c r="A92" s="6" t="s">
        <v>49</v>
      </c>
      <c r="C92" s="6" t="s">
        <v>104</v>
      </c>
      <c r="D92" s="6"/>
      <c r="E92" s="6" t="s">
        <v>48</v>
      </c>
      <c r="F92" s="6"/>
      <c r="G92" s="29" t="s">
        <v>250</v>
      </c>
      <c r="I92" s="9">
        <v>0.10100000000000001</v>
      </c>
      <c r="K92" s="30">
        <v>43537</v>
      </c>
      <c r="L92" s="6"/>
      <c r="M92" s="11" t="s">
        <v>40</v>
      </c>
      <c r="O92" s="9">
        <v>9.6000000000000002E-2</v>
      </c>
      <c r="P92" s="13"/>
      <c r="Q92" s="14">
        <f t="shared" si="3"/>
        <v>-50.000000000000043</v>
      </c>
      <c r="S92" s="15" t="s">
        <v>35</v>
      </c>
      <c r="U92" s="9">
        <v>7.0800000000000002E-2</v>
      </c>
      <c r="V92" s="9"/>
      <c r="W92" s="9">
        <v>0.49940000000000001</v>
      </c>
      <c r="Y92" s="9">
        <f>W92*O92</f>
        <v>4.7942400000000003E-2</v>
      </c>
    </row>
    <row r="93" spans="1:25" x14ac:dyDescent="0.25">
      <c r="A93" s="6" t="s">
        <v>36</v>
      </c>
      <c r="C93" s="6" t="s">
        <v>251</v>
      </c>
      <c r="D93" s="6"/>
      <c r="E93" s="6" t="s">
        <v>38</v>
      </c>
      <c r="F93" s="6"/>
      <c r="G93" s="29" t="s">
        <v>252</v>
      </c>
      <c r="I93" s="9">
        <v>9.7500000000000003E-2</v>
      </c>
      <c r="K93" s="30">
        <v>43538</v>
      </c>
      <c r="L93" s="6"/>
      <c r="M93" s="11" t="s">
        <v>40</v>
      </c>
      <c r="O93" s="9">
        <v>0.09</v>
      </c>
      <c r="P93" s="13"/>
      <c r="Q93" s="14">
        <f t="shared" si="3"/>
        <v>-75.000000000000071</v>
      </c>
      <c r="S93" s="15" t="s">
        <v>35</v>
      </c>
      <c r="U93" s="9">
        <v>6.9699999999999998E-2</v>
      </c>
      <c r="V93" s="9"/>
      <c r="W93" s="9">
        <v>0.48</v>
      </c>
      <c r="Y93" s="9">
        <f>W93*O93</f>
        <v>4.3199999999999995E-2</v>
      </c>
    </row>
    <row r="94" spans="1:25" x14ac:dyDescent="0.25">
      <c r="A94" s="6" t="s">
        <v>63</v>
      </c>
      <c r="C94" s="6" t="s">
        <v>253</v>
      </c>
      <c r="D94" s="6"/>
      <c r="E94" s="6" t="s">
        <v>146</v>
      </c>
      <c r="F94" s="6"/>
      <c r="G94" s="29" t="s">
        <v>254</v>
      </c>
      <c r="I94" s="9">
        <v>0.10299999999999999</v>
      </c>
      <c r="K94" s="30">
        <v>43538</v>
      </c>
      <c r="L94" s="6"/>
      <c r="M94" s="11" t="s">
        <v>34</v>
      </c>
      <c r="O94" s="9">
        <v>9.4E-2</v>
      </c>
      <c r="P94" s="13"/>
      <c r="Q94" s="14">
        <f t="shared" si="3"/>
        <v>-89.999999999999943</v>
      </c>
      <c r="S94" s="15" t="s">
        <v>35</v>
      </c>
      <c r="U94" s="9">
        <v>6.9699999999999998E-2</v>
      </c>
      <c r="V94" s="9"/>
      <c r="W94" s="17" t="s">
        <v>71</v>
      </c>
      <c r="X94" s="18"/>
      <c r="Y94" s="17" t="s">
        <v>71</v>
      </c>
    </row>
    <row r="95" spans="1:25" x14ac:dyDescent="0.25">
      <c r="A95" s="6" t="s">
        <v>46</v>
      </c>
      <c r="C95" s="6" t="s">
        <v>255</v>
      </c>
      <c r="D95" s="6"/>
      <c r="E95" s="6" t="s">
        <v>256</v>
      </c>
      <c r="F95" s="6"/>
      <c r="G95" s="29">
        <v>9490</v>
      </c>
      <c r="I95" s="9">
        <v>0.108</v>
      </c>
      <c r="K95" s="30">
        <v>43546</v>
      </c>
      <c r="L95" s="6"/>
      <c r="M95" s="11" t="s">
        <v>40</v>
      </c>
      <c r="O95" s="9">
        <v>9.6500000000000002E-2</v>
      </c>
      <c r="P95" s="13"/>
      <c r="Q95" s="14">
        <f t="shared" si="3"/>
        <v>-114.99999999999996</v>
      </c>
      <c r="S95" s="15" t="s">
        <v>45</v>
      </c>
      <c r="U95" s="9">
        <v>7.1499999999999994E-2</v>
      </c>
      <c r="V95" s="9"/>
      <c r="W95" s="9">
        <v>0.5282</v>
      </c>
      <c r="Y95" s="9">
        <f>W95*O95</f>
        <v>5.0971300000000004E-2</v>
      </c>
    </row>
    <row r="96" spans="1:25" s="64" customFormat="1" x14ac:dyDescent="0.25">
      <c r="A96" s="66" t="s">
        <v>92</v>
      </c>
      <c r="C96" s="66" t="s">
        <v>93</v>
      </c>
      <c r="D96" s="66"/>
      <c r="E96" s="66" t="s">
        <v>94</v>
      </c>
      <c r="F96" s="66"/>
      <c r="G96" s="66" t="s">
        <v>257</v>
      </c>
      <c r="I96" s="63">
        <v>0.1042</v>
      </c>
      <c r="J96" s="66"/>
      <c r="K96" s="69">
        <v>43585</v>
      </c>
      <c r="L96" s="66"/>
      <c r="M96" s="70" t="s">
        <v>34</v>
      </c>
      <c r="O96" s="63">
        <v>9.7299999999999998E-2</v>
      </c>
      <c r="P96" s="65"/>
      <c r="Q96" s="14">
        <f t="shared" si="3"/>
        <v>-69.000000000000028</v>
      </c>
      <c r="S96" s="71" t="s">
        <v>35</v>
      </c>
      <c r="U96" s="68" t="s">
        <v>71</v>
      </c>
      <c r="V96" s="68"/>
      <c r="W96" s="68" t="s">
        <v>71</v>
      </c>
      <c r="X96" s="72"/>
      <c r="Y96" s="68" t="s">
        <v>71</v>
      </c>
    </row>
    <row r="97" spans="1:25" s="64" customFormat="1" x14ac:dyDescent="0.25">
      <c r="A97" s="66" t="s">
        <v>92</v>
      </c>
      <c r="C97" s="66" t="s">
        <v>96</v>
      </c>
      <c r="D97" s="66"/>
      <c r="E97" s="66" t="s">
        <v>94</v>
      </c>
      <c r="F97" s="66"/>
      <c r="G97" s="66" t="s">
        <v>258</v>
      </c>
      <c r="I97" s="63">
        <v>0.1042</v>
      </c>
      <c r="J97" s="66"/>
      <c r="K97" s="69">
        <v>43585</v>
      </c>
      <c r="L97" s="66"/>
      <c r="M97" s="70" t="s">
        <v>34</v>
      </c>
      <c r="O97" s="63">
        <v>9.7299999999999998E-2</v>
      </c>
      <c r="P97" s="65"/>
      <c r="Q97" s="14">
        <f t="shared" si="3"/>
        <v>-69.000000000000028</v>
      </c>
      <c r="S97" s="71" t="s">
        <v>35</v>
      </c>
      <c r="U97" s="68" t="s">
        <v>71</v>
      </c>
      <c r="V97" s="68"/>
      <c r="W97" s="68" t="s">
        <v>71</v>
      </c>
      <c r="X97" s="72"/>
      <c r="Y97" s="68" t="s">
        <v>71</v>
      </c>
    </row>
    <row r="98" spans="1:25" x14ac:dyDescent="0.25">
      <c r="A98" s="6" t="s">
        <v>259</v>
      </c>
      <c r="C98" s="6" t="s">
        <v>200</v>
      </c>
      <c r="D98" s="6"/>
      <c r="E98" s="6" t="s">
        <v>260</v>
      </c>
      <c r="F98" s="6"/>
      <c r="G98" s="29" t="s">
        <v>261</v>
      </c>
      <c r="I98" s="9">
        <v>0.105</v>
      </c>
      <c r="K98" s="30">
        <v>43586</v>
      </c>
      <c r="L98" s="6"/>
      <c r="M98" s="11" t="s">
        <v>34</v>
      </c>
      <c r="O98" s="9">
        <v>9.5000000000000001E-2</v>
      </c>
      <c r="P98" s="13"/>
      <c r="Q98" s="14">
        <f t="shared" si="3"/>
        <v>-99.999999999999943</v>
      </c>
      <c r="S98" s="15" t="s">
        <v>45</v>
      </c>
      <c r="U98" s="9">
        <v>7.1599999999999997E-2</v>
      </c>
      <c r="V98" s="9"/>
      <c r="W98" s="9">
        <v>0.53</v>
      </c>
      <c r="Y98" s="9">
        <f>W98*O98</f>
        <v>5.0350000000000006E-2</v>
      </c>
    </row>
    <row r="99" spans="1:25" x14ac:dyDescent="0.25">
      <c r="A99" s="6" t="s">
        <v>41</v>
      </c>
      <c r="C99" s="6" t="s">
        <v>42</v>
      </c>
      <c r="D99" s="6"/>
      <c r="E99" s="6" t="s">
        <v>43</v>
      </c>
      <c r="F99" s="6"/>
      <c r="G99" s="29" t="s">
        <v>262</v>
      </c>
      <c r="I99" s="9">
        <v>0.105</v>
      </c>
      <c r="K99" s="30">
        <v>43587</v>
      </c>
      <c r="L99" s="6"/>
      <c r="M99" s="11" t="s">
        <v>34</v>
      </c>
      <c r="O99" s="9">
        <v>0.1</v>
      </c>
      <c r="P99" s="13"/>
      <c r="Q99" s="14">
        <f t="shared" si="3"/>
        <v>-49.999999999999908</v>
      </c>
      <c r="S99" s="15" t="s">
        <v>45</v>
      </c>
      <c r="U99" s="9">
        <v>5.4800000000000001E-2</v>
      </c>
      <c r="V99" s="9"/>
      <c r="W99" s="9">
        <v>0.37940000000000002</v>
      </c>
      <c r="Y99" s="9">
        <f>W99*O99</f>
        <v>3.7940000000000002E-2</v>
      </c>
    </row>
    <row r="100" spans="1:25" x14ac:dyDescent="0.25">
      <c r="A100" s="6" t="s">
        <v>259</v>
      </c>
      <c r="C100" s="6" t="s">
        <v>263</v>
      </c>
      <c r="D100" s="6"/>
      <c r="E100" s="6" t="s">
        <v>175</v>
      </c>
      <c r="F100" s="6"/>
      <c r="G100" s="29" t="s">
        <v>264</v>
      </c>
      <c r="I100" s="9">
        <v>0.105</v>
      </c>
      <c r="K100" s="30">
        <v>43593</v>
      </c>
      <c r="L100" s="6"/>
      <c r="M100" s="11" t="s">
        <v>34</v>
      </c>
      <c r="O100" s="9">
        <v>9.5000000000000001E-2</v>
      </c>
      <c r="P100" s="13"/>
      <c r="Q100" s="14">
        <f t="shared" si="3"/>
        <v>-99.999999999999943</v>
      </c>
      <c r="S100" s="15" t="s">
        <v>45</v>
      </c>
      <c r="U100" s="9">
        <v>6.9900000000000004E-2</v>
      </c>
      <c r="V100" s="9"/>
      <c r="W100" s="9">
        <v>0.53</v>
      </c>
      <c r="Y100" s="9">
        <f>W100*O100</f>
        <v>5.0350000000000006E-2</v>
      </c>
    </row>
    <row r="101" spans="1:25" x14ac:dyDescent="0.25">
      <c r="A101" s="6" t="s">
        <v>265</v>
      </c>
      <c r="C101" s="6" t="s">
        <v>60</v>
      </c>
      <c r="D101" s="6"/>
      <c r="E101" s="6" t="s">
        <v>61</v>
      </c>
      <c r="F101" s="6"/>
      <c r="G101" s="29" t="s">
        <v>266</v>
      </c>
      <c r="I101" s="9">
        <v>0.10299999999999999</v>
      </c>
      <c r="K101" s="30">
        <v>43599</v>
      </c>
      <c r="L101" s="6"/>
      <c r="M101" s="11" t="s">
        <v>34</v>
      </c>
      <c r="O101" s="9">
        <v>8.7499999999999994E-2</v>
      </c>
      <c r="P101" s="13"/>
      <c r="Q101" s="14">
        <f t="shared" si="3"/>
        <v>-155</v>
      </c>
      <c r="S101" s="15" t="s">
        <v>45</v>
      </c>
      <c r="U101" s="9">
        <v>7.0900000000000005E-2</v>
      </c>
      <c r="V101" s="9"/>
      <c r="W101" s="9">
        <v>0.5292</v>
      </c>
      <c r="Y101" s="9">
        <f>W101*O101</f>
        <v>4.6304999999999999E-2</v>
      </c>
    </row>
    <row r="102" spans="1:25" x14ac:dyDescent="0.25">
      <c r="A102" s="6" t="s">
        <v>196</v>
      </c>
      <c r="C102" s="6" t="s">
        <v>267</v>
      </c>
      <c r="D102" s="6"/>
      <c r="E102" s="6" t="s">
        <v>198</v>
      </c>
      <c r="F102" s="6"/>
      <c r="G102" s="6" t="s">
        <v>268</v>
      </c>
      <c r="I102" s="9">
        <v>0.106</v>
      </c>
      <c r="K102" s="30">
        <v>43601</v>
      </c>
      <c r="L102" s="6"/>
      <c r="M102" s="11" t="s">
        <v>34</v>
      </c>
      <c r="O102" s="9">
        <v>9.5000000000000001E-2</v>
      </c>
      <c r="P102" s="13"/>
      <c r="Q102" s="14">
        <f t="shared" ref="Q102:Q105" si="6">(O102-I102)*10000</f>
        <v>-109.99999999999996</v>
      </c>
      <c r="S102" s="15" t="s">
        <v>35</v>
      </c>
      <c r="U102" s="9">
        <v>7.4300000000000005E-2</v>
      </c>
      <c r="V102" s="9"/>
      <c r="W102" s="9">
        <v>0.57020000000000004</v>
      </c>
      <c r="Y102" s="9">
        <f>W102*O102</f>
        <v>5.4169000000000002E-2</v>
      </c>
    </row>
    <row r="103" spans="1:25" x14ac:dyDescent="0.25">
      <c r="A103" s="6" t="s">
        <v>41</v>
      </c>
      <c r="C103" s="6" t="s">
        <v>269</v>
      </c>
      <c r="D103" s="6"/>
      <c r="E103" s="6"/>
      <c r="F103" s="6"/>
      <c r="G103" s="29" t="s">
        <v>270</v>
      </c>
      <c r="I103" s="9">
        <v>0.105</v>
      </c>
      <c r="K103" s="30">
        <v>43608</v>
      </c>
      <c r="L103" s="6"/>
      <c r="M103" s="11" t="s">
        <v>34</v>
      </c>
      <c r="O103" s="9">
        <v>9.9000000000000005E-2</v>
      </c>
      <c r="Q103" s="14">
        <f t="shared" si="6"/>
        <v>-59.999999999999915</v>
      </c>
      <c r="S103" s="15" t="s">
        <v>35</v>
      </c>
      <c r="U103" s="9">
        <v>6.9099999999999995E-2</v>
      </c>
      <c r="V103" s="9"/>
      <c r="W103" s="17" t="s">
        <v>71</v>
      </c>
      <c r="X103" s="18"/>
      <c r="Y103" s="17" t="s">
        <v>71</v>
      </c>
    </row>
    <row r="104" spans="1:25" x14ac:dyDescent="0.25">
      <c r="A104" s="6" t="s">
        <v>46</v>
      </c>
      <c r="C104" s="6" t="s">
        <v>99</v>
      </c>
      <c r="D104" s="6"/>
      <c r="E104" s="6" t="s">
        <v>48</v>
      </c>
      <c r="F104" s="6"/>
      <c r="G104" s="29">
        <v>9602</v>
      </c>
      <c r="I104" s="9">
        <v>0.10299999999999999</v>
      </c>
      <c r="K104" s="30">
        <v>43689</v>
      </c>
      <c r="L104" s="6"/>
      <c r="M104" s="11" t="s">
        <v>40</v>
      </c>
      <c r="O104" s="9">
        <v>9.6000000000000002E-2</v>
      </c>
      <c r="Q104" s="14">
        <f t="shared" si="6"/>
        <v>-69.999999999999929</v>
      </c>
      <c r="S104" s="15" t="s">
        <v>45</v>
      </c>
      <c r="U104" s="9">
        <v>7.4499999999999997E-2</v>
      </c>
      <c r="V104" s="9"/>
      <c r="W104" s="9">
        <v>0.50460000000000005</v>
      </c>
      <c r="Y104" s="9">
        <f t="shared" ref="Y104:Y116" si="7">W104*O104</f>
        <v>4.8441600000000008E-2</v>
      </c>
    </row>
    <row r="105" spans="1:25" x14ac:dyDescent="0.25">
      <c r="A105" s="6" t="s">
        <v>155</v>
      </c>
      <c r="C105" s="6" t="s">
        <v>244</v>
      </c>
      <c r="D105" s="6"/>
      <c r="E105" s="6"/>
      <c r="F105" s="6"/>
      <c r="G105" s="29" t="s">
        <v>271</v>
      </c>
      <c r="I105" s="9">
        <v>9.1600000000000001E-2</v>
      </c>
      <c r="K105" s="30">
        <v>43706</v>
      </c>
      <c r="L105" s="6"/>
      <c r="M105" s="11" t="s">
        <v>34</v>
      </c>
      <c r="O105" s="9">
        <v>9.06E-2</v>
      </c>
      <c r="Q105" s="14">
        <f t="shared" si="6"/>
        <v>-10.000000000000009</v>
      </c>
      <c r="S105" s="15" t="s">
        <v>45</v>
      </c>
      <c r="U105" s="9">
        <v>6.8500000000000005E-2</v>
      </c>
      <c r="V105" s="9"/>
      <c r="W105" s="9">
        <v>0.49459999999999998</v>
      </c>
      <c r="Y105" s="9">
        <f t="shared" si="7"/>
        <v>4.4810759999999998E-2</v>
      </c>
    </row>
    <row r="106" spans="1:25" x14ac:dyDescent="0.25">
      <c r="A106" s="6" t="s">
        <v>140</v>
      </c>
      <c r="C106" s="6" t="s">
        <v>272</v>
      </c>
      <c r="D106" s="6"/>
      <c r="E106" s="6" t="s">
        <v>84</v>
      </c>
      <c r="F106" s="6"/>
      <c r="G106" s="29" t="s">
        <v>273</v>
      </c>
      <c r="I106" s="17" t="s">
        <v>71</v>
      </c>
      <c r="J106" s="6" t="s">
        <v>121</v>
      </c>
      <c r="K106" s="30">
        <v>43712</v>
      </c>
      <c r="L106" s="6"/>
      <c r="M106" s="11" t="s">
        <v>34</v>
      </c>
      <c r="O106" s="9">
        <v>0.1</v>
      </c>
      <c r="Q106" s="35" t="s">
        <v>71</v>
      </c>
      <c r="S106" s="15" t="s">
        <v>35</v>
      </c>
      <c r="U106" s="9">
        <v>7.7399999999999997E-2</v>
      </c>
      <c r="V106" s="9"/>
      <c r="W106" s="9">
        <v>0.5252</v>
      </c>
      <c r="Y106" s="9">
        <f t="shared" si="7"/>
        <v>5.2520000000000004E-2</v>
      </c>
    </row>
    <row r="107" spans="1:25" x14ac:dyDescent="0.25">
      <c r="A107" s="6" t="s">
        <v>126</v>
      </c>
      <c r="C107" s="6" t="s">
        <v>274</v>
      </c>
      <c r="D107" s="6"/>
      <c r="E107" s="6" t="s">
        <v>181</v>
      </c>
      <c r="F107" s="6"/>
      <c r="G107" s="29" t="s">
        <v>275</v>
      </c>
      <c r="I107" s="9">
        <v>0.105</v>
      </c>
      <c r="K107" s="30">
        <v>43738</v>
      </c>
      <c r="L107" s="6"/>
      <c r="M107" s="11" t="s">
        <v>40</v>
      </c>
      <c r="O107" s="9">
        <v>9.6000000000000002E-2</v>
      </c>
      <c r="P107" s="13"/>
      <c r="Q107" s="14">
        <f t="shared" ref="Q107:Q162" si="8">(O107-I107)*10000</f>
        <v>-89.999999999999943</v>
      </c>
      <c r="S107" s="15" t="s">
        <v>45</v>
      </c>
      <c r="U107" s="9">
        <v>7.5600000000000001E-2</v>
      </c>
      <c r="V107" s="9"/>
      <c r="W107" s="9">
        <v>0.53490000000000004</v>
      </c>
      <c r="Y107" s="9">
        <f t="shared" si="7"/>
        <v>5.1350400000000004E-2</v>
      </c>
    </row>
    <row r="108" spans="1:25" x14ac:dyDescent="0.25">
      <c r="A108" s="6" t="s">
        <v>276</v>
      </c>
      <c r="C108" s="6" t="s">
        <v>277</v>
      </c>
      <c r="D108" s="6"/>
      <c r="E108" s="6" t="s">
        <v>278</v>
      </c>
      <c r="F108" s="6"/>
      <c r="G108" s="29" t="s">
        <v>279</v>
      </c>
      <c r="I108" s="9">
        <v>0.1065</v>
      </c>
      <c r="K108" s="30">
        <v>43767</v>
      </c>
      <c r="L108" s="6"/>
      <c r="M108" s="11" t="s">
        <v>34</v>
      </c>
      <c r="O108" s="9">
        <v>9.6500000000000002E-2</v>
      </c>
      <c r="P108" s="13"/>
      <c r="Q108" s="14">
        <f t="shared" si="8"/>
        <v>-99.999999999999943</v>
      </c>
      <c r="S108" s="15" t="s">
        <v>35</v>
      </c>
      <c r="U108" s="9">
        <v>6.9199999999999998E-2</v>
      </c>
      <c r="V108" s="9"/>
      <c r="W108" s="9">
        <v>0.49380000000000002</v>
      </c>
      <c r="Y108" s="9">
        <f t="shared" si="7"/>
        <v>4.7651700000000005E-2</v>
      </c>
    </row>
    <row r="109" spans="1:25" x14ac:dyDescent="0.25">
      <c r="A109" s="6" t="s">
        <v>140</v>
      </c>
      <c r="C109" s="6" t="s">
        <v>280</v>
      </c>
      <c r="D109" s="6"/>
      <c r="E109" s="6" t="s">
        <v>281</v>
      </c>
      <c r="F109" s="6"/>
      <c r="G109" s="29" t="s">
        <v>282</v>
      </c>
      <c r="I109" s="9">
        <v>0.10349999999999999</v>
      </c>
      <c r="K109" s="30">
        <v>43769</v>
      </c>
      <c r="L109" s="6"/>
      <c r="M109" s="11" t="s">
        <v>34</v>
      </c>
      <c r="O109" s="9">
        <v>0.1</v>
      </c>
      <c r="P109" s="13"/>
      <c r="Q109" s="14">
        <f t="shared" si="8"/>
        <v>-34.999999999999893</v>
      </c>
      <c r="S109" s="15" t="s">
        <v>35</v>
      </c>
      <c r="U109" s="9">
        <v>7.4899999999999994E-2</v>
      </c>
      <c r="V109" s="9"/>
      <c r="W109" s="9">
        <v>0.54459999999999997</v>
      </c>
      <c r="Y109" s="9">
        <f t="shared" si="7"/>
        <v>5.4460000000000001E-2</v>
      </c>
    </row>
    <row r="110" spans="1:25" x14ac:dyDescent="0.25">
      <c r="A110" s="6" t="s">
        <v>140</v>
      </c>
      <c r="C110" s="6" t="s">
        <v>283</v>
      </c>
      <c r="D110" s="6"/>
      <c r="E110" s="6" t="s">
        <v>281</v>
      </c>
      <c r="F110" s="6"/>
      <c r="G110" s="29" t="s">
        <v>284</v>
      </c>
      <c r="I110" s="9">
        <v>0.10349999999999999</v>
      </c>
      <c r="K110" s="30">
        <v>43769</v>
      </c>
      <c r="L110" s="6"/>
      <c r="M110" s="11" t="s">
        <v>34</v>
      </c>
      <c r="O110" s="9">
        <v>0.1</v>
      </c>
      <c r="P110" s="13"/>
      <c r="Q110" s="14">
        <f t="shared" si="8"/>
        <v>-34.999999999999893</v>
      </c>
      <c r="S110" s="15" t="s">
        <v>35</v>
      </c>
      <c r="U110" s="9">
        <v>7.22E-2</v>
      </c>
      <c r="V110" s="9"/>
      <c r="W110" s="9">
        <v>0.51959999999999995</v>
      </c>
      <c r="Y110" s="9">
        <f t="shared" si="7"/>
        <v>5.1959999999999999E-2</v>
      </c>
    </row>
    <row r="111" spans="1:25" x14ac:dyDescent="0.25">
      <c r="A111" s="6" t="s">
        <v>285</v>
      </c>
      <c r="C111" s="6" t="s">
        <v>286</v>
      </c>
      <c r="D111" s="6"/>
      <c r="E111" s="6" t="s">
        <v>287</v>
      </c>
      <c r="F111" s="6"/>
      <c r="G111" s="29" t="s">
        <v>288</v>
      </c>
      <c r="I111" s="9">
        <v>0.105</v>
      </c>
      <c r="K111" s="30">
        <v>43776</v>
      </c>
      <c r="L111" s="6"/>
      <c r="M111" s="11" t="s">
        <v>34</v>
      </c>
      <c r="O111" s="9">
        <v>9.35E-2</v>
      </c>
      <c r="P111" s="13"/>
      <c r="Q111" s="14">
        <f t="shared" si="8"/>
        <v>-114.99999999999996</v>
      </c>
      <c r="S111" s="15" t="s">
        <v>45</v>
      </c>
      <c r="U111" s="9">
        <v>7.0900000000000005E-2</v>
      </c>
      <c r="V111" s="9"/>
      <c r="W111" s="9">
        <v>0.5</v>
      </c>
      <c r="Y111" s="9">
        <f t="shared" si="7"/>
        <v>4.675E-2</v>
      </c>
    </row>
    <row r="112" spans="1:25" x14ac:dyDescent="0.25">
      <c r="A112" s="6" t="s">
        <v>158</v>
      </c>
      <c r="C112" s="6" t="s">
        <v>159</v>
      </c>
      <c r="D112" s="6"/>
      <c r="E112" s="6" t="s">
        <v>124</v>
      </c>
      <c r="F112" s="6"/>
      <c r="G112" s="29" t="s">
        <v>289</v>
      </c>
      <c r="I112" s="9">
        <v>9.9000000000000005E-2</v>
      </c>
      <c r="K112" s="30">
        <v>43798</v>
      </c>
      <c r="L112" s="6"/>
      <c r="M112" s="11" t="s">
        <v>34</v>
      </c>
      <c r="O112" s="9">
        <v>9.5000000000000001E-2</v>
      </c>
      <c r="P112" s="13"/>
      <c r="Q112" s="14">
        <f t="shared" si="8"/>
        <v>-40.000000000000036</v>
      </c>
      <c r="S112" s="15" t="s">
        <v>35</v>
      </c>
      <c r="U112" s="9">
        <v>7.3499999999999996E-2</v>
      </c>
      <c r="V112" s="9"/>
      <c r="W112" s="9">
        <v>0.5</v>
      </c>
      <c r="Y112" s="9">
        <f t="shared" si="7"/>
        <v>4.7500000000000001E-2</v>
      </c>
    </row>
    <row r="113" spans="1:25" x14ac:dyDescent="0.25">
      <c r="A113" s="6" t="s">
        <v>134</v>
      </c>
      <c r="C113" s="6" t="s">
        <v>138</v>
      </c>
      <c r="D113" s="6"/>
      <c r="E113" s="6" t="s">
        <v>48</v>
      </c>
      <c r="F113" s="6"/>
      <c r="G113" s="29" t="s">
        <v>290</v>
      </c>
      <c r="I113" s="9">
        <v>8.9099999999999999E-2</v>
      </c>
      <c r="K113" s="30">
        <v>43803</v>
      </c>
      <c r="L113" s="6"/>
      <c r="M113" s="11" t="s">
        <v>40</v>
      </c>
      <c r="O113" s="9">
        <v>8.9099999999999999E-2</v>
      </c>
      <c r="P113" s="13"/>
      <c r="Q113" s="14">
        <f t="shared" si="8"/>
        <v>0</v>
      </c>
      <c r="S113" s="15" t="s">
        <v>45</v>
      </c>
      <c r="U113" s="9">
        <v>6.5100000000000005E-2</v>
      </c>
      <c r="V113" s="9"/>
      <c r="W113" s="9">
        <v>0.47970000000000002</v>
      </c>
      <c r="Y113" s="9">
        <f t="shared" si="7"/>
        <v>4.2741269999999998E-2</v>
      </c>
    </row>
    <row r="114" spans="1:25" x14ac:dyDescent="0.25">
      <c r="A114" s="6" t="s">
        <v>193</v>
      </c>
      <c r="C114" s="6" t="s">
        <v>291</v>
      </c>
      <c r="D114" s="6"/>
      <c r="E114" s="6" t="s">
        <v>292</v>
      </c>
      <c r="F114" s="6"/>
      <c r="G114" s="29">
        <v>45159</v>
      </c>
      <c r="I114" s="17">
        <v>0.108</v>
      </c>
      <c r="K114" s="30">
        <v>43803</v>
      </c>
      <c r="L114" s="6"/>
      <c r="M114" s="11" t="s">
        <v>34</v>
      </c>
      <c r="O114" s="9">
        <v>9.7500000000000003E-2</v>
      </c>
      <c r="Q114" s="35">
        <f t="shared" si="8"/>
        <v>-104.99999999999996</v>
      </c>
      <c r="S114" s="15" t="s">
        <v>35</v>
      </c>
      <c r="U114" s="9">
        <v>6.5199999999999994E-2</v>
      </c>
      <c r="V114" s="9"/>
      <c r="W114" s="9">
        <v>0.47860000000000003</v>
      </c>
      <c r="Y114" s="9">
        <f t="shared" si="7"/>
        <v>4.6663500000000004E-2</v>
      </c>
    </row>
    <row r="115" spans="1:25" x14ac:dyDescent="0.25">
      <c r="A115" s="6" t="s">
        <v>134</v>
      </c>
      <c r="C115" s="6" t="s">
        <v>135</v>
      </c>
      <c r="D115" s="6"/>
      <c r="E115" s="6" t="s">
        <v>136</v>
      </c>
      <c r="F115" s="6"/>
      <c r="G115" s="29" t="s">
        <v>293</v>
      </c>
      <c r="I115" s="17">
        <v>8.9099999999999999E-2</v>
      </c>
      <c r="K115" s="30">
        <v>43815</v>
      </c>
      <c r="L115" s="6"/>
      <c r="M115" s="11" t="s">
        <v>40</v>
      </c>
      <c r="O115" s="9">
        <v>8.9099999999999999E-2</v>
      </c>
      <c r="Q115" s="35">
        <f t="shared" si="8"/>
        <v>0</v>
      </c>
      <c r="S115" s="15" t="s">
        <v>45</v>
      </c>
      <c r="U115" s="9">
        <v>6.7100000000000007E-2</v>
      </c>
      <c r="V115" s="9"/>
      <c r="W115" s="9">
        <v>0.5</v>
      </c>
      <c r="Y115" s="9">
        <f t="shared" si="7"/>
        <v>4.4549999999999999E-2</v>
      </c>
    </row>
    <row r="116" spans="1:25" x14ac:dyDescent="0.25">
      <c r="A116" s="6" t="s">
        <v>294</v>
      </c>
      <c r="C116" s="6" t="s">
        <v>295</v>
      </c>
      <c r="D116" s="6"/>
      <c r="E116" s="6" t="s">
        <v>296</v>
      </c>
      <c r="F116" s="6"/>
      <c r="G116" s="29">
        <v>42516</v>
      </c>
      <c r="I116" s="17">
        <v>0.109</v>
      </c>
      <c r="K116" s="30">
        <v>43816</v>
      </c>
      <c r="L116" s="6"/>
      <c r="M116" s="11" t="s">
        <v>34</v>
      </c>
      <c r="O116" s="9">
        <v>0.105</v>
      </c>
      <c r="Q116" s="14">
        <f t="shared" si="8"/>
        <v>-40.000000000000036</v>
      </c>
      <c r="S116" s="15" t="s">
        <v>45</v>
      </c>
      <c r="U116" s="17" t="s">
        <v>71</v>
      </c>
      <c r="V116" s="9"/>
      <c r="W116" s="9">
        <v>0.56000000000000005</v>
      </c>
      <c r="Y116" s="9">
        <f t="shared" si="7"/>
        <v>5.8800000000000005E-2</v>
      </c>
    </row>
    <row r="117" spans="1:25" x14ac:dyDescent="0.25">
      <c r="A117" s="6" t="s">
        <v>46</v>
      </c>
      <c r="C117" s="6" t="s">
        <v>297</v>
      </c>
      <c r="D117" s="6"/>
      <c r="E117" s="6" t="s">
        <v>48</v>
      </c>
      <c r="F117" s="6"/>
      <c r="G117" s="29">
        <v>9610</v>
      </c>
      <c r="I117" s="17">
        <v>0.10299999999999999</v>
      </c>
      <c r="K117" s="30">
        <v>43816</v>
      </c>
      <c r="L117" s="6"/>
      <c r="M117" s="11" t="s">
        <v>40</v>
      </c>
      <c r="O117" s="9">
        <v>9.7000000000000003E-2</v>
      </c>
      <c r="Q117" s="35">
        <f t="shared" si="8"/>
        <v>-59.999999999999915</v>
      </c>
      <c r="S117" s="15" t="s">
        <v>35</v>
      </c>
      <c r="U117" s="9">
        <v>6.9400000000000003E-2</v>
      </c>
      <c r="V117" s="9"/>
      <c r="W117" s="17" t="s">
        <v>71</v>
      </c>
      <c r="Y117" s="17" t="s">
        <v>71</v>
      </c>
    </row>
    <row r="118" spans="1:25" x14ac:dyDescent="0.25">
      <c r="A118" s="6" t="s">
        <v>109</v>
      </c>
      <c r="C118" s="6" t="s">
        <v>110</v>
      </c>
      <c r="D118" s="6"/>
      <c r="E118" s="6" t="s">
        <v>111</v>
      </c>
      <c r="F118" s="6"/>
      <c r="G118" s="29" t="s">
        <v>298</v>
      </c>
      <c r="I118" s="17">
        <v>0.12</v>
      </c>
      <c r="K118" s="30">
        <v>43818</v>
      </c>
      <c r="L118" s="6"/>
      <c r="M118" s="11" t="s">
        <v>34</v>
      </c>
      <c r="O118" s="9">
        <v>0.10249999999999999</v>
      </c>
      <c r="Q118" s="14">
        <f t="shared" si="8"/>
        <v>-175.00000000000003</v>
      </c>
      <c r="S118" s="15" t="s">
        <v>45</v>
      </c>
      <c r="U118" s="9">
        <v>7.8100000000000003E-2</v>
      </c>
      <c r="V118" s="9"/>
      <c r="W118" s="9">
        <v>0.52</v>
      </c>
      <c r="Y118" s="9">
        <f t="shared" ref="Y118:Y151" si="9">W118*O118</f>
        <v>5.33E-2</v>
      </c>
    </row>
    <row r="119" spans="1:25" x14ac:dyDescent="0.25">
      <c r="A119" s="6" t="s">
        <v>109</v>
      </c>
      <c r="C119" s="6" t="s">
        <v>113</v>
      </c>
      <c r="D119" s="6"/>
      <c r="E119" s="6" t="s">
        <v>108</v>
      </c>
      <c r="F119" s="6"/>
      <c r="G119" s="29" t="s">
        <v>299</v>
      </c>
      <c r="I119" s="17">
        <v>0.12379999999999999</v>
      </c>
      <c r="K119" s="30">
        <v>43818</v>
      </c>
      <c r="L119" s="6"/>
      <c r="M119" s="11" t="s">
        <v>34</v>
      </c>
      <c r="O119" s="9">
        <v>0.10199999999999999</v>
      </c>
      <c r="Q119" s="14">
        <f t="shared" si="8"/>
        <v>-218</v>
      </c>
      <c r="S119" s="15" t="s">
        <v>45</v>
      </c>
      <c r="U119" s="9">
        <v>7.5499999999999998E-2</v>
      </c>
      <c r="V119" s="9"/>
      <c r="W119" s="9">
        <v>0.52</v>
      </c>
      <c r="Y119" s="9">
        <f t="shared" si="9"/>
        <v>5.3039999999999997E-2</v>
      </c>
    </row>
    <row r="120" spans="1:25" x14ac:dyDescent="0.25">
      <c r="A120" s="6" t="s">
        <v>109</v>
      </c>
      <c r="C120" s="6" t="s">
        <v>115</v>
      </c>
      <c r="D120" s="6"/>
      <c r="E120" s="6" t="s">
        <v>116</v>
      </c>
      <c r="F120" s="6"/>
      <c r="G120" s="29" t="s">
        <v>300</v>
      </c>
      <c r="I120" s="17">
        <v>0.1145</v>
      </c>
      <c r="K120" s="30">
        <v>43818</v>
      </c>
      <c r="L120" s="6"/>
      <c r="M120" s="11" t="s">
        <v>34</v>
      </c>
      <c r="O120" s="9">
        <v>0.10299999999999999</v>
      </c>
      <c r="Q120" s="14">
        <f t="shared" si="8"/>
        <v>-115.0000000000001</v>
      </c>
      <c r="S120" s="15" t="s">
        <v>45</v>
      </c>
      <c r="U120" s="9">
        <v>7.6799999999999993E-2</v>
      </c>
      <c r="V120" s="9"/>
      <c r="W120" s="9">
        <v>0.52</v>
      </c>
      <c r="Y120" s="9">
        <f t="shared" si="9"/>
        <v>5.3559999999999997E-2</v>
      </c>
    </row>
    <row r="121" spans="1:25" x14ac:dyDescent="0.25">
      <c r="A121" s="6" t="s">
        <v>86</v>
      </c>
      <c r="C121" s="6" t="s">
        <v>145</v>
      </c>
      <c r="D121" s="6"/>
      <c r="E121" s="6" t="s">
        <v>146</v>
      </c>
      <c r="F121" s="6"/>
      <c r="G121" s="29" t="s">
        <v>301</v>
      </c>
      <c r="I121" s="17">
        <v>0.105</v>
      </c>
      <c r="K121" s="30">
        <v>43819</v>
      </c>
      <c r="L121" s="6"/>
      <c r="M121" s="11" t="s">
        <v>34</v>
      </c>
      <c r="O121" s="9">
        <v>9.4500000000000001E-2</v>
      </c>
      <c r="Q121" s="14">
        <f t="shared" si="8"/>
        <v>-104.99999999999996</v>
      </c>
      <c r="S121" s="15" t="s">
        <v>35</v>
      </c>
      <c r="U121" s="9">
        <v>4.9299999999999997E-2</v>
      </c>
      <c r="V121" s="9"/>
      <c r="W121" s="9">
        <v>0.33710000000000001</v>
      </c>
      <c r="Y121" s="9">
        <f t="shared" si="9"/>
        <v>3.1855950000000001E-2</v>
      </c>
    </row>
    <row r="122" spans="1:25" x14ac:dyDescent="0.25">
      <c r="A122" s="26" t="s">
        <v>161</v>
      </c>
      <c r="B122" s="20"/>
      <c r="C122" s="33" t="s">
        <v>302</v>
      </c>
      <c r="D122" s="33"/>
      <c r="E122" s="33" t="s">
        <v>163</v>
      </c>
      <c r="F122" s="33"/>
      <c r="G122" s="36" t="s">
        <v>303</v>
      </c>
      <c r="H122" s="20"/>
      <c r="I122" s="37">
        <v>0.1021</v>
      </c>
      <c r="J122" s="33"/>
      <c r="K122" s="34">
        <v>43823</v>
      </c>
      <c r="L122" s="33"/>
      <c r="M122" s="24" t="s">
        <v>34</v>
      </c>
      <c r="N122" s="20"/>
      <c r="O122" s="22">
        <v>9.5000000000000001E-2</v>
      </c>
      <c r="P122" s="33"/>
      <c r="Q122" s="27">
        <f t="shared" si="8"/>
        <v>-70.999999999999957</v>
      </c>
      <c r="R122" s="20"/>
      <c r="S122" s="28" t="s">
        <v>35</v>
      </c>
      <c r="T122" s="20"/>
      <c r="U122" s="22">
        <v>6.7500000000000004E-2</v>
      </c>
      <c r="V122" s="22"/>
      <c r="W122" s="22">
        <v>0.50919999999999999</v>
      </c>
      <c r="X122" s="20"/>
      <c r="Y122" s="22">
        <f t="shared" si="9"/>
        <v>4.8374E-2</v>
      </c>
    </row>
    <row r="123" spans="1:25" x14ac:dyDescent="0.25">
      <c r="A123" s="13" t="s">
        <v>169</v>
      </c>
      <c r="C123" s="6" t="s">
        <v>170</v>
      </c>
      <c r="D123" s="6"/>
      <c r="E123" s="6" t="s">
        <v>171</v>
      </c>
      <c r="F123" s="6"/>
      <c r="G123" s="29" t="s">
        <v>304</v>
      </c>
      <c r="I123" s="17">
        <v>0.10249999999999999</v>
      </c>
      <c r="J123" s="6" t="s">
        <v>305</v>
      </c>
      <c r="K123" s="30">
        <v>43838</v>
      </c>
      <c r="L123" s="6"/>
      <c r="M123" s="11" t="s">
        <v>34</v>
      </c>
      <c r="O123" s="9">
        <v>0.1002</v>
      </c>
      <c r="P123" s="6" t="s">
        <v>305</v>
      </c>
      <c r="Q123" s="16">
        <f t="shared" si="8"/>
        <v>-22.999999999999964</v>
      </c>
      <c r="S123" s="15" t="s">
        <v>35</v>
      </c>
      <c r="U123" s="9">
        <v>7.2300000000000003E-2</v>
      </c>
      <c r="V123" s="9"/>
      <c r="W123" s="9">
        <v>0.51</v>
      </c>
      <c r="Y123" s="9">
        <f t="shared" si="9"/>
        <v>5.1102000000000002E-2</v>
      </c>
    </row>
    <row r="124" spans="1:25" x14ac:dyDescent="0.25">
      <c r="A124" s="13" t="s">
        <v>36</v>
      </c>
      <c r="C124" s="6" t="s">
        <v>37</v>
      </c>
      <c r="D124" s="6"/>
      <c r="E124" s="6" t="s">
        <v>38</v>
      </c>
      <c r="F124" s="6"/>
      <c r="G124" s="29" t="s">
        <v>306</v>
      </c>
      <c r="I124" s="17">
        <v>9.7500000000000003E-2</v>
      </c>
      <c r="K124" s="30">
        <v>43846</v>
      </c>
      <c r="L124" s="6"/>
      <c r="M124" s="11" t="s">
        <v>40</v>
      </c>
      <c r="O124" s="9">
        <v>8.7999999999999995E-2</v>
      </c>
      <c r="Q124" s="14">
        <f t="shared" si="8"/>
        <v>-95.000000000000085</v>
      </c>
      <c r="S124" s="15" t="s">
        <v>35</v>
      </c>
      <c r="U124" s="9">
        <v>6.6100000000000006E-2</v>
      </c>
      <c r="V124" s="9"/>
      <c r="W124" s="9">
        <v>0.48</v>
      </c>
      <c r="Y124" s="9">
        <f t="shared" si="9"/>
        <v>4.2239999999999993E-2</v>
      </c>
    </row>
    <row r="125" spans="1:25" x14ac:dyDescent="0.25">
      <c r="A125" s="13" t="s">
        <v>49</v>
      </c>
      <c r="C125" s="6" t="s">
        <v>50</v>
      </c>
      <c r="D125" s="6"/>
      <c r="E125" s="6" t="s">
        <v>38</v>
      </c>
      <c r="F125" s="6"/>
      <c r="G125" s="29" t="s">
        <v>307</v>
      </c>
      <c r="I125" s="17">
        <v>9.6000000000000002E-2</v>
      </c>
      <c r="K125" s="30">
        <v>43852</v>
      </c>
      <c r="L125" s="6"/>
      <c r="M125" s="11" t="s">
        <v>40</v>
      </c>
      <c r="O125" s="9">
        <v>9.5000000000000001E-2</v>
      </c>
      <c r="Q125" s="14">
        <f t="shared" si="8"/>
        <v>-10.000000000000009</v>
      </c>
      <c r="S125" s="15" t="s">
        <v>35</v>
      </c>
      <c r="U125" s="9">
        <v>7.1099999999999997E-2</v>
      </c>
      <c r="V125" s="9"/>
      <c r="W125" s="9">
        <v>0.48320000000000002</v>
      </c>
      <c r="Y125" s="9">
        <f t="shared" si="9"/>
        <v>4.5904E-2</v>
      </c>
    </row>
    <row r="126" spans="1:25" x14ac:dyDescent="0.25">
      <c r="A126" s="13" t="s">
        <v>41</v>
      </c>
      <c r="C126" s="6" t="s">
        <v>184</v>
      </c>
      <c r="D126" s="6"/>
      <c r="E126" s="6" t="s">
        <v>146</v>
      </c>
      <c r="F126" s="6"/>
      <c r="G126" s="29" t="s">
        <v>308</v>
      </c>
      <c r="I126" s="17">
        <v>0.105</v>
      </c>
      <c r="K126" s="30">
        <v>43853</v>
      </c>
      <c r="L126" s="6"/>
      <c r="M126" s="11" t="s">
        <v>34</v>
      </c>
      <c r="O126" s="9">
        <v>9.8599999999999993E-2</v>
      </c>
      <c r="Q126" s="14">
        <f t="shared" si="8"/>
        <v>-64.000000000000028</v>
      </c>
      <c r="S126" s="15" t="s">
        <v>35</v>
      </c>
      <c r="U126" s="9">
        <v>6.08E-2</v>
      </c>
      <c r="V126" s="9"/>
      <c r="W126" s="9">
        <v>0.46560000000000001</v>
      </c>
      <c r="Y126" s="9">
        <f t="shared" si="9"/>
        <v>4.5908159999999996E-2</v>
      </c>
    </row>
    <row r="127" spans="1:25" x14ac:dyDescent="0.25">
      <c r="A127" s="13" t="s">
        <v>109</v>
      </c>
      <c r="C127" s="6" t="s">
        <v>309</v>
      </c>
      <c r="D127" s="6"/>
      <c r="E127" s="6" t="s">
        <v>163</v>
      </c>
      <c r="F127" s="6"/>
      <c r="G127" s="29" t="s">
        <v>310</v>
      </c>
      <c r="I127" s="17">
        <v>0.106</v>
      </c>
      <c r="K127" s="30">
        <v>43867</v>
      </c>
      <c r="L127" s="6"/>
      <c r="M127" s="11" t="s">
        <v>34</v>
      </c>
      <c r="O127" s="9">
        <v>0.1</v>
      </c>
      <c r="Q127" s="14">
        <f t="shared" si="8"/>
        <v>-59.999999999999915</v>
      </c>
      <c r="S127" s="15" t="s">
        <v>45</v>
      </c>
      <c r="U127" s="17" t="s">
        <v>71</v>
      </c>
      <c r="V127" s="9"/>
      <c r="W127" s="9">
        <v>0.51959999999999995</v>
      </c>
      <c r="Y127" s="9">
        <f t="shared" si="9"/>
        <v>5.1959999999999999E-2</v>
      </c>
    </row>
    <row r="128" spans="1:25" x14ac:dyDescent="0.25">
      <c r="A128" s="13" t="s">
        <v>311</v>
      </c>
      <c r="C128" s="6" t="s">
        <v>312</v>
      </c>
      <c r="D128" s="6"/>
      <c r="E128" s="6" t="s">
        <v>84</v>
      </c>
      <c r="F128" s="6"/>
      <c r="G128" s="29" t="s">
        <v>313</v>
      </c>
      <c r="I128" s="17">
        <v>0.10199999999999999</v>
      </c>
      <c r="K128" s="30">
        <v>43872</v>
      </c>
      <c r="L128" s="6"/>
      <c r="M128" s="11" t="s">
        <v>34</v>
      </c>
      <c r="O128" s="9">
        <v>9.2999999999999999E-2</v>
      </c>
      <c r="Q128" s="14">
        <f t="shared" si="8"/>
        <v>-89.999999999999943</v>
      </c>
      <c r="S128" s="15" t="s">
        <v>45</v>
      </c>
      <c r="U128" s="9">
        <v>6.9699999999999998E-2</v>
      </c>
      <c r="V128" s="9"/>
      <c r="W128" s="9">
        <v>0.55610000000000004</v>
      </c>
      <c r="Y128" s="9">
        <f t="shared" si="9"/>
        <v>5.1717300000000001E-2</v>
      </c>
    </row>
    <row r="129" spans="1:27" x14ac:dyDescent="0.25">
      <c r="A129" s="13" t="s">
        <v>106</v>
      </c>
      <c r="C129" s="6" t="s">
        <v>314</v>
      </c>
      <c r="D129" s="6"/>
      <c r="E129" s="6" t="s">
        <v>315</v>
      </c>
      <c r="F129" s="6"/>
      <c r="G129" s="29">
        <v>49421</v>
      </c>
      <c r="I129" s="17">
        <v>0.104</v>
      </c>
      <c r="K129" s="30">
        <v>43875</v>
      </c>
      <c r="L129" s="6"/>
      <c r="M129" s="11" t="s">
        <v>40</v>
      </c>
      <c r="O129" s="9">
        <v>9.4E-2</v>
      </c>
      <c r="Q129" s="16">
        <f t="shared" si="8"/>
        <v>-99.999999999999943</v>
      </c>
      <c r="S129" s="15" t="s">
        <v>35</v>
      </c>
      <c r="U129" s="9">
        <v>6.5100000000000005E-2</v>
      </c>
      <c r="V129" s="9"/>
      <c r="W129" s="9">
        <v>0.42499999999999999</v>
      </c>
      <c r="Y129" s="9">
        <f t="shared" si="9"/>
        <v>3.9949999999999999E-2</v>
      </c>
    </row>
    <row r="130" spans="1:27" x14ac:dyDescent="0.25">
      <c r="A130" s="13" t="s">
        <v>203</v>
      </c>
      <c r="C130" s="6" t="s">
        <v>316</v>
      </c>
      <c r="D130" s="6"/>
      <c r="E130" s="6" t="s">
        <v>317</v>
      </c>
      <c r="F130" s="6"/>
      <c r="G130" s="29" t="s">
        <v>318</v>
      </c>
      <c r="I130" s="17">
        <v>0.1</v>
      </c>
      <c r="K130" s="30">
        <v>43880</v>
      </c>
      <c r="L130" s="6"/>
      <c r="M130" s="11" t="s">
        <v>40</v>
      </c>
      <c r="O130" s="9">
        <v>8.2500000000000004E-2</v>
      </c>
      <c r="Q130" s="14">
        <f t="shared" si="8"/>
        <v>-175.00000000000003</v>
      </c>
      <c r="S130" s="15" t="s">
        <v>45</v>
      </c>
      <c r="U130" s="9">
        <v>6.3E-2</v>
      </c>
      <c r="V130" s="9"/>
      <c r="W130" s="9">
        <v>0.5</v>
      </c>
      <c r="Y130" s="9">
        <f t="shared" si="9"/>
        <v>4.1250000000000002E-2</v>
      </c>
    </row>
    <row r="131" spans="1:27" x14ac:dyDescent="0.25">
      <c r="A131" s="13" t="s">
        <v>173</v>
      </c>
      <c r="C131" s="6" t="s">
        <v>319</v>
      </c>
      <c r="D131" s="6"/>
      <c r="E131" s="6" t="s">
        <v>40</v>
      </c>
      <c r="F131" s="6"/>
      <c r="G131" s="29" t="s">
        <v>320</v>
      </c>
      <c r="I131" s="17">
        <v>0.1075</v>
      </c>
      <c r="K131" s="30">
        <v>43885</v>
      </c>
      <c r="L131" s="6"/>
      <c r="M131" s="11" t="s">
        <v>34</v>
      </c>
      <c r="O131" s="9">
        <v>9.7500000000000003E-2</v>
      </c>
      <c r="Q131" s="14">
        <f t="shared" si="8"/>
        <v>-99.999999999999943</v>
      </c>
      <c r="S131" s="15" t="s">
        <v>35</v>
      </c>
      <c r="U131" s="9">
        <v>7.1999999999999995E-2</v>
      </c>
      <c r="V131" s="9"/>
      <c r="W131" s="9">
        <v>0.52</v>
      </c>
      <c r="Y131" s="9">
        <f t="shared" si="9"/>
        <v>5.0700000000000002E-2</v>
      </c>
    </row>
    <row r="132" spans="1:27" x14ac:dyDescent="0.25">
      <c r="A132" s="13" t="s">
        <v>106</v>
      </c>
      <c r="C132" s="6" t="s">
        <v>321</v>
      </c>
      <c r="D132" s="6"/>
      <c r="E132" s="6" t="s">
        <v>146</v>
      </c>
      <c r="F132" s="6"/>
      <c r="G132" s="29">
        <v>49494</v>
      </c>
      <c r="I132" s="17">
        <v>0.105</v>
      </c>
      <c r="K132" s="30">
        <v>43888</v>
      </c>
      <c r="L132" s="6"/>
      <c r="M132" s="11" t="s">
        <v>40</v>
      </c>
      <c r="O132" s="9">
        <v>9.4E-2</v>
      </c>
      <c r="Q132" s="14">
        <f t="shared" si="8"/>
        <v>-109.99999999999996</v>
      </c>
      <c r="S132" s="15" t="s">
        <v>35</v>
      </c>
      <c r="U132" s="9">
        <v>6.4500000000000002E-2</v>
      </c>
      <c r="V132" s="9"/>
      <c r="W132" s="9">
        <v>0.42499999999999999</v>
      </c>
      <c r="Y132" s="9">
        <f t="shared" si="9"/>
        <v>3.9949999999999999E-2</v>
      </c>
    </row>
    <row r="133" spans="1:27" x14ac:dyDescent="0.25">
      <c r="A133" s="13" t="s">
        <v>193</v>
      </c>
      <c r="C133" s="6" t="s">
        <v>184</v>
      </c>
      <c r="D133" s="6"/>
      <c r="E133" s="6" t="s">
        <v>146</v>
      </c>
      <c r="F133" s="6"/>
      <c r="G133" s="29">
        <v>45235</v>
      </c>
      <c r="I133" s="17">
        <v>0.105</v>
      </c>
      <c r="K133" s="30">
        <v>43901</v>
      </c>
      <c r="L133" s="6"/>
      <c r="M133" s="11" t="s">
        <v>34</v>
      </c>
      <c r="O133" s="9">
        <v>9.7000000000000003E-2</v>
      </c>
      <c r="Q133" s="14">
        <f t="shared" si="8"/>
        <v>-79.999999999999929</v>
      </c>
      <c r="S133" s="15" t="s">
        <v>45</v>
      </c>
      <c r="U133" s="9">
        <v>5.6099999999999997E-2</v>
      </c>
      <c r="V133" s="9"/>
      <c r="W133" s="9">
        <v>0.3755</v>
      </c>
      <c r="Y133" s="9">
        <f t="shared" si="9"/>
        <v>3.6423500000000004E-2</v>
      </c>
    </row>
    <row r="134" spans="1:27" x14ac:dyDescent="0.25">
      <c r="A134" s="13" t="s">
        <v>131</v>
      </c>
      <c r="C134" s="6" t="s">
        <v>159</v>
      </c>
      <c r="D134" s="6"/>
      <c r="E134" s="6" t="s">
        <v>124</v>
      </c>
      <c r="F134" s="6"/>
      <c r="G134" s="29" t="s">
        <v>322</v>
      </c>
      <c r="I134" s="17">
        <v>9.9000000000000005E-2</v>
      </c>
      <c r="K134" s="30">
        <v>43915</v>
      </c>
      <c r="L134" s="6"/>
      <c r="M134" s="11" t="s">
        <v>34</v>
      </c>
      <c r="O134" s="9">
        <v>9.4E-2</v>
      </c>
      <c r="Q134" s="14">
        <f t="shared" si="8"/>
        <v>-50.000000000000043</v>
      </c>
      <c r="S134" s="15" t="s">
        <v>35</v>
      </c>
      <c r="U134" s="9">
        <v>7.2099999999999997E-2</v>
      </c>
      <c r="V134" s="9"/>
      <c r="W134" s="9">
        <v>0.48499999999999999</v>
      </c>
      <c r="Y134" s="9">
        <f t="shared" si="9"/>
        <v>4.5589999999999999E-2</v>
      </c>
    </row>
    <row r="135" spans="1:27" x14ac:dyDescent="0.25">
      <c r="A135" s="13" t="s">
        <v>126</v>
      </c>
      <c r="C135" s="6" t="s">
        <v>323</v>
      </c>
      <c r="D135" s="6"/>
      <c r="E135" s="6" t="s">
        <v>77</v>
      </c>
      <c r="F135" s="6"/>
      <c r="G135" s="29" t="s">
        <v>324</v>
      </c>
      <c r="I135" s="17">
        <v>0.105</v>
      </c>
      <c r="K135" s="30">
        <v>43938</v>
      </c>
      <c r="L135" s="6"/>
      <c r="M135" s="11" t="s">
        <v>40</v>
      </c>
      <c r="O135" s="9">
        <v>9.7000000000000003E-2</v>
      </c>
      <c r="Q135" s="14">
        <f t="shared" si="8"/>
        <v>-79.999999999999929</v>
      </c>
      <c r="S135" s="15" t="s">
        <v>35</v>
      </c>
      <c r="U135" s="9">
        <v>7.9899999999999999E-2</v>
      </c>
      <c r="V135" s="9"/>
      <c r="W135" s="9">
        <v>0.52449999999999997</v>
      </c>
      <c r="Y135" s="9">
        <f t="shared" si="9"/>
        <v>5.0876499999999998E-2</v>
      </c>
    </row>
    <row r="136" spans="1:27" s="64" customFormat="1" x14ac:dyDescent="0.25">
      <c r="A136" s="65" t="s">
        <v>92</v>
      </c>
      <c r="C136" s="66" t="s">
        <v>186</v>
      </c>
      <c r="D136" s="66"/>
      <c r="E136" s="66" t="s">
        <v>175</v>
      </c>
      <c r="F136" s="66"/>
      <c r="G136" s="67" t="s">
        <v>325</v>
      </c>
      <c r="I136" s="68">
        <v>9.8000000000000004E-2</v>
      </c>
      <c r="J136" s="66"/>
      <c r="K136" s="69">
        <v>43948</v>
      </c>
      <c r="L136" s="66"/>
      <c r="M136" s="70" t="s">
        <v>34</v>
      </c>
      <c r="O136" s="63">
        <v>9.2499999999999999E-2</v>
      </c>
      <c r="P136" s="66"/>
      <c r="Q136" s="14">
        <f t="shared" si="8"/>
        <v>-55.00000000000005</v>
      </c>
      <c r="S136" s="71" t="s">
        <v>45</v>
      </c>
      <c r="U136" s="63">
        <v>6.4100000000000004E-2</v>
      </c>
      <c r="V136" s="63"/>
      <c r="W136" s="63">
        <v>0.48230000000000001</v>
      </c>
      <c r="Y136" s="63">
        <f t="shared" si="9"/>
        <v>4.461275E-2</v>
      </c>
    </row>
    <row r="137" spans="1:27" x14ac:dyDescent="0.25">
      <c r="A137" s="13" t="s">
        <v>41</v>
      </c>
      <c r="C137" s="6" t="s">
        <v>42</v>
      </c>
      <c r="D137" s="6"/>
      <c r="E137" s="6" t="s">
        <v>43</v>
      </c>
      <c r="F137" s="6"/>
      <c r="G137" s="29" t="s">
        <v>326</v>
      </c>
      <c r="I137" s="17">
        <v>0.105</v>
      </c>
      <c r="K137" s="30">
        <v>43959</v>
      </c>
      <c r="L137" s="6"/>
      <c r="M137" s="11" t="s">
        <v>34</v>
      </c>
      <c r="O137" s="9">
        <v>9.9000000000000005E-2</v>
      </c>
      <c r="Q137" s="14">
        <f t="shared" si="8"/>
        <v>-59.999999999999915</v>
      </c>
      <c r="S137" s="15" t="s">
        <v>45</v>
      </c>
      <c r="U137" s="9">
        <v>5.4600000000000003E-2</v>
      </c>
      <c r="V137" s="9"/>
      <c r="W137" s="9">
        <v>0.38319999999999999</v>
      </c>
      <c r="Y137" s="9">
        <f t="shared" si="9"/>
        <v>3.79368E-2</v>
      </c>
    </row>
    <row r="138" spans="1:27" x14ac:dyDescent="0.25">
      <c r="A138" s="13" t="s">
        <v>151</v>
      </c>
      <c r="C138" s="6" t="s">
        <v>213</v>
      </c>
      <c r="D138" s="6"/>
      <c r="E138" s="6" t="s">
        <v>84</v>
      </c>
      <c r="F138" s="6"/>
      <c r="G138" s="29" t="s">
        <v>327</v>
      </c>
      <c r="I138" s="17">
        <v>0.10100000000000001</v>
      </c>
      <c r="K138" s="30">
        <v>43971</v>
      </c>
      <c r="L138" s="6"/>
      <c r="M138" s="11" t="s">
        <v>34</v>
      </c>
      <c r="O138" s="9">
        <v>9.4500000000000001E-2</v>
      </c>
      <c r="Q138" s="14">
        <f t="shared" si="8"/>
        <v>-65.000000000000057</v>
      </c>
      <c r="S138" s="15" t="s">
        <v>35</v>
      </c>
      <c r="U138" s="9">
        <v>7.1900000000000006E-2</v>
      </c>
      <c r="V138" s="9"/>
      <c r="W138" s="9">
        <v>0.54769999999999996</v>
      </c>
      <c r="Y138" s="9">
        <f t="shared" si="9"/>
        <v>5.1757649999999995E-2</v>
      </c>
    </row>
    <row r="139" spans="1:27" x14ac:dyDescent="0.25">
      <c r="A139" s="13" t="s">
        <v>193</v>
      </c>
      <c r="C139" s="6" t="s">
        <v>328</v>
      </c>
      <c r="D139" s="6"/>
      <c r="E139" s="6" t="s">
        <v>175</v>
      </c>
      <c r="F139" s="6"/>
      <c r="G139" s="29">
        <v>45253</v>
      </c>
      <c r="I139" s="17">
        <v>0.104</v>
      </c>
      <c r="K139" s="30">
        <v>44011</v>
      </c>
      <c r="L139" s="30">
        <v>44011</v>
      </c>
      <c r="M139" s="11" t="s">
        <v>34</v>
      </c>
      <c r="O139" s="9">
        <v>9.7000000000000003E-2</v>
      </c>
      <c r="Q139" s="14">
        <f t="shared" si="8"/>
        <v>-69.999999999999929</v>
      </c>
      <c r="S139" s="15" t="s">
        <v>45</v>
      </c>
      <c r="U139" s="9">
        <v>5.7099999999999998E-2</v>
      </c>
      <c r="V139" s="9"/>
      <c r="W139" s="9">
        <v>0.4098</v>
      </c>
      <c r="Y139" s="9">
        <f t="shared" si="9"/>
        <v>3.9750600000000004E-2</v>
      </c>
    </row>
    <row r="140" spans="1:27" x14ac:dyDescent="0.25">
      <c r="A140" s="13" t="s">
        <v>72</v>
      </c>
      <c r="C140" s="6" t="s">
        <v>73</v>
      </c>
      <c r="D140" s="6"/>
      <c r="E140" s="7" t="s">
        <v>74</v>
      </c>
      <c r="F140" s="6"/>
      <c r="G140" s="29" t="s">
        <v>329</v>
      </c>
      <c r="I140" s="17">
        <v>0.1</v>
      </c>
      <c r="K140" s="30">
        <v>44012</v>
      </c>
      <c r="L140" s="30">
        <v>44012</v>
      </c>
      <c r="M140" s="11" t="s">
        <v>40</v>
      </c>
      <c r="O140" s="9">
        <v>9.0999999999999998E-2</v>
      </c>
      <c r="Q140" s="14">
        <f t="shared" si="8"/>
        <v>-90.000000000000085</v>
      </c>
      <c r="S140" s="15" t="s">
        <v>35</v>
      </c>
      <c r="U140" s="9">
        <v>7.5999999999999998E-2</v>
      </c>
      <c r="V140" s="9"/>
      <c r="W140" s="9">
        <v>0.52</v>
      </c>
      <c r="Y140" s="9">
        <f t="shared" si="9"/>
        <v>4.7320000000000001E-2</v>
      </c>
    </row>
    <row r="141" spans="1:27" x14ac:dyDescent="0.25">
      <c r="A141" s="13" t="s">
        <v>79</v>
      </c>
      <c r="C141" s="6" t="s">
        <v>330</v>
      </c>
      <c r="D141" s="6"/>
      <c r="E141" s="7" t="s">
        <v>74</v>
      </c>
      <c r="F141" s="6"/>
      <c r="G141" s="29" t="s">
        <v>331</v>
      </c>
      <c r="I141" s="17">
        <v>9.9500000000000005E-2</v>
      </c>
      <c r="K141" s="30">
        <v>44013</v>
      </c>
      <c r="L141" s="30"/>
      <c r="M141" s="11" t="s">
        <v>34</v>
      </c>
      <c r="O141" s="9">
        <v>9.2499999999999999E-2</v>
      </c>
      <c r="Q141" s="14">
        <f t="shared" si="8"/>
        <v>-70.000000000000057</v>
      </c>
      <c r="S141" s="15" t="s">
        <v>35</v>
      </c>
      <c r="U141" s="9">
        <v>6.7699999999999996E-2</v>
      </c>
      <c r="V141" s="9"/>
      <c r="W141" s="9">
        <v>0.46</v>
      </c>
      <c r="Y141" s="9">
        <f t="shared" si="9"/>
        <v>4.2550000000000004E-2</v>
      </c>
    </row>
    <row r="142" spans="1:27" x14ac:dyDescent="0.25">
      <c r="A142" s="13" t="s">
        <v>131</v>
      </c>
      <c r="C142" s="6" t="s">
        <v>132</v>
      </c>
      <c r="D142" s="6"/>
      <c r="E142" s="6"/>
      <c r="F142" s="6"/>
      <c r="G142" s="29" t="s">
        <v>332</v>
      </c>
      <c r="I142" s="17">
        <v>9.5000000000000001E-2</v>
      </c>
      <c r="K142" s="30">
        <v>44020</v>
      </c>
      <c r="L142" s="30">
        <v>44020</v>
      </c>
      <c r="M142" s="11" t="s">
        <v>34</v>
      </c>
      <c r="O142" s="9">
        <v>9.4E-2</v>
      </c>
      <c r="Q142" s="14">
        <f t="shared" si="8"/>
        <v>-10.000000000000009</v>
      </c>
      <c r="S142" s="15" t="s">
        <v>45</v>
      </c>
      <c r="U142" s="9">
        <v>7.3899999999999993E-2</v>
      </c>
      <c r="V142" s="9"/>
      <c r="W142" s="9">
        <v>0.48499999999999999</v>
      </c>
      <c r="Y142" s="9">
        <f t="shared" si="9"/>
        <v>4.5589999999999999E-2</v>
      </c>
    </row>
    <row r="143" spans="1:27" x14ac:dyDescent="0.25">
      <c r="A143" s="13" t="s">
        <v>46</v>
      </c>
      <c r="C143" s="6" t="s">
        <v>47</v>
      </c>
      <c r="D143" s="6"/>
      <c r="E143" s="7" t="s">
        <v>48</v>
      </c>
      <c r="F143" s="6"/>
      <c r="G143" s="29">
        <v>9630</v>
      </c>
      <c r="I143" s="17">
        <v>0.10299999999999999</v>
      </c>
      <c r="K143" s="30">
        <v>44026</v>
      </c>
      <c r="L143" s="30">
        <v>44026</v>
      </c>
      <c r="M143" s="11" t="s">
        <v>40</v>
      </c>
      <c r="O143" s="9">
        <v>9.6000000000000002E-2</v>
      </c>
      <c r="Q143" s="14">
        <f t="shared" si="8"/>
        <v>-69.999999999999929</v>
      </c>
      <c r="S143" s="15" t="s">
        <v>45</v>
      </c>
      <c r="U143" s="9">
        <v>6.8400000000000002E-2</v>
      </c>
      <c r="V143" s="9"/>
      <c r="W143" s="9">
        <v>0.50529999999999997</v>
      </c>
      <c r="Y143" s="9">
        <f t="shared" si="9"/>
        <v>4.8508799999999998E-2</v>
      </c>
    </row>
    <row r="144" spans="1:27" x14ac:dyDescent="0.25">
      <c r="A144" s="38" t="s">
        <v>196</v>
      </c>
      <c r="B144" s="39" t="s">
        <v>333</v>
      </c>
      <c r="C144" s="38" t="s">
        <v>206</v>
      </c>
      <c r="D144" s="38" t="s">
        <v>333</v>
      </c>
      <c r="E144" s="38" t="s">
        <v>198</v>
      </c>
      <c r="F144" s="38" t="s">
        <v>333</v>
      </c>
      <c r="G144" s="38" t="s">
        <v>334</v>
      </c>
      <c r="H144" s="39" t="s">
        <v>333</v>
      </c>
      <c r="I144" s="40">
        <v>0.105</v>
      </c>
      <c r="J144" s="38" t="s">
        <v>333</v>
      </c>
      <c r="K144" s="41">
        <v>44040</v>
      </c>
      <c r="L144" s="38" t="s">
        <v>333</v>
      </c>
      <c r="M144" s="42" t="s">
        <v>34</v>
      </c>
      <c r="N144" s="39" t="s">
        <v>333</v>
      </c>
      <c r="O144" s="40">
        <v>9.5000000000000001E-2</v>
      </c>
      <c r="P144" s="43" t="s">
        <v>333</v>
      </c>
      <c r="Q144" s="14">
        <f t="shared" si="8"/>
        <v>-99.999999999999943</v>
      </c>
      <c r="R144" s="39" t="s">
        <v>333</v>
      </c>
      <c r="S144" s="44" t="s">
        <v>35</v>
      </c>
      <c r="T144" s="39" t="s">
        <v>333</v>
      </c>
      <c r="U144" s="40">
        <v>7.5200000000000003E-2</v>
      </c>
      <c r="V144" s="45" t="s">
        <v>333</v>
      </c>
      <c r="W144" s="40">
        <v>0.56830000000000003</v>
      </c>
      <c r="X144" s="39" t="s">
        <v>333</v>
      </c>
      <c r="Y144" s="9">
        <f t="shared" si="9"/>
        <v>5.3988500000000002E-2</v>
      </c>
      <c r="Z144" s="39"/>
      <c r="AA144" s="39"/>
    </row>
    <row r="145" spans="1:27" x14ac:dyDescent="0.25">
      <c r="A145" s="43" t="s">
        <v>109</v>
      </c>
      <c r="B145" s="39" t="s">
        <v>335</v>
      </c>
      <c r="C145" s="45" t="s">
        <v>336</v>
      </c>
      <c r="D145" s="45" t="s">
        <v>333</v>
      </c>
      <c r="E145" s="45" t="s">
        <v>74</v>
      </c>
      <c r="F145" s="45" t="s">
        <v>333</v>
      </c>
      <c r="G145" s="45" t="s">
        <v>337</v>
      </c>
      <c r="H145" s="39" t="s">
        <v>333</v>
      </c>
      <c r="I145" s="40">
        <v>0.10299999999999999</v>
      </c>
      <c r="J145" s="45" t="s">
        <v>333</v>
      </c>
      <c r="K145" s="46">
        <v>44070</v>
      </c>
      <c r="L145" s="45" t="s">
        <v>333</v>
      </c>
      <c r="M145" s="42" t="s">
        <v>34</v>
      </c>
      <c r="N145" s="39" t="s">
        <v>333</v>
      </c>
      <c r="O145" s="40">
        <v>0.1</v>
      </c>
      <c r="P145" s="45" t="s">
        <v>333</v>
      </c>
      <c r="Q145" s="14">
        <f t="shared" si="8"/>
        <v>-29.999999999999886</v>
      </c>
      <c r="R145" s="39" t="s">
        <v>333</v>
      </c>
      <c r="S145" s="44" t="s">
        <v>45</v>
      </c>
      <c r="T145" s="39" t="s">
        <v>333</v>
      </c>
      <c r="U145" s="40">
        <v>7.6300000000000007E-2</v>
      </c>
      <c r="V145" s="45" t="s">
        <v>333</v>
      </c>
      <c r="W145" s="40">
        <v>0.52500000000000002</v>
      </c>
      <c r="X145" s="39" t="s">
        <v>333</v>
      </c>
      <c r="Y145" s="9">
        <f t="shared" si="9"/>
        <v>5.2500000000000005E-2</v>
      </c>
      <c r="Z145" s="39"/>
      <c r="AA145" s="39"/>
    </row>
    <row r="146" spans="1:27" x14ac:dyDescent="0.25">
      <c r="A146" s="45" t="s">
        <v>155</v>
      </c>
      <c r="B146" s="39" t="s">
        <v>333</v>
      </c>
      <c r="C146" s="45" t="s">
        <v>244</v>
      </c>
      <c r="D146" s="45" t="s">
        <v>333</v>
      </c>
      <c r="E146" s="45" t="s">
        <v>333</v>
      </c>
      <c r="F146" s="45" t="s">
        <v>333</v>
      </c>
      <c r="G146" s="45" t="s">
        <v>338</v>
      </c>
      <c r="H146" s="39" t="s">
        <v>333</v>
      </c>
      <c r="I146" s="40">
        <v>8.2000000000000003E-2</v>
      </c>
      <c r="J146" s="45" t="s">
        <v>333</v>
      </c>
      <c r="K146" s="46">
        <v>44070</v>
      </c>
      <c r="L146" s="45" t="s">
        <v>333</v>
      </c>
      <c r="M146" s="42" t="s">
        <v>34</v>
      </c>
      <c r="N146" s="39" t="s">
        <v>333</v>
      </c>
      <c r="O146" s="40">
        <v>8.2000000000000003E-2</v>
      </c>
      <c r="P146" s="45" t="s">
        <v>333</v>
      </c>
      <c r="Q146" s="14">
        <f t="shared" si="8"/>
        <v>0</v>
      </c>
      <c r="R146" s="39" t="s">
        <v>333</v>
      </c>
      <c r="S146" s="44" t="s">
        <v>45</v>
      </c>
      <c r="T146" s="39" t="s">
        <v>333</v>
      </c>
      <c r="U146" s="40">
        <v>6.4299999999999996E-2</v>
      </c>
      <c r="V146" s="45" t="s">
        <v>333</v>
      </c>
      <c r="W146" s="40">
        <v>0.49869999999999998</v>
      </c>
      <c r="X146" s="39" t="s">
        <v>333</v>
      </c>
      <c r="Y146" s="9">
        <f t="shared" si="9"/>
        <v>4.0893399999999996E-2</v>
      </c>
      <c r="Z146" s="39"/>
      <c r="AA146" s="39"/>
    </row>
    <row r="147" spans="1:27" x14ac:dyDescent="0.25">
      <c r="A147" s="45" t="s">
        <v>106</v>
      </c>
      <c r="B147" s="39"/>
      <c r="C147" s="45" t="s">
        <v>213</v>
      </c>
      <c r="D147" s="45"/>
      <c r="E147" s="45" t="s">
        <v>84</v>
      </c>
      <c r="F147" s="45"/>
      <c r="G147" s="47">
        <v>49831</v>
      </c>
      <c r="H147" s="39"/>
      <c r="I147" s="40">
        <v>0.10100000000000001</v>
      </c>
      <c r="J147" s="45"/>
      <c r="K147" s="46">
        <v>44070</v>
      </c>
      <c r="L147" s="45"/>
      <c r="M147" s="42" t="s">
        <v>34</v>
      </c>
      <c r="N147" s="39"/>
      <c r="O147" s="40">
        <v>9.4500000000000001E-2</v>
      </c>
      <c r="P147" s="45"/>
      <c r="Q147" s="14">
        <f t="shared" si="8"/>
        <v>-65.000000000000057</v>
      </c>
      <c r="R147" s="39"/>
      <c r="S147" s="44" t="s">
        <v>35</v>
      </c>
      <c r="T147" s="39"/>
      <c r="U147" s="40">
        <v>7.1300000000000002E-2</v>
      </c>
      <c r="V147" s="45"/>
      <c r="W147" s="40">
        <v>0.54620000000000002</v>
      </c>
      <c r="X147" s="39"/>
      <c r="Y147" s="9">
        <f t="shared" si="9"/>
        <v>5.1615899999999999E-2</v>
      </c>
      <c r="Z147" s="39"/>
      <c r="AA147" s="39"/>
    </row>
    <row r="148" spans="1:27" x14ac:dyDescent="0.25">
      <c r="A148" s="45" t="s">
        <v>196</v>
      </c>
      <c r="B148" s="39" t="s">
        <v>333</v>
      </c>
      <c r="C148" s="45" t="s">
        <v>197</v>
      </c>
      <c r="D148" s="45" t="s">
        <v>333</v>
      </c>
      <c r="E148" s="45" t="s">
        <v>198</v>
      </c>
      <c r="F148" s="45" t="s">
        <v>333</v>
      </c>
      <c r="G148" s="45" t="s">
        <v>339</v>
      </c>
      <c r="H148" s="39" t="s">
        <v>333</v>
      </c>
      <c r="I148" s="40">
        <v>0.105</v>
      </c>
      <c r="J148" s="45" t="s">
        <v>333</v>
      </c>
      <c r="K148" s="46">
        <v>44126</v>
      </c>
      <c r="L148" s="45" t="s">
        <v>333</v>
      </c>
      <c r="M148" s="42" t="s">
        <v>34</v>
      </c>
      <c r="N148" s="39" t="s">
        <v>333</v>
      </c>
      <c r="O148" s="40">
        <v>9.5000000000000001E-2</v>
      </c>
      <c r="P148" s="45" t="s">
        <v>333</v>
      </c>
      <c r="Q148" s="14">
        <f t="shared" si="8"/>
        <v>-99.999999999999943</v>
      </c>
      <c r="R148" s="39" t="s">
        <v>333</v>
      </c>
      <c r="S148" s="44" t="s">
        <v>35</v>
      </c>
      <c r="T148" s="39" t="s">
        <v>333</v>
      </c>
      <c r="U148" s="40">
        <v>7.3700000000000002E-2</v>
      </c>
      <c r="V148" s="45" t="s">
        <v>333</v>
      </c>
      <c r="W148" s="40">
        <v>0.56830000000000003</v>
      </c>
      <c r="X148" s="39" t="s">
        <v>333</v>
      </c>
      <c r="Y148" s="9">
        <f t="shared" si="9"/>
        <v>5.3988500000000002E-2</v>
      </c>
      <c r="Z148" s="39"/>
      <c r="AA148" s="39"/>
    </row>
    <row r="149" spans="1:27" x14ac:dyDescent="0.25">
      <c r="A149" s="43" t="s">
        <v>49</v>
      </c>
      <c r="B149" s="39" t="s">
        <v>333</v>
      </c>
      <c r="C149" s="45" t="s">
        <v>340</v>
      </c>
      <c r="D149" s="45" t="s">
        <v>333</v>
      </c>
      <c r="E149" s="45" t="s">
        <v>256</v>
      </c>
      <c r="F149" s="45" t="s">
        <v>333</v>
      </c>
      <c r="G149" s="45" t="s">
        <v>341</v>
      </c>
      <c r="H149" s="39" t="s">
        <v>333</v>
      </c>
      <c r="I149" s="40">
        <v>0.10150000000000001</v>
      </c>
      <c r="J149" s="45" t="s">
        <v>333</v>
      </c>
      <c r="K149" s="46">
        <v>44132</v>
      </c>
      <c r="L149" s="45" t="s">
        <v>333</v>
      </c>
      <c r="M149" s="42" t="s">
        <v>40</v>
      </c>
      <c r="N149" s="39" t="s">
        <v>333</v>
      </c>
      <c r="O149" s="40">
        <v>9.6000000000000002E-2</v>
      </c>
      <c r="P149" s="45" t="s">
        <v>333</v>
      </c>
      <c r="Q149" s="14">
        <f t="shared" si="8"/>
        <v>-55.00000000000005</v>
      </c>
      <c r="R149" s="39" t="s">
        <v>333</v>
      </c>
      <c r="S149" s="44" t="s">
        <v>35</v>
      </c>
      <c r="T149" s="39" t="s">
        <v>333</v>
      </c>
      <c r="U149" s="40">
        <v>7.3999999999999996E-2</v>
      </c>
      <c r="V149" s="45" t="s">
        <v>333</v>
      </c>
      <c r="W149" s="40">
        <v>0.51439999999999997</v>
      </c>
      <c r="X149" s="39" t="s">
        <v>333</v>
      </c>
      <c r="Y149" s="9">
        <f t="shared" si="9"/>
        <v>4.93824E-2</v>
      </c>
      <c r="Z149" s="39"/>
      <c r="AA149" s="39"/>
    </row>
    <row r="150" spans="1:27" x14ac:dyDescent="0.25">
      <c r="A150" s="45" t="s">
        <v>36</v>
      </c>
      <c r="B150" s="39"/>
      <c r="C150" s="45" t="s">
        <v>342</v>
      </c>
      <c r="D150" s="45"/>
      <c r="E150" s="45" t="s">
        <v>317</v>
      </c>
      <c r="F150" s="45"/>
      <c r="G150" s="45" t="s">
        <v>343</v>
      </c>
      <c r="H150" s="39"/>
      <c r="I150" s="40">
        <v>9.5000000000000001E-2</v>
      </c>
      <c r="J150" s="45"/>
      <c r="K150" s="46">
        <v>44154</v>
      </c>
      <c r="L150" s="45"/>
      <c r="M150" s="42" t="s">
        <v>40</v>
      </c>
      <c r="N150" s="39"/>
      <c r="O150" s="40">
        <v>8.7999999999999995E-2</v>
      </c>
      <c r="P150" s="45"/>
      <c r="Q150" s="14">
        <f t="shared" si="8"/>
        <v>-70.000000000000057</v>
      </c>
      <c r="R150" s="39"/>
      <c r="S150" s="44" t="s">
        <v>35</v>
      </c>
      <c r="T150" s="39"/>
      <c r="U150" s="40">
        <v>6.0999999999999999E-2</v>
      </c>
      <c r="V150" s="45"/>
      <c r="W150" s="40">
        <v>0.48</v>
      </c>
      <c r="X150" s="39"/>
      <c r="Y150" s="9">
        <f t="shared" si="9"/>
        <v>4.2239999999999993E-2</v>
      </c>
      <c r="Z150" s="39"/>
      <c r="AA150" s="39"/>
    </row>
    <row r="151" spans="1:27" x14ac:dyDescent="0.25">
      <c r="A151" s="45" t="s">
        <v>36</v>
      </c>
      <c r="B151" s="39"/>
      <c r="C151" s="45" t="s">
        <v>344</v>
      </c>
      <c r="D151" s="45"/>
      <c r="E151" s="45" t="s">
        <v>317</v>
      </c>
      <c r="F151" s="45"/>
      <c r="G151" s="45" t="s">
        <v>345</v>
      </c>
      <c r="H151" s="39"/>
      <c r="I151" s="40">
        <v>9.5000000000000001E-2</v>
      </c>
      <c r="J151" s="45"/>
      <c r="K151" s="46">
        <v>44154</v>
      </c>
      <c r="L151" s="45"/>
      <c r="M151" s="42" t="s">
        <v>40</v>
      </c>
      <c r="N151" s="39"/>
      <c r="O151" s="40">
        <v>8.7999999999999995E-2</v>
      </c>
      <c r="P151" s="45"/>
      <c r="Q151" s="14">
        <f t="shared" si="8"/>
        <v>-70.000000000000057</v>
      </c>
      <c r="R151" s="39"/>
      <c r="S151" s="44" t="s">
        <v>35</v>
      </c>
      <c r="T151" s="39"/>
      <c r="U151" s="40">
        <v>6.6199999999999995E-2</v>
      </c>
      <c r="V151" s="45"/>
      <c r="W151" s="40">
        <v>0.48</v>
      </c>
      <c r="X151" s="39"/>
      <c r="Y151" s="9">
        <f t="shared" si="9"/>
        <v>4.2239999999999993E-2</v>
      </c>
      <c r="Z151" s="39"/>
      <c r="AA151" s="39"/>
    </row>
    <row r="152" spans="1:27" x14ac:dyDescent="0.25">
      <c r="A152" s="45" t="s">
        <v>346</v>
      </c>
      <c r="B152" s="39"/>
      <c r="C152" s="45" t="s">
        <v>248</v>
      </c>
      <c r="D152" s="45"/>
      <c r="E152" s="45" t="s">
        <v>146</v>
      </c>
      <c r="F152" s="45"/>
      <c r="G152" s="45" t="s">
        <v>347</v>
      </c>
      <c r="H152" s="39"/>
      <c r="I152" s="40">
        <v>9.9000000000000005E-2</v>
      </c>
      <c r="J152" s="45"/>
      <c r="K152" s="46">
        <v>44159</v>
      </c>
      <c r="L152" s="45"/>
      <c r="M152" s="42" t="s">
        <v>34</v>
      </c>
      <c r="N152" s="39"/>
      <c r="O152" s="40">
        <v>9.1999999999999998E-2</v>
      </c>
      <c r="P152" s="45"/>
      <c r="Q152" s="14">
        <f t="shared" si="8"/>
        <v>-70.000000000000057</v>
      </c>
      <c r="R152" s="39"/>
      <c r="S152" s="44" t="s">
        <v>45</v>
      </c>
      <c r="T152" s="39"/>
      <c r="U152" s="48" t="s">
        <v>71</v>
      </c>
      <c r="V152" s="45"/>
      <c r="W152" s="48" t="s">
        <v>71</v>
      </c>
      <c r="X152" s="39"/>
      <c r="Y152" s="48" t="s">
        <v>71</v>
      </c>
      <c r="Z152" s="39"/>
      <c r="AA152" s="39"/>
    </row>
    <row r="153" spans="1:27" x14ac:dyDescent="0.25">
      <c r="A153" s="45" t="s">
        <v>140</v>
      </c>
      <c r="B153" s="39"/>
      <c r="C153" s="45" t="s">
        <v>217</v>
      </c>
      <c r="D153" s="45"/>
      <c r="E153" s="45" t="s">
        <v>218</v>
      </c>
      <c r="F153" s="45"/>
      <c r="G153" s="45" t="s">
        <v>348</v>
      </c>
      <c r="H153" s="39"/>
      <c r="I153" s="40">
        <v>9.8000000000000004E-2</v>
      </c>
      <c r="J153" s="45"/>
      <c r="K153" s="46">
        <v>44159</v>
      </c>
      <c r="L153" s="45"/>
      <c r="M153" s="42" t="s">
        <v>34</v>
      </c>
      <c r="N153" s="39"/>
      <c r="O153" s="40">
        <v>9.8000000000000004E-2</v>
      </c>
      <c r="P153" s="45"/>
      <c r="Q153" s="14">
        <f t="shared" si="8"/>
        <v>0</v>
      </c>
      <c r="R153" s="39"/>
      <c r="S153" s="44" t="s">
        <v>35</v>
      </c>
      <c r="T153" s="39"/>
      <c r="U153" s="48">
        <v>6.9500000000000006E-2</v>
      </c>
      <c r="V153" s="45"/>
      <c r="W153" s="48">
        <v>0.55000000000000004</v>
      </c>
      <c r="X153" s="39"/>
      <c r="Y153" s="9">
        <f>W153*O153</f>
        <v>5.3900000000000003E-2</v>
      </c>
      <c r="Z153" s="39"/>
      <c r="AA153" s="39"/>
    </row>
    <row r="154" spans="1:27" x14ac:dyDescent="0.25">
      <c r="A154" s="45" t="s">
        <v>134</v>
      </c>
      <c r="B154" s="39"/>
      <c r="C154" s="45" t="s">
        <v>135</v>
      </c>
      <c r="D154" s="45"/>
      <c r="E154" s="45" t="s">
        <v>136</v>
      </c>
      <c r="F154" s="45"/>
      <c r="G154" s="45" t="s">
        <v>349</v>
      </c>
      <c r="H154" s="39"/>
      <c r="I154" s="40">
        <v>8.3799999999999999E-2</v>
      </c>
      <c r="J154" s="45"/>
      <c r="K154" s="46">
        <v>44174</v>
      </c>
      <c r="L154" s="45"/>
      <c r="M154" s="42" t="s">
        <v>40</v>
      </c>
      <c r="N154" s="39"/>
      <c r="O154" s="40">
        <v>8.3799999999999999E-2</v>
      </c>
      <c r="P154" s="45"/>
      <c r="Q154" s="14">
        <f t="shared" si="8"/>
        <v>0</v>
      </c>
      <c r="R154" s="39"/>
      <c r="S154" s="44" t="s">
        <v>45</v>
      </c>
      <c r="T154" s="39"/>
      <c r="U154" s="48">
        <v>6.3899999999999998E-2</v>
      </c>
      <c r="V154" s="45"/>
      <c r="W154" s="48">
        <v>0.5</v>
      </c>
      <c r="X154" s="39"/>
      <c r="Y154" s="9">
        <f>W154*O154</f>
        <v>4.19E-2</v>
      </c>
      <c r="Z154" s="39"/>
      <c r="AA154" s="39"/>
    </row>
    <row r="155" spans="1:27" x14ac:dyDescent="0.25">
      <c r="A155" s="45" t="s">
        <v>134</v>
      </c>
      <c r="B155" s="39"/>
      <c r="C155" s="45" t="s">
        <v>138</v>
      </c>
      <c r="D155" s="45"/>
      <c r="E155" s="45" t="s">
        <v>48</v>
      </c>
      <c r="F155" s="45"/>
      <c r="G155" s="45" t="s">
        <v>350</v>
      </c>
      <c r="H155" s="39"/>
      <c r="I155" s="40">
        <v>8.3799999999999999E-2</v>
      </c>
      <c r="J155" s="45"/>
      <c r="K155" s="46">
        <v>44174</v>
      </c>
      <c r="L155" s="45"/>
      <c r="M155" s="42" t="s">
        <v>40</v>
      </c>
      <c r="N155" s="39"/>
      <c r="O155" s="40">
        <v>8.3799999999999999E-2</v>
      </c>
      <c r="P155" s="45"/>
      <c r="Q155" s="14">
        <f t="shared" si="8"/>
        <v>0</v>
      </c>
      <c r="R155" s="39"/>
      <c r="S155" s="44" t="s">
        <v>45</v>
      </c>
      <c r="T155" s="39"/>
      <c r="U155" s="48">
        <v>6.2799999999999995E-2</v>
      </c>
      <c r="V155" s="45"/>
      <c r="W155" s="48">
        <v>0.48159999999999997</v>
      </c>
      <c r="X155" s="39"/>
      <c r="Y155" s="9">
        <f>W155*O155</f>
        <v>4.0358079999999998E-2</v>
      </c>
      <c r="Z155" s="39"/>
      <c r="AA155" s="39"/>
    </row>
    <row r="156" spans="1:27" x14ac:dyDescent="0.25">
      <c r="A156" s="45" t="s">
        <v>161</v>
      </c>
      <c r="B156" s="39"/>
      <c r="C156" s="45" t="s">
        <v>162</v>
      </c>
      <c r="D156" s="45"/>
      <c r="E156" s="45" t="s">
        <v>163</v>
      </c>
      <c r="F156" s="45"/>
      <c r="G156" s="45" t="s">
        <v>351</v>
      </c>
      <c r="H156" s="39"/>
      <c r="I156" s="40">
        <v>0.1008</v>
      </c>
      <c r="J156" s="45"/>
      <c r="K156" s="46">
        <v>44175</v>
      </c>
      <c r="L156" s="45"/>
      <c r="M156" s="42" t="s">
        <v>34</v>
      </c>
      <c r="N156" s="39"/>
      <c r="O156" s="40">
        <v>9.4E-2</v>
      </c>
      <c r="P156" s="45"/>
      <c r="Q156" s="14">
        <f t="shared" si="8"/>
        <v>-68</v>
      </c>
      <c r="R156" s="39"/>
      <c r="S156" s="44" t="s">
        <v>35</v>
      </c>
      <c r="T156" s="39"/>
      <c r="U156" s="48">
        <v>7.1400000000000005E-2</v>
      </c>
      <c r="V156" s="45"/>
      <c r="W156" s="48" t="s">
        <v>71</v>
      </c>
      <c r="X156" s="39"/>
      <c r="Y156" s="48" t="s">
        <v>71</v>
      </c>
      <c r="Z156" s="39"/>
      <c r="AA156" s="39"/>
    </row>
    <row r="157" spans="1:27" x14ac:dyDescent="0.25">
      <c r="A157" s="45" t="s">
        <v>131</v>
      </c>
      <c r="B157" s="39"/>
      <c r="C157" s="45" t="s">
        <v>309</v>
      </c>
      <c r="D157" s="45"/>
      <c r="E157" s="45" t="s">
        <v>163</v>
      </c>
      <c r="F157" s="45"/>
      <c r="G157" s="45" t="s">
        <v>352</v>
      </c>
      <c r="H157" s="39"/>
      <c r="I157" s="40">
        <v>0.10199999999999999</v>
      </c>
      <c r="J157" s="45"/>
      <c r="K157" s="46">
        <v>44179</v>
      </c>
      <c r="L157" s="45"/>
      <c r="M157" s="42" t="s">
        <v>34</v>
      </c>
      <c r="N157" s="39"/>
      <c r="O157" s="40">
        <v>9.5000000000000001E-2</v>
      </c>
      <c r="P157" s="45"/>
      <c r="Q157" s="14">
        <f t="shared" si="8"/>
        <v>-69.999999999999929</v>
      </c>
      <c r="R157" s="39"/>
      <c r="S157" s="44" t="s">
        <v>35</v>
      </c>
      <c r="T157" s="39"/>
      <c r="U157" s="48">
        <v>7.17E-2</v>
      </c>
      <c r="V157" s="45"/>
      <c r="W157" s="48">
        <v>0.49099999999999999</v>
      </c>
      <c r="X157" s="39"/>
      <c r="Y157" s="9">
        <f>W157*O157</f>
        <v>4.6644999999999999E-2</v>
      </c>
      <c r="Z157" s="39"/>
      <c r="AA157" s="39"/>
    </row>
    <row r="158" spans="1:27" x14ac:dyDescent="0.25">
      <c r="A158" s="45" t="s">
        <v>72</v>
      </c>
      <c r="B158" s="39"/>
      <c r="C158" s="45" t="s">
        <v>353</v>
      </c>
      <c r="D158" s="45"/>
      <c r="E158" s="45" t="s">
        <v>128</v>
      </c>
      <c r="F158" s="45"/>
      <c r="G158" s="45" t="s">
        <v>354</v>
      </c>
      <c r="H158" s="39"/>
      <c r="I158" s="40">
        <v>0.104</v>
      </c>
      <c r="J158" s="45"/>
      <c r="K158" s="46">
        <v>44180</v>
      </c>
      <c r="L158" s="45"/>
      <c r="M158" s="42" t="s">
        <v>40</v>
      </c>
      <c r="N158" s="39"/>
      <c r="O158" s="40">
        <v>9.2999999999999999E-2</v>
      </c>
      <c r="P158" s="45"/>
      <c r="Q158" s="14">
        <f t="shared" si="8"/>
        <v>-109.99999999999996</v>
      </c>
      <c r="R158" s="39"/>
      <c r="S158" s="44" t="s">
        <v>35</v>
      </c>
      <c r="T158" s="39"/>
      <c r="U158" s="48">
        <v>6.8699999999999997E-2</v>
      </c>
      <c r="V158" s="45"/>
      <c r="W158" s="48">
        <v>0.54400000000000004</v>
      </c>
      <c r="X158" s="39"/>
      <c r="Y158" s="9">
        <f>W158*O158</f>
        <v>5.0592000000000005E-2</v>
      </c>
      <c r="Z158" s="39"/>
      <c r="AA158" s="39"/>
    </row>
    <row r="159" spans="1:27" x14ac:dyDescent="0.25">
      <c r="A159" s="45" t="s">
        <v>46</v>
      </c>
      <c r="B159" s="39"/>
      <c r="C159" s="45" t="s">
        <v>297</v>
      </c>
      <c r="D159" s="45"/>
      <c r="E159" s="45" t="s">
        <v>48</v>
      </c>
      <c r="F159" s="45"/>
      <c r="G159" s="45">
        <v>9645</v>
      </c>
      <c r="H159" s="39"/>
      <c r="I159" s="40">
        <v>0.10100000000000001</v>
      </c>
      <c r="J159" s="45"/>
      <c r="K159" s="46">
        <v>44181</v>
      </c>
      <c r="L159" s="45"/>
      <c r="M159" s="42" t="s">
        <v>40</v>
      </c>
      <c r="N159" s="39"/>
      <c r="O159" s="40">
        <v>9.5000000000000001E-2</v>
      </c>
      <c r="P159" s="45"/>
      <c r="Q159" s="14">
        <f t="shared" si="8"/>
        <v>-60.000000000000057</v>
      </c>
      <c r="R159" s="39"/>
      <c r="S159" s="44" t="s">
        <v>45</v>
      </c>
      <c r="T159" s="39"/>
      <c r="U159" s="48">
        <v>6.7500000000000004E-2</v>
      </c>
      <c r="V159" s="45"/>
      <c r="W159" s="48">
        <v>0.52</v>
      </c>
      <c r="X159" s="39"/>
      <c r="Y159" s="9">
        <f>W159*O159</f>
        <v>4.9399999999999999E-2</v>
      </c>
      <c r="Z159" s="39"/>
      <c r="AA159" s="39"/>
    </row>
    <row r="160" spans="1:27" x14ac:dyDescent="0.25">
      <c r="A160" s="45" t="s">
        <v>41</v>
      </c>
      <c r="B160" s="39"/>
      <c r="C160" s="45" t="s">
        <v>56</v>
      </c>
      <c r="D160" s="45"/>
      <c r="E160" s="45" t="s">
        <v>57</v>
      </c>
      <c r="F160" s="45"/>
      <c r="G160" s="45" t="s">
        <v>355</v>
      </c>
      <c r="H160" s="39"/>
      <c r="I160" s="40">
        <v>0.105</v>
      </c>
      <c r="J160" s="45"/>
      <c r="K160" s="46">
        <v>44182</v>
      </c>
      <c r="L160" s="45"/>
      <c r="M160" s="42" t="s">
        <v>34</v>
      </c>
      <c r="N160" s="39"/>
      <c r="O160" s="40">
        <v>9.9000000000000005E-2</v>
      </c>
      <c r="P160" s="45"/>
      <c r="Q160" s="14">
        <f t="shared" si="8"/>
        <v>-59.999999999999915</v>
      </c>
      <c r="R160" s="39"/>
      <c r="S160" s="44" t="s">
        <v>45</v>
      </c>
      <c r="T160" s="39"/>
      <c r="U160" s="48">
        <v>5.67E-2</v>
      </c>
      <c r="V160" s="45"/>
      <c r="W160" s="48" t="s">
        <v>71</v>
      </c>
      <c r="X160" s="39"/>
      <c r="Y160" s="48" t="s">
        <v>71</v>
      </c>
      <c r="Z160" s="39"/>
      <c r="AA160" s="39"/>
    </row>
    <row r="161" spans="1:27" x14ac:dyDescent="0.25">
      <c r="A161" s="45" t="s">
        <v>147</v>
      </c>
      <c r="B161" s="39"/>
      <c r="C161" s="45" t="s">
        <v>309</v>
      </c>
      <c r="D161" s="45"/>
      <c r="E161" s="45" t="s">
        <v>163</v>
      </c>
      <c r="F161" s="45"/>
      <c r="G161" s="45" t="s">
        <v>356</v>
      </c>
      <c r="H161" s="39"/>
      <c r="I161" s="40">
        <v>9.8000000000000004E-2</v>
      </c>
      <c r="J161" s="45"/>
      <c r="K161" s="46">
        <v>44183</v>
      </c>
      <c r="L161" s="45"/>
      <c r="M161" s="42" t="s">
        <v>34</v>
      </c>
      <c r="N161" s="39"/>
      <c r="O161" s="40">
        <v>9.5000000000000001E-2</v>
      </c>
      <c r="P161" s="45"/>
      <c r="Q161" s="14">
        <f t="shared" si="8"/>
        <v>-30.000000000000028</v>
      </c>
      <c r="R161" s="39"/>
      <c r="S161" s="44" t="s">
        <v>45</v>
      </c>
      <c r="T161" s="39"/>
      <c r="U161" s="48">
        <v>7.1400000000000005E-2</v>
      </c>
      <c r="V161" s="45"/>
      <c r="W161" s="48">
        <v>0.5</v>
      </c>
      <c r="X161" s="39"/>
      <c r="Y161" s="9">
        <f>W161*O161</f>
        <v>4.7500000000000001E-2</v>
      </c>
      <c r="Z161" s="39"/>
      <c r="AA161" s="39"/>
    </row>
    <row r="162" spans="1:27" x14ac:dyDescent="0.25">
      <c r="A162" s="45" t="s">
        <v>52</v>
      </c>
      <c r="B162" s="39"/>
      <c r="C162" s="45" t="s">
        <v>53</v>
      </c>
      <c r="D162" s="45"/>
      <c r="E162" s="45" t="s">
        <v>54</v>
      </c>
      <c r="F162" s="45"/>
      <c r="G162" s="45" t="s">
        <v>357</v>
      </c>
      <c r="H162" s="39"/>
      <c r="I162" s="40">
        <v>0.1</v>
      </c>
      <c r="J162" s="45"/>
      <c r="K162" s="46">
        <v>44187</v>
      </c>
      <c r="L162" s="45"/>
      <c r="M162" s="42" t="s">
        <v>34</v>
      </c>
      <c r="N162" s="39"/>
      <c r="O162" s="40">
        <v>9.1499999999999998E-2</v>
      </c>
      <c r="P162" s="45"/>
      <c r="Q162" s="14">
        <f t="shared" si="8"/>
        <v>-85.000000000000071</v>
      </c>
      <c r="R162" s="39"/>
      <c r="S162" s="44" t="s">
        <v>45</v>
      </c>
      <c r="T162" s="39"/>
      <c r="U162" s="48">
        <v>7.0400000000000004E-2</v>
      </c>
      <c r="V162" s="45"/>
      <c r="W162" s="48">
        <v>0.53080000000000005</v>
      </c>
      <c r="X162" s="39"/>
      <c r="Y162" s="9">
        <f>W162*O162</f>
        <v>4.8568200000000006E-2</v>
      </c>
      <c r="Z162" s="39"/>
      <c r="AA162" s="39"/>
    </row>
    <row r="163" spans="1:27" x14ac:dyDescent="0.25">
      <c r="A163" s="45" t="s">
        <v>140</v>
      </c>
      <c r="B163" s="39"/>
      <c r="C163" s="45" t="s">
        <v>215</v>
      </c>
      <c r="D163" s="45"/>
      <c r="E163" s="45" t="s">
        <v>171</v>
      </c>
      <c r="F163" s="45"/>
      <c r="G163" s="45" t="s">
        <v>358</v>
      </c>
      <c r="H163" s="39"/>
      <c r="I163" s="48" t="s">
        <v>71</v>
      </c>
      <c r="J163" s="45"/>
      <c r="K163" s="46">
        <v>44188</v>
      </c>
      <c r="L163" s="45"/>
      <c r="M163" s="42" t="s">
        <v>34</v>
      </c>
      <c r="N163" s="39"/>
      <c r="O163" s="40">
        <v>0.1</v>
      </c>
      <c r="P163" s="45"/>
      <c r="Q163" s="35" t="s">
        <v>71</v>
      </c>
      <c r="R163" s="39"/>
      <c r="S163" s="44" t="s">
        <v>45</v>
      </c>
      <c r="T163" s="39"/>
      <c r="U163" s="48">
        <v>7.2599999999999998E-2</v>
      </c>
      <c r="V163" s="45"/>
      <c r="W163" s="48">
        <v>0.52529999999999999</v>
      </c>
      <c r="X163" s="39"/>
      <c r="Y163" s="9">
        <f>W163*O163</f>
        <v>5.253E-2</v>
      </c>
      <c r="Z163" s="39"/>
      <c r="AA163" s="39"/>
    </row>
    <row r="164" spans="1:27" x14ac:dyDescent="0.25">
      <c r="A164" s="87" t="s">
        <v>359</v>
      </c>
      <c r="B164" s="88"/>
      <c r="C164" s="87" t="s">
        <v>309</v>
      </c>
      <c r="D164" s="87"/>
      <c r="E164" s="87" t="s">
        <v>163</v>
      </c>
      <c r="F164" s="87"/>
      <c r="G164" s="87" t="s">
        <v>360</v>
      </c>
      <c r="H164" s="88"/>
      <c r="I164" s="89">
        <v>9.8000000000000004E-2</v>
      </c>
      <c r="J164" s="87"/>
      <c r="K164" s="90">
        <v>44195</v>
      </c>
      <c r="L164" s="87"/>
      <c r="M164" s="91" t="s">
        <v>34</v>
      </c>
      <c r="N164" s="88"/>
      <c r="O164" s="89">
        <v>9.6500000000000002E-2</v>
      </c>
      <c r="P164" s="87"/>
      <c r="Q164" s="27">
        <f>(O164-I164)*10000</f>
        <v>-15.000000000000014</v>
      </c>
      <c r="R164" s="88"/>
      <c r="S164" s="92" t="s">
        <v>45</v>
      </c>
      <c r="T164" s="88"/>
      <c r="U164" s="93">
        <v>7.3400000000000007E-2</v>
      </c>
      <c r="V164" s="87"/>
      <c r="W164" s="93">
        <v>0.52500000000000002</v>
      </c>
      <c r="X164" s="88"/>
      <c r="Y164" s="22">
        <f>W164*O164</f>
        <v>5.0662500000000006E-2</v>
      </c>
      <c r="Z164" s="39"/>
      <c r="AA164" s="39"/>
    </row>
    <row r="165" spans="1:27" s="64" customFormat="1" x14ac:dyDescent="0.25">
      <c r="A165" s="56" t="s">
        <v>92</v>
      </c>
      <c r="B165" s="57"/>
      <c r="C165" s="56" t="s">
        <v>165</v>
      </c>
      <c r="D165" s="56"/>
      <c r="E165" s="56" t="s">
        <v>146</v>
      </c>
      <c r="F165" s="56"/>
      <c r="G165" s="56" t="s">
        <v>361</v>
      </c>
      <c r="H165" s="57"/>
      <c r="I165" s="58">
        <v>0.1</v>
      </c>
      <c r="J165" s="56"/>
      <c r="K165" s="59">
        <v>44209</v>
      </c>
      <c r="L165" s="56"/>
      <c r="M165" s="60" t="s">
        <v>34</v>
      </c>
      <c r="N165" s="57"/>
      <c r="O165" s="61">
        <v>9.2999999999999999E-2</v>
      </c>
      <c r="P165" s="56"/>
      <c r="Q165" s="14">
        <f>(O165-I165)*10000</f>
        <v>-70.000000000000057</v>
      </c>
      <c r="R165" s="57"/>
      <c r="S165" s="62" t="s">
        <v>45</v>
      </c>
      <c r="T165" s="57"/>
      <c r="U165" s="58">
        <v>6.1899999999999997E-2</v>
      </c>
      <c r="V165" s="56"/>
      <c r="W165" s="58">
        <v>0.4325</v>
      </c>
      <c r="X165" s="57"/>
      <c r="Y165" s="63">
        <f>W165*O165</f>
        <v>4.0222500000000001E-2</v>
      </c>
      <c r="Z165" s="57"/>
      <c r="AA165" s="57"/>
    </row>
    <row r="166" spans="1:27" s="64" customFormat="1" ht="15.75" thickBot="1" x14ac:dyDescent="0.3">
      <c r="A166" s="77"/>
      <c r="B166" s="78"/>
      <c r="C166" s="77"/>
      <c r="D166" s="77"/>
      <c r="E166" s="77"/>
      <c r="F166" s="77"/>
      <c r="G166" s="77"/>
      <c r="H166" s="78"/>
      <c r="I166" s="79"/>
      <c r="J166" s="77"/>
      <c r="K166" s="80"/>
      <c r="L166" s="77"/>
      <c r="M166" s="81"/>
      <c r="N166" s="78"/>
      <c r="O166" s="82"/>
      <c r="P166" s="77"/>
      <c r="Q166" s="83"/>
      <c r="R166" s="78"/>
      <c r="S166" s="84"/>
      <c r="T166" s="78"/>
      <c r="U166" s="79"/>
      <c r="V166" s="77"/>
      <c r="W166" s="79"/>
      <c r="X166" s="78"/>
      <c r="Y166" s="85"/>
      <c r="Z166" s="78"/>
      <c r="AA166" s="57"/>
    </row>
    <row r="168" spans="1:27" x14ac:dyDescent="0.25">
      <c r="A168" s="49" t="s">
        <v>362</v>
      </c>
      <c r="B168" s="20"/>
      <c r="C168" s="20"/>
      <c r="D168" s="20"/>
      <c r="E168" s="20"/>
      <c r="F168" s="20"/>
      <c r="G168" s="20"/>
      <c r="H168" s="20"/>
      <c r="I168" s="20"/>
      <c r="J168" s="33"/>
      <c r="K168" s="20"/>
      <c r="L168" s="20"/>
      <c r="M168" s="20"/>
      <c r="N168" s="20"/>
      <c r="O168" s="20"/>
      <c r="P168" s="33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7" x14ac:dyDescent="0.25">
      <c r="A169" s="50" t="s">
        <v>363</v>
      </c>
      <c r="B169" s="51"/>
      <c r="C169" s="51"/>
      <c r="D169" s="51"/>
      <c r="E169" s="51"/>
      <c r="F169" s="51"/>
      <c r="G169" s="51">
        <f>COUNT(K10:K166)</f>
        <v>156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7" x14ac:dyDescent="0.25">
      <c r="A170" s="51" t="s">
        <v>364</v>
      </c>
      <c r="B170" s="51"/>
      <c r="C170" s="51" t="s">
        <v>365</v>
      </c>
      <c r="D170" s="51"/>
      <c r="E170" s="51"/>
      <c r="F170" s="51"/>
      <c r="G170" s="51"/>
      <c r="H170" s="51"/>
      <c r="I170" s="52">
        <f>AVERAGE(I10:I166)</f>
        <v>0.10183202614379093</v>
      </c>
      <c r="J170" s="51"/>
      <c r="K170" s="51"/>
      <c r="L170" s="51"/>
      <c r="M170" s="51"/>
      <c r="N170" s="51"/>
      <c r="O170" s="95">
        <f>AVERAGE(O10:O166)</f>
        <v>9.5587756410256394E-2</v>
      </c>
      <c r="P170" s="51"/>
      <c r="Q170" s="53">
        <f>(O170-I170)*10000</f>
        <v>-62.442697335345358</v>
      </c>
      <c r="R170" s="51"/>
      <c r="S170" s="51"/>
      <c r="T170" s="51"/>
      <c r="U170" s="52">
        <f>AVERAGE(U10:U166)</f>
        <v>7.0045517241379335E-2</v>
      </c>
      <c r="V170" s="51"/>
      <c r="W170" s="52">
        <f>AVERAGE(W10:W166)</f>
        <v>0.49536408450704239</v>
      </c>
      <c r="X170" s="51"/>
      <c r="Y170" s="52">
        <f>AVERAGE(Y10:Y166)</f>
        <v>4.7263001746478857E-2</v>
      </c>
    </row>
    <row r="171" spans="1:27" x14ac:dyDescent="0.25">
      <c r="A171" s="51" t="s">
        <v>364</v>
      </c>
      <c r="B171" s="51"/>
      <c r="C171" s="51" t="s">
        <v>366</v>
      </c>
      <c r="D171" s="51"/>
      <c r="E171" s="51"/>
      <c r="F171" s="51"/>
      <c r="G171" s="51"/>
      <c r="H171" s="51"/>
      <c r="I171" s="54">
        <f>AVERAGEIF($M$10:$M$166,"D",I10:I166)</f>
        <v>9.9424528301886805E-2</v>
      </c>
      <c r="J171" s="51"/>
      <c r="K171" s="51"/>
      <c r="L171" s="51"/>
      <c r="M171" s="51"/>
      <c r="N171" s="51"/>
      <c r="O171" s="124">
        <f>AVERAGEIF($M$10:$M$166,"D",O10:O166)</f>
        <v>9.3114905660377376E-2</v>
      </c>
      <c r="P171" s="51"/>
      <c r="Q171" s="53">
        <f>(O171-I171)*10000</f>
        <v>-63.0962264150943</v>
      </c>
      <c r="R171" s="51"/>
      <c r="S171" s="51"/>
      <c r="T171" s="51"/>
      <c r="U171" s="54">
        <f>AVERAGEIF($M$10:$M$166,"D",U10:U166)</f>
        <v>7.0123076923076941E-2</v>
      </c>
      <c r="V171" s="51"/>
      <c r="W171" s="54">
        <f>AVERAGEIF($M$10:$M$166,"D",W10:W166)</f>
        <v>0.49673529411764705</v>
      </c>
      <c r="X171" s="51"/>
      <c r="Y171" s="54">
        <f>AVERAGEIF($M$10:$M$166,"D",Y10:Y166)</f>
        <v>4.6212409960784309E-2</v>
      </c>
    </row>
    <row r="172" spans="1:27" x14ac:dyDescent="0.25">
      <c r="A172" s="51" t="s">
        <v>364</v>
      </c>
      <c r="B172" s="51"/>
      <c r="C172" s="51" t="s">
        <v>367</v>
      </c>
      <c r="D172" s="51"/>
      <c r="E172" s="51"/>
      <c r="F172" s="51"/>
      <c r="G172" s="51"/>
      <c r="H172" s="51"/>
      <c r="I172" s="54">
        <f>AVERAGEIF($M$10:$M$166,"V",I10:I166)</f>
        <v>0.10310800000000007</v>
      </c>
      <c r="J172" s="51"/>
      <c r="K172" s="51"/>
      <c r="L172" s="51"/>
      <c r="M172" s="51"/>
      <c r="N172" s="51"/>
      <c r="O172" s="124">
        <f>AVERAGEIF($M$10:$M$166,"V",O10:O166)</f>
        <v>9.6860194174757289E-2</v>
      </c>
      <c r="P172" s="51"/>
      <c r="Q172" s="53">
        <f>(O172-I172)*10000</f>
        <v>-62.478058252427857</v>
      </c>
      <c r="R172" s="51"/>
      <c r="S172" s="51"/>
      <c r="T172" s="51"/>
      <c r="U172" s="54">
        <f>AVERAGEIF($M$10:$M$166,"V",U10:U166)</f>
        <v>7.0002150537634408E-2</v>
      </c>
      <c r="V172" s="51"/>
      <c r="W172" s="54">
        <f>AVERAGEIF($M$10:$M$166,"V",W10:W166)</f>
        <v>0.49459560439560435</v>
      </c>
      <c r="X172" s="51"/>
      <c r="Y172" s="54">
        <f>AVERAGEIF($M$10:$M$166,"V",Y10:Y166)</f>
        <v>4.785179494505494E-2</v>
      </c>
    </row>
    <row r="173" spans="1:27" x14ac:dyDescent="0.25">
      <c r="A173" s="51" t="s">
        <v>368</v>
      </c>
      <c r="B173" s="51"/>
      <c r="C173" s="51" t="s">
        <v>365</v>
      </c>
      <c r="D173" s="51"/>
      <c r="E173" s="51"/>
      <c r="F173" s="51"/>
      <c r="G173" s="51"/>
      <c r="H173" s="51"/>
      <c r="I173" s="52">
        <f>MEDIAN(I10:I166)</f>
        <v>0.10249999999999999</v>
      </c>
      <c r="J173" s="51"/>
      <c r="K173" s="51"/>
      <c r="L173" s="51"/>
      <c r="M173" s="51"/>
      <c r="N173" s="51"/>
      <c r="O173" s="95">
        <f>MEDIAN(O10:O166)</f>
        <v>9.5549999999999996E-2</v>
      </c>
      <c r="P173" s="51"/>
      <c r="Q173" s="51"/>
      <c r="R173" s="51"/>
      <c r="S173" s="51"/>
      <c r="T173" s="51"/>
      <c r="U173" s="52">
        <f>MEDIAN(U10:U166)</f>
        <v>7.0999999999999994E-2</v>
      </c>
      <c r="V173" s="52"/>
      <c r="W173" s="52">
        <f>MEDIAN(W10:W166)</f>
        <v>0.5</v>
      </c>
      <c r="X173" s="51"/>
      <c r="Y173" s="52">
        <f>MEDIAN(Y10:Y166)</f>
        <v>4.7647099999999998E-2</v>
      </c>
    </row>
    <row r="174" spans="1:27" x14ac:dyDescent="0.25">
      <c r="A174" s="51" t="s">
        <v>369</v>
      </c>
      <c r="B174" s="51"/>
      <c r="C174" s="51" t="s">
        <v>365</v>
      </c>
      <c r="D174" s="51"/>
      <c r="E174" s="51"/>
      <c r="F174" s="51"/>
      <c r="G174" s="51"/>
      <c r="H174" s="51"/>
      <c r="I174" s="52">
        <f>MAX(I10:I166)</f>
        <v>0.13800000000000001</v>
      </c>
      <c r="J174" s="51"/>
      <c r="K174" s="51"/>
      <c r="L174" s="51"/>
      <c r="M174" s="51"/>
      <c r="N174" s="52"/>
      <c r="O174" s="95">
        <f>MAX(O10:O166)</f>
        <v>0.1195</v>
      </c>
      <c r="P174" s="51"/>
      <c r="Q174" s="51"/>
      <c r="R174" s="51"/>
      <c r="S174" s="51"/>
      <c r="T174" s="51"/>
      <c r="U174" s="52">
        <f>MAX(U10:U166)</f>
        <v>8.9099999999999999E-2</v>
      </c>
      <c r="V174" s="51"/>
      <c r="W174" s="52">
        <f>MAX(W10:W166)</f>
        <v>0.58179999999999998</v>
      </c>
      <c r="X174" s="51"/>
      <c r="Y174" s="52">
        <f>MAX(Y10:Y166)</f>
        <v>6.9525099999999992E-2</v>
      </c>
    </row>
    <row r="175" spans="1:27" x14ac:dyDescent="0.25">
      <c r="A175" s="51" t="s">
        <v>370</v>
      </c>
      <c r="B175" s="51"/>
      <c r="C175" s="51" t="s">
        <v>365</v>
      </c>
      <c r="D175" s="51"/>
      <c r="E175" s="51"/>
      <c r="F175" s="51"/>
      <c r="G175" s="51"/>
      <c r="H175" s="51"/>
      <c r="I175" s="52">
        <f>MIN(I10:I166)</f>
        <v>8.2000000000000003E-2</v>
      </c>
      <c r="J175" s="51"/>
      <c r="K175" s="51"/>
      <c r="L175" s="51"/>
      <c r="M175" s="51"/>
      <c r="N175" s="51"/>
      <c r="O175" s="95">
        <f>MIN(O10:O166)</f>
        <v>8.2000000000000003E-2</v>
      </c>
      <c r="P175" s="51"/>
      <c r="Q175" s="51"/>
      <c r="R175" s="51"/>
      <c r="S175" s="51"/>
      <c r="T175" s="51"/>
      <c r="U175" s="52">
        <f>MIN(U10:U166)</f>
        <v>4.9299999999999997E-2</v>
      </c>
      <c r="V175" s="51"/>
      <c r="W175" s="52">
        <f>MIN(W10:W166)</f>
        <v>0.33710000000000001</v>
      </c>
      <c r="X175" s="51"/>
      <c r="Y175" s="52">
        <f>MIN(Y10:Y166)</f>
        <v>3.1855950000000001E-2</v>
      </c>
    </row>
    <row r="176" spans="1:27" x14ac:dyDescent="0.25">
      <c r="A176" s="94" t="s">
        <v>92</v>
      </c>
      <c r="B176" s="51"/>
      <c r="C176" s="51"/>
      <c r="D176" s="51"/>
      <c r="E176" s="51"/>
      <c r="F176" s="51"/>
      <c r="G176" s="51">
        <f>COUNTIF(A10:A166,A176)</f>
        <v>8</v>
      </c>
      <c r="H176" s="51"/>
      <c r="I176" s="54">
        <f>AVERAGEIF($A$10:$A$166,$A176,I10:I166)</f>
        <v>0.10213749999999998</v>
      </c>
      <c r="J176" s="51"/>
      <c r="K176" s="51"/>
      <c r="L176" s="51"/>
      <c r="M176" s="51"/>
      <c r="N176" s="51"/>
      <c r="O176" s="124">
        <f>AVERAGEIF($A$10:$A$166,$A176,O10:O166)</f>
        <v>9.6049999999999996E-2</v>
      </c>
      <c r="P176" s="51"/>
      <c r="Q176" s="53">
        <f>(O176-I176)*10000</f>
        <v>-60.874999999999815</v>
      </c>
      <c r="R176" s="51"/>
      <c r="S176" s="51"/>
      <c r="T176" s="51"/>
      <c r="U176" s="54">
        <f ca="1">AVERAGEIF($A$10:$A$166,$A176,U10:U165)</f>
        <v>6.4674999999999996E-2</v>
      </c>
      <c r="V176" s="51"/>
      <c r="W176" s="54">
        <f>AVERAGEIF($A$10:$A$166,$A176,W10:W166)</f>
        <v>0.45602500000000001</v>
      </c>
      <c r="X176" s="51"/>
      <c r="Y176" s="54">
        <f>AVERAGEIF($A$10:$A$166,$A176,Y10:Y166)</f>
        <v>4.3296275000000002E-2</v>
      </c>
    </row>
    <row r="177" spans="1:29" x14ac:dyDescent="0.25">
      <c r="A177" s="51" t="s">
        <v>35</v>
      </c>
      <c r="B177" s="51"/>
      <c r="C177" s="51"/>
      <c r="D177" s="51"/>
      <c r="E177" s="51"/>
      <c r="F177" s="51"/>
      <c r="G177" s="51"/>
      <c r="H177" s="51"/>
      <c r="I177" s="54">
        <f>AVERAGEIF($S$10:$S$166,$A177,I10:I166)</f>
        <v>0.10255888888888895</v>
      </c>
      <c r="J177" s="54"/>
      <c r="K177" s="54"/>
      <c r="L177" s="54"/>
      <c r="M177" s="54"/>
      <c r="N177" s="54"/>
      <c r="O177" s="124">
        <f>AVERAGEIF($S$10:$S$166,$A177,O10:O166)</f>
        <v>9.6223804347826097E-2</v>
      </c>
      <c r="P177" s="51"/>
      <c r="Q177" s="53">
        <f>(O177-I177)*10000</f>
        <v>-63.350845410628523</v>
      </c>
      <c r="R177" s="51"/>
      <c r="S177" s="51"/>
      <c r="T177" s="51"/>
      <c r="U177" s="54">
        <f>AVERAGEIF($S$10:$S$166,$A177,U10:U166)</f>
        <v>7.1339285714285716E-2</v>
      </c>
      <c r="V177" s="54"/>
      <c r="W177" s="54">
        <f>AVERAGEIF($S$10:$S$166,$A177,W10:W166)</f>
        <v>0.49901624999999994</v>
      </c>
      <c r="X177" s="54"/>
      <c r="Y177" s="54">
        <f>AVERAGEIF($S$10:$S$166,$A177,Y10:Y166)</f>
        <v>4.7927292475000008E-2</v>
      </c>
    </row>
    <row r="178" spans="1:29" x14ac:dyDescent="0.25">
      <c r="A178" s="51" t="s">
        <v>45</v>
      </c>
      <c r="B178" s="6"/>
      <c r="C178" s="6"/>
      <c r="D178" s="6"/>
      <c r="E178" s="6"/>
      <c r="F178" s="6"/>
      <c r="G178" s="6"/>
      <c r="H178" s="6"/>
      <c r="I178" s="54">
        <f>AVERAGEIF($S$10:$S$166,$A178,I10:I166)</f>
        <v>0.10079365079365081</v>
      </c>
      <c r="K178" s="6"/>
      <c r="L178" s="6"/>
      <c r="M178" s="6"/>
      <c r="N178" s="6"/>
      <c r="O178" s="124">
        <f>AVERAGEIF($S$10:$S$166,$A178,O10:O166)</f>
        <v>9.4673437500000013E-2</v>
      </c>
      <c r="Q178" s="53">
        <f>(O178-I178)*10000</f>
        <v>-61.202132936507972</v>
      </c>
      <c r="R178" s="6"/>
      <c r="S178" s="6"/>
      <c r="T178" s="6"/>
      <c r="U178" s="54">
        <f>AVERAGEIF($S$10:$S$166,$A178,U10:U166)</f>
        <v>6.8263934426229508E-2</v>
      </c>
      <c r="V178" s="6"/>
      <c r="W178" s="54">
        <f>AVERAGEIF($S$10:$S$166,$A178,W10:W166)</f>
        <v>0.49065161290322562</v>
      </c>
      <c r="X178" s="6"/>
      <c r="Y178" s="54">
        <f>AVERAGEIF($S$10:$S$166,$A178,Y10:Y166)</f>
        <v>4.6405852419354847E-2</v>
      </c>
    </row>
    <row r="179" spans="1:29" x14ac:dyDescent="0.25">
      <c r="A179" s="6"/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6"/>
      <c r="N179" s="6"/>
      <c r="O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9" x14ac:dyDescent="0.25">
      <c r="A180" s="55">
        <v>2017</v>
      </c>
      <c r="B180" s="33"/>
      <c r="C180" s="33"/>
      <c r="D180" s="33"/>
      <c r="E180" s="33"/>
      <c r="F180" s="33"/>
      <c r="G180" s="20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9" x14ac:dyDescent="0.25">
      <c r="A181" s="51" t="s">
        <v>363</v>
      </c>
      <c r="B181" s="6"/>
      <c r="C181" s="6"/>
      <c r="D181" s="6"/>
      <c r="E181" s="6"/>
      <c r="F181" s="6"/>
      <c r="G181" s="51" cm="1">
        <f t="array" ref="G181">SUMPRODUCT(--(YEAR($K$10:$K$166)=A180))</f>
        <v>42</v>
      </c>
      <c r="H181" s="6"/>
      <c r="I181" s="6"/>
      <c r="K181" s="6"/>
      <c r="L181" s="6"/>
      <c r="M181" s="6"/>
      <c r="N181" s="6"/>
      <c r="O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9" x14ac:dyDescent="0.25">
      <c r="A182" s="51" t="s">
        <v>364</v>
      </c>
      <c r="B182" s="6"/>
      <c r="C182" s="51" t="s">
        <v>365</v>
      </c>
      <c r="D182" s="6"/>
      <c r="E182" s="6"/>
      <c r="F182" s="6"/>
      <c r="G182" s="6"/>
      <c r="H182" s="6"/>
      <c r="I182" s="52">
        <f>AVERAGEIFS($I$10:$I$166,$K$10:$K$166,"&gt;="&amp;DATE(2017,1,1),$K$10:$K$166,"&lt;="&amp;DATE(2017,12,31))</f>
        <v>0.10216829268292686</v>
      </c>
      <c r="K182" s="6"/>
      <c r="L182" s="6"/>
      <c r="M182" s="6"/>
      <c r="N182" s="6"/>
      <c r="O182" s="52">
        <f>AVERAGEIFS($O$10:$O$166,$K$10:$K$166,"&gt;="&amp;DATE(2017,1,1),$K$10:$K$166,"&lt;="&amp;DATE(2017,12,31))</f>
        <v>9.6783333333333346E-2</v>
      </c>
      <c r="Q182" s="53">
        <f>(O182-I182)*10000</f>
        <v>-53.849593495935153</v>
      </c>
      <c r="R182" s="6"/>
      <c r="S182" s="6"/>
      <c r="T182" s="6"/>
      <c r="U182" s="52">
        <f>AVERAGEIFS($U$10:$U$166,$K$10:$K$166,"&gt;="&amp;DATE(2017,1,1),$K$10:$K$166,"&lt;="&amp;DATE(2017,12,31))</f>
        <v>7.2986486486486493E-2</v>
      </c>
      <c r="V182" s="6"/>
      <c r="W182" s="52">
        <f>AVERAGEIFS($W$10:$W$166,$K$10:$K$166,"&gt;="&amp;DATE(2017,1,1),$K$10:$K$166,"&lt;="&amp;DATE(2017,12,31))</f>
        <v>0.49439459459459451</v>
      </c>
      <c r="X182" s="6"/>
      <c r="Y182" s="52">
        <f>AVERAGEIFS($Y$10:$Y$166,$K$10:$K$166,"&gt;="&amp;DATE(2017,1,1),$K$10:$K$166,"&lt;="&amp;DATE(2017,12,31))</f>
        <v>4.7744684594594605E-2</v>
      </c>
    </row>
    <row r="183" spans="1:29" x14ac:dyDescent="0.25">
      <c r="A183" s="51" t="s">
        <v>364</v>
      </c>
      <c r="B183" s="6"/>
      <c r="C183" s="51" t="s">
        <v>366</v>
      </c>
      <c r="D183" s="6"/>
      <c r="E183" s="6"/>
      <c r="F183" s="6"/>
      <c r="G183" s="6"/>
      <c r="H183" s="6"/>
      <c r="I183" s="52">
        <f>AVERAGEIFS($I$10:$I$166,$K$10:$K$166,"&gt;="&amp;DATE(2017,1,1),$K$10:$K$166,"&lt;="&amp;DATE(2017,12,31),$M$10:$M$166,"D")</f>
        <v>0.10042857142857144</v>
      </c>
      <c r="J183" s="52"/>
      <c r="K183" s="52"/>
      <c r="L183" s="52"/>
      <c r="M183" s="52"/>
      <c r="N183" s="52"/>
      <c r="O183" s="52">
        <f>AVERAGEIFS($O$10:$O$166,$K$10:$K$166,"&gt;="&amp;DATE(2017,1,1),$K$10:$K$166,"&lt;="&amp;DATE(2017,12,31),$M$10:$M$166,"D")</f>
        <v>9.4285714285714292E-2</v>
      </c>
      <c r="Q183" s="53">
        <f>(O183-I183)*10000</f>
        <v>-61.428571428571445</v>
      </c>
      <c r="R183" s="6"/>
      <c r="S183" s="6"/>
      <c r="T183" s="6"/>
      <c r="U183" s="52">
        <f>AVERAGEIFS($U$10:$U$166,$K$10:$K$166,"&gt;="&amp;DATE(2017,1,1),$K$10:$K$166,"&lt;="&amp;DATE(2017,12,31),$M$10:$M$166,"D")</f>
        <v>7.3107692307692304E-2</v>
      </c>
      <c r="V183" s="52"/>
      <c r="W183" s="52">
        <f>AVERAGEIFS($W$10:$W$166,$K$10:$K$166,"&gt;="&amp;DATE(2017,1,1),$K$10:$K$166,"&lt;="&amp;DATE(2017,12,31),$M$10:$M$166,"D")</f>
        <v>0.49520769230769229</v>
      </c>
      <c r="X183" s="6"/>
      <c r="Y183" s="52">
        <f>AVERAGEIFS($Y$10:$Y$166,$K$10:$K$166,"&gt;="&amp;DATE(2017,1,1),$K$10:$K$166,"&lt;="&amp;DATE(2017,12,31),$M$10:$M$166,"D")</f>
        <v>4.6637984615384626E-2</v>
      </c>
    </row>
    <row r="184" spans="1:29" s="64" customFormat="1" x14ac:dyDescent="0.25">
      <c r="A184" s="94" t="s">
        <v>364</v>
      </c>
      <c r="B184" s="66"/>
      <c r="C184" s="94" t="s">
        <v>371</v>
      </c>
      <c r="D184" s="66"/>
      <c r="E184" s="66"/>
      <c r="F184" s="66"/>
      <c r="G184" s="66"/>
      <c r="H184" s="66"/>
      <c r="I184" s="95">
        <f>AVERAGEIFS($I$10:$I$166,$K$10:$K$166,"&gt;="&amp;DATE(2017,1,1),$K$10:$K$166,"&lt;="&amp;DATE(2017,12,31),$M$10:$M$166,"D",$A$10:$A$166,"&lt;&gt;"&amp;"Illinois")</f>
        <v>0.10316666666666667</v>
      </c>
      <c r="J184" s="95"/>
      <c r="K184" s="95"/>
      <c r="L184" s="95"/>
      <c r="M184" s="95"/>
      <c r="N184" s="95"/>
      <c r="O184" s="95">
        <f>AVERAGEIFS($O$10:$O$166,$K$10:$K$166,"&gt;="&amp;DATE(2017,1,1),$K$10:$K$166,"&lt;="&amp;DATE(2017,12,31),$M$10:$M$166,"D",$A$10:$A$166,"&lt;&gt;"&amp;"Illinois")</f>
        <v>9.5999999999999988E-2</v>
      </c>
      <c r="P184" s="66"/>
      <c r="Q184" s="53">
        <f>(O184-I184)*10000</f>
        <v>-71.666666666666828</v>
      </c>
      <c r="R184" s="66"/>
      <c r="S184" s="66"/>
      <c r="T184" s="66"/>
      <c r="U184" s="95">
        <f>AVERAGEIFS($U$10:$U$166,$K$10:$K$166,"&gt;="&amp;DATE(2017,1,1),$K$10:$K$166,"&lt;="&amp;DATE(2017,12,31),$M$10:$M$166,"D",$A$10:$A$166,"&lt;&gt;"&amp;"Illinois")</f>
        <v>7.4118181818181819E-2</v>
      </c>
      <c r="V184" s="66"/>
      <c r="W184" s="95">
        <f>AVERAGEIFS($W$10:$W$166,$K$10:$K$166,"&gt;="&amp;DATE(2017,1,1),$K$10:$K$166,"&lt;="&amp;DATE(2017,12,31),$M$10:$M$166,"D",$A$10:$A$166,"&lt;&gt;"&amp;"Illinois")</f>
        <v>0.49807272727272722</v>
      </c>
      <c r="X184" s="66"/>
      <c r="Y184" s="95">
        <f>AVERAGEIFS($Y$10:$Y$166,$K$10:$K$166,"&gt;="&amp;DATE(2017,1,1),$K$10:$K$166,"&lt;="&amp;DATE(2017,12,31),$M$10:$M$166,"D",$A$10:$A$166,"&lt;&gt;"&amp;"Illinois")</f>
        <v>4.7795109090909095E-2</v>
      </c>
      <c r="AC184" s="95"/>
    </row>
    <row r="185" spans="1:29" x14ac:dyDescent="0.25">
      <c r="A185" s="51" t="s">
        <v>364</v>
      </c>
      <c r="B185" s="6"/>
      <c r="C185" s="51" t="s">
        <v>367</v>
      </c>
      <c r="D185" s="6"/>
      <c r="E185" s="6"/>
      <c r="F185" s="6"/>
      <c r="G185" s="6"/>
      <c r="H185" s="6"/>
      <c r="I185" s="52">
        <f>AVERAGEIFS($I$10:$I$166,$K$10:$K$166,"&gt;="&amp;DATE(2017,1,1),$K$10:$K$166,"&lt;="&amp;DATE(2017,12,31),$M$10:$M$166,"V")</f>
        <v>0.10307037037037041</v>
      </c>
      <c r="J185" s="52"/>
      <c r="K185" s="52"/>
      <c r="L185" s="52"/>
      <c r="M185" s="52"/>
      <c r="N185" s="52"/>
      <c r="O185" s="52">
        <f>AVERAGEIFS($O$10:$O$166,$K$10:$K$166,"&gt;="&amp;DATE(2017,1,1),$K$10:$K$166,"&lt;="&amp;DATE(2017,12,31),$M$10:$M$166,"V")</f>
        <v>9.8032142857142887E-2</v>
      </c>
      <c r="Q185" s="53">
        <f>(O185-I185)*10000</f>
        <v>-50.382275132275225</v>
      </c>
      <c r="R185" s="6"/>
      <c r="S185" s="6"/>
      <c r="T185" s="6"/>
      <c r="U185" s="52">
        <f>AVERAGEIFS($U$10:$U$166,$K$10:$K$166,"&gt;="&amp;DATE(2017,1,1),$K$10:$K$166,"&lt;="&amp;DATE(2017,12,31),$M$10:$M$166,"V")</f>
        <v>7.2920833333333338E-2</v>
      </c>
      <c r="V185" s="6"/>
      <c r="W185" s="52">
        <f>AVERAGEIFS($W$10:$W$166,$K$10:$K$166,"&gt;="&amp;DATE(2017,1,1),$K$10:$K$166,"&lt;="&amp;DATE(2017,12,31),$M$10:$M$166,"V")</f>
        <v>0.49395416666666675</v>
      </c>
      <c r="X185" s="6"/>
      <c r="Y185" s="52">
        <f>AVERAGEIFS($Y$10:$Y$166,$K$10:$K$166,"&gt;="&amp;DATE(2017,1,1),$K$10:$K$166,"&lt;="&amp;DATE(2017,12,31),$M$10:$M$166,"V")</f>
        <v>4.8344147083333344E-2</v>
      </c>
    </row>
    <row r="186" spans="1:29" x14ac:dyDescent="0.25">
      <c r="A186" s="6"/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6"/>
      <c r="N186" s="6"/>
      <c r="O186" s="6"/>
      <c r="Q186" s="53"/>
      <c r="R186" s="6"/>
      <c r="S186" s="6"/>
      <c r="T186" s="6"/>
      <c r="U186" s="6"/>
      <c r="V186" s="6"/>
      <c r="W186" s="6"/>
      <c r="X186" s="6"/>
      <c r="Y186" s="6"/>
    </row>
    <row r="187" spans="1:29" x14ac:dyDescent="0.25">
      <c r="A187" s="55">
        <v>2018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9" x14ac:dyDescent="0.25">
      <c r="A188" s="51" t="s">
        <v>363</v>
      </c>
      <c r="B188" s="6"/>
      <c r="C188" s="6"/>
      <c r="D188" s="6"/>
      <c r="E188" s="6"/>
      <c r="F188" s="6"/>
      <c r="G188" s="51" cm="1">
        <f t="array" ref="G188">SUMPRODUCT(--(YEAR($K$10:$K$166)=A187))</f>
        <v>38</v>
      </c>
      <c r="H188" s="6"/>
      <c r="I188" s="6"/>
      <c r="K188" s="6"/>
      <c r="L188" s="6"/>
      <c r="M188" s="6"/>
      <c r="N188" s="6"/>
      <c r="O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9" x14ac:dyDescent="0.25">
      <c r="A189" s="51" t="s">
        <v>364</v>
      </c>
      <c r="B189" s="6"/>
      <c r="C189" s="51" t="s">
        <v>365</v>
      </c>
      <c r="D189" s="6"/>
      <c r="E189" s="6"/>
      <c r="F189" s="6"/>
      <c r="G189" s="6"/>
      <c r="H189" s="6"/>
      <c r="I189" s="52">
        <f>AVERAGEIFS($I$10:$I$166,$K$10:$K$166,"&gt;="&amp;DATE(2018,1,1),$K$10:$K$166,"&lt;="&amp;DATE(2018,12,31))</f>
        <v>0.10140000000000002</v>
      </c>
      <c r="J189" s="52"/>
      <c r="K189" s="52"/>
      <c r="L189" s="52"/>
      <c r="M189" s="52"/>
      <c r="N189" s="52"/>
      <c r="O189" s="52">
        <f>AVERAGEIFS($O$10:$O$166,$K$10:$K$166,"&gt;="&amp;DATE(2018,1,1),$K$10:$K$166,"&lt;="&amp;DATE(2018,12,31))</f>
        <v>9.5499736842105262E-2</v>
      </c>
      <c r="Q189" s="53">
        <f t="shared" ref="Q189:Q192" si="10">(O189-I189)*10000</f>
        <v>-59.002631578947558</v>
      </c>
      <c r="R189" s="6"/>
      <c r="S189" s="6"/>
      <c r="T189" s="6"/>
      <c r="U189" s="52">
        <f>AVERAGEIFS($U$10:$U$166,$K$10:$K$166,"&gt;="&amp;DATE(2018,1,1),$K$10:$K$166,"&lt;="&amp;DATE(2018,12,31))</f>
        <v>6.9210526315789486E-2</v>
      </c>
      <c r="V189" s="52"/>
      <c r="W189" s="52">
        <f>AVERAGEIFS($W$10:$W$166,$K$10:$K$166,"&gt;="&amp;DATE(2018,1,1),$K$10:$K$166,"&lt;="&amp;DATE(2018,12,31))</f>
        <v>0.4898763157894736</v>
      </c>
      <c r="X189" s="52"/>
      <c r="Y189" s="52">
        <f>AVERAGEIFS($Y$10:$Y$166,$K$10:$K$166,"&gt;="&amp;DATE(2018,1,1),$K$10:$K$166,"&lt;="&amp;DATE(2018,12,31))</f>
        <v>4.6726447315789475E-2</v>
      </c>
    </row>
    <row r="190" spans="1:29" x14ac:dyDescent="0.25">
      <c r="A190" s="51" t="s">
        <v>364</v>
      </c>
      <c r="B190" s="6"/>
      <c r="C190" s="51" t="s">
        <v>366</v>
      </c>
      <c r="D190" s="6"/>
      <c r="E190" s="6"/>
      <c r="F190" s="6"/>
      <c r="G190" s="6"/>
      <c r="H190" s="6"/>
      <c r="I190" s="52">
        <f>AVERAGEIFS($I$10:$I$166,$K$10:$K$166,"&gt;="&amp;DATE(2018,1,1),$K$10:$K$166,"&lt;="&amp;DATE(2018,12,31),$M$10:$M$166,"D")</f>
        <v>9.9574999999999997E-2</v>
      </c>
      <c r="J190" s="52"/>
      <c r="K190" s="52"/>
      <c r="L190" s="52"/>
      <c r="M190" s="52"/>
      <c r="N190" s="52"/>
      <c r="O190" s="52">
        <f>AVERAGEIFS($O$10:$O$166,$K$10:$K$166,"&gt;="&amp;DATE(2018,1,1),$K$10:$K$166,"&lt;="&amp;DATE(2018,12,31),$M$10:$M$166,"D")</f>
        <v>9.3768125000000008E-2</v>
      </c>
      <c r="Q190" s="53">
        <f t="shared" si="10"/>
        <v>-58.068749999999895</v>
      </c>
      <c r="R190" s="6"/>
      <c r="S190" s="6"/>
      <c r="T190" s="6"/>
      <c r="U190" s="52">
        <f>AVERAGEIFS($U$10:$U$166,$K$10:$K$166,"&gt;="&amp;DATE(2018,1,1),$K$10:$K$166,"&lt;="&amp;DATE(2018,12,31),$M$10:$M$166,"D")</f>
        <v>6.9631249999999992E-2</v>
      </c>
      <c r="V190" s="52"/>
      <c r="W190" s="52">
        <f>AVERAGEIFS($W$10:$W$166,$K$10:$K$166,"&gt;="&amp;DATE(2018,1,1),$K$10:$K$166,"&lt;="&amp;DATE(2018,12,31),$M$10:$M$166,"D")</f>
        <v>0.49912500000000004</v>
      </c>
      <c r="X190" s="52"/>
      <c r="Y190" s="52">
        <f>AVERAGEIFS($Y$10:$Y$166,$K$10:$K$166,"&gt;="&amp;DATE(2018,1,1),$K$10:$K$166,"&lt;="&amp;DATE(2018,12,31),$M$10:$M$166,"D")</f>
        <v>4.6826897375000009E-2</v>
      </c>
    </row>
    <row r="191" spans="1:29" s="64" customFormat="1" x14ac:dyDescent="0.25">
      <c r="A191" s="94" t="s">
        <v>364</v>
      </c>
      <c r="B191" s="66"/>
      <c r="C191" s="94" t="s">
        <v>371</v>
      </c>
      <c r="D191" s="66"/>
      <c r="E191" s="66"/>
      <c r="F191" s="66"/>
      <c r="G191" s="66"/>
      <c r="H191" s="66"/>
      <c r="I191" s="95">
        <f>AVERAGEIFS($I$10:$I$166,$K$10:$K$166,"&gt;="&amp;DATE(2018,1,1),$K$10:$K$166,"&lt;="&amp;DATE(2018,12,31),$M$10:$M$166,"D",$A$10:$A$166,"&lt;&gt;"&amp;"Illinois")</f>
        <v>0.10138571428571429</v>
      </c>
      <c r="J191" s="95"/>
      <c r="K191" s="95"/>
      <c r="L191" s="95"/>
      <c r="M191" s="95"/>
      <c r="N191" s="95"/>
      <c r="O191" s="95">
        <f>AVERAGEIFS($O$10:$O$166,$K$10:$K$166,"&gt;="&amp;DATE(2018,1,1),$K$10:$K$166,"&lt;="&amp;DATE(2018,12,31),$M$10:$M$166,"D",$A$10:$A$166,"&lt;&gt;"&amp;"Illinois")</f>
        <v>9.474928571428573E-2</v>
      </c>
      <c r="P191" s="66"/>
      <c r="Q191" s="53">
        <f t="shared" si="10"/>
        <v>-66.364285714285572</v>
      </c>
      <c r="R191" s="66"/>
      <c r="S191" s="66"/>
      <c r="T191" s="66"/>
      <c r="U191" s="95">
        <f>AVERAGEIFS($U$10:$U$166,$K$10:$K$166,"&gt;="&amp;DATE(2018,1,1),$K$10:$K$166,"&lt;="&amp;DATE(2018,12,31),$M$10:$M$166,"D",$A$10:$A$166,"&lt;&gt;"&amp;"Illinois")</f>
        <v>6.9928571428571423E-2</v>
      </c>
      <c r="V191" s="95"/>
      <c r="W191" s="95">
        <f>AVERAGEIFS($W$10:$W$166,$K$10:$K$166,"&gt;="&amp;DATE(2018,1,1),$K$10:$K$166,"&lt;="&amp;DATE(2018,12,31),$M$10:$M$166,"D",$A$10:$A$166,"&lt;&gt;"&amp;"Illinois")</f>
        <v>0.50106428571428574</v>
      </c>
      <c r="X191" s="95"/>
      <c r="Y191" s="95">
        <f>AVERAGEIFS($Y$10:$Y$166,$K$10:$K$166,"&gt;="&amp;DATE(2018,1,1),$K$10:$K$166,"&lt;="&amp;DATE(2018,12,31),$M$10:$M$166,"D",$A$10:$A$166,"&lt;&gt;"&amp;"Illinois")</f>
        <v>4.7488697714285724E-2</v>
      </c>
    </row>
    <row r="192" spans="1:29" s="64" customFormat="1" x14ac:dyDescent="0.25">
      <c r="A192" s="94" t="s">
        <v>364</v>
      </c>
      <c r="B192" s="66"/>
      <c r="C192" s="94" t="s">
        <v>367</v>
      </c>
      <c r="D192" s="66"/>
      <c r="E192" s="66"/>
      <c r="F192" s="66"/>
      <c r="G192" s="66"/>
      <c r="H192" s="66"/>
      <c r="I192" s="95">
        <f>AVERAGEIFS($I$10:$I$166,$K$10:$K$166,"&gt;="&amp;DATE(2018,1,1),$K$10:$K$166,"&lt;="&amp;DATE(2018,12,31),$M$10:$M$166,"V")</f>
        <v>0.10272727272727276</v>
      </c>
      <c r="J192" s="95"/>
      <c r="K192" s="95"/>
      <c r="L192" s="95"/>
      <c r="M192" s="95"/>
      <c r="N192" s="95"/>
      <c r="O192" s="95">
        <f>AVERAGEIFS($O$10:$O$166,$K$10:$K$166,"&gt;="&amp;DATE(2018,1,1),$K$10:$K$166,"&lt;="&amp;DATE(2018,12,31),$M$10:$M$166,"V")</f>
        <v>9.675909090909092E-2</v>
      </c>
      <c r="P192" s="66"/>
      <c r="Q192" s="53">
        <f t="shared" si="10"/>
        <v>-59.68181818181845</v>
      </c>
      <c r="R192" s="66"/>
      <c r="S192" s="66"/>
      <c r="T192" s="66"/>
      <c r="U192" s="95">
        <f>AVERAGEIFS($U$10:$U$166,$K$10:$K$166,"&gt;="&amp;DATE(2018,1,1),$K$10:$K$166,"&lt;="&amp;DATE(2018,12,31),$M$10:$M$166,"V")</f>
        <v>6.8904545454545441E-2</v>
      </c>
      <c r="V192" s="95"/>
      <c r="W192" s="95">
        <f>AVERAGEIFS($W$10:$W$166,$K$10:$K$166,"&gt;="&amp;DATE(2018,1,1),$K$10:$K$166,"&lt;="&amp;DATE(2018,12,31),$M$10:$M$166,"V")</f>
        <v>0.48314999999999997</v>
      </c>
      <c r="X192" s="95"/>
      <c r="Y192" s="95">
        <f>AVERAGEIFS($Y$10:$Y$166,$K$10:$K$166,"&gt;="&amp;DATE(2018,1,1),$K$10:$K$166,"&lt;="&amp;DATE(2018,12,31),$M$10:$M$166,"V")</f>
        <v>4.6653392727272716E-2</v>
      </c>
    </row>
    <row r="193" spans="1:29" s="64" customFormat="1" x14ac:dyDescent="0.25">
      <c r="A193" s="66"/>
      <c r="B193" s="66"/>
      <c r="C193" s="66"/>
      <c r="D193" s="66"/>
      <c r="E193" s="66"/>
      <c r="F193" s="66"/>
      <c r="G193" s="66"/>
      <c r="H193" s="66"/>
      <c r="I193" s="95"/>
      <c r="J193" s="95"/>
      <c r="K193" s="95"/>
      <c r="L193" s="95"/>
      <c r="M193" s="95"/>
      <c r="N193" s="95"/>
      <c r="O193" s="95"/>
      <c r="P193" s="66"/>
      <c r="Q193" s="66"/>
      <c r="R193" s="66"/>
      <c r="S193" s="66"/>
      <c r="T193" s="66"/>
      <c r="U193" s="95"/>
      <c r="V193" s="95"/>
      <c r="W193" s="95"/>
      <c r="X193" s="95"/>
      <c r="Y193" s="95"/>
    </row>
    <row r="194" spans="1:29" s="64" customFormat="1" x14ac:dyDescent="0.25">
      <c r="A194" s="96">
        <v>2019</v>
      </c>
      <c r="B194" s="97"/>
      <c r="C194" s="97"/>
      <c r="D194" s="97"/>
      <c r="E194" s="97"/>
      <c r="F194" s="97"/>
      <c r="G194" s="97"/>
      <c r="H194" s="97"/>
      <c r="I194" s="98"/>
      <c r="J194" s="98"/>
      <c r="K194" s="98"/>
      <c r="L194" s="98"/>
      <c r="M194" s="98"/>
      <c r="N194" s="98"/>
      <c r="O194" s="98"/>
      <c r="P194" s="97"/>
      <c r="Q194" s="97"/>
      <c r="R194" s="97"/>
      <c r="S194" s="97"/>
      <c r="T194" s="97"/>
      <c r="U194" s="98"/>
      <c r="V194" s="98"/>
      <c r="W194" s="98"/>
      <c r="X194" s="98"/>
      <c r="Y194" s="98"/>
    </row>
    <row r="195" spans="1:29" s="64" customFormat="1" x14ac:dyDescent="0.25">
      <c r="A195" s="94" t="s">
        <v>363</v>
      </c>
      <c r="B195" s="66"/>
      <c r="C195" s="66"/>
      <c r="D195" s="66"/>
      <c r="E195" s="66"/>
      <c r="F195" s="66"/>
      <c r="G195" s="94" cm="1">
        <f t="array" ref="G195">SUMPRODUCT(--(YEAR($K$10:$K$166)=A194))</f>
        <v>33</v>
      </c>
      <c r="H195" s="66"/>
      <c r="I195" s="95"/>
      <c r="J195" s="95"/>
      <c r="K195" s="95"/>
      <c r="L195" s="95"/>
      <c r="M195" s="95"/>
      <c r="N195" s="95"/>
      <c r="O195" s="95"/>
      <c r="P195" s="66"/>
      <c r="Q195" s="66"/>
      <c r="R195" s="66"/>
      <c r="S195" s="66"/>
      <c r="T195" s="66"/>
      <c r="U195" s="95"/>
      <c r="V195" s="95"/>
      <c r="W195" s="95"/>
      <c r="X195" s="95"/>
      <c r="Y195" s="95"/>
    </row>
    <row r="196" spans="1:29" s="64" customFormat="1" x14ac:dyDescent="0.25">
      <c r="A196" s="94" t="s">
        <v>364</v>
      </c>
      <c r="B196" s="66"/>
      <c r="C196" s="94" t="s">
        <v>365</v>
      </c>
      <c r="D196" s="66"/>
      <c r="E196" s="66"/>
      <c r="F196" s="66"/>
      <c r="G196" s="66"/>
      <c r="H196" s="66"/>
      <c r="I196" s="95">
        <f>AVERAGEIFS($I$10:$I$166,$K$10:$K$166,"&gt;="&amp;DATE(2019,1,1),$K$10:$K$166,"&lt;="&amp;DATE(2019,12,31))</f>
        <v>0.10429062500000003</v>
      </c>
      <c r="J196" s="95"/>
      <c r="K196" s="95"/>
      <c r="L196" s="95"/>
      <c r="M196" s="95"/>
      <c r="N196" s="95"/>
      <c r="O196" s="95">
        <f>AVERAGEIFS($O$10:$O$166,$K$10:$K$166,"&gt;="&amp;DATE(2019,1,1),$K$10:$K$166,"&lt;="&amp;DATE(2019,12,31))</f>
        <v>9.6436363636363667E-2</v>
      </c>
      <c r="P196" s="66"/>
      <c r="Q196" s="53">
        <f t="shared" ref="Q196:Q199" si="11">(O196-I196)*10000</f>
        <v>-78.542613636363583</v>
      </c>
      <c r="R196" s="66"/>
      <c r="S196" s="66"/>
      <c r="T196" s="66"/>
      <c r="U196" s="95">
        <f>AVERAGEIFS($U$10:$U$166,$K$10:$K$166,"&gt;="&amp;DATE(2019,1,1),$K$10:$K$166,"&lt;="&amp;DATE(2019,12,31))</f>
        <v>7.0199999999999971E-2</v>
      </c>
      <c r="V196" s="95"/>
      <c r="W196" s="95">
        <f>AVERAGEIFS($W$10:$W$166,$K$10:$K$166,"&gt;="&amp;DATE(2019,1,1),$K$10:$K$166,"&lt;="&amp;DATE(2019,12,31))</f>
        <v>0.50332962962962957</v>
      </c>
      <c r="X196" s="95"/>
      <c r="Y196" s="95">
        <f>AVERAGEIFS($Y$10:$Y$166,$K$10:$K$166,"&gt;="&amp;DATE(2019,1,1),$K$10:$K$166,"&lt;="&amp;DATE(2019,12,31))</f>
        <v>4.8461588148148139E-2</v>
      </c>
    </row>
    <row r="197" spans="1:29" s="64" customFormat="1" x14ac:dyDescent="0.25">
      <c r="A197" s="94" t="s">
        <v>364</v>
      </c>
      <c r="B197" s="66"/>
      <c r="C197" s="94" t="s">
        <v>366</v>
      </c>
      <c r="D197" s="66"/>
      <c r="E197" s="66"/>
      <c r="F197" s="66"/>
      <c r="G197" s="66"/>
      <c r="H197" s="66"/>
      <c r="I197" s="95">
        <f>AVERAGEIFS($I$10:$I$166,$K$10:$K$166,"&gt;="&amp;DATE(2019,1,1),$K$10:$K$166,"&lt;="&amp;DATE(2019,12,31),$M$10:$M$166,"D")</f>
        <v>9.9462499999999981E-2</v>
      </c>
      <c r="J197" s="95"/>
      <c r="K197" s="95"/>
      <c r="L197" s="95"/>
      <c r="M197" s="95"/>
      <c r="N197" s="95"/>
      <c r="O197" s="95">
        <f>AVERAGEIFS($O$10:$O$166,$K$10:$K$166,"&gt;="&amp;DATE(2019,1,1),$K$10:$K$166,"&lt;="&amp;DATE(2019,12,31),$M$10:$M$166,"D")</f>
        <v>9.3712499999999976E-2</v>
      </c>
      <c r="P197" s="66"/>
      <c r="Q197" s="53">
        <f t="shared" si="11"/>
        <v>-57.50000000000005</v>
      </c>
      <c r="R197" s="66"/>
      <c r="S197" s="66"/>
      <c r="T197" s="66"/>
      <c r="U197" s="95">
        <f>AVERAGEIFS($U$10:$U$166,$K$10:$K$166,"&gt;="&amp;DATE(2019,1,1),$K$10:$K$166,"&lt;="&amp;DATE(2019,12,31),$M$10:$M$166,"D")</f>
        <v>7.0462499999999997E-2</v>
      </c>
      <c r="V197" s="95"/>
      <c r="W197" s="95">
        <f>AVERAGEIFS($W$10:$W$166,$K$10:$K$166,"&gt;="&amp;DATE(2019,1,1),$K$10:$K$166,"&lt;="&amp;DATE(2019,12,31),$M$10:$M$166,"D")</f>
        <v>0.5038285714285714</v>
      </c>
      <c r="X197" s="95"/>
      <c r="Y197" s="95">
        <f>AVERAGEIFS($Y$10:$Y$166,$K$10:$K$166,"&gt;="&amp;DATE(2019,1,1),$K$10:$K$166,"&lt;="&amp;DATE(2019,12,31),$M$10:$M$166,"D")</f>
        <v>4.7028138571428568E-2</v>
      </c>
    </row>
    <row r="198" spans="1:29" s="64" customFormat="1" x14ac:dyDescent="0.25">
      <c r="A198" s="94" t="s">
        <v>364</v>
      </c>
      <c r="B198" s="66"/>
      <c r="C198" s="94" t="s">
        <v>371</v>
      </c>
      <c r="D198" s="66"/>
      <c r="E198" s="66"/>
      <c r="F198" s="66"/>
      <c r="G198" s="66"/>
      <c r="H198" s="66"/>
      <c r="I198" s="95">
        <f>AVERAGEIFS($I$10:$I$166,$K$10:$K$166,"&gt;="&amp;DATE(2019,1,1),$K$10:$K$166,"&lt;="&amp;DATE(2019,12,31),$M$10:$M$166,"D",$A$10:$A$166,"&lt;&gt;"&amp;"Illinois")</f>
        <v>0.10291666666666666</v>
      </c>
      <c r="J198" s="95"/>
      <c r="K198" s="95"/>
      <c r="L198" s="95"/>
      <c r="M198" s="95"/>
      <c r="N198" s="95"/>
      <c r="O198" s="95">
        <f>AVERAGEIFS($O$10:$O$166,$K$10:$K$166,"&gt;="&amp;DATE(2019,1,1),$K$10:$K$166,"&lt;="&amp;DATE(2019,12,31),$M$10:$M$166,"D",$A$10:$A$166,"&lt;&gt;"&amp;"Illinois")</f>
        <v>9.5249999999999987E-2</v>
      </c>
      <c r="P198" s="66"/>
      <c r="Q198" s="53">
        <f t="shared" si="11"/>
        <v>-76.666666666666686</v>
      </c>
      <c r="R198" s="66"/>
      <c r="S198" s="66"/>
      <c r="T198" s="66"/>
      <c r="U198" s="95">
        <f>AVERAGEIFS($U$10:$U$166,$K$10:$K$166,"&gt;="&amp;DATE(2019,1,1),$K$10:$K$166,"&lt;="&amp;DATE(2019,12,31),$M$10:$M$166,"D",$A$10:$A$166,"&lt;&gt;"&amp;"Illinois")</f>
        <v>7.191666666666667E-2</v>
      </c>
      <c r="V198" s="95"/>
      <c r="W198" s="95">
        <f>AVERAGEIFS($W$10:$W$166,$K$10:$K$166,"&gt;="&amp;DATE(2019,1,1),$K$10:$K$166,"&lt;="&amp;DATE(2019,12,31),$M$10:$M$166,"D",$A$10:$A$166,"&lt;&gt;"&amp;"Illinois")</f>
        <v>0.50941999999999998</v>
      </c>
      <c r="X198" s="95"/>
      <c r="Y198" s="95">
        <f>AVERAGEIFS($Y$10:$Y$166,$K$10:$K$166,"&gt;="&amp;DATE(2019,1,1),$K$10:$K$166,"&lt;="&amp;DATE(2019,12,31),$M$10:$M$166,"D",$A$10:$A$166,"&lt;&gt;"&amp;"Illinois")</f>
        <v>4.8381140000000003E-2</v>
      </c>
    </row>
    <row r="199" spans="1:29" s="64" customFormat="1" x14ac:dyDescent="0.25">
      <c r="A199" s="94" t="s">
        <v>364</v>
      </c>
      <c r="B199" s="66"/>
      <c r="C199" s="94" t="s">
        <v>367</v>
      </c>
      <c r="D199" s="66"/>
      <c r="E199" s="66"/>
      <c r="F199" s="66"/>
      <c r="G199" s="66"/>
      <c r="H199" s="66"/>
      <c r="I199" s="95">
        <f>AVERAGEIFS($I$10:$I$166,$K$10:$K$166,"&gt;="&amp;DATE(2019,1,1),$K$10:$K$166,"&lt;="&amp;DATE(2019,12,31),$M$10:$M$166,"V")</f>
        <v>0.10589999999999999</v>
      </c>
      <c r="J199" s="95"/>
      <c r="K199" s="95"/>
      <c r="L199" s="95"/>
      <c r="M199" s="95"/>
      <c r="N199" s="95"/>
      <c r="O199" s="95">
        <f>AVERAGEIFS($O$10:$O$166,$K$10:$K$166,"&gt;="&amp;DATE(2019,1,1),$K$10:$K$166,"&lt;="&amp;DATE(2019,12,31),$M$10:$M$166,"V")</f>
        <v>9.7308000000000006E-2</v>
      </c>
      <c r="P199" s="66"/>
      <c r="Q199" s="53">
        <f t="shared" si="11"/>
        <v>-85.919999999999888</v>
      </c>
      <c r="R199" s="66"/>
      <c r="S199" s="66"/>
      <c r="T199" s="66"/>
      <c r="U199" s="95">
        <f>AVERAGEIFS($U$10:$U$166,$K$10:$K$166,"&gt;="&amp;DATE(2019,1,1),$K$10:$K$166,"&lt;="&amp;DATE(2019,12,31),$M$10:$M$166,"V")</f>
        <v>7.0099999999999982E-2</v>
      </c>
      <c r="V199" s="95"/>
      <c r="W199" s="95">
        <f>AVERAGEIFS($W$10:$W$166,$K$10:$K$166,"&gt;="&amp;DATE(2019,1,1),$K$10:$K$166,"&lt;="&amp;DATE(2019,12,31),$M$10:$M$166,"V")</f>
        <v>0.50315499999999991</v>
      </c>
      <c r="X199" s="95"/>
      <c r="Y199" s="95">
        <f>AVERAGEIFS($Y$10:$Y$166,$K$10:$K$166,"&gt;="&amp;DATE(2019,1,1),$K$10:$K$166,"&lt;="&amp;DATE(2019,12,31),$M$10:$M$166,"V")</f>
        <v>4.8963295499999997E-2</v>
      </c>
    </row>
    <row r="200" spans="1:29" s="64" customFormat="1" x14ac:dyDescent="0.25">
      <c r="A200" s="66"/>
      <c r="B200" s="66"/>
      <c r="C200" s="66"/>
      <c r="D200" s="66"/>
      <c r="E200" s="66"/>
      <c r="F200" s="66"/>
      <c r="G200" s="66"/>
      <c r="H200" s="66"/>
      <c r="I200" s="95"/>
      <c r="J200" s="95"/>
      <c r="K200" s="95"/>
      <c r="L200" s="95"/>
      <c r="M200" s="95"/>
      <c r="N200" s="95"/>
      <c r="O200" s="95"/>
      <c r="P200" s="66"/>
      <c r="Q200" s="66"/>
      <c r="R200" s="66"/>
      <c r="S200" s="66"/>
      <c r="T200" s="66"/>
      <c r="U200" s="95"/>
      <c r="V200" s="95"/>
      <c r="W200" s="95"/>
      <c r="X200" s="95"/>
      <c r="Y200" s="95"/>
    </row>
    <row r="201" spans="1:29" s="64" customFormat="1" x14ac:dyDescent="0.25">
      <c r="A201" s="96">
        <v>2020</v>
      </c>
      <c r="B201" s="97"/>
      <c r="C201" s="97"/>
      <c r="D201" s="97"/>
      <c r="E201" s="97"/>
      <c r="F201" s="97"/>
      <c r="G201" s="97"/>
      <c r="H201" s="97"/>
      <c r="I201" s="98"/>
      <c r="J201" s="98"/>
      <c r="K201" s="98"/>
      <c r="L201" s="98"/>
      <c r="M201" s="98"/>
      <c r="N201" s="98"/>
      <c r="O201" s="98"/>
      <c r="P201" s="97"/>
      <c r="Q201" s="97"/>
      <c r="R201" s="97"/>
      <c r="S201" s="97"/>
      <c r="T201" s="97"/>
      <c r="U201" s="98"/>
      <c r="V201" s="98"/>
      <c r="W201" s="98"/>
      <c r="X201" s="98"/>
      <c r="Y201" s="98"/>
    </row>
    <row r="202" spans="1:29" s="64" customFormat="1" x14ac:dyDescent="0.25">
      <c r="A202" s="94" t="s">
        <v>363</v>
      </c>
      <c r="B202" s="66"/>
      <c r="C202" s="66"/>
      <c r="D202" s="66"/>
      <c r="E202" s="66"/>
      <c r="F202" s="66"/>
      <c r="G202" s="94" cm="1">
        <f t="array" ref="G202">SUMPRODUCT(--(YEAR($K$10:$K$166)=A201))</f>
        <v>42</v>
      </c>
      <c r="H202" s="66"/>
      <c r="I202" s="95"/>
      <c r="J202" s="95"/>
      <c r="K202" s="95"/>
      <c r="L202" s="95"/>
      <c r="M202" s="95"/>
      <c r="N202" s="95"/>
      <c r="O202" s="95"/>
      <c r="P202" s="66"/>
      <c r="Q202" s="66"/>
      <c r="R202" s="66"/>
      <c r="S202" s="66"/>
      <c r="T202" s="66"/>
      <c r="U202" s="95"/>
      <c r="V202" s="95"/>
      <c r="W202" s="95"/>
      <c r="X202" s="95"/>
      <c r="Y202" s="95"/>
    </row>
    <row r="203" spans="1:29" s="64" customFormat="1" x14ac:dyDescent="0.25">
      <c r="A203" s="94" t="s">
        <v>364</v>
      </c>
      <c r="B203" s="66"/>
      <c r="C203" s="94" t="s">
        <v>365</v>
      </c>
      <c r="D203" s="66"/>
      <c r="E203" s="66"/>
      <c r="F203" s="66"/>
      <c r="G203" s="66"/>
      <c r="H203" s="66"/>
      <c r="I203" s="95">
        <f>AVERAGEIFS($I$10:$I$166,$K$10:$K$166,"&gt;="&amp;DATE(2020,1,1),$K$10:$K$166,"&lt;="&amp;DATE(2020,12,31))</f>
        <v>0.10002195121951223</v>
      </c>
      <c r="J203" s="95"/>
      <c r="K203" s="95"/>
      <c r="L203" s="95"/>
      <c r="M203" s="95"/>
      <c r="N203" s="95"/>
      <c r="O203" s="95">
        <f>AVERAGEIFS($O$10:$O$166,$K$10:$K$166,"&gt;="&amp;DATE(2020,1,1),$K$10:$K$166,"&lt;="&amp;DATE(2020,12,31))</f>
        <v>9.3866666666666695E-2</v>
      </c>
      <c r="P203" s="66"/>
      <c r="Q203" s="53">
        <f t="shared" ref="Q203:Q206" si="12">(O203-I203)*10000</f>
        <v>-61.5528455284553</v>
      </c>
      <c r="R203" s="66"/>
      <c r="S203" s="66"/>
      <c r="T203" s="66"/>
      <c r="U203" s="95">
        <f>AVERAGEIFS($U$10:$U$166,$K$10:$K$166,"&gt;="&amp;DATE(2020,1,1),$K$10:$K$166,"&lt;="&amp;DATE(2020,12,31))</f>
        <v>6.8210000000000021E-2</v>
      </c>
      <c r="V203" s="95"/>
      <c r="W203" s="95">
        <f>AVERAGEIFS($W$10:$W$166,$K$10:$K$166,"&gt;="&amp;DATE(2020,1,1),$K$10:$K$166,"&lt;="&amp;DATE(2020,12,31))</f>
        <v>0.4977282051282052</v>
      </c>
      <c r="X203" s="95"/>
      <c r="Y203" s="95">
        <f>AVERAGEIFS($Y$10:$Y$166,$K$10:$K$166,"&gt;="&amp;DATE(2020,1,1),$K$10:$K$166,"&lt;="&amp;DATE(2020,12,31))</f>
        <v>4.6679552307692329E-2</v>
      </c>
      <c r="AA203" s="99"/>
      <c r="AC203" s="100"/>
    </row>
    <row r="204" spans="1:29" s="64" customFormat="1" x14ac:dyDescent="0.25">
      <c r="A204" s="94" t="s">
        <v>364</v>
      </c>
      <c r="B204" s="66"/>
      <c r="C204" s="94" t="s">
        <v>366</v>
      </c>
      <c r="D204" s="66"/>
      <c r="E204" s="66"/>
      <c r="F204" s="66"/>
      <c r="G204" s="66"/>
      <c r="H204" s="66"/>
      <c r="I204" s="95">
        <f>AVERAGEIFS($I$10:$I$166,$K$10:$K$166,"&gt;="&amp;DATE(2020,1,1),$K$10:$K$166,"&lt;="&amp;DATE(2020,12,31),$M$10:$M$166,"D")</f>
        <v>9.8306666666666681E-2</v>
      </c>
      <c r="J204" s="95"/>
      <c r="K204" s="95"/>
      <c r="L204" s="95"/>
      <c r="M204" s="95"/>
      <c r="N204" s="95"/>
      <c r="O204" s="95">
        <f>AVERAGEIFS($O$10:$O$166,$K$10:$K$166,"&gt;="&amp;DATE(2020,1,1),$K$10:$K$166,"&lt;="&amp;DATE(2020,12,31),$M$10:$M$166,"D")</f>
        <v>9.1006666666666666E-2</v>
      </c>
      <c r="P204" s="66"/>
      <c r="Q204" s="53">
        <f t="shared" si="12"/>
        <v>-73.000000000000142</v>
      </c>
      <c r="R204" s="66"/>
      <c r="S204" s="66"/>
      <c r="T204" s="66"/>
      <c r="U204" s="95">
        <f>AVERAGEIFS($U$10:$U$166,$K$10:$K$166,"&gt;="&amp;DATE(2020,1,1),$K$10:$K$166,"&lt;="&amp;DATE(2020,12,31),$M$10:$M$166,"D")</f>
        <v>6.7879999999999982E-2</v>
      </c>
      <c r="V204" s="95"/>
      <c r="W204" s="95">
        <f>AVERAGEIFS($W$10:$W$166,$K$10:$K$166,"&gt;="&amp;DATE(2020,1,1),$K$10:$K$166,"&lt;="&amp;DATE(2020,12,31),$M$10:$M$166,"D")</f>
        <v>0.49220000000000008</v>
      </c>
      <c r="X204" s="95"/>
      <c r="Y204" s="95">
        <f>AVERAGEIFS($Y$10:$Y$166,$K$10:$K$166,"&gt;="&amp;DATE(2020,1,1),$K$10:$K$166,"&lt;="&amp;DATE(2020,12,31),$M$10:$M$166,"D")</f>
        <v>4.4807451999999998E-2</v>
      </c>
    </row>
    <row r="205" spans="1:29" s="64" customFormat="1" x14ac:dyDescent="0.25">
      <c r="A205" s="94" t="s">
        <v>364</v>
      </c>
      <c r="B205" s="66"/>
      <c r="C205" s="94" t="s">
        <v>371</v>
      </c>
      <c r="D205" s="66"/>
      <c r="E205" s="66"/>
      <c r="F205" s="66"/>
      <c r="G205" s="66"/>
      <c r="H205" s="66"/>
      <c r="I205" s="95">
        <f>AVERAGEIFS($I$10:$I$166,$K$10:$K$166,"&gt;="&amp;DATE(2020,1,1),$K$10:$K$166,"&lt;="&amp;DATE(2020,12,31),$M$10:$M$166,"D",$A$10:$A$166,"&lt;&gt;"&amp;"Illinois")</f>
        <v>0.10053846153846153</v>
      </c>
      <c r="J205" s="95"/>
      <c r="K205" s="95"/>
      <c r="L205" s="95"/>
      <c r="M205" s="95"/>
      <c r="N205" s="95"/>
      <c r="O205" s="95">
        <f>AVERAGEIFS($O$10:$O$166,$K$10:$K$166,"&gt;="&amp;DATE(2020,1,1),$K$10:$K$166,"&lt;="&amp;DATE(2020,12,31),$M$10:$M$166,"D",$A$10:$A$166,"&lt;&gt;"&amp;"Illinois")</f>
        <v>9.2115384615384599E-2</v>
      </c>
      <c r="P205" s="66"/>
      <c r="Q205" s="53">
        <f t="shared" si="12"/>
        <v>-84.230769230769354</v>
      </c>
      <c r="R205" s="66"/>
      <c r="S205" s="66"/>
      <c r="T205" s="66"/>
      <c r="U205" s="95">
        <f>AVERAGEIFS($U$10:$U$166,$K$10:$K$166,"&gt;="&amp;DATE(2020,1,1),$K$10:$K$166,"&lt;="&amp;DATE(2020,12,31),$M$10:$M$166,"D",$A$10:$A$166,"&lt;&gt;"&amp;"Illinois")</f>
        <v>6.8576923076923063E-2</v>
      </c>
      <c r="V205" s="95"/>
      <c r="W205" s="95">
        <f>AVERAGEIFS($W$10:$W$166,$K$10:$K$166,"&gt;="&amp;DATE(2020,1,1),$K$10:$K$166,"&lt;="&amp;DATE(2020,12,31),$M$10:$M$166,"D",$A$10:$A$166,"&lt;&gt;"&amp;"Illinois")</f>
        <v>0.49241538461538464</v>
      </c>
      <c r="X205" s="95"/>
      <c r="Y205" s="95">
        <f>AVERAGEIFS($Y$10:$Y$166,$K$10:$K$166,"&gt;="&amp;DATE(2020,1,1),$K$10:$K$166,"&lt;="&amp;DATE(2020,12,31),$M$10:$M$166,"D",$A$10:$A$166,"&lt;&gt;"&amp;"Illinois")</f>
        <v>4.537336153846154E-2</v>
      </c>
    </row>
    <row r="206" spans="1:29" s="64" customFormat="1" x14ac:dyDescent="0.25">
      <c r="A206" s="94" t="s">
        <v>364</v>
      </c>
      <c r="B206" s="66"/>
      <c r="C206" s="94" t="s">
        <v>367</v>
      </c>
      <c r="D206" s="66"/>
      <c r="E206" s="66"/>
      <c r="F206" s="66"/>
      <c r="G206" s="66"/>
      <c r="H206" s="66"/>
      <c r="I206" s="95">
        <f>AVERAGEIFS($I$10:$I$166,$K$10:$K$166,"&gt;="&amp;DATE(2020,1,1),$K$10:$K$166,"&lt;="&amp;DATE(2020,12,31),$M$10:$M$166,"V")</f>
        <v>0.10101153846153844</v>
      </c>
      <c r="J206" s="95"/>
      <c r="K206" s="95"/>
      <c r="L206" s="95"/>
      <c r="M206" s="95"/>
      <c r="N206" s="95"/>
      <c r="O206" s="95">
        <f>AVERAGEIFS($O$10:$O$166,$K$10:$K$166,"&gt;="&amp;DATE(2020,1,1),$K$10:$K$166,"&lt;="&amp;DATE(2020,12,31),$M$10:$M$166,"V")</f>
        <v>9.5455555555555571E-2</v>
      </c>
      <c r="P206" s="66"/>
      <c r="Q206" s="53">
        <f t="shared" si="12"/>
        <v>-55.559829059828729</v>
      </c>
      <c r="R206" s="66"/>
      <c r="S206" s="66"/>
      <c r="T206" s="66"/>
      <c r="U206" s="95">
        <f>AVERAGEIFS($U$10:$U$166,$K$10:$K$166,"&gt;="&amp;DATE(2020,1,1),$K$10:$K$166,"&lt;="&amp;DATE(2020,12,31),$M$10:$M$166,"V")</f>
        <v>6.8407999999999983E-2</v>
      </c>
      <c r="V206" s="95"/>
      <c r="W206" s="95">
        <f>AVERAGEIFS($W$10:$W$166,$K$10:$K$166,"&gt;="&amp;DATE(2020,1,1),$K$10:$K$166,"&lt;="&amp;DATE(2020,12,31),$M$10:$M$166,"V")</f>
        <v>0.50118333333333343</v>
      </c>
      <c r="X206" s="95"/>
      <c r="Y206" s="95">
        <f>AVERAGEIFS($Y$10:$Y$166,$K$10:$K$166,"&gt;="&amp;DATE(2020,1,1),$K$10:$K$166,"&lt;="&amp;DATE(2020,12,31),$M$10:$M$166,"V")</f>
        <v>4.7849615000000005E-2</v>
      </c>
    </row>
    <row r="207" spans="1:29" s="64" customFormat="1" x14ac:dyDescent="0.25">
      <c r="A207" s="94"/>
      <c r="B207" s="66"/>
      <c r="C207" s="94"/>
      <c r="D207" s="66"/>
      <c r="E207" s="66"/>
      <c r="F207" s="66"/>
      <c r="G207" s="66"/>
      <c r="H207" s="66"/>
      <c r="I207" s="95"/>
      <c r="J207" s="95"/>
      <c r="K207" s="95"/>
      <c r="L207" s="95"/>
      <c r="M207" s="95"/>
      <c r="N207" s="95"/>
      <c r="O207" s="95"/>
      <c r="P207" s="66"/>
      <c r="Q207" s="53"/>
      <c r="R207" s="66"/>
      <c r="S207" s="66"/>
      <c r="T207" s="66"/>
      <c r="U207" s="95"/>
      <c r="V207" s="95"/>
      <c r="W207" s="95"/>
      <c r="X207" s="95"/>
      <c r="Y207" s="95"/>
    </row>
    <row r="208" spans="1:29" s="64" customFormat="1" x14ac:dyDescent="0.25">
      <c r="A208" s="96">
        <v>2021</v>
      </c>
      <c r="B208" s="97"/>
      <c r="C208" s="97"/>
      <c r="D208" s="97"/>
      <c r="E208" s="97"/>
      <c r="F208" s="97"/>
      <c r="G208" s="97"/>
      <c r="H208" s="97"/>
      <c r="I208" s="98"/>
      <c r="J208" s="98"/>
      <c r="K208" s="98"/>
      <c r="L208" s="98"/>
      <c r="M208" s="98"/>
      <c r="N208" s="98"/>
      <c r="O208" s="98"/>
      <c r="P208" s="97"/>
      <c r="Q208" s="97"/>
      <c r="R208" s="97"/>
      <c r="S208" s="97"/>
      <c r="T208" s="97"/>
      <c r="U208" s="98"/>
      <c r="V208" s="98"/>
      <c r="W208" s="98"/>
      <c r="X208" s="98"/>
      <c r="Y208" s="98"/>
    </row>
    <row r="209" spans="1:29" s="64" customFormat="1" x14ac:dyDescent="0.25">
      <c r="A209" s="94" t="s">
        <v>363</v>
      </c>
      <c r="B209" s="66"/>
      <c r="C209" s="66"/>
      <c r="D209" s="66"/>
      <c r="E209" s="66"/>
      <c r="F209" s="66"/>
      <c r="G209" s="94" cm="1">
        <f t="array" ref="G209">SUMPRODUCT(--(YEAR($K$10:$K$166)=A208))</f>
        <v>1</v>
      </c>
      <c r="H209" s="66"/>
      <c r="I209" s="95"/>
      <c r="J209" s="95"/>
      <c r="K209" s="95"/>
      <c r="L209" s="95"/>
      <c r="M209" s="95"/>
      <c r="N209" s="95"/>
      <c r="O209" s="95"/>
      <c r="P209" s="66"/>
      <c r="Q209" s="66"/>
      <c r="R209" s="66"/>
      <c r="S209" s="66"/>
      <c r="T209" s="66"/>
      <c r="U209" s="95"/>
      <c r="V209" s="95"/>
      <c r="W209" s="95"/>
      <c r="X209" s="95"/>
      <c r="Y209" s="95"/>
    </row>
    <row r="210" spans="1:29" s="64" customFormat="1" x14ac:dyDescent="0.25">
      <c r="A210" s="94" t="s">
        <v>364</v>
      </c>
      <c r="B210" s="66"/>
      <c r="C210" s="94" t="s">
        <v>365</v>
      </c>
      <c r="D210" s="66"/>
      <c r="E210" s="66"/>
      <c r="F210" s="66"/>
      <c r="G210" s="66"/>
      <c r="H210" s="66"/>
      <c r="I210" s="95">
        <f>AVERAGEIFS($I$10:$I$166,$K$10:$K$166,"&gt;="&amp;DATE(2021,1,1),$K$10:$K$166,"&lt;="&amp;DATE(2021,12,31))</f>
        <v>0.1</v>
      </c>
      <c r="J210" s="95"/>
      <c r="K210" s="95"/>
      <c r="L210" s="95"/>
      <c r="M210" s="95"/>
      <c r="N210" s="95"/>
      <c r="O210" s="95">
        <f>AVERAGEIFS($O$10:$O$166,$K$10:$K$166,"&gt;="&amp;DATE(2021,1,1),$K$10:$K$166,"&lt;="&amp;DATE(2021,12,31))</f>
        <v>9.2999999999999999E-2</v>
      </c>
      <c r="P210" s="66"/>
      <c r="Q210" s="53">
        <f t="shared" ref="Q210" si="13">(O210-I210)*10000</f>
        <v>-70.000000000000057</v>
      </c>
      <c r="R210" s="66"/>
      <c r="S210" s="66"/>
      <c r="T210" s="66"/>
      <c r="U210" s="95">
        <f>AVERAGEIFS($U$10:$U$166,$K$10:$K$166,"&gt;="&amp;DATE(2021,1,1),$K$10:$K$166,"&lt;="&amp;DATE(2021,12,31))</f>
        <v>6.1899999999999997E-2</v>
      </c>
      <c r="V210" s="95"/>
      <c r="W210" s="95">
        <f>AVERAGEIFS($W$10:$W$166,$K$10:$K$166,"&gt;="&amp;DATE(2021,1,1),$K$10:$K$166,"&lt;="&amp;DATE(2021,12,31))</f>
        <v>0.4325</v>
      </c>
      <c r="X210" s="95"/>
      <c r="Y210" s="95">
        <f>AVERAGEIFS($Y$10:$Y$166,$K$10:$K$166,"&gt;="&amp;DATE(2021,1,1),$K$10:$K$166,"&lt;="&amp;DATE(2021,12,31))</f>
        <v>4.0222500000000001E-2</v>
      </c>
      <c r="AA210" s="99"/>
      <c r="AC210" s="100"/>
    </row>
    <row r="211" spans="1:29" s="64" customFormat="1" x14ac:dyDescent="0.25">
      <c r="A211" s="94" t="s">
        <v>364</v>
      </c>
      <c r="B211" s="66"/>
      <c r="C211" s="94" t="s">
        <v>366</v>
      </c>
      <c r="D211" s="66"/>
      <c r="E211" s="66"/>
      <c r="F211" s="66"/>
      <c r="G211" s="66"/>
      <c r="H211" s="66"/>
      <c r="I211" s="101" t="str">
        <f>IFERROR((AVERAGEIFS($I$10:$I$166,$K$10:$K$166,"&gt;="&amp;DATE(2021,1,1),$K$10:$K$166,"&lt;="&amp;DATE(2021,12,31),$M$10:$M$166,"D")),"None")</f>
        <v>None</v>
      </c>
      <c r="J211" s="95"/>
      <c r="K211" s="95"/>
      <c r="L211" s="95"/>
      <c r="M211" s="95"/>
      <c r="N211" s="95"/>
      <c r="O211" s="101" t="str">
        <f>IFERROR(AVERAGEIFS($O$10:$O$166,$K$10:$K$166,"&gt;="&amp;DATE(2021,1,1),$K$10:$K$166,"&lt;="&amp;DATE(2021,12,31),$M$10:$M$166,"D"),"None")</f>
        <v>None</v>
      </c>
      <c r="P211" s="66"/>
      <c r="Q211" s="53">
        <f>IFERROR(((O211-I211)*10000),0)</f>
        <v>0</v>
      </c>
      <c r="R211" s="66"/>
      <c r="S211" s="66"/>
      <c r="T211" s="66"/>
      <c r="U211" s="101" t="str">
        <f>IFERROR((AVERAGEIFS($U$10:$U$166,$K$10:$K$166,"&gt;="&amp;DATE(2021,1,1),$K$10:$K$166,"&lt;="&amp;DATE(2021,12,31),$M$10:$M$166,"D")),"None")</f>
        <v>None</v>
      </c>
      <c r="V211" s="95"/>
      <c r="W211" s="101" t="str">
        <f>IFERROR(AVERAGEIFS($W$10:$W$166,$K$10:$K$166,"&gt;="&amp;DATE(2021,1,1),$K$10:$K$166,"&lt;="&amp;DATE(2021,12,31),$M$10:$M$166,"D"),"None")</f>
        <v>None</v>
      </c>
      <c r="X211" s="95"/>
      <c r="Y211" s="101" t="str">
        <f>IFERROR(AVERAGEIFS($Y$10:$Y$166,$K$10:$K$166,"&gt;="&amp;DATE(2021,1,1),$K$10:$K$166,"&lt;="&amp;DATE(2021,12,31),$M$10:$M$166,"D"),"None")</f>
        <v>None</v>
      </c>
    </row>
    <row r="212" spans="1:29" s="64" customFormat="1" x14ac:dyDescent="0.25">
      <c r="A212" s="94" t="s">
        <v>364</v>
      </c>
      <c r="B212" s="66"/>
      <c r="C212" s="94" t="s">
        <v>371</v>
      </c>
      <c r="D212" s="66"/>
      <c r="E212" s="66"/>
      <c r="F212" s="66"/>
      <c r="G212" s="66"/>
      <c r="H212" s="66"/>
      <c r="I212" s="101" t="str">
        <f>IFERROR(AVERAGEIFS($I$10:$I$166,$K$10:$K$166,"&gt;="&amp;DATE(2021,1,1),$K$10:$K$166,"&lt;="&amp;DATE(2021,12,31),$M$10:$M$166,"D",$A$10:$A$166,"&lt;&gt;"&amp;"Illinois"),"None")</f>
        <v>None</v>
      </c>
      <c r="J212" s="95"/>
      <c r="K212" s="95"/>
      <c r="L212" s="95"/>
      <c r="M212" s="95"/>
      <c r="N212" s="95"/>
      <c r="O212" s="101" t="str">
        <f>IFERROR(AVERAGEIFS($O$10:$O$166,$K$10:$K$166,"&gt;="&amp;DATE(2021,1,1),$K$10:$K$166,"&lt;="&amp;DATE(2021,12,31),$M$10:$M$166,"D",$A$10:$A$166,"&lt;&gt;"&amp;"Illinois"),"None")</f>
        <v>None</v>
      </c>
      <c r="P212" s="66"/>
      <c r="Q212" s="53">
        <f>IFERROR(((O212-I212)*10000),0)</f>
        <v>0</v>
      </c>
      <c r="R212" s="66"/>
      <c r="S212" s="66"/>
      <c r="T212" s="66"/>
      <c r="U212" s="101" t="str">
        <f>IFERROR(AVERAGEIFS($U$10:$U$166,$K$10:$K$166,"&gt;="&amp;DATE(2021,1,1),$K$10:$K$166,"&lt;="&amp;DATE(2021,12,31),$M$10:$M$166,"D",$A$10:$A$166,"&lt;&gt;"&amp;"Illinois"),"None")</f>
        <v>None</v>
      </c>
      <c r="V212" s="95"/>
      <c r="W212" s="101" t="str">
        <f>IFERROR(AVERAGEIFS($W$10:$W$166,$K$10:$K$166,"&gt;="&amp;DATE(2021,1,1),$K$10:$K$166,"&lt;="&amp;DATE(2021,12,31),$M$10:$M$166,"D",$A$10:$A$166,"&lt;&gt;"&amp;"Illinois"),"None")</f>
        <v>None</v>
      </c>
      <c r="X212" s="95"/>
      <c r="Y212" s="101" t="str">
        <f>IFERROR(AVERAGEIFS($Y$10:$Y$166,$K$10:$K$166,"&gt;="&amp;DATE(2021,1,1),$K$10:$K$166,"&lt;="&amp;DATE(2021,12,31),$M$10:$M$166,"D",$A$10:$A$166,"&lt;&gt;"&amp;"Illinois"),"None")</f>
        <v>None</v>
      </c>
    </row>
    <row r="213" spans="1:29" x14ac:dyDescent="0.25">
      <c r="A213" s="51" t="s">
        <v>364</v>
      </c>
      <c r="B213" s="6"/>
      <c r="C213" s="51" t="s">
        <v>367</v>
      </c>
      <c r="D213" s="6"/>
      <c r="E213" s="6"/>
      <c r="F213" s="6"/>
      <c r="G213" s="6"/>
      <c r="H213" s="6"/>
      <c r="I213" s="86">
        <f>IFERROR(AVERAGEIFS($I$10:$I$166,$K$10:$K$166,"&gt;="&amp;DATE(2021,1,1),$K$10:$K$166,"&lt;="&amp;DATE(2021,12,31),$M$10:$M$166,"V"),"None")</f>
        <v>0.1</v>
      </c>
      <c r="J213" s="52"/>
      <c r="K213" s="52"/>
      <c r="L213" s="52"/>
      <c r="M213" s="52"/>
      <c r="N213" s="52"/>
      <c r="O213" s="86">
        <f>IFERROR(AVERAGEIFS($O$10:$O$166,$K$10:$K$166,"&gt;="&amp;DATE(2021,1,1),$K$10:$K$166,"&lt;="&amp;DATE(2021,12,31),$M$10:$M$166,"V"),"None")</f>
        <v>9.2999999999999999E-2</v>
      </c>
      <c r="Q213" s="53">
        <f>IFERROR(((O213-I213)*10000),0)</f>
        <v>-70.000000000000057</v>
      </c>
      <c r="R213" s="6"/>
      <c r="S213" s="6"/>
      <c r="T213" s="6"/>
      <c r="U213" s="86">
        <f>IFERROR(AVERAGEIFS($U$10:$U$166,$K$10:$K$166,"&gt;="&amp;DATE(2021,1,1),$K$10:$K$166,"&lt;="&amp;DATE(2021,12,31),$M$10:$M$166,"V"),"N/A")</f>
        <v>6.1899999999999997E-2</v>
      </c>
      <c r="V213" s="52"/>
      <c r="W213" s="86">
        <f>IFERROR(AVERAGEIFS($W$10:$W$166,$K$10:$K$166,"&gt;="&amp;DATE(2021,1,1),$K$10:$K$166,"&lt;="&amp;DATE(2021,12,31),$M$10:$M$166,"V"),"N/A")</f>
        <v>0.4325</v>
      </c>
      <c r="X213" s="52"/>
      <c r="Y213" s="86">
        <f>IFERROR(AVERAGEIFS($Y$10:$Y$166,$K$10:$K$166,"&gt;="&amp;DATE(2021,1,1),$K$10:$K$166,"&lt;="&amp;DATE(2021,12,31),$M$10:$M$166,"V"),"N/A")</f>
        <v>4.0222500000000001E-2</v>
      </c>
    </row>
    <row r="214" spans="1:29" x14ac:dyDescent="0.25">
      <c r="A214" s="6"/>
      <c r="B214" s="6"/>
      <c r="C214" s="6"/>
      <c r="D214" s="6"/>
      <c r="E214" s="6"/>
      <c r="F214" s="6"/>
      <c r="G214" s="6"/>
      <c r="H214" s="6"/>
      <c r="I214" s="52"/>
      <c r="J214" s="52"/>
      <c r="K214" s="52"/>
      <c r="L214" s="52"/>
      <c r="M214" s="52"/>
      <c r="N214" s="52"/>
      <c r="O214" s="52"/>
      <c r="Q214" s="6"/>
      <c r="R214" s="6"/>
      <c r="S214" s="6"/>
      <c r="T214" s="6"/>
      <c r="U214" s="52"/>
      <c r="V214" s="52"/>
      <c r="W214" s="52"/>
      <c r="X214" s="52"/>
      <c r="Y214" s="52"/>
    </row>
    <row r="215" spans="1:29" x14ac:dyDescent="0.25">
      <c r="A215" s="50" t="s">
        <v>372</v>
      </c>
      <c r="B215" s="50"/>
      <c r="C215" s="50"/>
      <c r="D215" s="6"/>
      <c r="E215" s="6"/>
      <c r="F215" s="6"/>
      <c r="G215" s="6"/>
      <c r="H215" s="6"/>
      <c r="I215" s="52"/>
      <c r="J215" s="52"/>
      <c r="K215" s="52"/>
      <c r="L215" s="52"/>
      <c r="M215" s="52"/>
      <c r="N215" s="52"/>
      <c r="O215" s="52"/>
      <c r="Q215" s="6"/>
      <c r="R215" s="6"/>
      <c r="S215" s="6"/>
      <c r="T215" s="6"/>
      <c r="U215" s="52"/>
      <c r="V215" s="52"/>
      <c r="W215" s="52"/>
      <c r="X215" s="52"/>
      <c r="Y215" s="52"/>
    </row>
    <row r="216" spans="1:29" x14ac:dyDescent="0.25">
      <c r="A216" s="50" t="s">
        <v>373</v>
      </c>
      <c r="B216" s="50"/>
      <c r="C216" s="76" t="s">
        <v>378</v>
      </c>
      <c r="D216" s="6"/>
      <c r="E216" s="6"/>
      <c r="F216" s="6"/>
      <c r="G216" s="6"/>
      <c r="H216" s="6"/>
      <c r="I216" s="52"/>
      <c r="J216" s="52"/>
      <c r="K216" s="52"/>
      <c r="L216" s="52"/>
      <c r="M216" s="52"/>
      <c r="N216" s="52"/>
      <c r="O216" s="52"/>
      <c r="Q216" s="6"/>
      <c r="R216" s="6"/>
      <c r="S216" s="6"/>
      <c r="T216" s="6"/>
      <c r="U216" s="52"/>
      <c r="V216" s="52"/>
      <c r="W216" s="52"/>
      <c r="X216" s="52"/>
      <c r="Y216" s="52"/>
    </row>
    <row r="217" spans="1:29" x14ac:dyDescent="0.25">
      <c r="A217" s="51" t="s">
        <v>374</v>
      </c>
      <c r="B217" s="6"/>
      <c r="C217" s="6"/>
      <c r="D217" s="6"/>
      <c r="E217" s="6"/>
      <c r="F217" s="6"/>
      <c r="G217" s="6"/>
      <c r="H217" s="6"/>
      <c r="I217" s="52"/>
      <c r="J217" s="52"/>
      <c r="K217" s="52"/>
      <c r="L217" s="52"/>
      <c r="M217" s="52"/>
      <c r="N217" s="52"/>
      <c r="O217" s="52"/>
      <c r="Q217" s="6"/>
      <c r="R217" s="6"/>
      <c r="S217" s="6"/>
      <c r="T217" s="6"/>
      <c r="U217" s="52"/>
      <c r="V217" s="52"/>
      <c r="W217" s="52"/>
      <c r="X217" s="52"/>
      <c r="Y217" s="52"/>
    </row>
    <row r="218" spans="1:29" x14ac:dyDescent="0.25">
      <c r="A218" s="51" t="s">
        <v>375</v>
      </c>
      <c r="B218" s="6"/>
      <c r="C218" s="6"/>
      <c r="D218" s="6"/>
      <c r="E218" s="6"/>
      <c r="F218" s="6"/>
      <c r="G218" s="6"/>
      <c r="H218" s="6"/>
      <c r="I218" s="52"/>
      <c r="J218" s="52"/>
      <c r="K218" s="52"/>
      <c r="L218" s="52"/>
      <c r="M218" s="52"/>
      <c r="N218" s="52"/>
      <c r="O218" s="52"/>
      <c r="Q218" s="6"/>
      <c r="R218" s="6"/>
      <c r="S218" s="6"/>
      <c r="T218" s="6"/>
      <c r="U218" s="52"/>
      <c r="V218" s="52"/>
      <c r="W218" s="52"/>
      <c r="X218" s="52"/>
      <c r="Y218" s="52"/>
    </row>
    <row r="219" spans="1:29" x14ac:dyDescent="0.25">
      <c r="A219" s="51" t="s">
        <v>376</v>
      </c>
      <c r="B219" s="6"/>
      <c r="C219" s="6"/>
      <c r="D219" s="6"/>
      <c r="E219" s="6"/>
      <c r="F219" s="6"/>
      <c r="G219" s="6"/>
      <c r="H219" s="6"/>
      <c r="I219" s="52"/>
      <c r="J219" s="52"/>
      <c r="K219" s="52"/>
      <c r="L219" s="52"/>
      <c r="M219" s="52"/>
      <c r="N219" s="52"/>
      <c r="O219" s="52"/>
      <c r="Q219" s="6"/>
      <c r="R219" s="6"/>
      <c r="S219" s="6"/>
      <c r="T219" s="6"/>
      <c r="U219" s="52"/>
      <c r="V219" s="52"/>
      <c r="W219" s="52"/>
      <c r="X219" s="52"/>
      <c r="Y219" s="52"/>
    </row>
    <row r="220" spans="1:29" x14ac:dyDescent="0.25">
      <c r="A220" s="51" t="s">
        <v>377</v>
      </c>
      <c r="B220" s="6"/>
      <c r="C220" s="6"/>
      <c r="D220" s="6"/>
      <c r="E220" s="6"/>
      <c r="F220" s="6"/>
      <c r="G220" s="6"/>
      <c r="H220" s="6"/>
      <c r="I220" s="52"/>
      <c r="J220" s="52"/>
      <c r="K220" s="52"/>
      <c r="L220" s="52"/>
      <c r="M220" s="52"/>
      <c r="N220" s="52"/>
      <c r="O220" s="52"/>
      <c r="Q220" s="6"/>
      <c r="R220" s="6"/>
      <c r="S220" s="6"/>
      <c r="T220" s="6"/>
      <c r="U220" s="6"/>
      <c r="V220" s="6"/>
      <c r="W220" s="6"/>
      <c r="X220" s="6"/>
      <c r="Y220" s="6"/>
    </row>
    <row r="221" spans="1:29" x14ac:dyDescent="0.25">
      <c r="A221" s="6"/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6"/>
      <c r="N221" s="6"/>
      <c r="O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9" x14ac:dyDescent="0.25">
      <c r="A222" s="6"/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6"/>
      <c r="N222" s="6"/>
      <c r="O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9" x14ac:dyDescent="0.25">
      <c r="A223" s="6"/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6"/>
      <c r="N223" s="6"/>
      <c r="O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9" x14ac:dyDescent="0.25">
      <c r="A224" s="6"/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6"/>
      <c r="N224" s="6"/>
      <c r="O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5">
      <c r="A225" s="6"/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6"/>
      <c r="N225" s="6"/>
      <c r="O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5">
      <c r="A226" s="6"/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6"/>
      <c r="N226" s="6"/>
      <c r="O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5">
      <c r="A227" s="6"/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6"/>
      <c r="N227" s="6"/>
      <c r="O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5">
      <c r="A228" s="6"/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6"/>
      <c r="N228" s="6"/>
      <c r="O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5">
      <c r="A229" s="6"/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6"/>
      <c r="N229" s="6"/>
      <c r="O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5">
      <c r="A230" s="6"/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6"/>
      <c r="N230" s="6"/>
      <c r="O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5">
      <c r="A231" s="6"/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6"/>
      <c r="N231" s="6"/>
      <c r="O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5">
      <c r="A232" s="6"/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6"/>
      <c r="N232" s="6"/>
      <c r="O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5">
      <c r="A233" s="6"/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6"/>
      <c r="N233" s="6"/>
      <c r="O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5">
      <c r="A234" s="6"/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6"/>
      <c r="N234" s="6"/>
      <c r="O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5">
      <c r="A235" s="6"/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6"/>
      <c r="N235" s="6"/>
      <c r="O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5">
      <c r="A236" s="6"/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6"/>
      <c r="N236" s="6"/>
      <c r="O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5">
      <c r="A237" s="6"/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6"/>
      <c r="N237" s="6"/>
      <c r="O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5">
      <c r="A238" s="6"/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6"/>
      <c r="N238" s="6"/>
      <c r="O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5">
      <c r="A239" s="6"/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6"/>
      <c r="N239" s="6"/>
      <c r="O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5">
      <c r="A240" s="6"/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6"/>
      <c r="N240" s="6"/>
      <c r="O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5">
      <c r="A241" s="6"/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6"/>
      <c r="N241" s="6"/>
      <c r="O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5">
      <c r="A242" s="6"/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6"/>
      <c r="N242" s="6"/>
      <c r="O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5">
      <c r="A243" s="6"/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6"/>
      <c r="N243" s="6"/>
      <c r="O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5">
      <c r="A244" s="6"/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6"/>
      <c r="N244" s="6"/>
      <c r="O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5">
      <c r="A245" s="6"/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6"/>
      <c r="N245" s="6"/>
      <c r="O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5">
      <c r="A246" s="6"/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6"/>
      <c r="N246" s="6"/>
      <c r="O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5">
      <c r="A247" s="6"/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6"/>
      <c r="N247" s="6"/>
      <c r="O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5">
      <c r="A248" s="6"/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6"/>
      <c r="N248" s="6"/>
      <c r="O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5">
      <c r="A249" s="6"/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6"/>
      <c r="N249" s="6"/>
      <c r="O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5">
      <c r="A250" s="6"/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6"/>
      <c r="N250" s="6"/>
      <c r="O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5">
      <c r="A251" s="6"/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6"/>
      <c r="N251" s="6"/>
      <c r="O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5">
      <c r="A252" s="6"/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6"/>
      <c r="N252" s="6"/>
      <c r="O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5">
      <c r="A253" s="6"/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6"/>
      <c r="N253" s="6"/>
      <c r="O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5">
      <c r="A254" s="6"/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6"/>
      <c r="N254" s="6"/>
      <c r="O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5">
      <c r="A255" s="6"/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6"/>
      <c r="N255" s="6"/>
      <c r="O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5">
      <c r="A256" s="6"/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6"/>
      <c r="N256" s="6"/>
      <c r="O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5">
      <c r="A257" s="6"/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6"/>
      <c r="N257" s="6"/>
      <c r="O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5">
      <c r="A258" s="6"/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6"/>
      <c r="N258" s="6"/>
      <c r="O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5">
      <c r="A259" s="6"/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6"/>
      <c r="N259" s="6"/>
      <c r="O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5">
      <c r="A260" s="6"/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6"/>
      <c r="N260" s="6"/>
      <c r="O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5">
      <c r="A261" s="6"/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6"/>
      <c r="N261" s="6"/>
      <c r="O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5">
      <c r="A262" s="6"/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6"/>
      <c r="N262" s="6"/>
      <c r="O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5">
      <c r="A263" s="6"/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6"/>
      <c r="N263" s="6"/>
      <c r="O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5">
      <c r="A264" s="6"/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6"/>
      <c r="N264" s="6"/>
      <c r="O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5">
      <c r="A265" s="6"/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6"/>
      <c r="N265" s="6"/>
      <c r="O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5">
      <c r="A266" s="6"/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6"/>
      <c r="N266" s="6"/>
      <c r="O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5">
      <c r="A267" s="6"/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6"/>
      <c r="N267" s="6"/>
      <c r="O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5">
      <c r="A268" s="6"/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6"/>
      <c r="N268" s="6"/>
      <c r="O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5">
      <c r="A269" s="6"/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6"/>
      <c r="N269" s="6"/>
      <c r="O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5">
      <c r="A270" s="6"/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6"/>
      <c r="N270" s="6"/>
      <c r="O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5">
      <c r="A271" s="6"/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6"/>
      <c r="N271" s="6"/>
      <c r="O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5">
      <c r="A272" s="6"/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6"/>
      <c r="N272" s="6"/>
      <c r="O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5">
      <c r="A273" s="6"/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6"/>
      <c r="N273" s="6"/>
      <c r="O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5">
      <c r="A274" s="6"/>
      <c r="B274" s="6"/>
      <c r="C274" s="6"/>
      <c r="D274" s="6"/>
      <c r="E274" s="6"/>
      <c r="F274" s="6"/>
      <c r="G274" s="6"/>
      <c r="H274" s="6"/>
      <c r="I274" s="6"/>
      <c r="K274" s="6"/>
      <c r="L274" s="6"/>
      <c r="M274" s="6"/>
      <c r="N274" s="6"/>
      <c r="O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5">
      <c r="A275" s="6"/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6"/>
      <c r="N275" s="6"/>
      <c r="O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5">
      <c r="A276" s="6"/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6"/>
      <c r="N276" s="6"/>
      <c r="O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5">
      <c r="A277" s="6"/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6"/>
      <c r="N277" s="6"/>
      <c r="O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5">
      <c r="A278" s="6"/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6"/>
      <c r="N278" s="6"/>
      <c r="O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5">
      <c r="A279" s="6"/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6"/>
      <c r="N279" s="6"/>
      <c r="O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5">
      <c r="A280" s="6"/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6"/>
      <c r="N280" s="6"/>
      <c r="O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5">
      <c r="A281" s="6"/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6"/>
      <c r="N281" s="6"/>
      <c r="O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5">
      <c r="A282" s="6"/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6"/>
      <c r="N282" s="6"/>
      <c r="O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5">
      <c r="A283" s="6"/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6"/>
      <c r="N283" s="6"/>
      <c r="O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5">
      <c r="A284" s="6"/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6"/>
      <c r="N284" s="6"/>
      <c r="O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5">
      <c r="A285" s="6"/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6"/>
      <c r="N285" s="6"/>
      <c r="O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5">
      <c r="A286" s="6"/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6"/>
      <c r="N286" s="6"/>
      <c r="O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6"/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6"/>
      <c r="N287" s="6"/>
      <c r="O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5">
      <c r="A288" s="6"/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6"/>
      <c r="N288" s="6"/>
      <c r="O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5">
      <c r="A289" s="6"/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6"/>
      <c r="N289" s="6"/>
      <c r="O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5">
      <c r="A290" s="6"/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6"/>
      <c r="N290" s="6"/>
      <c r="O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5">
      <c r="A291" s="6"/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6"/>
      <c r="N291" s="6"/>
      <c r="O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5">
      <c r="A292" s="6"/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6"/>
      <c r="N292" s="6"/>
      <c r="O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5">
      <c r="A293" s="6"/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6"/>
      <c r="N293" s="6"/>
      <c r="O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5">
      <c r="A294" s="6"/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6"/>
      <c r="N294" s="6"/>
      <c r="O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5">
      <c r="A295" s="6"/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6"/>
      <c r="N295" s="6"/>
      <c r="O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5">
      <c r="A296" s="6"/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6"/>
      <c r="N296" s="6"/>
      <c r="O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5">
      <c r="A297" s="6"/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6"/>
      <c r="N297" s="6"/>
      <c r="O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5">
      <c r="A298" s="6"/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6"/>
      <c r="N298" s="6"/>
      <c r="O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5">
      <c r="A299" s="6"/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6"/>
      <c r="N299" s="6"/>
      <c r="O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5">
      <c r="A300" s="6"/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6"/>
      <c r="N300" s="6"/>
      <c r="O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5">
      <c r="A301" s="6"/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6"/>
      <c r="N301" s="6"/>
      <c r="O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5">
      <c r="A302" s="6"/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6"/>
      <c r="N302" s="6"/>
      <c r="O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5">
      <c r="A303" s="6"/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6"/>
      <c r="N303" s="6"/>
      <c r="O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5">
      <c r="A304" s="6"/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6"/>
      <c r="N304" s="6"/>
      <c r="O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5">
      <c r="A305" s="6"/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6"/>
      <c r="N305" s="6"/>
      <c r="O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5">
      <c r="A306" s="6"/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6"/>
      <c r="N306" s="6"/>
      <c r="O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5">
      <c r="A307" s="6"/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6"/>
      <c r="N307" s="6"/>
      <c r="O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5">
      <c r="A308" s="6"/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6"/>
      <c r="N308" s="6"/>
      <c r="O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5">
      <c r="A309" s="6"/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6"/>
      <c r="N309" s="6"/>
      <c r="O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5">
      <c r="A310" s="6"/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6"/>
      <c r="N310" s="6"/>
      <c r="O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5">
      <c r="A311" s="6"/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6"/>
      <c r="N311" s="6"/>
      <c r="O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5">
      <c r="A312" s="6"/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6"/>
      <c r="N312" s="6"/>
      <c r="O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5">
      <c r="A313" s="6"/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6"/>
      <c r="N313" s="6"/>
      <c r="O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5">
      <c r="A314" s="6"/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6"/>
      <c r="N314" s="6"/>
      <c r="O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5">
      <c r="A315" s="6"/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6"/>
      <c r="N315" s="6"/>
      <c r="O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5">
      <c r="A316" s="6"/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6"/>
      <c r="N316" s="6"/>
      <c r="O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5">
      <c r="A317" s="6"/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6"/>
      <c r="N317" s="6"/>
      <c r="O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5">
      <c r="A318" s="6"/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6"/>
      <c r="N318" s="6"/>
      <c r="O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5">
      <c r="A319" s="6"/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6"/>
      <c r="N319" s="6"/>
      <c r="O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5">
      <c r="A320" s="6"/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6"/>
      <c r="N320" s="6"/>
      <c r="O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5">
      <c r="A321" s="6"/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6"/>
      <c r="N321" s="6"/>
      <c r="O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5">
      <c r="A322" s="6"/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6"/>
      <c r="N322" s="6"/>
      <c r="O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5">
      <c r="A323" s="6"/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6"/>
      <c r="N323" s="6"/>
      <c r="O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5">
      <c r="A324" s="6"/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6"/>
      <c r="N324" s="6"/>
      <c r="O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5">
      <c r="A325" s="6"/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6"/>
      <c r="N325" s="6"/>
      <c r="O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5">
      <c r="A326" s="6"/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6"/>
      <c r="N326" s="6"/>
      <c r="O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5">
      <c r="A327" s="6"/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6"/>
      <c r="N327" s="6"/>
      <c r="O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5">
      <c r="A328" s="6"/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6"/>
      <c r="N328" s="6"/>
      <c r="O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5">
      <c r="A329" s="6"/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6"/>
      <c r="N329" s="6"/>
      <c r="O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5">
      <c r="A330" s="6"/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6"/>
      <c r="N330" s="6"/>
      <c r="O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5">
      <c r="A331" s="6"/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6"/>
      <c r="N331" s="6"/>
      <c r="O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5">
      <c r="A332" s="6"/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6"/>
      <c r="N332" s="6"/>
      <c r="O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5">
      <c r="A333" s="6"/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6"/>
      <c r="N333" s="6"/>
      <c r="O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5">
      <c r="A334" s="6"/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6"/>
      <c r="N334" s="6"/>
      <c r="O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5">
      <c r="A335" s="6"/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6"/>
      <c r="N335" s="6"/>
      <c r="O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5">
      <c r="A336" s="6"/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6"/>
      <c r="N336" s="6"/>
      <c r="O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5">
      <c r="A337" s="6"/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6"/>
      <c r="N337" s="6"/>
      <c r="O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5">
      <c r="A338" s="6"/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6"/>
      <c r="N338" s="6"/>
      <c r="O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5">
      <c r="A339" s="6"/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6"/>
      <c r="N339" s="6"/>
      <c r="O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5">
      <c r="A340" s="6"/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6"/>
      <c r="N340" s="6"/>
      <c r="O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5">
      <c r="A341" s="6"/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6"/>
      <c r="N341" s="6"/>
      <c r="O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5">
      <c r="A342" s="6"/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6"/>
      <c r="N342" s="6"/>
      <c r="O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5">
      <c r="A343" s="6"/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6"/>
      <c r="N343" s="6"/>
      <c r="O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5">
      <c r="A344" s="6"/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6"/>
      <c r="N344" s="6"/>
      <c r="O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5">
      <c r="A345" s="6"/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6"/>
      <c r="N345" s="6"/>
      <c r="O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5">
      <c r="A346" s="6"/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6"/>
      <c r="N346" s="6"/>
      <c r="O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5">
      <c r="A347" s="6"/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6"/>
      <c r="N347" s="6"/>
      <c r="O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5">
      <c r="A348" s="6"/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6"/>
      <c r="N348" s="6"/>
      <c r="O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5">
      <c r="A349" s="6"/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6"/>
      <c r="N349" s="6"/>
      <c r="O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5">
      <c r="A350" s="6"/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6"/>
      <c r="N350" s="6"/>
      <c r="O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5">
      <c r="A351" s="6"/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6"/>
      <c r="N351" s="6"/>
      <c r="O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5">
      <c r="A352" s="6"/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6"/>
      <c r="N352" s="6"/>
      <c r="O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5">
      <c r="A353" s="6"/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6"/>
      <c r="N353" s="6"/>
      <c r="O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5">
      <c r="A354" s="6"/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6"/>
      <c r="N354" s="6"/>
      <c r="O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5">
      <c r="A355" s="6"/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6"/>
      <c r="N355" s="6"/>
      <c r="O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5">
      <c r="A356" s="6"/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6"/>
      <c r="N356" s="6"/>
      <c r="O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5">
      <c r="A357" s="6"/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6"/>
      <c r="N357" s="6"/>
      <c r="O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5">
      <c r="A358" s="6"/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6"/>
      <c r="N358" s="6"/>
      <c r="O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5">
      <c r="A359" s="6"/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6"/>
      <c r="N359" s="6"/>
      <c r="O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5">
      <c r="A360" s="6"/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6"/>
      <c r="N360" s="6"/>
      <c r="O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5">
      <c r="A361" s="6"/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6"/>
      <c r="N361" s="6"/>
      <c r="O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5">
      <c r="A362" s="6"/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6"/>
      <c r="N362" s="6"/>
      <c r="O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5">
      <c r="A363" s="6"/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6"/>
      <c r="N363" s="6"/>
      <c r="O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5">
      <c r="A364" s="6"/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6"/>
      <c r="N364" s="6"/>
      <c r="O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5">
      <c r="A365" s="6"/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6"/>
      <c r="N365" s="6"/>
      <c r="O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5">
      <c r="A366" s="6"/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6"/>
      <c r="N366" s="6"/>
      <c r="O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5">
      <c r="A367" s="6"/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6"/>
      <c r="N367" s="6"/>
      <c r="O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5">
      <c r="A368" s="6"/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6"/>
      <c r="N368" s="6"/>
      <c r="O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5">
      <c r="A369" s="6"/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6"/>
      <c r="N369" s="6"/>
      <c r="O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5">
      <c r="A370" s="6"/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6"/>
      <c r="N370" s="6"/>
      <c r="O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5">
      <c r="A371" s="6"/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6"/>
      <c r="N371" s="6"/>
      <c r="O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5">
      <c r="A372" s="6"/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6"/>
      <c r="N372" s="6"/>
      <c r="O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5">
      <c r="A373" s="6"/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6"/>
      <c r="N373" s="6"/>
      <c r="O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5">
      <c r="A374" s="6"/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6"/>
      <c r="N374" s="6"/>
      <c r="O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5">
      <c r="A375" s="6"/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6"/>
      <c r="N375" s="6"/>
      <c r="O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5">
      <c r="A376" s="6"/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6"/>
      <c r="N376" s="6"/>
      <c r="O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5">
      <c r="A377" s="6"/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6"/>
      <c r="N377" s="6"/>
      <c r="O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5">
      <c r="A378" s="6"/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6"/>
      <c r="N378" s="6"/>
      <c r="O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5">
      <c r="A379" s="6"/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6"/>
      <c r="N379" s="6"/>
      <c r="O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5">
      <c r="A380" s="6"/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6"/>
      <c r="N380" s="6"/>
      <c r="O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5">
      <c r="A381" s="6"/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6"/>
      <c r="N381" s="6"/>
      <c r="O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5">
      <c r="A382" s="6"/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6"/>
      <c r="N382" s="6"/>
      <c r="O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5">
      <c r="A383" s="6"/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6"/>
      <c r="N383" s="6"/>
      <c r="O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5">
      <c r="A384" s="6"/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6"/>
      <c r="N384" s="6"/>
      <c r="O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5">
      <c r="A385" s="6"/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6"/>
      <c r="N385" s="6"/>
      <c r="O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5">
      <c r="A386" s="6"/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6"/>
      <c r="N386" s="6"/>
      <c r="O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5">
      <c r="A387" s="6"/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6"/>
      <c r="N387" s="6"/>
      <c r="O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5">
      <c r="A388" s="6"/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6"/>
      <c r="N388" s="6"/>
      <c r="O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5">
      <c r="A389" s="6"/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6"/>
      <c r="N389" s="6"/>
      <c r="O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5">
      <c r="A390" s="6"/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6"/>
      <c r="N390" s="6"/>
      <c r="O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5">
      <c r="A391" s="6"/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6"/>
      <c r="N391" s="6"/>
      <c r="O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5">
      <c r="A392" s="6"/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6"/>
      <c r="N392" s="6"/>
      <c r="O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5">
      <c r="A393" s="6"/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6"/>
      <c r="N393" s="6"/>
      <c r="O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5">
      <c r="A394" s="6"/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6"/>
      <c r="N394" s="6"/>
      <c r="O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5">
      <c r="A395" s="6"/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6"/>
      <c r="N395" s="6"/>
      <c r="O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5">
      <c r="A396" s="6"/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6"/>
      <c r="N396" s="6"/>
      <c r="O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5">
      <c r="A397" s="6"/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6"/>
      <c r="N397" s="6"/>
      <c r="O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5">
      <c r="A398" s="6"/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6"/>
      <c r="N398" s="6"/>
      <c r="O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5">
      <c r="A399" s="6"/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6"/>
      <c r="N399" s="6"/>
      <c r="O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5">
      <c r="A400" s="6"/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6"/>
      <c r="N400" s="6"/>
      <c r="O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5">
      <c r="A401" s="6"/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6"/>
      <c r="N401" s="6"/>
      <c r="O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5">
      <c r="A402" s="6"/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6"/>
      <c r="N402" s="6"/>
      <c r="O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5">
      <c r="A403" s="6"/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6"/>
      <c r="N403" s="6"/>
      <c r="O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5">
      <c r="A404" s="6"/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6"/>
      <c r="N404" s="6"/>
      <c r="O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5">
      <c r="A405" s="6"/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6"/>
      <c r="N405" s="6"/>
      <c r="O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5">
      <c r="A406" s="6"/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6"/>
      <c r="N406" s="6"/>
      <c r="O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5">
      <c r="A407" s="6"/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6"/>
      <c r="N407" s="6"/>
      <c r="O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5">
      <c r="A408" s="6"/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6"/>
      <c r="N408" s="6"/>
      <c r="O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5">
      <c r="A409" s="6"/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6"/>
      <c r="N409" s="6"/>
      <c r="O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5">
      <c r="A410" s="6"/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6"/>
      <c r="N410" s="6"/>
      <c r="O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5">
      <c r="A411" s="6"/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6"/>
      <c r="N411" s="6"/>
      <c r="O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5">
      <c r="A412" s="6"/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6"/>
      <c r="N412" s="6"/>
      <c r="O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5">
      <c r="A413" s="6"/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6"/>
      <c r="N413" s="6"/>
      <c r="O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5">
      <c r="A414" s="6"/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6"/>
      <c r="N414" s="6"/>
      <c r="O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5">
      <c r="A415" s="6"/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6"/>
      <c r="N415" s="6"/>
      <c r="O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5">
      <c r="A416" s="6"/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6"/>
      <c r="N416" s="6"/>
      <c r="O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5">
      <c r="A417" s="6"/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6"/>
      <c r="N417" s="6"/>
      <c r="O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5">
      <c r="A418" s="6"/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6"/>
      <c r="N418" s="6"/>
      <c r="O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5">
      <c r="A419" s="6"/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6"/>
      <c r="N419" s="6"/>
      <c r="O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5">
      <c r="A420" s="6"/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6"/>
      <c r="N420" s="6"/>
      <c r="O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5">
      <c r="A421" s="6"/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6"/>
      <c r="N421" s="6"/>
      <c r="O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5">
      <c r="A422" s="6"/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6"/>
      <c r="N422" s="6"/>
      <c r="O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5">
      <c r="A423" s="6"/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6"/>
      <c r="N423" s="6"/>
      <c r="O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5">
      <c r="A424" s="6"/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6"/>
      <c r="N424" s="6"/>
      <c r="O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5">
      <c r="A425" s="6"/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6"/>
      <c r="N425" s="6"/>
      <c r="O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5">
      <c r="A426" s="6"/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6"/>
      <c r="N426" s="6"/>
      <c r="O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5">
      <c r="A427" s="6"/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6"/>
      <c r="N427" s="6"/>
      <c r="O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5">
      <c r="A428" s="6"/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6"/>
      <c r="N428" s="6"/>
      <c r="O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5">
      <c r="A429" s="6"/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6"/>
      <c r="N429" s="6"/>
      <c r="O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5">
      <c r="A430" s="6"/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6"/>
      <c r="N430" s="6"/>
      <c r="O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5">
      <c r="A431" s="6"/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6"/>
      <c r="N431" s="6"/>
      <c r="O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5">
      <c r="A432" s="6"/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6"/>
      <c r="N432" s="6"/>
      <c r="O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5">
      <c r="A433" s="6"/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6"/>
      <c r="N433" s="6"/>
      <c r="O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5">
      <c r="A434" s="6"/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6"/>
      <c r="N434" s="6"/>
      <c r="O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5">
      <c r="A435" s="6"/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6"/>
      <c r="N435" s="6"/>
      <c r="O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5">
      <c r="A436" s="6"/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6"/>
      <c r="N436" s="6"/>
      <c r="O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5">
      <c r="A437" s="6"/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6"/>
      <c r="N437" s="6"/>
      <c r="O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5">
      <c r="A438" s="6"/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6"/>
      <c r="N438" s="6"/>
      <c r="O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5">
      <c r="A439" s="6"/>
      <c r="B439" s="6"/>
      <c r="C439" s="6"/>
      <c r="D439" s="6"/>
      <c r="E439" s="6"/>
      <c r="F439" s="6"/>
      <c r="G439" s="6"/>
      <c r="H439" s="6"/>
      <c r="I439" s="6"/>
      <c r="K439" s="6"/>
      <c r="L439" s="6"/>
      <c r="M439" s="6"/>
      <c r="N439" s="6"/>
      <c r="O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5">
      <c r="A440" s="6"/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6"/>
      <c r="N440" s="6"/>
      <c r="O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5">
      <c r="A441" s="6"/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6"/>
      <c r="N441" s="6"/>
      <c r="O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5">
      <c r="A442" s="6"/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6"/>
      <c r="N442" s="6"/>
      <c r="O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5">
      <c r="A443" s="6"/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6"/>
      <c r="N443" s="6"/>
      <c r="O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5">
      <c r="A444" s="6"/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6"/>
      <c r="N444" s="6"/>
      <c r="O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5">
      <c r="A445" s="6"/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6"/>
      <c r="N445" s="6"/>
      <c r="O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5">
      <c r="A446" s="6"/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6"/>
      <c r="N446" s="6"/>
      <c r="O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5">
      <c r="A447" s="6"/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6"/>
      <c r="N447" s="6"/>
      <c r="O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5">
      <c r="A448" s="6"/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6"/>
      <c r="N448" s="6"/>
      <c r="O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5">
      <c r="A449" s="6"/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6"/>
      <c r="N449" s="6"/>
      <c r="O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5">
      <c r="A450" s="6"/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6"/>
      <c r="N450" s="6"/>
      <c r="O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5">
      <c r="A451" s="6"/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6"/>
      <c r="N451" s="6"/>
      <c r="O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5">
      <c r="A452" s="6"/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6"/>
      <c r="N452" s="6"/>
      <c r="O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5">
      <c r="A453" s="6"/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6"/>
      <c r="N453" s="6"/>
      <c r="O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5">
      <c r="A454" s="6"/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6"/>
      <c r="N454" s="6"/>
      <c r="O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5">
      <c r="A455" s="6"/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6"/>
      <c r="N455" s="6"/>
      <c r="O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5">
      <c r="A456" s="6"/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6"/>
      <c r="N456" s="6"/>
      <c r="O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5">
      <c r="A457" s="6"/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6"/>
      <c r="N457" s="6"/>
      <c r="O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5">
      <c r="A458" s="6"/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6"/>
      <c r="N458" s="6"/>
      <c r="O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5">
      <c r="A459" s="6"/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6"/>
      <c r="N459" s="6"/>
      <c r="O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5">
      <c r="A460" s="6"/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6"/>
      <c r="N460" s="6"/>
      <c r="O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5">
      <c r="A461" s="6"/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6"/>
      <c r="N461" s="6"/>
      <c r="O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5">
      <c r="A462" s="6"/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6"/>
      <c r="N462" s="6"/>
      <c r="O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5">
      <c r="A463" s="6"/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6"/>
      <c r="N463" s="6"/>
      <c r="O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5">
      <c r="A464" s="6"/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6"/>
      <c r="N464" s="6"/>
      <c r="O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5">
      <c r="A465" s="6"/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6"/>
      <c r="N465" s="6"/>
      <c r="O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5">
      <c r="A466" s="6"/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6"/>
      <c r="N466" s="6"/>
      <c r="O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5">
      <c r="A467" s="6"/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6"/>
      <c r="N467" s="6"/>
      <c r="O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5">
      <c r="A468" s="6"/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6"/>
      <c r="N468" s="6"/>
      <c r="O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5">
      <c r="A469" s="6"/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6"/>
      <c r="N469" s="6"/>
      <c r="O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5">
      <c r="A470" s="6"/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6"/>
      <c r="N470" s="6"/>
      <c r="O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5">
      <c r="A471" s="6"/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6"/>
      <c r="N471" s="6"/>
      <c r="O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5">
      <c r="A472" s="6"/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6"/>
      <c r="N472" s="6"/>
      <c r="O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5">
      <c r="A473" s="6"/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6"/>
      <c r="N473" s="6"/>
      <c r="O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5">
      <c r="A474" s="6"/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6"/>
      <c r="N474" s="6"/>
      <c r="O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5">
      <c r="A475" s="6"/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6"/>
      <c r="N475" s="6"/>
      <c r="O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5">
      <c r="A476" s="6"/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6"/>
      <c r="N476" s="6"/>
      <c r="O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5">
      <c r="A477" s="6"/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6"/>
      <c r="N477" s="6"/>
      <c r="O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5">
      <c r="A478" s="6"/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6"/>
      <c r="N478" s="6"/>
      <c r="O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5">
      <c r="A479" s="6"/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6"/>
      <c r="N479" s="6"/>
      <c r="O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5">
      <c r="A480" s="6"/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6"/>
      <c r="N480" s="6"/>
      <c r="O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5">
      <c r="A481" s="6"/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6"/>
      <c r="N481" s="6"/>
      <c r="O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5">
      <c r="A482" s="6"/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6"/>
      <c r="N482" s="6"/>
      <c r="O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5">
      <c r="A483" s="6"/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6"/>
      <c r="N483" s="6"/>
      <c r="O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5">
      <c r="A484" s="6"/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6"/>
      <c r="N484" s="6"/>
      <c r="O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5">
      <c r="A485" s="6"/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6"/>
      <c r="N485" s="6"/>
      <c r="O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5">
      <c r="A486" s="6"/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6"/>
      <c r="N486" s="6"/>
      <c r="O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5">
      <c r="A487" s="6"/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6"/>
      <c r="N487" s="6"/>
      <c r="O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5">
      <c r="A488" s="6"/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6"/>
      <c r="N488" s="6"/>
      <c r="O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5">
      <c r="A489" s="6"/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6"/>
      <c r="N489" s="6"/>
      <c r="O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5">
      <c r="A490" s="6"/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6"/>
      <c r="N490" s="6"/>
      <c r="O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5">
      <c r="A491" s="6"/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6"/>
      <c r="N491" s="6"/>
      <c r="O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5">
      <c r="A492" s="6"/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6"/>
      <c r="N492" s="6"/>
      <c r="O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5">
      <c r="A493" s="6"/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6"/>
      <c r="N493" s="6"/>
      <c r="O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5">
      <c r="A494" s="6"/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6"/>
      <c r="N494" s="6"/>
      <c r="O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5">
      <c r="A495" s="6"/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6"/>
      <c r="N495" s="6"/>
      <c r="O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5">
      <c r="A496" s="6"/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6"/>
      <c r="N496" s="6"/>
      <c r="O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5">
      <c r="A497" s="6"/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6"/>
      <c r="N497" s="6"/>
      <c r="O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5">
      <c r="A498" s="6"/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6"/>
      <c r="N498" s="6"/>
      <c r="O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5">
      <c r="A499" s="6"/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6"/>
      <c r="N499" s="6"/>
      <c r="O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5">
      <c r="A500" s="6"/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6"/>
      <c r="N500" s="6"/>
      <c r="O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5">
      <c r="A501" s="6"/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6"/>
      <c r="N501" s="6"/>
      <c r="O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5">
      <c r="A502" s="6"/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6"/>
      <c r="N502" s="6"/>
      <c r="O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5">
      <c r="A503" s="6"/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6"/>
      <c r="N503" s="6"/>
      <c r="O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5">
      <c r="A504" s="6"/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6"/>
      <c r="N504" s="6"/>
      <c r="O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5">
      <c r="A505" s="6"/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6"/>
      <c r="N505" s="6"/>
      <c r="O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5">
      <c r="A506" s="6"/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6"/>
      <c r="N506" s="6"/>
      <c r="O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5">
      <c r="A507" s="6"/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6"/>
      <c r="N507" s="6"/>
      <c r="O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5">
      <c r="A508" s="6"/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6"/>
      <c r="N508" s="6"/>
      <c r="O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5">
      <c r="A509" s="6"/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6"/>
      <c r="N509" s="6"/>
      <c r="O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5">
      <c r="A510" s="6"/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6"/>
      <c r="N510" s="6"/>
      <c r="O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5">
      <c r="A511" s="6"/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6"/>
      <c r="N511" s="6"/>
      <c r="O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5">
      <c r="A512" s="6"/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6"/>
      <c r="N512" s="6"/>
      <c r="O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5">
      <c r="A513" s="6"/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6"/>
      <c r="N513" s="6"/>
      <c r="O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5">
      <c r="A514" s="6"/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6"/>
      <c r="N514" s="6"/>
      <c r="O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5">
      <c r="A515" s="6"/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6"/>
      <c r="N515" s="6"/>
      <c r="O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5">
      <c r="A516" s="6"/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6"/>
      <c r="N516" s="6"/>
      <c r="O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5">
      <c r="A517" s="6"/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6"/>
      <c r="N517" s="6"/>
      <c r="O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5">
      <c r="A518" s="6"/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6"/>
      <c r="N518" s="6"/>
      <c r="O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5">
      <c r="A519" s="6"/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6"/>
      <c r="N519" s="6"/>
      <c r="O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5">
      <c r="A520" s="6"/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6"/>
      <c r="N520" s="6"/>
      <c r="O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5">
      <c r="A521" s="6"/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6"/>
      <c r="N521" s="6"/>
      <c r="O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5">
      <c r="A522" s="6"/>
      <c r="B522" s="6"/>
      <c r="C522" s="6"/>
      <c r="D522" s="6"/>
      <c r="E522" s="6"/>
      <c r="F522" s="6"/>
      <c r="G522" s="6"/>
      <c r="H522" s="6"/>
      <c r="I522" s="6"/>
      <c r="K522" s="6"/>
      <c r="L522" s="6"/>
      <c r="M522" s="6"/>
      <c r="N522" s="6"/>
      <c r="O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5">
      <c r="A523" s="6"/>
      <c r="B523" s="6"/>
      <c r="C523" s="6"/>
      <c r="D523" s="6"/>
      <c r="E523" s="6"/>
      <c r="F523" s="6"/>
      <c r="G523" s="6"/>
      <c r="H523" s="6"/>
      <c r="I523" s="6"/>
      <c r="K523" s="6"/>
      <c r="L523" s="6"/>
      <c r="M523" s="6"/>
      <c r="N523" s="6"/>
      <c r="O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5">
      <c r="A524" s="6"/>
      <c r="B524" s="6"/>
      <c r="C524" s="6"/>
      <c r="D524" s="6"/>
      <c r="E524" s="6"/>
      <c r="F524" s="6"/>
      <c r="G524" s="6"/>
      <c r="H524" s="6"/>
      <c r="I524" s="6"/>
      <c r="K524" s="6"/>
      <c r="L524" s="6"/>
      <c r="M524" s="6"/>
      <c r="N524" s="6"/>
      <c r="O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5">
      <c r="A525" s="6"/>
      <c r="B525" s="6"/>
      <c r="C525" s="6"/>
      <c r="D525" s="6"/>
      <c r="E525" s="6"/>
      <c r="F525" s="6"/>
      <c r="G525" s="6"/>
      <c r="H525" s="6"/>
      <c r="I525" s="6"/>
      <c r="K525" s="6"/>
      <c r="L525" s="6"/>
      <c r="M525" s="6"/>
      <c r="N525" s="6"/>
      <c r="O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5">
      <c r="A526" s="6"/>
      <c r="B526" s="6"/>
      <c r="C526" s="6"/>
      <c r="D526" s="6"/>
      <c r="E526" s="6"/>
      <c r="F526" s="6"/>
      <c r="G526" s="6"/>
      <c r="H526" s="6"/>
      <c r="I526" s="6"/>
      <c r="K526" s="6"/>
      <c r="L526" s="6"/>
      <c r="M526" s="6"/>
      <c r="N526" s="6"/>
      <c r="O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5">
      <c r="A527" s="6"/>
      <c r="B527" s="6"/>
      <c r="C527" s="6"/>
      <c r="D527" s="6"/>
      <c r="E527" s="6"/>
      <c r="F527" s="6"/>
      <c r="G527" s="6"/>
      <c r="H527" s="6"/>
      <c r="I527" s="6"/>
      <c r="K527" s="6"/>
      <c r="L527" s="6"/>
      <c r="M527" s="6"/>
      <c r="N527" s="6"/>
      <c r="O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5">
      <c r="A528" s="6"/>
      <c r="B528" s="6"/>
      <c r="C528" s="6"/>
      <c r="D528" s="6"/>
      <c r="E528" s="6"/>
      <c r="F528" s="6"/>
      <c r="G528" s="6"/>
      <c r="H528" s="6"/>
      <c r="I528" s="6"/>
      <c r="K528" s="6"/>
      <c r="L528" s="6"/>
      <c r="M528" s="6"/>
      <c r="N528" s="6"/>
      <c r="O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5">
      <c r="A529" s="6"/>
      <c r="B529" s="6"/>
      <c r="C529" s="6"/>
      <c r="D529" s="6"/>
      <c r="E529" s="6"/>
      <c r="F529" s="6"/>
      <c r="G529" s="6"/>
      <c r="H529" s="6"/>
      <c r="I529" s="6"/>
      <c r="K529" s="6"/>
      <c r="L529" s="6"/>
      <c r="M529" s="6"/>
      <c r="N529" s="6"/>
      <c r="O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5">
      <c r="A530" s="6"/>
      <c r="B530" s="6"/>
      <c r="C530" s="6"/>
      <c r="D530" s="6"/>
      <c r="E530" s="6"/>
      <c r="F530" s="6"/>
      <c r="G530" s="6"/>
      <c r="H530" s="6"/>
      <c r="I530" s="6"/>
      <c r="K530" s="6"/>
      <c r="L530" s="6"/>
      <c r="M530" s="6"/>
      <c r="N530" s="6"/>
      <c r="O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5">
      <c r="A531" s="6"/>
      <c r="B531" s="6"/>
      <c r="C531" s="6"/>
      <c r="D531" s="6"/>
      <c r="E531" s="6"/>
      <c r="F531" s="6"/>
      <c r="G531" s="6"/>
      <c r="H531" s="6"/>
      <c r="I531" s="6"/>
      <c r="K531" s="6"/>
      <c r="L531" s="6"/>
      <c r="M531" s="6"/>
      <c r="N531" s="6"/>
      <c r="O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5">
      <c r="A532" s="6"/>
      <c r="B532" s="6"/>
      <c r="C532" s="6"/>
      <c r="D532" s="6"/>
      <c r="E532" s="6"/>
      <c r="F532" s="6"/>
      <c r="G532" s="6"/>
      <c r="H532" s="6"/>
      <c r="I532" s="6"/>
      <c r="K532" s="6"/>
      <c r="L532" s="6"/>
      <c r="M532" s="6"/>
      <c r="N532" s="6"/>
      <c r="O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5">
      <c r="A533" s="6"/>
      <c r="B533" s="6"/>
      <c r="C533" s="6"/>
      <c r="D533" s="6"/>
      <c r="E533" s="6"/>
      <c r="F533" s="6"/>
      <c r="G533" s="6"/>
      <c r="H533" s="6"/>
      <c r="I533" s="6"/>
      <c r="K533" s="6"/>
      <c r="L533" s="6"/>
      <c r="M533" s="6"/>
      <c r="N533" s="6"/>
      <c r="O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5">
      <c r="A534" s="6"/>
      <c r="B534" s="6"/>
      <c r="C534" s="6"/>
      <c r="D534" s="6"/>
      <c r="E534" s="6"/>
      <c r="F534" s="6"/>
      <c r="G534" s="6"/>
      <c r="H534" s="6"/>
      <c r="I534" s="6"/>
      <c r="K534" s="6"/>
      <c r="L534" s="6"/>
      <c r="M534" s="6"/>
      <c r="N534" s="6"/>
      <c r="O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5">
      <c r="A535" s="6"/>
      <c r="B535" s="6"/>
      <c r="C535" s="6"/>
      <c r="D535" s="6"/>
      <c r="E535" s="6"/>
      <c r="F535" s="6"/>
      <c r="G535" s="6"/>
      <c r="H535" s="6"/>
      <c r="I535" s="6"/>
      <c r="K535" s="6"/>
      <c r="L535" s="6"/>
      <c r="M535" s="6"/>
      <c r="N535" s="6"/>
      <c r="O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5">
      <c r="A536" s="6"/>
      <c r="B536" s="6"/>
      <c r="C536" s="6"/>
      <c r="D536" s="6"/>
      <c r="E536" s="6"/>
      <c r="F536" s="6"/>
      <c r="G536" s="6"/>
      <c r="H536" s="6"/>
      <c r="I536" s="6"/>
      <c r="K536" s="6"/>
      <c r="L536" s="6"/>
      <c r="M536" s="6"/>
      <c r="N536" s="6"/>
      <c r="O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5">
      <c r="A537" s="6"/>
      <c r="B537" s="6"/>
      <c r="C537" s="6"/>
      <c r="D537" s="6"/>
      <c r="E537" s="6"/>
      <c r="F537" s="6"/>
      <c r="G537" s="6"/>
      <c r="H537" s="6"/>
      <c r="I537" s="6"/>
      <c r="K537" s="6"/>
      <c r="L537" s="6"/>
      <c r="M537" s="6"/>
      <c r="N537" s="6"/>
      <c r="O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5">
      <c r="A538" s="6"/>
      <c r="B538" s="6"/>
      <c r="C538" s="6"/>
      <c r="D538" s="6"/>
      <c r="E538" s="6"/>
      <c r="F538" s="6"/>
      <c r="G538" s="6"/>
      <c r="H538" s="6"/>
      <c r="I538" s="6"/>
      <c r="K538" s="6"/>
      <c r="L538" s="6"/>
      <c r="M538" s="6"/>
      <c r="N538" s="6"/>
      <c r="O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5">
      <c r="A539" s="6"/>
      <c r="B539" s="6"/>
      <c r="C539" s="6"/>
      <c r="D539" s="6"/>
      <c r="E539" s="6"/>
      <c r="F539" s="6"/>
      <c r="G539" s="6"/>
      <c r="H539" s="6"/>
      <c r="I539" s="6"/>
      <c r="K539" s="6"/>
      <c r="L539" s="6"/>
      <c r="M539" s="6"/>
      <c r="N539" s="6"/>
      <c r="O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5">
      <c r="A540" s="6"/>
      <c r="B540" s="6"/>
      <c r="C540" s="6"/>
      <c r="D540" s="6"/>
      <c r="E540" s="6"/>
      <c r="F540" s="6"/>
      <c r="G540" s="6"/>
      <c r="H540" s="6"/>
      <c r="I540" s="6"/>
      <c r="K540" s="6"/>
      <c r="L540" s="6"/>
      <c r="M540" s="6"/>
      <c r="N540" s="6"/>
      <c r="O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5">
      <c r="A541" s="6"/>
      <c r="B541" s="6"/>
      <c r="C541" s="6"/>
      <c r="D541" s="6"/>
      <c r="E541" s="6"/>
      <c r="F541" s="6"/>
      <c r="G541" s="6"/>
      <c r="H541" s="6"/>
      <c r="I541" s="6"/>
      <c r="K541" s="6"/>
      <c r="L541" s="6"/>
      <c r="M541" s="6"/>
      <c r="N541" s="6"/>
      <c r="O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5">
      <c r="A542" s="6"/>
      <c r="B542" s="6"/>
      <c r="C542" s="6"/>
      <c r="D542" s="6"/>
      <c r="E542" s="6"/>
      <c r="F542" s="6"/>
      <c r="G542" s="6"/>
      <c r="H542" s="6"/>
      <c r="I542" s="6"/>
      <c r="K542" s="6"/>
      <c r="L542" s="6"/>
      <c r="M542" s="6"/>
      <c r="N542" s="6"/>
      <c r="O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5">
      <c r="A543" s="6"/>
      <c r="B543" s="6"/>
      <c r="C543" s="6"/>
      <c r="D543" s="6"/>
      <c r="E543" s="6"/>
      <c r="F543" s="6"/>
      <c r="G543" s="6"/>
      <c r="H543" s="6"/>
      <c r="I543" s="6"/>
      <c r="K543" s="6"/>
      <c r="L543" s="6"/>
      <c r="M543" s="6"/>
      <c r="N543" s="6"/>
      <c r="O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5">
      <c r="A544" s="6"/>
      <c r="B544" s="6"/>
      <c r="C544" s="6"/>
      <c r="D544" s="6"/>
      <c r="E544" s="6"/>
      <c r="F544" s="6"/>
      <c r="G544" s="6"/>
      <c r="H544" s="6"/>
      <c r="I544" s="6"/>
      <c r="K544" s="6"/>
      <c r="L544" s="6"/>
      <c r="M544" s="6"/>
      <c r="N544" s="6"/>
      <c r="O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5">
      <c r="A545" s="6"/>
      <c r="B545" s="6"/>
      <c r="C545" s="6"/>
      <c r="D545" s="6"/>
      <c r="E545" s="6"/>
      <c r="F545" s="6"/>
      <c r="G545" s="6"/>
      <c r="H545" s="6"/>
      <c r="I545" s="6"/>
      <c r="K545" s="6"/>
      <c r="L545" s="6"/>
      <c r="M545" s="6"/>
      <c r="N545" s="6"/>
      <c r="O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5">
      <c r="A546" s="6"/>
      <c r="B546" s="6"/>
      <c r="C546" s="6"/>
      <c r="D546" s="6"/>
      <c r="E546" s="6"/>
      <c r="F546" s="6"/>
      <c r="G546" s="6"/>
      <c r="H546" s="6"/>
      <c r="I546" s="6"/>
      <c r="K546" s="6"/>
      <c r="L546" s="6"/>
      <c r="M546" s="6"/>
      <c r="N546" s="6"/>
      <c r="O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5">
      <c r="A547" s="6"/>
      <c r="B547" s="6"/>
      <c r="C547" s="6"/>
      <c r="D547" s="6"/>
      <c r="E547" s="6"/>
      <c r="F547" s="6"/>
      <c r="G547" s="6"/>
      <c r="H547" s="6"/>
      <c r="I547" s="6"/>
      <c r="K547" s="6"/>
      <c r="L547" s="6"/>
      <c r="M547" s="6"/>
      <c r="N547" s="6"/>
      <c r="O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5">
      <c r="A548" s="6"/>
      <c r="B548" s="6"/>
      <c r="C548" s="6"/>
      <c r="D548" s="6"/>
      <c r="E548" s="6"/>
      <c r="F548" s="6"/>
      <c r="G548" s="6"/>
      <c r="H548" s="6"/>
      <c r="I548" s="6"/>
      <c r="K548" s="6"/>
      <c r="L548" s="6"/>
      <c r="M548" s="6"/>
      <c r="N548" s="6"/>
      <c r="O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5">
      <c r="A549" s="6"/>
      <c r="B549" s="6"/>
      <c r="C549" s="6"/>
      <c r="D549" s="6"/>
      <c r="E549" s="6"/>
      <c r="F549" s="6"/>
      <c r="G549" s="6"/>
      <c r="H549" s="6"/>
      <c r="I549" s="6"/>
      <c r="K549" s="6"/>
      <c r="L549" s="6"/>
      <c r="M549" s="6"/>
      <c r="N549" s="6"/>
      <c r="O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5">
      <c r="A550" s="6"/>
      <c r="B550" s="6"/>
      <c r="C550" s="6"/>
      <c r="D550" s="6"/>
      <c r="E550" s="6"/>
      <c r="F550" s="6"/>
      <c r="G550" s="6"/>
      <c r="H550" s="6"/>
      <c r="I550" s="6"/>
      <c r="K550" s="6"/>
      <c r="L550" s="6"/>
      <c r="M550" s="6"/>
      <c r="N550" s="6"/>
      <c r="O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5">
      <c r="A551" s="6"/>
      <c r="B551" s="6"/>
      <c r="C551" s="6"/>
      <c r="D551" s="6"/>
      <c r="E551" s="6"/>
      <c r="F551" s="6"/>
      <c r="G551" s="6"/>
      <c r="H551" s="6"/>
      <c r="I551" s="6"/>
      <c r="K551" s="6"/>
      <c r="L551" s="6"/>
      <c r="M551" s="6"/>
      <c r="N551" s="6"/>
      <c r="O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5">
      <c r="A552" s="6"/>
      <c r="B552" s="6"/>
      <c r="C552" s="6"/>
      <c r="D552" s="6"/>
      <c r="E552" s="6"/>
      <c r="F552" s="6"/>
      <c r="G552" s="6"/>
      <c r="H552" s="6"/>
      <c r="I552" s="6"/>
      <c r="K552" s="6"/>
      <c r="L552" s="6"/>
      <c r="M552" s="6"/>
      <c r="N552" s="6"/>
      <c r="O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5">
      <c r="A553" s="6"/>
      <c r="B553" s="6"/>
      <c r="C553" s="6"/>
      <c r="D553" s="6"/>
      <c r="E553" s="6"/>
      <c r="F553" s="6"/>
      <c r="G553" s="6"/>
      <c r="H553" s="6"/>
      <c r="I553" s="6"/>
      <c r="K553" s="6"/>
      <c r="L553" s="6"/>
      <c r="M553" s="6"/>
      <c r="N553" s="6"/>
      <c r="O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5">
      <c r="A554" s="6"/>
      <c r="B554" s="6"/>
      <c r="C554" s="6"/>
      <c r="D554" s="6"/>
      <c r="E554" s="6"/>
      <c r="F554" s="6"/>
      <c r="G554" s="6"/>
      <c r="H554" s="6"/>
      <c r="I554" s="6"/>
      <c r="K554" s="6"/>
      <c r="L554" s="6"/>
      <c r="M554" s="6"/>
      <c r="N554" s="6"/>
      <c r="O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5">
      <c r="A555" s="6"/>
      <c r="B555" s="6"/>
      <c r="C555" s="6"/>
      <c r="D555" s="6"/>
      <c r="E555" s="6"/>
      <c r="F555" s="6"/>
      <c r="G555" s="6"/>
      <c r="H555" s="6"/>
      <c r="I555" s="6"/>
      <c r="K555" s="6"/>
      <c r="L555" s="6"/>
      <c r="M555" s="6"/>
      <c r="N555" s="6"/>
      <c r="O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5">
      <c r="A556" s="6"/>
      <c r="B556" s="6"/>
      <c r="C556" s="6"/>
      <c r="D556" s="6"/>
      <c r="E556" s="6"/>
      <c r="F556" s="6"/>
      <c r="G556" s="6"/>
      <c r="H556" s="6"/>
      <c r="I556" s="6"/>
      <c r="K556" s="6"/>
      <c r="L556" s="6"/>
      <c r="M556" s="6"/>
      <c r="N556" s="6"/>
      <c r="O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5">
      <c r="A557" s="6"/>
      <c r="B557" s="6"/>
      <c r="C557" s="6"/>
      <c r="D557" s="6"/>
      <c r="E557" s="6"/>
      <c r="F557" s="6"/>
      <c r="G557" s="6"/>
      <c r="H557" s="6"/>
      <c r="I557" s="6"/>
      <c r="K557" s="6"/>
      <c r="L557" s="6"/>
      <c r="M557" s="6"/>
      <c r="N557" s="6"/>
      <c r="O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5">
      <c r="A558" s="6"/>
      <c r="B558" s="6"/>
      <c r="C558" s="6"/>
      <c r="D558" s="6"/>
      <c r="E558" s="6"/>
      <c r="F558" s="6"/>
      <c r="G558" s="6"/>
      <c r="H558" s="6"/>
      <c r="I558" s="6"/>
      <c r="K558" s="6"/>
      <c r="L558" s="6"/>
      <c r="M558" s="6"/>
      <c r="N558" s="6"/>
      <c r="O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5">
      <c r="A559" s="6"/>
      <c r="B559" s="6"/>
      <c r="C559" s="6"/>
      <c r="D559" s="6"/>
      <c r="E559" s="6"/>
      <c r="F559" s="6"/>
      <c r="G559" s="6"/>
      <c r="H559" s="6"/>
      <c r="I559" s="6"/>
      <c r="K559" s="6"/>
      <c r="L559" s="6"/>
      <c r="M559" s="6"/>
      <c r="N559" s="6"/>
      <c r="O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5">
      <c r="A560" s="6"/>
      <c r="B560" s="6"/>
      <c r="C560" s="6"/>
      <c r="D560" s="6"/>
      <c r="E560" s="6"/>
      <c r="F560" s="6"/>
      <c r="G560" s="6"/>
      <c r="H560" s="6"/>
      <c r="I560" s="6"/>
      <c r="K560" s="6"/>
      <c r="L560" s="6"/>
      <c r="M560" s="6"/>
      <c r="N560" s="6"/>
      <c r="O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5">
      <c r="A561" s="6"/>
      <c r="B561" s="6"/>
      <c r="C561" s="6"/>
      <c r="D561" s="6"/>
      <c r="E561" s="6"/>
      <c r="F561" s="6"/>
      <c r="G561" s="6"/>
      <c r="H561" s="6"/>
      <c r="I561" s="6"/>
      <c r="K561" s="6"/>
      <c r="L561" s="6"/>
      <c r="M561" s="6"/>
      <c r="N561" s="6"/>
      <c r="O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5">
      <c r="A562" s="6"/>
      <c r="B562" s="6"/>
      <c r="C562" s="6"/>
      <c r="D562" s="6"/>
      <c r="E562" s="6"/>
      <c r="F562" s="6"/>
      <c r="G562" s="6"/>
      <c r="H562" s="6"/>
      <c r="I562" s="6"/>
      <c r="K562" s="6"/>
      <c r="L562" s="6"/>
      <c r="M562" s="6"/>
      <c r="N562" s="6"/>
      <c r="O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5">
      <c r="A563" s="6"/>
      <c r="B563" s="6"/>
      <c r="C563" s="6"/>
      <c r="D563" s="6"/>
      <c r="E563" s="6"/>
      <c r="F563" s="6"/>
      <c r="G563" s="6"/>
      <c r="H563" s="6"/>
      <c r="I563" s="6"/>
      <c r="K563" s="6"/>
      <c r="L563" s="6"/>
      <c r="M563" s="6"/>
      <c r="N563" s="6"/>
      <c r="O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5">
      <c r="A564" s="6"/>
      <c r="B564" s="6"/>
      <c r="C564" s="6"/>
      <c r="D564" s="6"/>
      <c r="E564" s="6"/>
      <c r="F564" s="6"/>
      <c r="G564" s="6"/>
      <c r="H564" s="6"/>
      <c r="I564" s="6"/>
      <c r="K564" s="6"/>
      <c r="L564" s="6"/>
      <c r="M564" s="6"/>
      <c r="N564" s="6"/>
      <c r="O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5">
      <c r="A565" s="6"/>
      <c r="B565" s="6"/>
      <c r="C565" s="6"/>
      <c r="D565" s="6"/>
      <c r="E565" s="6"/>
      <c r="F565" s="6"/>
      <c r="G565" s="6"/>
      <c r="H565" s="6"/>
      <c r="I565" s="6"/>
      <c r="K565" s="6"/>
      <c r="L565" s="6"/>
      <c r="M565" s="6"/>
      <c r="N565" s="6"/>
      <c r="O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5">
      <c r="A566" s="6"/>
      <c r="B566" s="6"/>
      <c r="C566" s="6"/>
      <c r="D566" s="6"/>
      <c r="E566" s="6"/>
      <c r="F566" s="6"/>
      <c r="G566" s="6"/>
      <c r="H566" s="6"/>
      <c r="I566" s="6"/>
      <c r="K566" s="6"/>
      <c r="L566" s="6"/>
      <c r="M566" s="6"/>
      <c r="N566" s="6"/>
      <c r="O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5">
      <c r="A567" s="6"/>
      <c r="B567" s="6"/>
      <c r="C567" s="6"/>
      <c r="D567" s="6"/>
      <c r="E567" s="6"/>
      <c r="F567" s="6"/>
      <c r="G567" s="6"/>
      <c r="H567" s="6"/>
      <c r="I567" s="6"/>
      <c r="K567" s="6"/>
      <c r="L567" s="6"/>
      <c r="M567" s="6"/>
      <c r="N567" s="6"/>
      <c r="O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5">
      <c r="A568" s="6"/>
      <c r="B568" s="6"/>
      <c r="C568" s="6"/>
      <c r="D568" s="6"/>
      <c r="E568" s="6"/>
      <c r="F568" s="6"/>
      <c r="G568" s="6"/>
      <c r="H568" s="6"/>
      <c r="I568" s="6"/>
      <c r="K568" s="6"/>
      <c r="L568" s="6"/>
      <c r="M568" s="6"/>
      <c r="N568" s="6"/>
      <c r="O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5">
      <c r="A569" s="6"/>
      <c r="B569" s="6"/>
      <c r="C569" s="6"/>
      <c r="D569" s="6"/>
      <c r="E569" s="6"/>
      <c r="F569" s="6"/>
      <c r="G569" s="6"/>
      <c r="H569" s="6"/>
      <c r="I569" s="6"/>
      <c r="K569" s="6"/>
      <c r="L569" s="6"/>
      <c r="M569" s="6"/>
      <c r="N569" s="6"/>
      <c r="O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5">
      <c r="A570" s="6"/>
      <c r="B570" s="6"/>
      <c r="C570" s="6"/>
      <c r="D570" s="6"/>
      <c r="E570" s="6"/>
      <c r="F570" s="6"/>
      <c r="G570" s="6"/>
      <c r="H570" s="6"/>
      <c r="I570" s="6"/>
      <c r="K570" s="6"/>
      <c r="L570" s="6"/>
      <c r="M570" s="6"/>
      <c r="N570" s="6"/>
      <c r="O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5">
      <c r="A571" s="6"/>
      <c r="B571" s="6"/>
      <c r="C571" s="6"/>
      <c r="D571" s="6"/>
      <c r="E571" s="6"/>
      <c r="F571" s="6"/>
      <c r="G571" s="6"/>
      <c r="H571" s="6"/>
      <c r="I571" s="6"/>
      <c r="K571" s="6"/>
      <c r="L571" s="6"/>
      <c r="M571" s="6"/>
      <c r="N571" s="6"/>
      <c r="O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5">
      <c r="A572" s="6"/>
      <c r="B572" s="6"/>
      <c r="C572" s="6"/>
      <c r="D572" s="6"/>
      <c r="E572" s="6"/>
      <c r="F572" s="6"/>
      <c r="G572" s="6"/>
      <c r="H572" s="6"/>
      <c r="I572" s="6"/>
      <c r="K572" s="6"/>
      <c r="L572" s="6"/>
      <c r="M572" s="6"/>
      <c r="N572" s="6"/>
      <c r="O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5">
      <c r="A573" s="6"/>
      <c r="B573" s="6"/>
      <c r="C573" s="6"/>
      <c r="D573" s="6"/>
      <c r="E573" s="6"/>
      <c r="F573" s="6"/>
      <c r="G573" s="6"/>
      <c r="H573" s="6"/>
      <c r="I573" s="6"/>
      <c r="K573" s="6"/>
      <c r="L573" s="6"/>
      <c r="M573" s="6"/>
      <c r="N573" s="6"/>
      <c r="O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5">
      <c r="A574" s="6"/>
      <c r="B574" s="6"/>
      <c r="C574" s="6"/>
      <c r="D574" s="6"/>
      <c r="E574" s="6"/>
      <c r="F574" s="6"/>
      <c r="G574" s="6"/>
      <c r="H574" s="6"/>
      <c r="I574" s="6"/>
      <c r="K574" s="6"/>
      <c r="L574" s="6"/>
      <c r="M574" s="6"/>
      <c r="N574" s="6"/>
      <c r="O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5">
      <c r="A575" s="6"/>
      <c r="B575" s="6"/>
      <c r="C575" s="6"/>
      <c r="D575" s="6"/>
      <c r="E575" s="6"/>
      <c r="F575" s="6"/>
      <c r="G575" s="6"/>
      <c r="H575" s="6"/>
      <c r="I575" s="6"/>
      <c r="K575" s="6"/>
      <c r="L575" s="6"/>
      <c r="M575" s="6"/>
      <c r="N575" s="6"/>
      <c r="O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5">
      <c r="A576" s="6"/>
      <c r="B576" s="6"/>
      <c r="C576" s="6"/>
      <c r="D576" s="6"/>
      <c r="E576" s="6"/>
      <c r="F576" s="6"/>
      <c r="G576" s="6"/>
      <c r="H576" s="6"/>
      <c r="I576" s="6"/>
      <c r="K576" s="6"/>
      <c r="L576" s="6"/>
      <c r="M576" s="6"/>
      <c r="N576" s="6"/>
      <c r="O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5">
      <c r="A577" s="6"/>
      <c r="B577" s="6"/>
      <c r="C577" s="6"/>
      <c r="D577" s="6"/>
      <c r="E577" s="6"/>
      <c r="F577" s="6"/>
      <c r="G577" s="6"/>
      <c r="H577" s="6"/>
      <c r="I577" s="6"/>
      <c r="K577" s="6"/>
      <c r="L577" s="6"/>
      <c r="M577" s="6"/>
      <c r="N577" s="6"/>
      <c r="O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5">
      <c r="A578" s="6"/>
      <c r="B578" s="6"/>
      <c r="C578" s="6"/>
      <c r="D578" s="6"/>
      <c r="E578" s="6"/>
      <c r="F578" s="6"/>
      <c r="G578" s="6"/>
      <c r="H578" s="6"/>
      <c r="I578" s="6"/>
      <c r="K578" s="6"/>
      <c r="L578" s="6"/>
      <c r="M578" s="6"/>
      <c r="N578" s="6"/>
      <c r="O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5">
      <c r="A579" s="6"/>
      <c r="B579" s="6"/>
      <c r="C579" s="6"/>
      <c r="D579" s="6"/>
      <c r="E579" s="6"/>
      <c r="F579" s="6"/>
      <c r="G579" s="6"/>
      <c r="H579" s="6"/>
      <c r="I579" s="6"/>
      <c r="K579" s="6"/>
      <c r="L579" s="6"/>
      <c r="M579" s="6"/>
      <c r="N579" s="6"/>
      <c r="O579" s="6"/>
      <c r="Q579" s="6"/>
      <c r="R579" s="6"/>
      <c r="S579" s="6"/>
      <c r="T579" s="6"/>
      <c r="U579" s="6"/>
      <c r="V579" s="6"/>
      <c r="W579" s="6"/>
      <c r="X579" s="6"/>
      <c r="Y579" s="6"/>
    </row>
  </sheetData>
  <mergeCells count="1">
    <mergeCell ref="A4:Y4"/>
  </mergeCells>
  <pageMargins left="0.7" right="0.7" top="0.75" bottom="0.75" header="0.3" footer="0.3"/>
  <pageSetup scale="64" fitToHeight="0" orientation="landscape" r:id="rId1"/>
  <headerFooter scaleWithDoc="0">
    <oddHeader>&amp;R&amp;"-,Bold"&amp;10Walmart, Inc.
Exhibit LVP-3
Kentucky Public Service Commission Case No. 2020-00350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"/>
  <sheetViews>
    <sheetView zoomScaleNormal="100" workbookViewId="0">
      <selection activeCell="J3" sqref="J3"/>
    </sheetView>
  </sheetViews>
  <sheetFormatPr defaultColWidth="8.28515625" defaultRowHeight="15" x14ac:dyDescent="0.25"/>
  <cols>
    <col min="1" max="1" width="4.28515625" style="106" customWidth="1"/>
    <col min="2" max="2" width="24" style="123" customWidth="1"/>
    <col min="3" max="3" width="4.42578125" style="123" customWidth="1"/>
    <col min="4" max="4" width="19.140625" style="106" customWidth="1"/>
    <col min="5" max="5" width="13.5703125" style="105" customWidth="1"/>
    <col min="6" max="6" width="7.28515625" style="106" customWidth="1"/>
    <col min="7" max="7" width="4.42578125" style="106" customWidth="1"/>
    <col min="8" max="8" width="15.5703125" style="18" bestFit="1" customWidth="1"/>
    <col min="9" max="16384" width="8.28515625" style="106"/>
  </cols>
  <sheetData>
    <row r="4" spans="1:8" ht="40.5" customHeight="1" x14ac:dyDescent="0.3">
      <c r="A4" s="144" t="s">
        <v>415</v>
      </c>
      <c r="B4" s="144"/>
      <c r="C4" s="144"/>
      <c r="D4" s="144"/>
      <c r="E4" s="144"/>
      <c r="F4" s="144"/>
      <c r="G4" s="144"/>
      <c r="H4" s="144"/>
    </row>
    <row r="5" spans="1:8" ht="15.75" x14ac:dyDescent="0.25">
      <c r="A5" s="107"/>
      <c r="B5" s="108"/>
      <c r="C5" s="108"/>
      <c r="D5" s="107"/>
      <c r="E5" s="109"/>
      <c r="F5" s="107"/>
      <c r="G5" s="107"/>
      <c r="H5" s="110"/>
    </row>
    <row r="6" spans="1:8" x14ac:dyDescent="0.25">
      <c r="A6" s="111" t="s">
        <v>14</v>
      </c>
      <c r="B6" s="126" t="s">
        <v>379</v>
      </c>
      <c r="C6" s="126"/>
      <c r="D6" s="138" t="s">
        <v>413</v>
      </c>
      <c r="E6" s="138"/>
      <c r="F6" s="138"/>
      <c r="G6" s="136"/>
      <c r="H6" s="113">
        <v>7.17E-2</v>
      </c>
    </row>
    <row r="7" spans="1:8" x14ac:dyDescent="0.25">
      <c r="A7" s="111"/>
      <c r="B7" s="112"/>
      <c r="C7" s="112"/>
      <c r="D7" s="136"/>
      <c r="E7" s="136"/>
      <c r="F7" s="136"/>
      <c r="G7" s="136"/>
      <c r="H7" s="113"/>
    </row>
    <row r="8" spans="1:8" x14ac:dyDescent="0.25">
      <c r="A8" s="140" t="s">
        <v>408</v>
      </c>
      <c r="B8" s="140"/>
      <c r="C8" s="140"/>
      <c r="D8" s="140"/>
      <c r="E8" s="140"/>
      <c r="F8" s="140"/>
      <c r="G8" s="140"/>
      <c r="H8" s="140"/>
    </row>
    <row r="9" spans="1:8" x14ac:dyDescent="0.25">
      <c r="A9" s="111"/>
      <c r="B9" s="112"/>
      <c r="C9" s="112"/>
      <c r="D9" s="136"/>
      <c r="E9" s="136"/>
      <c r="F9" s="136"/>
      <c r="G9" s="136"/>
      <c r="H9" s="136"/>
    </row>
    <row r="10" spans="1:8" s="118" customFormat="1" ht="28.5" customHeight="1" x14ac:dyDescent="0.25">
      <c r="A10" s="116"/>
      <c r="B10" s="112"/>
      <c r="C10" s="112"/>
      <c r="D10" s="2" t="s">
        <v>380</v>
      </c>
      <c r="E10" s="117" t="s">
        <v>381</v>
      </c>
      <c r="F10" s="2" t="s">
        <v>382</v>
      </c>
      <c r="G10" s="2"/>
      <c r="H10" s="2" t="s">
        <v>383</v>
      </c>
    </row>
    <row r="11" spans="1:8" x14ac:dyDescent="0.25">
      <c r="A11" s="111" t="s">
        <v>15</v>
      </c>
      <c r="B11" s="126" t="s">
        <v>416</v>
      </c>
      <c r="C11" s="126"/>
      <c r="D11" s="134" t="s">
        <v>384</v>
      </c>
      <c r="E11" s="114">
        <v>1.26E-2</v>
      </c>
      <c r="F11" s="114">
        <v>4.5999999999999999E-3</v>
      </c>
      <c r="G11" s="114"/>
      <c r="H11" s="114">
        <f>E11*F11</f>
        <v>5.7960000000000001E-5</v>
      </c>
    </row>
    <row r="12" spans="1:8" x14ac:dyDescent="0.25">
      <c r="A12" s="111" t="s">
        <v>16</v>
      </c>
      <c r="B12" s="126" t="s">
        <v>416</v>
      </c>
      <c r="C12" s="126"/>
      <c r="D12" s="134" t="s">
        <v>385</v>
      </c>
      <c r="E12" s="114">
        <v>0.45550000000000002</v>
      </c>
      <c r="F12" s="114">
        <v>4.0399999999999998E-2</v>
      </c>
      <c r="G12" s="114"/>
      <c r="H12" s="114">
        <f>E12*F12</f>
        <v>1.8402200000000001E-2</v>
      </c>
    </row>
    <row r="13" spans="1:8" x14ac:dyDescent="0.25">
      <c r="A13" s="111" t="s">
        <v>17</v>
      </c>
      <c r="B13" s="126" t="s">
        <v>416</v>
      </c>
      <c r="C13" s="126"/>
      <c r="D13" s="134" t="s">
        <v>386</v>
      </c>
      <c r="E13" s="114">
        <v>0.53190000000000004</v>
      </c>
      <c r="F13" s="114">
        <v>9.2999999999999999E-2</v>
      </c>
      <c r="G13" s="114"/>
      <c r="H13" s="114">
        <f>E13*F13</f>
        <v>4.9466700000000002E-2</v>
      </c>
    </row>
    <row r="14" spans="1:8" x14ac:dyDescent="0.25">
      <c r="A14" s="111"/>
      <c r="B14" s="126"/>
      <c r="C14" s="126"/>
      <c r="D14" s="134"/>
      <c r="E14" s="114"/>
      <c r="F14" s="134"/>
      <c r="G14" s="134"/>
      <c r="H14" s="134"/>
    </row>
    <row r="15" spans="1:8" x14ac:dyDescent="0.25">
      <c r="A15" s="111" t="s">
        <v>18</v>
      </c>
      <c r="B15" s="126" t="s">
        <v>387</v>
      </c>
      <c r="C15" s="126"/>
      <c r="D15" s="146" t="s">
        <v>409</v>
      </c>
      <c r="E15" s="146"/>
      <c r="F15" s="146"/>
      <c r="G15" s="137"/>
      <c r="H15" s="120">
        <f>SUM(H11:H13)</f>
        <v>6.7926860000000006E-2</v>
      </c>
    </row>
    <row r="16" spans="1:8" x14ac:dyDescent="0.25">
      <c r="A16" s="111"/>
      <c r="B16" s="112"/>
      <c r="C16" s="112"/>
      <c r="D16" s="134"/>
      <c r="E16" s="114"/>
      <c r="F16" s="134"/>
      <c r="G16" s="134"/>
      <c r="H16" s="115"/>
    </row>
    <row r="17" spans="1:8" x14ac:dyDescent="0.25">
      <c r="A17" s="140" t="s">
        <v>403</v>
      </c>
      <c r="B17" s="140"/>
      <c r="C17" s="140"/>
      <c r="D17" s="140"/>
      <c r="E17" s="140"/>
      <c r="F17" s="140"/>
      <c r="G17" s="140"/>
      <c r="H17" s="140"/>
    </row>
    <row r="18" spans="1:8" x14ac:dyDescent="0.25">
      <c r="A18" s="111"/>
      <c r="B18" s="112"/>
      <c r="C18" s="112"/>
      <c r="D18" s="134"/>
      <c r="E18" s="114"/>
      <c r="F18" s="134"/>
      <c r="G18" s="134"/>
      <c r="H18" s="115"/>
    </row>
    <row r="19" spans="1:8" x14ac:dyDescent="0.25">
      <c r="A19" s="119" t="s">
        <v>19</v>
      </c>
      <c r="B19" s="126" t="s">
        <v>416</v>
      </c>
      <c r="C19" s="126"/>
      <c r="D19" s="138" t="s">
        <v>407</v>
      </c>
      <c r="E19" s="138"/>
      <c r="F19" s="138"/>
      <c r="G19" s="122"/>
      <c r="H19" s="122">
        <v>3449573908</v>
      </c>
    </row>
    <row r="20" spans="1:8" x14ac:dyDescent="0.25">
      <c r="A20" s="119" t="s">
        <v>20</v>
      </c>
      <c r="B20" s="112" t="s">
        <v>389</v>
      </c>
      <c r="C20" s="112"/>
      <c r="D20" s="145" t="s">
        <v>410</v>
      </c>
      <c r="E20" s="145"/>
      <c r="F20" s="145"/>
      <c r="G20" s="134"/>
      <c r="H20" s="132">
        <f>H15</f>
        <v>6.7926860000000006E-2</v>
      </c>
    </row>
    <row r="21" spans="1:8" x14ac:dyDescent="0.25">
      <c r="A21" s="119" t="s">
        <v>21</v>
      </c>
      <c r="B21" s="112" t="s">
        <v>390</v>
      </c>
      <c r="C21" s="112"/>
      <c r="D21" s="145" t="s">
        <v>411</v>
      </c>
      <c r="E21" s="145"/>
      <c r="F21" s="145"/>
      <c r="G21" s="134"/>
      <c r="H21" s="131">
        <f>H19*H20</f>
        <v>234318723.90836889</v>
      </c>
    </row>
    <row r="22" spans="1:8" x14ac:dyDescent="0.25">
      <c r="A22" s="119" t="s">
        <v>22</v>
      </c>
      <c r="B22" s="126" t="s">
        <v>391</v>
      </c>
      <c r="C22" s="112"/>
      <c r="D22" s="145" t="s">
        <v>414</v>
      </c>
      <c r="E22" s="145"/>
      <c r="F22" s="145"/>
      <c r="G22" s="134"/>
      <c r="H22" s="122">
        <v>248313187</v>
      </c>
    </row>
    <row r="23" spans="1:8" x14ac:dyDescent="0.25">
      <c r="A23" s="119" t="s">
        <v>23</v>
      </c>
      <c r="B23" s="112" t="s">
        <v>392</v>
      </c>
      <c r="C23" s="112"/>
      <c r="D23" s="145" t="s">
        <v>399</v>
      </c>
      <c r="E23" s="145"/>
      <c r="F23" s="145"/>
      <c r="G23" s="134"/>
      <c r="H23" s="131">
        <f>H22-H21</f>
        <v>13994463.091631114</v>
      </c>
    </row>
    <row r="24" spans="1:8" x14ac:dyDescent="0.25">
      <c r="A24" s="119" t="s">
        <v>24</v>
      </c>
      <c r="B24" s="126" t="s">
        <v>393</v>
      </c>
      <c r="C24" s="112"/>
      <c r="D24" s="145" t="s">
        <v>400</v>
      </c>
      <c r="E24" s="145"/>
      <c r="F24" s="145"/>
      <c r="G24" s="134"/>
      <c r="H24" s="128">
        <v>1.3378369999999999</v>
      </c>
    </row>
    <row r="25" spans="1:8" x14ac:dyDescent="0.25">
      <c r="A25" s="119" t="s">
        <v>25</v>
      </c>
      <c r="B25" s="112" t="s">
        <v>394</v>
      </c>
      <c r="C25" s="112"/>
      <c r="D25" s="143" t="s">
        <v>401</v>
      </c>
      <c r="E25" s="143"/>
      <c r="F25" s="143"/>
      <c r="G25" s="135"/>
      <c r="H25" s="133">
        <f>H23*H24</f>
        <v>18722310.519118495</v>
      </c>
    </row>
    <row r="26" spans="1:8" x14ac:dyDescent="0.25">
      <c r="A26" s="119" t="s">
        <v>26</v>
      </c>
      <c r="B26" s="126" t="s">
        <v>395</v>
      </c>
      <c r="C26" s="112"/>
      <c r="D26" s="145" t="s">
        <v>402</v>
      </c>
      <c r="E26" s="145"/>
      <c r="F26" s="145"/>
      <c r="G26" s="134"/>
      <c r="H26" s="122">
        <v>131248802</v>
      </c>
    </row>
    <row r="27" spans="1:8" x14ac:dyDescent="0.25">
      <c r="A27" s="119" t="s">
        <v>27</v>
      </c>
      <c r="B27" s="112" t="s">
        <v>396</v>
      </c>
      <c r="C27" s="112"/>
      <c r="D27" s="143" t="s">
        <v>397</v>
      </c>
      <c r="E27" s="143"/>
      <c r="F27" s="143"/>
      <c r="G27" s="134"/>
      <c r="H27" s="121">
        <f>H25/H26</f>
        <v>0.14264747741559192</v>
      </c>
    </row>
    <row r="28" spans="1:8" ht="15.75" x14ac:dyDescent="0.25">
      <c r="A28" s="119"/>
      <c r="B28" s="108"/>
      <c r="C28" s="108"/>
    </row>
    <row r="29" spans="1:8" ht="15.75" x14ac:dyDescent="0.25">
      <c r="A29" s="119"/>
      <c r="B29" s="108"/>
      <c r="C29" s="108"/>
    </row>
    <row r="30" spans="1:8" ht="15.75" x14ac:dyDescent="0.25">
      <c r="A30" s="107"/>
      <c r="B30" s="108"/>
      <c r="C30" s="108"/>
    </row>
    <row r="31" spans="1:8" ht="15.75" x14ac:dyDescent="0.25">
      <c r="A31" s="107"/>
      <c r="B31" s="108"/>
      <c r="C31" s="108"/>
    </row>
    <row r="32" spans="1:8" ht="15.75" x14ac:dyDescent="0.25">
      <c r="A32" s="107"/>
      <c r="B32" s="108"/>
      <c r="C32" s="108"/>
    </row>
    <row r="33" spans="1:8" ht="15.75" x14ac:dyDescent="0.25">
      <c r="A33" s="107"/>
      <c r="B33" s="108"/>
      <c r="C33" s="108"/>
      <c r="D33" s="107"/>
      <c r="E33" s="109"/>
      <c r="F33" s="107"/>
      <c r="G33" s="107"/>
      <c r="H33" s="110"/>
    </row>
  </sheetData>
  <mergeCells count="14">
    <mergeCell ref="D27:F27"/>
    <mergeCell ref="A4:H4"/>
    <mergeCell ref="D6:F6"/>
    <mergeCell ref="D19:F19"/>
    <mergeCell ref="D20:F20"/>
    <mergeCell ref="D21:F21"/>
    <mergeCell ref="D15:F15"/>
    <mergeCell ref="D22:F22"/>
    <mergeCell ref="D23:F23"/>
    <mergeCell ref="D24:F24"/>
    <mergeCell ref="D25:F25"/>
    <mergeCell ref="D26:F26"/>
    <mergeCell ref="A8:H8"/>
    <mergeCell ref="A17:H17"/>
  </mergeCells>
  <pageMargins left="0.7" right="0.7" top="0.75" bottom="0.75" header="0.3" footer="0.3"/>
  <pageSetup scale="97" orientation="landscape" r:id="rId1"/>
  <headerFooter>
    <oddHeader>&amp;L
&amp;R&amp;"-,Bold"&amp;10Walmart, Inc.
Exhibit LVP-4
Kentucky Public Service Commission Case No. 2020-00350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10" ma:contentTypeDescription="Create a new document." ma:contentTypeScope="" ma:versionID="eb627d6c17b1fa4e90caf377d63bdba3">
  <xsd:schema xmlns:xsd="http://www.w3.org/2001/XMLSchema" xmlns:xs="http://www.w3.org/2001/XMLSchema" xmlns:p="http://schemas.microsoft.com/office/2006/metadata/properties" xmlns:ns2="0a8c7b19-aaa0-4cfe-8c37-ca0397899057" xmlns:ns3="b7941ac7-441b-4692-9ff2-f44703c393cd" targetNamespace="http://schemas.microsoft.com/office/2006/metadata/properties" ma:root="true" ma:fieldsID="3c22bdeda124319c37b02d7a1ec1ac8e" ns2:_="" ns3:_=""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223DF-06E0-446C-904E-5291F3E791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F843EE-BFB0-4E71-A459-E16FF0268F1B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7941ac7-441b-4692-9ff2-f44703c393cd"/>
    <ds:schemaRef ds:uri="0a8c7b19-aaa0-4cfe-8c37-ca039789905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0DC02C8-35D1-4A89-BA2E-0CB865550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c7b19-aaa0-4cfe-8c37-ca0397899057"/>
    <ds:schemaRef ds:uri="b7941ac7-441b-4692-9ff2-f44703c3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LVP-2</vt:lpstr>
      <vt:lpstr>LVP-3</vt:lpstr>
      <vt:lpstr>LVP-4</vt:lpstr>
      <vt:lpstr>'LVP-2'!Print_Area</vt:lpstr>
      <vt:lpstr>'LVP-3'!Print_Titles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Sarah D Stoner</cp:lastModifiedBy>
  <cp:lastPrinted>2021-03-05T19:54:59Z</cp:lastPrinted>
  <dcterms:created xsi:type="dcterms:W3CDTF">2021-02-24T21:34:36Z</dcterms:created>
  <dcterms:modified xsi:type="dcterms:W3CDTF">2021-04-01T15:25:42Z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0x010100122EE3F203E7574F9E211C4B7DB5C93F</vt:lpwstr>
  </property>
</Properties>
</file>