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xr:revisionPtr revIDLastSave="4" documentId="8_{AAD02F5E-807A-4376-8FD0-EB7237FC3178}" xr6:coauthVersionLast="46" xr6:coauthVersionMax="46" xr10:uidLastSave="{33C96C75-25DF-4777-B031-8AA739F3DD4F}"/>
  <bookViews>
    <workbookView xWindow="-120" yWindow="-120" windowWidth="19440" windowHeight="11640" activeTab="1" xr2:uid="{00000000-000D-0000-FFFF-FFFF00000000}"/>
  </bookViews>
  <sheets>
    <sheet name="Comparable Fixtures Table" sheetId="2" r:id="rId1"/>
    <sheet name="Unified rate table" sheetId="4" r:id="rId2"/>
  </sheets>
  <definedNames>
    <definedName name="_xlnm._FilterDatabase" localSheetId="0" hidden="1">'Comparable Fixtures Table'!$A$5:$O$68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 i="2" l="1"/>
  <c r="O11" i="2"/>
  <c r="O13" i="2"/>
  <c r="O14" i="2"/>
  <c r="O15" i="2"/>
  <c r="O16" i="2"/>
  <c r="O17" i="2"/>
  <c r="O18" i="2"/>
  <c r="O20" i="2"/>
  <c r="O22" i="2"/>
  <c r="O25" i="2"/>
  <c r="O26" i="2"/>
  <c r="O27" i="2"/>
  <c r="O28" i="2"/>
  <c r="O30" i="2"/>
  <c r="O31" i="2"/>
  <c r="O32" i="2"/>
  <c r="O33" i="2"/>
  <c r="O34" i="2"/>
  <c r="O36" i="2"/>
  <c r="O37" i="2"/>
  <c r="O39" i="2"/>
  <c r="O40" i="2"/>
  <c r="O44" i="2"/>
  <c r="O45" i="2"/>
  <c r="O48" i="2"/>
  <c r="O50" i="2"/>
  <c r="O52" i="2"/>
  <c r="O54" i="2"/>
  <c r="O56" i="2"/>
  <c r="O57" i="2"/>
  <c r="O58" i="2"/>
  <c r="O60" i="2"/>
  <c r="O62" i="2"/>
  <c r="O63" i="2"/>
  <c r="O64" i="2"/>
  <c r="O66" i="2"/>
  <c r="O68" i="2"/>
  <c r="O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7" i="2"/>
  <c r="N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 i="2"/>
  <c r="K7" i="2"/>
  <c r="K8" i="2"/>
  <c r="K9" i="2"/>
  <c r="K10" i="2"/>
  <c r="K11" i="2"/>
  <c r="K12" i="2"/>
  <c r="K13" i="2"/>
  <c r="K14" i="2"/>
  <c r="K15" i="2"/>
  <c r="K16" i="2"/>
  <c r="K17" i="2"/>
  <c r="K18" i="2"/>
  <c r="K19" i="2"/>
  <c r="K20" i="2"/>
  <c r="K22" i="2"/>
  <c r="K21" i="2"/>
  <c r="K23" i="2"/>
  <c r="K24" i="2"/>
  <c r="K25" i="2"/>
  <c r="K26" i="2"/>
  <c r="K27" i="2"/>
  <c r="K28" i="2"/>
  <c r="K29" i="2"/>
  <c r="K33" i="2"/>
  <c r="K30" i="2"/>
  <c r="K31" i="2"/>
  <c r="K32"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 i="2"/>
  <c r="L7" i="2" l="1"/>
  <c r="L8" i="2"/>
  <c r="L9" i="2"/>
  <c r="L10" i="2"/>
  <c r="L11" i="2"/>
  <c r="L12" i="2"/>
  <c r="L13" i="2"/>
  <c r="L14" i="2"/>
  <c r="L15" i="2"/>
  <c r="L16" i="2"/>
  <c r="L17" i="2"/>
  <c r="L18" i="2"/>
  <c r="L19" i="2"/>
  <c r="L20" i="2"/>
  <c r="L22" i="2"/>
  <c r="L21" i="2"/>
  <c r="L23" i="2"/>
  <c r="L24" i="2"/>
  <c r="L25" i="2"/>
  <c r="L26" i="2"/>
  <c r="L27" i="2"/>
  <c r="L28" i="2"/>
  <c r="L29" i="2"/>
  <c r="L33" i="2"/>
  <c r="L30" i="2"/>
  <c r="L31" i="2"/>
  <c r="L32"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 i="2"/>
  <c r="C7" i="2"/>
  <c r="C8" i="2"/>
  <c r="C9" i="2"/>
  <c r="C10" i="2"/>
  <c r="C11" i="2"/>
  <c r="C12" i="2"/>
  <c r="C13" i="2"/>
  <c r="C14" i="2"/>
  <c r="C15" i="2"/>
  <c r="C16" i="2"/>
  <c r="C17" i="2"/>
  <c r="C18" i="2"/>
  <c r="C19" i="2"/>
  <c r="C20" i="2"/>
  <c r="C22" i="2"/>
  <c r="C21" i="2"/>
  <c r="C23" i="2"/>
  <c r="C24" i="2"/>
  <c r="C25" i="2"/>
  <c r="C26" i="2"/>
  <c r="C27" i="2"/>
  <c r="C28" i="2"/>
  <c r="C29" i="2"/>
  <c r="C33" i="2"/>
  <c r="C30" i="2"/>
  <c r="C31" i="2"/>
  <c r="C32"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 i="2"/>
  <c r="L69" i="2" l="1"/>
  <c r="L70" i="2" s="1"/>
  <c r="C69" i="2"/>
  <c r="C70" i="2" s="1"/>
  <c r="C71" i="2" s="1"/>
  <c r="R7" i="2" l="1"/>
  <c r="R9" i="2"/>
  <c r="R11" i="2"/>
  <c r="R13" i="2"/>
  <c r="R14" i="2"/>
  <c r="R15" i="2"/>
  <c r="R16" i="2"/>
  <c r="R17" i="2"/>
  <c r="R18" i="2"/>
  <c r="R20" i="2"/>
  <c r="R25" i="2"/>
  <c r="R26" i="2"/>
  <c r="R27" i="2"/>
  <c r="R28" i="2"/>
  <c r="R33" i="2"/>
  <c r="R30" i="2"/>
  <c r="R31" i="2"/>
  <c r="R32" i="2"/>
  <c r="R34" i="2"/>
  <c r="R36" i="2"/>
  <c r="R37" i="2"/>
  <c r="R39" i="2"/>
  <c r="R40" i="2"/>
  <c r="R44" i="2"/>
  <c r="R45" i="2"/>
  <c r="R48" i="2"/>
  <c r="R50" i="2"/>
  <c r="R52" i="2"/>
  <c r="R54" i="2"/>
  <c r="R56" i="2"/>
  <c r="R57" i="2"/>
  <c r="R58" i="2"/>
  <c r="R60" i="2"/>
  <c r="R62" i="2"/>
  <c r="R63" i="2"/>
  <c r="R64" i="2"/>
  <c r="R66" i="2"/>
  <c r="R68" i="2"/>
  <c r="A17" i="4" l="1"/>
  <c r="A18" i="4"/>
  <c r="A19" i="4"/>
  <c r="A20" i="4"/>
  <c r="A21" i="4"/>
  <c r="A22" i="4"/>
  <c r="A24" i="4"/>
  <c r="A25" i="4"/>
  <c r="A27" i="4"/>
  <c r="A28" i="4"/>
  <c r="A30" i="4"/>
  <c r="A32" i="4"/>
  <c r="A33" i="4"/>
  <c r="A34" i="4"/>
  <c r="A35" i="4"/>
  <c r="A36" i="4"/>
  <c r="A38" i="4"/>
  <c r="A39" i="4"/>
  <c r="A40" i="4"/>
  <c r="A41" i="4"/>
  <c r="A42" i="4"/>
  <c r="A43" i="4"/>
  <c r="A45" i="4"/>
  <c r="A46" i="4"/>
  <c r="A47" i="4"/>
  <c r="A49" i="4"/>
  <c r="A50" i="4"/>
  <c r="A51" i="4"/>
  <c r="A53" i="4"/>
  <c r="A55" i="4"/>
  <c r="A57" i="4"/>
  <c r="A58" i="4"/>
  <c r="A59" i="4"/>
  <c r="A61" i="4"/>
  <c r="A63" i="4"/>
  <c r="A64" i="4"/>
  <c r="A66" i="4"/>
  <c r="A67" i="4"/>
  <c r="A69" i="4"/>
  <c r="A70" i="4"/>
  <c r="A72" i="4"/>
  <c r="A73" i="4"/>
  <c r="A75" i="4"/>
  <c r="A76" i="4"/>
  <c r="A77" i="4"/>
  <c r="A78" i="4"/>
  <c r="A80" i="4"/>
  <c r="A81" i="4"/>
  <c r="A83" i="4"/>
  <c r="A84" i="4"/>
  <c r="A85" i="4"/>
  <c r="A86" i="4"/>
  <c r="A88" i="4"/>
  <c r="A89" i="4"/>
  <c r="A91" i="4"/>
  <c r="A92" i="4"/>
  <c r="A11" i="4"/>
  <c r="A13" i="4"/>
  <c r="A14" i="4"/>
  <c r="A16" i="4"/>
  <c r="A8" i="4"/>
  <c r="A10" i="4"/>
  <c r="C25" i="4"/>
  <c r="C28" i="4"/>
  <c r="C33" i="4"/>
  <c r="C34" i="4"/>
  <c r="C35" i="4"/>
  <c r="C36" i="4"/>
  <c r="C39" i="4"/>
  <c r="C40" i="4"/>
  <c r="C41" i="4"/>
  <c r="C42" i="4"/>
  <c r="C43" i="4"/>
  <c r="C46" i="4"/>
  <c r="C47" i="4"/>
  <c r="C50" i="4"/>
  <c r="C51" i="4"/>
  <c r="C58" i="4"/>
  <c r="C59" i="4"/>
  <c r="C64" i="4"/>
  <c r="C67" i="4"/>
  <c r="C70" i="4"/>
  <c r="C73" i="4"/>
  <c r="C76" i="4"/>
  <c r="C77" i="4"/>
  <c r="C78" i="4"/>
  <c r="C81" i="4"/>
  <c r="C84" i="4"/>
  <c r="C85" i="4"/>
  <c r="C86" i="4"/>
  <c r="C89" i="4"/>
  <c r="C92" i="4"/>
  <c r="D24" i="4"/>
  <c r="E24" i="4"/>
  <c r="D25" i="4"/>
  <c r="E25" i="4"/>
  <c r="D27" i="4"/>
  <c r="E27" i="4"/>
  <c r="D28" i="4"/>
  <c r="E28" i="4"/>
  <c r="D30" i="4"/>
  <c r="E30" i="4"/>
  <c r="D32" i="4"/>
  <c r="E32" i="4"/>
  <c r="D33" i="4"/>
  <c r="E33" i="4"/>
  <c r="D34" i="4"/>
  <c r="E34" i="4"/>
  <c r="D35" i="4"/>
  <c r="E35" i="4"/>
  <c r="D36" i="4"/>
  <c r="E36" i="4"/>
  <c r="D38" i="4"/>
  <c r="E38" i="4"/>
  <c r="D39" i="4"/>
  <c r="E39" i="4"/>
  <c r="D40" i="4"/>
  <c r="E40" i="4"/>
  <c r="D41" i="4"/>
  <c r="E41" i="4"/>
  <c r="D42" i="4"/>
  <c r="E42" i="4"/>
  <c r="D43" i="4"/>
  <c r="E43" i="4"/>
  <c r="D45" i="4"/>
  <c r="E45" i="4"/>
  <c r="D46" i="4"/>
  <c r="E46" i="4"/>
  <c r="D47" i="4"/>
  <c r="E47" i="4"/>
  <c r="D49" i="4"/>
  <c r="E49" i="4"/>
  <c r="D50" i="4"/>
  <c r="E50" i="4"/>
  <c r="D51" i="4"/>
  <c r="E51" i="4"/>
  <c r="D53" i="4"/>
  <c r="E53" i="4"/>
  <c r="D55" i="4"/>
  <c r="E55" i="4"/>
  <c r="D57" i="4"/>
  <c r="E57" i="4"/>
  <c r="D58" i="4"/>
  <c r="E58" i="4"/>
  <c r="D59" i="4"/>
  <c r="E59" i="4"/>
  <c r="D61" i="4"/>
  <c r="E61" i="4"/>
  <c r="D63" i="4"/>
  <c r="E63" i="4"/>
  <c r="D64" i="4"/>
  <c r="E64" i="4"/>
  <c r="D66" i="4"/>
  <c r="E66" i="4"/>
  <c r="D67" i="4"/>
  <c r="E67" i="4"/>
  <c r="D69" i="4"/>
  <c r="E69" i="4"/>
  <c r="D70" i="4"/>
  <c r="E70" i="4"/>
  <c r="D72" i="4"/>
  <c r="E72" i="4"/>
  <c r="D73" i="4"/>
  <c r="E73" i="4"/>
  <c r="D75" i="4"/>
  <c r="E75" i="4"/>
  <c r="D76" i="4"/>
  <c r="E76" i="4"/>
  <c r="D77" i="4"/>
  <c r="E77" i="4"/>
  <c r="D78" i="4"/>
  <c r="E78" i="4"/>
  <c r="D80" i="4"/>
  <c r="E80" i="4"/>
  <c r="D81" i="4"/>
  <c r="E81" i="4"/>
  <c r="D83" i="4"/>
  <c r="E83" i="4"/>
  <c r="D84" i="4"/>
  <c r="E84" i="4"/>
  <c r="D85" i="4"/>
  <c r="E85" i="4"/>
  <c r="D86" i="4"/>
  <c r="E86" i="4"/>
  <c r="D88" i="4"/>
  <c r="E88" i="4"/>
  <c r="D89" i="4"/>
  <c r="E89" i="4"/>
  <c r="D91" i="4"/>
  <c r="E91" i="4"/>
  <c r="D92" i="4"/>
  <c r="E92" i="4"/>
  <c r="D8" i="4"/>
  <c r="E8" i="4"/>
  <c r="C8" i="4"/>
  <c r="D10" i="4"/>
  <c r="E10" i="4"/>
  <c r="D11" i="4"/>
  <c r="E11" i="4"/>
  <c r="C11" i="4"/>
  <c r="D13" i="4"/>
  <c r="E13" i="4"/>
  <c r="D14" i="4"/>
  <c r="E14" i="4"/>
  <c r="C14" i="4"/>
  <c r="D16" i="4"/>
  <c r="E16" i="4"/>
  <c r="D17" i="4"/>
  <c r="E17" i="4"/>
  <c r="C17" i="4"/>
  <c r="D18" i="4"/>
  <c r="E18" i="4"/>
  <c r="C18" i="4"/>
  <c r="D19" i="4"/>
  <c r="E19" i="4"/>
  <c r="C19" i="4"/>
  <c r="D20" i="4"/>
  <c r="E20" i="4"/>
  <c r="C20" i="4"/>
  <c r="D21" i="4"/>
  <c r="E21" i="4"/>
  <c r="C21" i="4"/>
  <c r="D22" i="4"/>
  <c r="E22" i="4"/>
  <c r="C22" i="4"/>
  <c r="E7" i="4"/>
  <c r="A7" i="4" l="1"/>
  <c r="D7" i="4"/>
  <c r="S20" i="2"/>
  <c r="S25" i="2"/>
  <c r="S27" i="2"/>
  <c r="S28" i="2"/>
  <c r="S30" i="2"/>
  <c r="S31" i="2"/>
  <c r="S32" i="2"/>
  <c r="S34" i="2"/>
  <c r="S36" i="2"/>
  <c r="S37" i="2"/>
  <c r="S39" i="2"/>
  <c r="S40" i="2"/>
  <c r="S44" i="2"/>
  <c r="S45" i="2"/>
  <c r="S52" i="2"/>
  <c r="S54" i="2"/>
  <c r="S58" i="2"/>
  <c r="S62" i="2"/>
  <c r="S64" i="2"/>
  <c r="S66" i="2"/>
  <c r="S68" i="2"/>
  <c r="S18" i="2"/>
  <c r="S13" i="2"/>
  <c r="S14" i="2"/>
  <c r="S15" i="2"/>
  <c r="S16" i="2"/>
  <c r="S9" i="2"/>
  <c r="S11" i="2"/>
  <c r="S7" i="2"/>
  <c r="T18" i="2"/>
  <c r="T13" i="2"/>
  <c r="T14" i="2"/>
  <c r="T15" i="2"/>
  <c r="T16" i="2"/>
  <c r="T20" i="2"/>
  <c r="T25" i="2"/>
  <c r="T27" i="2"/>
  <c r="T28" i="2"/>
  <c r="T30" i="2"/>
  <c r="T31" i="2"/>
  <c r="T32" i="2"/>
  <c r="T34" i="2"/>
  <c r="T36" i="2"/>
  <c r="T37" i="2"/>
  <c r="T39" i="2"/>
  <c r="T40" i="2"/>
  <c r="T44" i="2"/>
  <c r="T45" i="2"/>
  <c r="T52" i="2"/>
  <c r="T54" i="2"/>
  <c r="T58" i="2"/>
  <c r="T62" i="2"/>
  <c r="T64" i="2"/>
  <c r="T66" i="2"/>
  <c r="T68" i="2"/>
  <c r="T9" i="2"/>
  <c r="T11" i="2"/>
  <c r="T7" i="2"/>
  <c r="M7" i="2"/>
  <c r="M8" i="2"/>
  <c r="O8" i="2" s="1"/>
  <c r="M9" i="2"/>
  <c r="M10" i="2"/>
  <c r="O10" i="2" s="1"/>
  <c r="M11" i="2"/>
  <c r="M12" i="2"/>
  <c r="O12" i="2" s="1"/>
  <c r="M17" i="2"/>
  <c r="M18" i="2"/>
  <c r="M13" i="2"/>
  <c r="M14" i="2"/>
  <c r="M15" i="2"/>
  <c r="M16" i="2"/>
  <c r="M19" i="2"/>
  <c r="O19" i="2" s="1"/>
  <c r="M20" i="2"/>
  <c r="M22" i="2"/>
  <c r="M21" i="2"/>
  <c r="O21" i="2" s="1"/>
  <c r="M23" i="2"/>
  <c r="O23" i="2" s="1"/>
  <c r="M24" i="2"/>
  <c r="O24" i="2" s="1"/>
  <c r="M25" i="2"/>
  <c r="M26" i="2"/>
  <c r="M27" i="2"/>
  <c r="M28" i="2"/>
  <c r="M33" i="2"/>
  <c r="M30" i="2"/>
  <c r="M31" i="2"/>
  <c r="M32" i="2"/>
  <c r="M29" i="2"/>
  <c r="O29" i="2" s="1"/>
  <c r="M34" i="2"/>
  <c r="M35" i="2"/>
  <c r="O35" i="2" s="1"/>
  <c r="M36" i="2"/>
  <c r="M37" i="2"/>
  <c r="M38" i="2"/>
  <c r="O38" i="2" s="1"/>
  <c r="M39" i="2"/>
  <c r="M40" i="2"/>
  <c r="M41" i="2"/>
  <c r="O41" i="2" s="1"/>
  <c r="M42" i="2"/>
  <c r="O42" i="2" s="1"/>
  <c r="M43" i="2"/>
  <c r="O43" i="2" s="1"/>
  <c r="M44" i="2"/>
  <c r="M45" i="2"/>
  <c r="M46" i="2"/>
  <c r="O46" i="2" s="1"/>
  <c r="M48" i="2"/>
  <c r="M47" i="2"/>
  <c r="O47" i="2" s="1"/>
  <c r="M50" i="2"/>
  <c r="M49" i="2"/>
  <c r="O49" i="2" s="1"/>
  <c r="M51" i="2"/>
  <c r="O51" i="2" s="1"/>
  <c r="M52" i="2"/>
  <c r="M53" i="2"/>
  <c r="O53" i="2" s="1"/>
  <c r="M54" i="2"/>
  <c r="M56" i="2"/>
  <c r="M57" i="2"/>
  <c r="M55" i="2"/>
  <c r="O55" i="2" s="1"/>
  <c r="M58" i="2"/>
  <c r="M59" i="2"/>
  <c r="O59" i="2" s="1"/>
  <c r="M60" i="2"/>
  <c r="M61" i="2"/>
  <c r="O61" i="2" s="1"/>
  <c r="M63" i="2"/>
  <c r="M62" i="2"/>
  <c r="M64" i="2"/>
  <c r="M65" i="2"/>
  <c r="O65" i="2" s="1"/>
  <c r="M66" i="2"/>
  <c r="M6" i="2"/>
  <c r="O6" i="2" s="1"/>
  <c r="D12" i="2" l="1"/>
  <c r="P12" i="2" s="1"/>
  <c r="D10" i="2"/>
  <c r="P10" i="2" s="1"/>
  <c r="D30" i="2"/>
  <c r="P30" i="2" s="1"/>
  <c r="D31" i="2"/>
  <c r="P31" i="2" s="1"/>
  <c r="D24" i="2"/>
  <c r="P24" i="2" s="1"/>
  <c r="D25" i="2"/>
  <c r="P25" i="2" s="1"/>
  <c r="D67" i="2"/>
  <c r="D68" i="2"/>
  <c r="D32" i="2"/>
  <c r="P32" i="2" s="1"/>
  <c r="D17" i="2"/>
  <c r="P17" i="2" s="1"/>
  <c r="D18" i="2"/>
  <c r="P18" i="2" s="1"/>
  <c r="D13" i="2"/>
  <c r="P13" i="2" s="1"/>
  <c r="D14" i="2"/>
  <c r="P14" i="2" s="1"/>
  <c r="D15" i="2"/>
  <c r="P15" i="2" s="1"/>
  <c r="D16" i="2"/>
  <c r="P16" i="2" s="1"/>
  <c r="D29" i="2"/>
  <c r="P29" i="2" s="1"/>
  <c r="D34" i="2"/>
  <c r="P34" i="2" s="1"/>
  <c r="D35" i="2"/>
  <c r="P35" i="2" s="1"/>
  <c r="D6" i="2"/>
  <c r="P6" i="2" s="1"/>
  <c r="D8" i="2"/>
  <c r="P8" i="2" s="1"/>
  <c r="D42" i="2"/>
  <c r="P42" i="2" s="1"/>
  <c r="D43" i="2"/>
  <c r="P43" i="2" s="1"/>
  <c r="D46" i="2"/>
  <c r="P46" i="2" s="1"/>
  <c r="D48" i="2"/>
  <c r="P48" i="2" s="1"/>
  <c r="D50" i="2"/>
  <c r="P50" i="2" s="1"/>
  <c r="D38" i="2"/>
  <c r="P38" i="2" s="1"/>
  <c r="D19" i="2"/>
  <c r="P19" i="2" s="1"/>
  <c r="D22" i="2"/>
  <c r="P22" i="2" s="1"/>
  <c r="D51" i="2"/>
  <c r="P51" i="2" s="1"/>
  <c r="D47" i="2"/>
  <c r="P47" i="2" s="1"/>
  <c r="D36" i="2"/>
  <c r="P36" i="2" s="1"/>
  <c r="D37" i="2"/>
  <c r="P37" i="2" s="1"/>
  <c r="D7" i="2"/>
  <c r="P7" i="2" s="1"/>
  <c r="D9" i="2"/>
  <c r="P9" i="2" s="1"/>
  <c r="D11" i="2"/>
  <c r="P11" i="2" s="1"/>
  <c r="D26" i="2"/>
  <c r="P26" i="2" s="1"/>
  <c r="D27" i="2"/>
  <c r="P27" i="2" s="1"/>
  <c r="D28" i="2"/>
  <c r="P28" i="2" s="1"/>
  <c r="D49" i="2"/>
  <c r="P49" i="2" s="1"/>
  <c r="D52" i="2"/>
  <c r="P52" i="2" s="1"/>
  <c r="D39" i="2"/>
  <c r="P39" i="2" s="1"/>
  <c r="D40" i="2"/>
  <c r="P40" i="2" s="1"/>
  <c r="D20" i="2"/>
  <c r="P20" i="2" s="1"/>
  <c r="D21" i="2"/>
  <c r="P21" i="2" s="1"/>
  <c r="D23" i="2"/>
  <c r="P23" i="2" s="1"/>
  <c r="D53" i="2"/>
  <c r="P53" i="2" s="1"/>
  <c r="D56" i="2"/>
  <c r="P56" i="2" s="1"/>
  <c r="D59" i="2"/>
  <c r="P59" i="2" s="1"/>
  <c r="D61" i="2"/>
  <c r="P61" i="2" s="1"/>
  <c r="D41" i="2"/>
  <c r="P41" i="2" s="1"/>
  <c r="D44" i="2"/>
  <c r="P44" i="2" s="1"/>
  <c r="D45" i="2"/>
  <c r="P45" i="2" s="1"/>
  <c r="D57" i="2"/>
  <c r="P57" i="2" s="1"/>
  <c r="D63" i="2"/>
  <c r="P63" i="2" s="1"/>
  <c r="D54" i="2"/>
  <c r="P54" i="2" s="1"/>
  <c r="D65" i="2"/>
  <c r="P65" i="2" s="1"/>
  <c r="D55" i="2"/>
  <c r="P55" i="2" s="1"/>
  <c r="D62" i="2"/>
  <c r="P62" i="2" s="1"/>
  <c r="D66" i="2"/>
  <c r="P66" i="2" s="1"/>
  <c r="D58" i="2"/>
  <c r="P58" i="2" s="1"/>
  <c r="D60" i="2"/>
  <c r="P60" i="2" s="1"/>
  <c r="D64" i="2"/>
  <c r="P64" i="2" s="1"/>
  <c r="D33" i="2"/>
  <c r="P33" i="2" s="1"/>
  <c r="T47" i="2" l="1"/>
  <c r="C63" i="4" s="1"/>
  <c r="F33" i="2"/>
  <c r="F60" i="2"/>
  <c r="F66" i="2"/>
  <c r="F55" i="2"/>
  <c r="F54" i="2"/>
  <c r="F57" i="2"/>
  <c r="F44" i="2"/>
  <c r="F61" i="2"/>
  <c r="F56" i="2"/>
  <c r="F23" i="2"/>
  <c r="F20" i="2"/>
  <c r="F39" i="2"/>
  <c r="F49" i="2"/>
  <c r="F27" i="2"/>
  <c r="F11" i="2"/>
  <c r="F7" i="2"/>
  <c r="F36" i="2"/>
  <c r="F51" i="2"/>
  <c r="F19" i="2"/>
  <c r="F50" i="2"/>
  <c r="F46" i="2"/>
  <c r="F42" i="2"/>
  <c r="F34" i="2"/>
  <c r="F16" i="2"/>
  <c r="F14" i="2"/>
  <c r="F18" i="2"/>
  <c r="F32" i="2"/>
  <c r="F67" i="2"/>
  <c r="F24" i="2"/>
  <c r="F30" i="2"/>
  <c r="F12" i="2"/>
  <c r="F64" i="2"/>
  <c r="F58" i="2"/>
  <c r="F62" i="2"/>
  <c r="F65" i="2"/>
  <c r="F63" i="2"/>
  <c r="F45" i="2"/>
  <c r="F41" i="2"/>
  <c r="F59" i="2"/>
  <c r="F53" i="2"/>
  <c r="F21" i="2"/>
  <c r="F40" i="2"/>
  <c r="F52" i="2"/>
  <c r="F28" i="2"/>
  <c r="F26" i="2"/>
  <c r="F9" i="2"/>
  <c r="F37" i="2"/>
  <c r="F47" i="2"/>
  <c r="F22" i="2"/>
  <c r="F38" i="2"/>
  <c r="F48" i="2"/>
  <c r="F43" i="2"/>
  <c r="F8" i="2"/>
  <c r="F35" i="2"/>
  <c r="F29" i="2"/>
  <c r="F15" i="2"/>
  <c r="F13" i="2"/>
  <c r="F17" i="2"/>
  <c r="F68" i="2"/>
  <c r="F25" i="2"/>
  <c r="F31" i="2"/>
  <c r="F10" i="2"/>
  <c r="F6" i="2"/>
  <c r="F69" i="2" l="1"/>
  <c r="F70" i="2" s="1"/>
  <c r="Q35" i="2"/>
  <c r="Q6" i="2"/>
  <c r="Q8" i="2"/>
  <c r="Q38" i="2"/>
  <c r="Q19" i="2"/>
  <c r="Q22" i="2"/>
  <c r="Q36" i="2"/>
  <c r="F46" i="4" s="1"/>
  <c r="Q37" i="2"/>
  <c r="F47" i="4" s="1"/>
  <c r="Q7" i="2"/>
  <c r="F8" i="4" s="1"/>
  <c r="Q9" i="2"/>
  <c r="F11" i="4" s="1"/>
  <c r="Q11" i="2"/>
  <c r="F14" i="4" s="1"/>
  <c r="Q39" i="2"/>
  <c r="F50" i="4" s="1"/>
  <c r="Q40" i="2"/>
  <c r="F51" i="4" s="1"/>
  <c r="Q20" i="2"/>
  <c r="F25" i="4" s="1"/>
  <c r="Q21" i="2"/>
  <c r="Q23" i="2"/>
  <c r="Q12" i="2"/>
  <c r="Q17" i="2"/>
  <c r="F21" i="4" s="1"/>
  <c r="Q18" i="2"/>
  <c r="F22" i="4" s="1"/>
  <c r="Q13" i="2"/>
  <c r="F17" i="4" s="1"/>
  <c r="Q14" i="2"/>
  <c r="F18" i="4" s="1"/>
  <c r="Q15" i="2"/>
  <c r="F19" i="4" s="1"/>
  <c r="Q16" i="2"/>
  <c r="F20" i="4" s="1"/>
  <c r="Q24" i="2"/>
  <c r="Q25" i="2"/>
  <c r="F33" i="4" s="1"/>
  <c r="Q26" i="2"/>
  <c r="F34" i="4" s="1"/>
  <c r="Q27" i="2"/>
  <c r="F35" i="4" s="1"/>
  <c r="Q28" i="2"/>
  <c r="F36" i="4" s="1"/>
  <c r="Q33" i="2"/>
  <c r="F39" i="4" s="1"/>
  <c r="Q30" i="2"/>
  <c r="Q31" i="2"/>
  <c r="F41" i="4" s="1"/>
  <c r="Q32" i="2"/>
  <c r="Q29" i="2"/>
  <c r="Q34" i="2"/>
  <c r="F43" i="4" s="1"/>
  <c r="Q42" i="2"/>
  <c r="Q43" i="2"/>
  <c r="Q46" i="2"/>
  <c r="Q48" i="2"/>
  <c r="F64" i="4" s="1"/>
  <c r="Q50" i="2"/>
  <c r="F67" i="4" s="1"/>
  <c r="Q51" i="2"/>
  <c r="Q47" i="2"/>
  <c r="Q49" i="2"/>
  <c r="Q52" i="2"/>
  <c r="F70" i="4" s="1"/>
  <c r="Q41" i="2"/>
  <c r="Q44" i="2"/>
  <c r="F58" i="4" s="1"/>
  <c r="Q45" i="2"/>
  <c r="F59" i="4" s="1"/>
  <c r="Q53" i="2"/>
  <c r="Q56" i="2"/>
  <c r="F76" i="4" s="1"/>
  <c r="Q59" i="2"/>
  <c r="Q61" i="2"/>
  <c r="Q57" i="2"/>
  <c r="F77" i="4" s="1"/>
  <c r="Q63" i="2"/>
  <c r="F85" i="4" s="1"/>
  <c r="Q54" i="2"/>
  <c r="F73" i="4" s="1"/>
  <c r="Q65" i="2"/>
  <c r="Q55" i="2"/>
  <c r="Q62" i="2"/>
  <c r="F84" i="4" s="1"/>
  <c r="Q66" i="2"/>
  <c r="F89" i="4" s="1"/>
  <c r="Q58" i="2"/>
  <c r="F78" i="4" s="1"/>
  <c r="Q60" i="2"/>
  <c r="F81" i="4" s="1"/>
  <c r="Q64" i="2"/>
  <c r="F86" i="4" s="1"/>
  <c r="M67" i="2"/>
  <c r="O67" i="2" s="1"/>
  <c r="M68" i="2"/>
  <c r="Q10" i="2"/>
  <c r="F28" i="4" l="1"/>
  <c r="S21" i="2"/>
  <c r="F42" i="4"/>
  <c r="F40" i="4"/>
  <c r="P67" i="2"/>
  <c r="P68" i="2"/>
  <c r="Q68" i="2" s="1"/>
  <c r="F92" i="4" s="1"/>
  <c r="F88" i="4"/>
  <c r="F83" i="4"/>
  <c r="F53" i="4"/>
  <c r="F66" i="4"/>
  <c r="F69" i="4"/>
  <c r="F57" i="4"/>
  <c r="F32" i="4"/>
  <c r="F30" i="4"/>
  <c r="F27" i="4"/>
  <c r="F49" i="4"/>
  <c r="F13" i="4"/>
  <c r="F75" i="4"/>
  <c r="F80" i="4"/>
  <c r="F72" i="4"/>
  <c r="F63" i="4"/>
  <c r="F61" i="4"/>
  <c r="F55" i="4"/>
  <c r="F38" i="4"/>
  <c r="F16" i="4"/>
  <c r="F24" i="4"/>
  <c r="F10" i="4"/>
  <c r="F45" i="4"/>
  <c r="S49" i="2"/>
  <c r="S55" i="2"/>
  <c r="S65" i="2"/>
  <c r="S41" i="2"/>
  <c r="S51" i="2"/>
  <c r="S48" i="2"/>
  <c r="S23" i="2"/>
  <c r="S10" i="2"/>
  <c r="S46" i="2"/>
  <c r="S42" i="2"/>
  <c r="F7" i="4"/>
  <c r="S61" i="2"/>
  <c r="S56" i="2"/>
  <c r="S24" i="2"/>
  <c r="S59" i="2"/>
  <c r="S47" i="2"/>
  <c r="S29" i="2"/>
  <c r="S12" i="2"/>
  <c r="S63" i="2"/>
  <c r="S43" i="2"/>
  <c r="S26" i="2"/>
  <c r="S17" i="2"/>
  <c r="S22" i="2"/>
  <c r="S38" i="2"/>
  <c r="S60" i="2"/>
  <c r="S57" i="2"/>
  <c r="S53" i="2"/>
  <c r="S50" i="2"/>
  <c r="S33" i="2"/>
  <c r="S19" i="2"/>
  <c r="S8" i="2"/>
  <c r="S35" i="2"/>
  <c r="T67" i="2"/>
  <c r="C91" i="4" s="1"/>
  <c r="B43" i="4"/>
  <c r="B7" i="4"/>
  <c r="B24" i="4"/>
  <c r="B69" i="4"/>
  <c r="B8" i="4"/>
  <c r="B11" i="4"/>
  <c r="B34" i="4"/>
  <c r="B25" i="4"/>
  <c r="B28" i="4"/>
  <c r="B72" i="4"/>
  <c r="B53" i="4"/>
  <c r="B77" i="4"/>
  <c r="B75" i="4"/>
  <c r="B86" i="4"/>
  <c r="B78" i="4" l="1"/>
  <c r="B84" i="4"/>
  <c r="B59" i="4"/>
  <c r="B51" i="4"/>
  <c r="B70" i="4"/>
  <c r="B63" i="4"/>
  <c r="B17" i="4"/>
  <c r="B36" i="4"/>
  <c r="B47" i="4"/>
  <c r="B27" i="4"/>
  <c r="B57" i="4"/>
  <c r="B10" i="4"/>
  <c r="B45" i="4"/>
  <c r="B19" i="4"/>
  <c r="B21" i="4"/>
  <c r="B92" i="4"/>
  <c r="B33" i="4"/>
  <c r="B41" i="4"/>
  <c r="B88" i="4"/>
  <c r="B85" i="4"/>
  <c r="B80" i="4"/>
  <c r="B49" i="4"/>
  <c r="B64" i="4"/>
  <c r="B38" i="4"/>
  <c r="B13" i="4"/>
  <c r="B39" i="4"/>
  <c r="B81" i="4"/>
  <c r="B89" i="4"/>
  <c r="B73" i="4"/>
  <c r="B58" i="4"/>
  <c r="B83" i="4"/>
  <c r="B76" i="4"/>
  <c r="B30" i="4"/>
  <c r="B50" i="4"/>
  <c r="B66" i="4"/>
  <c r="B35" i="4"/>
  <c r="B14" i="4"/>
  <c r="B46" i="4"/>
  <c r="B67" i="4"/>
  <c r="B61" i="4"/>
  <c r="B55" i="4"/>
  <c r="B20" i="4"/>
  <c r="B18" i="4"/>
  <c r="B22" i="4"/>
  <c r="B42" i="4"/>
  <c r="B91" i="4"/>
  <c r="B32" i="4"/>
  <c r="B40" i="4"/>
  <c r="B16" i="4"/>
  <c r="Q67" i="2"/>
  <c r="R21" i="2" s="1"/>
  <c r="T21" i="2" s="1"/>
  <c r="F91" i="4" l="1"/>
  <c r="R65" i="2"/>
  <c r="R61" i="2"/>
  <c r="R41" i="2"/>
  <c r="T41" i="2" s="1"/>
  <c r="C53" i="4" s="1"/>
  <c r="R49" i="2"/>
  <c r="R51" i="2"/>
  <c r="R43" i="2"/>
  <c r="R24" i="2"/>
  <c r="R23" i="2"/>
  <c r="R22" i="2"/>
  <c r="T22" i="2" s="1"/>
  <c r="C27" i="4" s="1"/>
  <c r="R38" i="2"/>
  <c r="T38" i="2" s="1"/>
  <c r="C49" i="4" s="1"/>
  <c r="R6" i="2"/>
  <c r="R10" i="2"/>
  <c r="R55" i="2"/>
  <c r="R59" i="2"/>
  <c r="T59" i="2" s="1"/>
  <c r="C80" i="4" s="1"/>
  <c r="R53" i="2"/>
  <c r="T53" i="2" s="1"/>
  <c r="C72" i="4" s="1"/>
  <c r="R47" i="2"/>
  <c r="R46" i="2"/>
  <c r="T46" i="2" s="1"/>
  <c r="C61" i="4" s="1"/>
  <c r="R42" i="2"/>
  <c r="R29" i="2"/>
  <c r="R12" i="2"/>
  <c r="T12" i="2" s="1"/>
  <c r="C16" i="4" s="1"/>
  <c r="R19" i="2"/>
  <c r="T19" i="2" s="1"/>
  <c r="C24" i="4" s="1"/>
  <c r="R8" i="2"/>
  <c r="T8" i="2" s="1"/>
  <c r="C10" i="4" s="1"/>
  <c r="R35" i="2"/>
  <c r="T35" i="2" s="1"/>
  <c r="C45" i="4" s="1"/>
  <c r="T49" i="2"/>
  <c r="C66" i="4" s="1"/>
  <c r="T55" i="2"/>
  <c r="C75" i="4" s="1"/>
  <c r="S67" i="2"/>
  <c r="T29" i="2"/>
  <c r="C38" i="4" s="1"/>
  <c r="T63" i="2"/>
  <c r="T26" i="2"/>
  <c r="T60" i="2"/>
  <c r="T17" i="2"/>
  <c r="T57" i="2"/>
  <c r="T65" i="2"/>
  <c r="C88" i="4" s="1"/>
  <c r="T56" i="2"/>
  <c r="T51" i="2"/>
  <c r="C69" i="4" s="1"/>
  <c r="T48" i="2"/>
  <c r="T24" i="2"/>
  <c r="C32" i="4" s="1"/>
  <c r="T10" i="2"/>
  <c r="C13" i="4" s="1"/>
  <c r="T50" i="2"/>
  <c r="T42" i="2"/>
  <c r="C55" i="4" s="1"/>
  <c r="T61" i="2"/>
  <c r="C83" i="4" s="1"/>
  <c r="T43" i="2"/>
  <c r="C57" i="4" s="1"/>
  <c r="T23" i="2"/>
  <c r="C30" i="4" s="1"/>
  <c r="T33" i="2"/>
  <c r="O69" i="2"/>
  <c r="O70" i="2" s="1"/>
  <c r="S6" i="2" l="1"/>
  <c r="T6" i="2" s="1"/>
  <c r="C7" i="4" s="1"/>
</calcChain>
</file>

<file path=xl/sharedStrings.xml><?xml version="1.0" encoding="utf-8"?>
<sst xmlns="http://schemas.openxmlformats.org/spreadsheetml/2006/main" count="387" uniqueCount="240">
  <si>
    <t>Comp LED code</t>
  </si>
  <si>
    <t>KA1</t>
  </si>
  <si>
    <t>KC1</t>
  </si>
  <si>
    <t>KF2</t>
  </si>
  <si>
    <t>KF3</t>
  </si>
  <si>
    <t>KF4</t>
  </si>
  <si>
    <t>KF6</t>
  </si>
  <si>
    <t>KF7</t>
  </si>
  <si>
    <t>KC2</t>
  </si>
  <si>
    <t>KF8</t>
  </si>
  <si>
    <t>KN1</t>
  </si>
  <si>
    <t>KN2</t>
  </si>
  <si>
    <t>KN3</t>
  </si>
  <si>
    <t>KN4</t>
  </si>
  <si>
    <t>KF1</t>
  </si>
  <si>
    <t>KN5</t>
  </si>
  <si>
    <t>KU HID Code</t>
  </si>
  <si>
    <t>RLS 404: OH MV Open Bottom 7000L Fixture</t>
  </si>
  <si>
    <t>RLS 409: OH HPS Cobra Head 50000L Fix</t>
  </si>
  <si>
    <t>RLS 410: UG HPS Acorn 4000L Historic</t>
  </si>
  <si>
    <t>RLS 412: UG HPS Coach 5800L Decorative</t>
  </si>
  <si>
    <t>RLS 413: UG HPS Coach 9500L Decorative</t>
  </si>
  <si>
    <t>RLS 421: OH Inc Tear Drop 1000L Fix Only</t>
  </si>
  <si>
    <t>RLS 422: OH Inc Tear Drop 2500L Fix Only</t>
  </si>
  <si>
    <t>RLS 424: OH Inc Tear Drop 4000L Fix Only</t>
  </si>
  <si>
    <t>RLS 425: OH Inc Tear Drop 6000L Fix Only</t>
  </si>
  <si>
    <t>RLS 426: OH HPS Open Bottom 5800L Fix</t>
  </si>
  <si>
    <t>RLS 440: UG HPS Acorn 4000L Decorative</t>
  </si>
  <si>
    <t>RLS 446: OH MV Cobra Head 7000L Fixture</t>
  </si>
  <si>
    <t>RLS 447: OH MV Cobra Head 10000L Fixture</t>
  </si>
  <si>
    <t>RLS 448: OH MV Cobra Head 20000L Fixture</t>
  </si>
  <si>
    <t>RLS 450: OH MH Directional 12000L Fix</t>
  </si>
  <si>
    <t>RLS 452: OH MH Directional 107800L Fix</t>
  </si>
  <si>
    <t>RLS 454: OH MH Directional 12000L Fix/Po</t>
  </si>
  <si>
    <t>RLS 455: OH MH Directional 32000L Fix/Po</t>
  </si>
  <si>
    <t>RLS 456: OH MV Cobra 7000L Fixture/Pole</t>
  </si>
  <si>
    <t>RLS 457: OH MV Cobra 10000L Fixture/Pole</t>
  </si>
  <si>
    <t>RLS 458: OH MV Cobra 20000L Fixture/Pole</t>
  </si>
  <si>
    <t>RLS 459: OH MH Directional 107800L Fix/P</t>
  </si>
  <si>
    <t>RLS 460: UG MH Directional 12000L Deco</t>
  </si>
  <si>
    <t>RLS 461: OH HPS Cobra Head 4000L Fixture</t>
  </si>
  <si>
    <t>RLS 466: UG HPS Colonial 4000L Deco</t>
  </si>
  <si>
    <t>RLS 469: UG MH Directional 32000L Deco</t>
  </si>
  <si>
    <t>RLS 470: UG MH Directional 107800L Deco</t>
  </si>
  <si>
    <t>RLS 471: OH HPS Cobra Hd 4000L Fix/Pole</t>
  </si>
  <si>
    <t>RLS 490: UG MH Contemporary 12000L Fix</t>
  </si>
  <si>
    <t>RLS 493: UG MH Contemporary 107800L Fix</t>
  </si>
  <si>
    <t>RLS 494: UG MH Contemporary 12000L Deco</t>
  </si>
  <si>
    <t>RLS 496: UG MH Contemporary 107800L Deco</t>
  </si>
  <si>
    <t>HID Description</t>
  </si>
  <si>
    <t>HID Wattage</t>
  </si>
  <si>
    <t>LS 390 OH LED Cobra 6000-8200</t>
  </si>
  <si>
    <t>LS 391 OH LED Cobra 13000-16500</t>
  </si>
  <si>
    <t>LS 392 OH LED Cobra 22000-29000</t>
  </si>
  <si>
    <t>LS 393 OH LED Open Bottom 4500-6000</t>
  </si>
  <si>
    <t>LS KC1 OH LED Cobra 2500-4000</t>
  </si>
  <si>
    <t>LS KF1 OH LED Flood  4500-6000</t>
  </si>
  <si>
    <t>LS KF2 OH LED Flood  14000-17500</t>
  </si>
  <si>
    <t>LS KF3 OH LED Flood  22000-28000</t>
  </si>
  <si>
    <t>LS KF4 OH LED Flood  35000-50000</t>
  </si>
  <si>
    <t>LS 396 UG LED Cobra 6000-8200</t>
  </si>
  <si>
    <t>LS 397 UG LED Cobra 13000-16500</t>
  </si>
  <si>
    <t>LS 398 UG LED Cobra 22000-29000</t>
  </si>
  <si>
    <t>LS 399 UG LED Colonial 4000-7000</t>
  </si>
  <si>
    <t>LS KA1 UG LED Acorn 4000-7000</t>
  </si>
  <si>
    <t>LS KN1 UG LED Contemporary 4000-7000</t>
  </si>
  <si>
    <t>LS KN2 UG LED Contemporary 8000-11000</t>
  </si>
  <si>
    <t>LS KN3 UG LED Contemporary 13500-16500</t>
  </si>
  <si>
    <t>LS KN4 UG LED Contemporary 21000-28000</t>
  </si>
  <si>
    <t>LS KN5 UG LED Contemporary 45000-50000</t>
  </si>
  <si>
    <t>LS KC2 UG LED Cobra 2500-4000</t>
  </si>
  <si>
    <t>KF5</t>
  </si>
  <si>
    <t>LS KF5 UG LED Flood  4500-6000</t>
  </si>
  <si>
    <t>LS KF6 UG LED Flood  14000-17500</t>
  </si>
  <si>
    <t>LS KF7 UG LED Flood  22000-28000</t>
  </si>
  <si>
    <t>LS KF8 UG LED Flood  35000-50000</t>
  </si>
  <si>
    <t>PK1</t>
  </si>
  <si>
    <t>Cobra - Ornamental</t>
  </si>
  <si>
    <t>PK3</t>
  </si>
  <si>
    <t>Decorative Smooth - Post Top</t>
  </si>
  <si>
    <t>PK2</t>
  </si>
  <si>
    <t>Contemporary</t>
  </si>
  <si>
    <t>PK4</t>
  </si>
  <si>
    <t>Historic Fluted - Post Top</t>
  </si>
  <si>
    <t>KCON</t>
  </si>
  <si>
    <t>LED Description</t>
  </si>
  <si>
    <t>Pole Rate</t>
  </si>
  <si>
    <t>RLS 463: OH HPS Cobra Head 9500L Fixture</t>
  </si>
  <si>
    <t>RLS 462: OH HPS Cobra Head 5800L Fixture</t>
  </si>
  <si>
    <t>RLS 464: OH HPS Cobra Head 22000L Fixture</t>
  </si>
  <si>
    <t>RLS 465: OH HPS Cobra Head 50000L Fixture</t>
  </si>
  <si>
    <t>RLS 472: OH HPS Cobra 5800L Ornamental</t>
  </si>
  <si>
    <t>RLS 473: OH HPS Cobra 9500L Ornamental</t>
  </si>
  <si>
    <t>RLS 474: OH HPS Cobra 22000L Ornamental</t>
  </si>
  <si>
    <t>RLS 475: OH HPS Cobra 50000L Ornamental</t>
  </si>
  <si>
    <t>RLS 428: OH HPS Open Bottom 9500L Fixture</t>
  </si>
  <si>
    <t>RLS 467: UG HPS Colonial 5800L Deco</t>
  </si>
  <si>
    <t>RLS 468: UG HPS Colonial 9500L Deco</t>
  </si>
  <si>
    <t>RLS 401: UG HPS Acorn 5800L Decorative</t>
  </si>
  <si>
    <t>RLS 411: UG HPS Acorn 5800L Historic</t>
  </si>
  <si>
    <t>RLS 420: UG HPS Acorn 9500L Decorative</t>
  </si>
  <si>
    <t>RLS 430: UG HPS Acorn 9500L Historic</t>
  </si>
  <si>
    <t>RLS 451: OH MH Directional 32000L Fixture</t>
  </si>
  <si>
    <t>RLS 487: OH HPS Directional 9500L Fixture</t>
  </si>
  <si>
    <t>RLS 488: OH HPS Directional 22000L Fix</t>
  </si>
  <si>
    <t>RLS 489: OH HPS Directional 50000L Fix</t>
  </si>
  <si>
    <t>RLS 476: UG HPS Contemporary 5800L Deco</t>
  </si>
  <si>
    <t>RLS 477: UG HPS Contemporary 9500L Deco</t>
  </si>
  <si>
    <t>RLS 478: UG HPS Contemporary 22000L Deco</t>
  </si>
  <si>
    <t>RLS 479: UG HPS Contemporary 50000L Deco</t>
  </si>
  <si>
    <t>RLS 491: UG MH Contemporary 32000L Fix</t>
  </si>
  <si>
    <t>RLS 492: UG HPS Contemporary 5800L Fix</t>
  </si>
  <si>
    <t>RLS 495: UG MH Contemporary 32000L Deco</t>
  </si>
  <si>
    <t>RLS 497: UG HPS Contemporary 9500L Fix</t>
  </si>
  <si>
    <t>RLS 498: UG HPS Contemporary 22000L Fix</t>
  </si>
  <si>
    <t>RLS 499: UG HPS Contemporary 50000L Fix</t>
  </si>
  <si>
    <t>RLS 414: UG HPS Victorian 5800L Historic</t>
  </si>
  <si>
    <t>RLS 415: UG HPS Victorian 9500L Historic</t>
  </si>
  <si>
    <t>PK5</t>
  </si>
  <si>
    <t>Wood Pole</t>
  </si>
  <si>
    <t>KV1</t>
  </si>
  <si>
    <t>LS KV1 UG LED Victorian 4000-7000</t>
  </si>
  <si>
    <t>Conversion Fee</t>
  </si>
  <si>
    <t>No Pole</t>
  </si>
  <si>
    <t>Price Difference</t>
  </si>
  <si>
    <t>convert?</t>
  </si>
  <si>
    <t>Inputs</t>
  </si>
  <si>
    <t>LFUCG Proposed RLS rate minus LS rate</t>
  </si>
  <si>
    <t>ROR-Adjusted LFUCG RLS Rate</t>
  </si>
  <si>
    <t>LED code</t>
  </si>
  <si>
    <t>LED description</t>
  </si>
  <si>
    <t>HID equivalents code</t>
  </si>
  <si>
    <t>HID description</t>
  </si>
  <si>
    <t>Unified rate</t>
  </si>
  <si>
    <t>HID rate</t>
  </si>
  <si>
    <r>
      <rPr>
        <sz val="11"/>
        <color theme="1"/>
        <rFont val="Calibri"/>
        <family val="2"/>
      </rPr>
      <t>Δ</t>
    </r>
    <r>
      <rPr>
        <sz val="11"/>
        <color theme="1"/>
        <rFont val="Calibri"/>
        <family val="2"/>
        <scheme val="minor"/>
      </rPr>
      <t>ROR for LS/RLS</t>
    </r>
  </si>
  <si>
    <r>
      <rPr>
        <sz val="11"/>
        <color theme="1"/>
        <rFont val="Calibri"/>
        <family val="2"/>
      </rPr>
      <t>Δ</t>
    </r>
    <r>
      <rPr>
        <sz val="11"/>
        <color theme="1"/>
        <rFont val="Calibri"/>
        <family val="2"/>
        <scheme val="minor"/>
      </rPr>
      <t>ROR for LE rate</t>
    </r>
  </si>
  <si>
    <t>Fixture monthly revenue</t>
  </si>
  <si>
    <t>ROR-adjusted Fixture monthly revenue</t>
  </si>
  <si>
    <t>KU Unified Unmetered Streetlight Rate</t>
  </si>
  <si>
    <t>Proposed RLS Rate</t>
  </si>
  <si>
    <t>RLS fixture count</t>
  </si>
  <si>
    <t>LS fixture count</t>
  </si>
  <si>
    <t>Proposed monthly revenue in LS bundle</t>
  </si>
  <si>
    <t>count of fixtures in LS bundle</t>
  </si>
  <si>
    <t>KU  Comparable Fixture Rates</t>
  </si>
  <si>
    <t>Proposed monthly Unified rate</t>
  </si>
  <si>
    <t>KU Fixture Code</t>
  </si>
  <si>
    <t>Fixture Description</t>
  </si>
  <si>
    <t>Proposed  Rate</t>
  </si>
  <si>
    <t>monthly total</t>
  </si>
  <si>
    <t>annual total</t>
  </si>
  <si>
    <t>ROR-adjusted LFUCG Fixture+Pole Rate</t>
  </si>
  <si>
    <t>KUUM_390</t>
  </si>
  <si>
    <t>KUUM_391</t>
  </si>
  <si>
    <t>KUUM_392</t>
  </si>
  <si>
    <t>KUUM_393</t>
  </si>
  <si>
    <t>KUUM_396</t>
  </si>
  <si>
    <t>KUUM_397</t>
  </si>
  <si>
    <t>KUUM_398</t>
  </si>
  <si>
    <t>KUUM_399</t>
  </si>
  <si>
    <t>KUUM_401</t>
  </si>
  <si>
    <t>KUUM_404</t>
  </si>
  <si>
    <t>KUUM_409</t>
  </si>
  <si>
    <t>KUUM_410</t>
  </si>
  <si>
    <t>KUUM_411</t>
  </si>
  <si>
    <t>KUUM_412</t>
  </si>
  <si>
    <t>KUUM_413</t>
  </si>
  <si>
    <t>KUUM_414</t>
  </si>
  <si>
    <t>KUUM_415</t>
  </si>
  <si>
    <t>KUUM_420</t>
  </si>
  <si>
    <t>KUUM_421</t>
  </si>
  <si>
    <t>KUUM_422</t>
  </si>
  <si>
    <t>KUUM_424</t>
  </si>
  <si>
    <t>KUUM_425</t>
  </si>
  <si>
    <t>KUUM_426</t>
  </si>
  <si>
    <t>KUUM_428</t>
  </si>
  <si>
    <t>KUUM_430</t>
  </si>
  <si>
    <t>KUUM_440</t>
  </si>
  <si>
    <t>KUUM_446</t>
  </si>
  <si>
    <t>KUUM_447</t>
  </si>
  <si>
    <t>KUUM_448</t>
  </si>
  <si>
    <t>KUUM_450</t>
  </si>
  <si>
    <t>KUUM_451</t>
  </si>
  <si>
    <t>KUUM_452</t>
  </si>
  <si>
    <t>KUUM_454</t>
  </si>
  <si>
    <t>KUUM_455</t>
  </si>
  <si>
    <t>KUUM_456</t>
  </si>
  <si>
    <t>KUUM_457</t>
  </si>
  <si>
    <t>KUUM_458</t>
  </si>
  <si>
    <t>KUUM_459</t>
  </si>
  <si>
    <t>KUUM_460</t>
  </si>
  <si>
    <t>KUUM_461</t>
  </si>
  <si>
    <t>KUUM_462</t>
  </si>
  <si>
    <t>KUUM_463</t>
  </si>
  <si>
    <t>KUUM_464</t>
  </si>
  <si>
    <t>KUUM_465</t>
  </si>
  <si>
    <t>KUUM_466</t>
  </si>
  <si>
    <t>KUUM_467</t>
  </si>
  <si>
    <t>KUUM_468</t>
  </si>
  <si>
    <t>KUUM_469</t>
  </si>
  <si>
    <t>KUUM_470</t>
  </si>
  <si>
    <t>KUUM_471</t>
  </si>
  <si>
    <t>KUUM_472</t>
  </si>
  <si>
    <t>KUUM_473</t>
  </si>
  <si>
    <t>KUUM_474</t>
  </si>
  <si>
    <t>KUUM_475</t>
  </si>
  <si>
    <t>KUUM_476</t>
  </si>
  <si>
    <t>KUUM_477</t>
  </si>
  <si>
    <t>KUUM_478</t>
  </si>
  <si>
    <t>KUUM_479</t>
  </si>
  <si>
    <t>KUUM_487</t>
  </si>
  <si>
    <t>KUUM_488</t>
  </si>
  <si>
    <t>KUUM_489</t>
  </si>
  <si>
    <t>KUUM_490</t>
  </si>
  <si>
    <t>KUUM_491</t>
  </si>
  <si>
    <t>KUUM_492</t>
  </si>
  <si>
    <t>KUUM_493</t>
  </si>
  <si>
    <t>KUUM_494</t>
  </si>
  <si>
    <t>KUUM_495</t>
  </si>
  <si>
    <t>KUUM_496</t>
  </si>
  <si>
    <t>KUUM_497</t>
  </si>
  <si>
    <t>KUUM_498</t>
  </si>
  <si>
    <t>KUUM_499</t>
  </si>
  <si>
    <t>KUUM_KA1</t>
  </si>
  <si>
    <t>KUUM_KC1</t>
  </si>
  <si>
    <t>KUUM_KC2</t>
  </si>
  <si>
    <t>KUUM_KF1</t>
  </si>
  <si>
    <t>KUUM_KF2</t>
  </si>
  <si>
    <t>KUUM_KF3</t>
  </si>
  <si>
    <t>KUUM_KF4</t>
  </si>
  <si>
    <t>KUUM_KF7</t>
  </si>
  <si>
    <t>KUUM_KF8</t>
  </si>
  <si>
    <t>KUUM_KN1</t>
  </si>
  <si>
    <t>KUUM_KN2</t>
  </si>
  <si>
    <t>KUUM_KN3</t>
  </si>
  <si>
    <t>KUUM_KN4</t>
  </si>
  <si>
    <t>KUUM_KN5</t>
  </si>
  <si>
    <t>source: 2020_LFUCG_DR1_KU_Attach_to_Q12b and "KU Current Lighting Rates" workbook</t>
  </si>
  <si>
    <t>Proposed Fixture+ pole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</si>
</sst>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1" formatCode="_(* #,##0_);_(* \(#,##0\);_(* &quot;-&quot;_);_(@_)"/>
    <numFmt numFmtId="44" formatCode="_(&quot;$&quot;* #,##0.00_);_(&quot;$&quot;* \(#,##0.00\);_(&quot;$&quot;* &quot;-&quot;??_);_(@_)"/>
    <numFmt numFmtId="43" formatCode="_(* #,##0.00_);_(* \(#,##0.00\);_(* &quot;-&quot;??_);_(@_)"/>
    <numFmt numFmtId="164" formatCode="&quot;$&quot;#,##0.00"/>
    <numFmt numFmtId="165" formatCode="General_)"/>
    <numFmt numFmtId="167" formatCode="&quot;$&quot;#,##0"/>
    <numFmt numFmtId="168" formatCode="_(&quot;$&quot;* #,##0_);_(&quot;$&quot;* \(#,##0\);_(&quot;$&quot;* &quot;-&quot;??_);_(@_)"/>
    <numFmt numFmtId="169" formatCode="_(* #,##0_);_(* \(#,##0\);_(* &quot;-&quot;??_);_(@_)"/>
  </numFmts>
  <fonts count="10" x14ac:knownFonts="1">
    <font>
      <sz val="11"/>
      <color theme="1"/>
      <name val="Calibri"/>
      <family val="2"/>
      <scheme val="minor"/>
    </font>
    <font>
      <sz val="11"/>
      <color theme="1"/>
      <name val="Calibri"/>
      <family val="2"/>
      <scheme val="minor"/>
    </font>
    <font>
      <sz val="8"/>
      <color theme="1"/>
      <name val="Calibri"/>
      <family val="2"/>
      <scheme val="minor"/>
    </font>
    <font>
      <sz val="12"/>
      <name val="Helv"/>
    </font>
    <font>
      <sz val="12"/>
      <name val="Times New Roman"/>
      <family val="1"/>
    </font>
    <font>
      <sz val="24"/>
      <color theme="1"/>
      <name val="Calibri"/>
      <family val="2"/>
      <scheme val="minor"/>
    </font>
    <font>
      <b/>
      <sz val="20"/>
      <color theme="1"/>
      <name val="Calibri"/>
      <family val="2"/>
      <scheme val="minor"/>
    </font>
    <font>
      <sz val="11"/>
      <color theme="1"/>
      <name val="Calibri"/>
      <family val="2"/>
    </font>
    <font>
      <sz val="8"/>
      <color rgb="FF000000"/>
      <name val="Arial"/>
      <family val="2"/>
    </font>
    <font>
      <sz val="9"/>
      <color rgb="FF0000FF"/>
      <name val="Times New Roman"/>
      <family val="2"/>
    </font>
  </fonts>
  <fills count="4">
    <fill>
      <patternFill patternType="none"/>
    </fill>
    <fill>
      <patternFill patternType="gray125"/>
    </fill>
    <fill>
      <patternFill patternType="solid">
        <fgColor rgb="FFC6C4C4"/>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AEAEAE"/>
      </left>
      <right style="medium">
        <color rgb="FFAEAEAE"/>
      </right>
      <top style="medium">
        <color rgb="FFAEAEAE"/>
      </top>
      <bottom style="medium">
        <color rgb="FFAEAEAE"/>
      </bottom>
      <diagonal/>
    </border>
  </borders>
  <cellStyleXfs count="13">
    <xf numFmtId="0" fontId="0" fillId="0" borderId="0"/>
    <xf numFmtId="44" fontId="1"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165" fontId="3" fillId="0" borderId="0"/>
    <xf numFmtId="41" fontId="4"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66">
    <xf numFmtId="0" fontId="0" fillId="0" borderId="0" xfId="0"/>
    <xf numFmtId="0" fontId="0" fillId="0" borderId="0" xfId="0"/>
    <xf numFmtId="0" fontId="0" fillId="0" borderId="0" xfId="0" applyAlignment="1">
      <alignment horizontal="left"/>
    </xf>
    <xf numFmtId="0" fontId="0" fillId="0" borderId="0" xfId="0" applyFill="1" applyAlignment="1">
      <alignment horizontal="left" indent="1"/>
    </xf>
    <xf numFmtId="164" fontId="0" fillId="0" borderId="0" xfId="0" applyNumberFormat="1" applyAlignment="1">
      <alignment horizontal="right"/>
    </xf>
    <xf numFmtId="0" fontId="0" fillId="0" borderId="0" xfId="0" applyAlignment="1">
      <alignment horizontal="right"/>
    </xf>
    <xf numFmtId="44" fontId="0" fillId="0" borderId="0" xfId="1" applyFont="1" applyAlignment="1">
      <alignment horizontal="right"/>
    </xf>
    <xf numFmtId="49" fontId="0" fillId="0" borderId="0" xfId="0" applyNumberFormat="1" applyAlignment="1">
      <alignment horizontal="right"/>
    </xf>
    <xf numFmtId="49" fontId="0" fillId="0" borderId="0" xfId="0" applyNumberFormat="1" applyAlignment="1">
      <alignment horizontal="left"/>
    </xf>
    <xf numFmtId="0" fontId="0" fillId="0" borderId="0" xfId="0" applyFill="1" applyAlignment="1">
      <alignment horizontal="right" indent="1"/>
    </xf>
    <xf numFmtId="0" fontId="0" fillId="0" borderId="0" xfId="0"/>
    <xf numFmtId="0" fontId="0" fillId="0" borderId="0" xfId="0" applyAlignment="1">
      <alignment horizontal="right"/>
    </xf>
    <xf numFmtId="0" fontId="0" fillId="0" borderId="0" xfId="0" applyFont="1"/>
    <xf numFmtId="0" fontId="0" fillId="0" borderId="0" xfId="0" applyFont="1" applyAlignment="1">
      <alignment horizontal="right"/>
    </xf>
    <xf numFmtId="49" fontId="0" fillId="0" borderId="0" xfId="0" applyNumberFormat="1" applyFont="1" applyAlignment="1">
      <alignment horizontal="left"/>
    </xf>
    <xf numFmtId="0" fontId="0" fillId="0" borderId="0" xfId="0" applyFont="1" applyAlignment="1">
      <alignment horizontal="left"/>
    </xf>
    <xf numFmtId="164" fontId="0" fillId="0" borderId="0" xfId="0" applyNumberFormat="1" applyFont="1" applyAlignment="1">
      <alignment horizontal="right"/>
    </xf>
    <xf numFmtId="0" fontId="0" fillId="0" borderId="0" xfId="0" applyFont="1" applyFill="1" applyAlignment="1">
      <alignment horizontal="left" indent="1"/>
    </xf>
    <xf numFmtId="0" fontId="0" fillId="0" borderId="0" xfId="0" applyNumberFormat="1" applyFont="1" applyFill="1" applyAlignment="1">
      <alignment horizontal="left"/>
    </xf>
    <xf numFmtId="164" fontId="0" fillId="0" borderId="0" xfId="0" applyNumberFormat="1" applyFont="1"/>
    <xf numFmtId="0" fontId="5" fillId="0" borderId="0" xfId="0" applyFont="1" applyAlignment="1">
      <alignment horizontal="center"/>
    </xf>
    <xf numFmtId="0" fontId="0" fillId="0" borderId="0" xfId="0" applyAlignment="1">
      <alignment horizontal="left"/>
    </xf>
    <xf numFmtId="0" fontId="5" fillId="0" borderId="0" xfId="0" applyFont="1" applyAlignment="1">
      <alignment horizontal="center"/>
    </xf>
    <xf numFmtId="3" fontId="0" fillId="0" borderId="0" xfId="0" applyNumberFormat="1" applyFont="1" applyAlignment="1">
      <alignment horizontal="right"/>
    </xf>
    <xf numFmtId="49" fontId="0" fillId="0" borderId="0" xfId="0" applyNumberFormat="1" applyFont="1" applyAlignment="1">
      <alignment horizontal="left" wrapText="1"/>
    </xf>
    <xf numFmtId="49" fontId="0" fillId="0" borderId="0" xfId="0" applyNumberFormat="1" applyFont="1" applyAlignment="1">
      <alignment horizontal="right" wrapText="1"/>
    </xf>
    <xf numFmtId="0" fontId="0" fillId="0" borderId="0" xfId="0" applyFont="1" applyAlignment="1">
      <alignment horizontal="left" wrapText="1"/>
    </xf>
    <xf numFmtId="164" fontId="0" fillId="0" borderId="0" xfId="0" applyNumberFormat="1" applyFont="1" applyAlignment="1">
      <alignment horizontal="right" wrapText="1"/>
    </xf>
    <xf numFmtId="0" fontId="0" fillId="0" borderId="0" xfId="0" applyFont="1" applyAlignment="1">
      <alignment horizontal="right" wrapText="1"/>
    </xf>
    <xf numFmtId="0" fontId="0" fillId="0" borderId="0" xfId="0" applyAlignment="1">
      <alignment wrapText="1"/>
    </xf>
    <xf numFmtId="164" fontId="0" fillId="0" borderId="0" xfId="0" applyNumberFormat="1"/>
    <xf numFmtId="10" fontId="0" fillId="0" borderId="3" xfId="9" applyNumberFormat="1" applyFont="1" applyFill="1" applyBorder="1" applyAlignment="1">
      <alignment horizontal="left" indent="1"/>
    </xf>
    <xf numFmtId="0" fontId="6" fillId="0" borderId="1" xfId="0" applyFont="1" applyFill="1" applyBorder="1" applyAlignment="1">
      <alignment horizontal="left" indent="1"/>
    </xf>
    <xf numFmtId="44" fontId="0" fillId="0" borderId="0" xfId="1" applyFont="1" applyBorder="1"/>
    <xf numFmtId="0" fontId="0" fillId="0" borderId="2" xfId="0" applyFont="1" applyFill="1" applyBorder="1" applyAlignment="1">
      <alignment horizontal="left" wrapText="1" indent="1"/>
    </xf>
    <xf numFmtId="168" fontId="0" fillId="0" borderId="0" xfId="1" applyNumberFormat="1" applyFont="1" applyAlignment="1">
      <alignment horizontal="right"/>
    </xf>
    <xf numFmtId="167" fontId="0" fillId="0" borderId="0" xfId="0" applyNumberFormat="1" applyAlignment="1">
      <alignment horizontal="right"/>
    </xf>
    <xf numFmtId="168" fontId="0" fillId="0" borderId="0" xfId="0" applyNumberFormat="1"/>
    <xf numFmtId="168" fontId="0" fillId="0" borderId="0" xfId="1" applyNumberFormat="1" applyFont="1"/>
    <xf numFmtId="44" fontId="0" fillId="0" borderId="0" xfId="0" applyNumberFormat="1"/>
    <xf numFmtId="49" fontId="0" fillId="0" borderId="0" xfId="0" applyNumberFormat="1" applyBorder="1" applyAlignment="1">
      <alignment horizontal="center"/>
    </xf>
    <xf numFmtId="0" fontId="0" fillId="0" borderId="0" xfId="0" applyBorder="1"/>
    <xf numFmtId="49" fontId="0" fillId="0" borderId="0" xfId="0" applyNumberFormat="1" applyBorder="1"/>
    <xf numFmtId="0" fontId="0" fillId="0" borderId="0" xfId="0" applyBorder="1" applyAlignment="1">
      <alignment horizontal="center"/>
    </xf>
    <xf numFmtId="44" fontId="0" fillId="0" borderId="0" xfId="1" applyFont="1" applyFill="1" applyAlignment="1">
      <alignment horizontal="left" indent="1"/>
    </xf>
    <xf numFmtId="0" fontId="0" fillId="0" borderId="0" xfId="0" applyBorder="1" applyAlignment="1">
      <alignment horizontal="left"/>
    </xf>
    <xf numFmtId="0" fontId="0" fillId="0" borderId="0" xfId="0" applyBorder="1" applyAlignment="1">
      <alignment horizontal="center" wrapText="1"/>
    </xf>
    <xf numFmtId="0" fontId="0" fillId="0" borderId="0" xfId="0" applyBorder="1" applyAlignment="1">
      <alignment wrapText="1"/>
    </xf>
    <xf numFmtId="0" fontId="0" fillId="0" borderId="0" xfId="0" applyAlignment="1">
      <alignment horizontal="left" indent="1"/>
    </xf>
    <xf numFmtId="49" fontId="0" fillId="0" borderId="0" xfId="0" applyNumberFormat="1" applyAlignment="1">
      <alignment horizontal="left" wrapText="1"/>
    </xf>
    <xf numFmtId="49" fontId="0" fillId="0" borderId="0" xfId="0" applyNumberFormat="1" applyAlignment="1">
      <alignment horizontal="right" wrapText="1"/>
    </xf>
    <xf numFmtId="169" fontId="0" fillId="0" borderId="0" xfId="10" applyNumberFormat="1" applyFont="1"/>
    <xf numFmtId="0" fontId="0" fillId="0" borderId="0" xfId="0" applyAlignment="1">
      <alignment horizontal="left"/>
    </xf>
    <xf numFmtId="0" fontId="5" fillId="0" borderId="0" xfId="0" applyFont="1" applyAlignment="1">
      <alignment horizontal="center"/>
    </xf>
    <xf numFmtId="0" fontId="0" fillId="0" borderId="0" xfId="0" applyFont="1" applyAlignment="1">
      <alignment horizontal="center"/>
    </xf>
    <xf numFmtId="0" fontId="0" fillId="0" borderId="0" xfId="0" applyAlignment="1">
      <alignment horizontal="center"/>
    </xf>
    <xf numFmtId="168" fontId="0" fillId="0" borderId="0" xfId="0" applyNumberFormat="1" applyFill="1" applyAlignment="1">
      <alignment horizontal="right" indent="1"/>
    </xf>
    <xf numFmtId="168" fontId="0" fillId="0" borderId="0" xfId="1" applyNumberFormat="1" applyFont="1" applyFill="1" applyAlignment="1">
      <alignment horizontal="left" indent="1"/>
    </xf>
    <xf numFmtId="168" fontId="0" fillId="0" borderId="0" xfId="1" applyNumberFormat="1" applyFont="1" applyAlignment="1">
      <alignment horizontal="left"/>
    </xf>
    <xf numFmtId="49" fontId="8" fillId="2" borderId="7" xfId="11" applyNumberFormat="1" applyFont="1" applyFill="1" applyBorder="1" applyAlignment="1">
      <alignment horizontal="left" vertical="center" wrapText="1"/>
    </xf>
    <xf numFmtId="169" fontId="9" fillId="3" borderId="0" xfId="12" applyNumberFormat="1" applyFont="1" applyFill="1"/>
    <xf numFmtId="49" fontId="8" fillId="2" borderId="0" xfId="11" applyNumberFormat="1" applyFont="1" applyFill="1" applyAlignment="1">
      <alignment horizontal="left" vertical="center" wrapText="1"/>
    </xf>
    <xf numFmtId="168" fontId="0" fillId="0" borderId="0" xfId="0" applyNumberFormat="1" applyFill="1" applyAlignment="1">
      <alignment horizontal="left" indent="1"/>
    </xf>
    <xf numFmtId="0" fontId="6" fillId="0" borderId="4" xfId="0" applyFont="1" applyFill="1" applyBorder="1" applyAlignment="1">
      <alignment horizontal="left" indent="1"/>
    </xf>
    <xf numFmtId="0" fontId="0" fillId="0" borderId="5" xfId="0" applyFont="1" applyFill="1" applyBorder="1" applyAlignment="1">
      <alignment horizontal="left" wrapText="1" indent="1"/>
    </xf>
    <xf numFmtId="10" fontId="0" fillId="0" borderId="6" xfId="9" applyNumberFormat="1" applyFont="1" applyFill="1" applyBorder="1" applyAlignment="1">
      <alignment horizontal="left" indent="1"/>
    </xf>
  </cellXfs>
  <cellStyles count="13">
    <cellStyle name="Comma" xfId="10" builtinId="3"/>
    <cellStyle name="Comma 2" xfId="4" xr:uid="{00000000-0005-0000-0000-000001000000}"/>
    <cellStyle name="Comma 92" xfId="12" xr:uid="{2503F293-5EA8-43AC-BDF5-FF1BE4F8DF00}"/>
    <cellStyle name="Currency" xfId="1" builtinId="4"/>
    <cellStyle name="Currency 2" xfId="6" xr:uid="{00000000-0005-0000-0000-000003000000}"/>
    <cellStyle name="Normal" xfId="0" builtinId="0"/>
    <cellStyle name="Normal 2" xfId="2" xr:uid="{00000000-0005-0000-0000-000005000000}"/>
    <cellStyle name="Normal 2 19" xfId="8" xr:uid="{00000000-0005-0000-0000-000006000000}"/>
    <cellStyle name="Normal 3" xfId="3" xr:uid="{00000000-0005-0000-0000-000007000000}"/>
    <cellStyle name="Normal 6" xfId="7" xr:uid="{00000000-0005-0000-0000-000008000000}"/>
    <cellStyle name="Normal 80" xfId="11" xr:uid="{589B2A67-7FB3-4B0D-8242-045C03BB7824}"/>
    <cellStyle name="Percent" xfId="9" builtinId="5"/>
    <cellStyle name="Percent 2" xfId="5" xr:uid="{00000000-0005-0000-0000-000009000000}"/>
  </cellStyles>
  <dxfs count="7">
    <dxf>
      <fill>
        <patternFill>
          <bgColor theme="4" tint="0.59996337778862885"/>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theme="6" tint="0.79998168889431442"/>
        </patternFill>
      </fill>
    </dxf>
    <dxf>
      <fill>
        <patternFill>
          <bgColor rgb="FFCCCCFF"/>
        </patternFill>
      </fill>
    </dxf>
    <dxf>
      <fill>
        <patternFill>
          <bgColor theme="4" tint="0.59996337778862885"/>
        </patternFill>
      </fill>
    </dxf>
  </dxfs>
  <tableStyles count="1" defaultTableStyle="TableStyleMedium2" defaultPivotStyle="PivotStyleLight16">
    <tableStyle name="Table Style 1" pivot="0" count="0" xr9:uid="{00000000-0011-0000-FFFF-FFFF00000000}"/>
  </tableStyles>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57149</xdr:rowOff>
    </xdr:from>
    <xdr:to>
      <xdr:col>5</xdr:col>
      <xdr:colOff>19050</xdr:colOff>
      <xdr:row>5</xdr:row>
      <xdr:rowOff>85724</xdr:rowOff>
    </xdr:to>
    <xdr:sp macro="" textlink="">
      <xdr:nvSpPr>
        <xdr:cNvPr id="2" name="TextBox 1">
          <a:extLst>
            <a:ext uri="{FF2B5EF4-FFF2-40B4-BE49-F238E27FC236}">
              <a16:creationId xmlns:a16="http://schemas.microsoft.com/office/drawing/2014/main" id="{EE7F2AD5-B02C-48A1-B9F2-E3DED915E559}"/>
            </a:ext>
          </a:extLst>
        </xdr:cNvPr>
        <xdr:cNvSpPr txBox="1"/>
      </xdr:nvSpPr>
      <xdr:spPr>
        <a:xfrm>
          <a:off x="85725" y="247649"/>
          <a:ext cx="7258050"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HID fixtures that</a:t>
          </a:r>
          <a:r>
            <a:rPr lang="en-US" sz="1100" baseline="0"/>
            <a:t> have a cheaper LED equivalent are charged the "Unified Rate" and will be converted to LED at the Company's discretion. HID fixtures with an assigned "HID rate" do not have a cheaper LED equivalent, will be charged the HID rate and will not automatically be converted by the Company. Customers may request conversion of HID fixtures that are not under the Unified Rate but must pay conversion fees.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140"/>
  <sheetViews>
    <sheetView zoomScale="84" zoomScaleNormal="84" workbookViewId="0">
      <selection activeCell="I4" sqref="I4:O4"/>
    </sheetView>
  </sheetViews>
  <sheetFormatPr defaultRowHeight="15" x14ac:dyDescent="0.25"/>
  <cols>
    <col min="1" max="1" width="8.140625" style="2" customWidth="1"/>
    <col min="2" max="2" width="46" style="2" customWidth="1"/>
    <col min="3" max="3" width="14.42578125" style="21" customWidth="1"/>
    <col min="4" max="4" width="11.42578125" style="5" customWidth="1"/>
    <col min="5" max="5" width="8.42578125" style="11" customWidth="1"/>
    <col min="6" max="6" width="17" style="11" customWidth="1"/>
    <col min="7" max="7" width="9.28515625" style="5" customWidth="1"/>
    <col min="8" max="8" width="2.5703125" style="11" customWidth="1"/>
    <col min="9" max="9" width="8.85546875" style="2" customWidth="1"/>
    <col min="10" max="10" width="9.42578125" style="2" bestFit="1" customWidth="1"/>
    <col min="11" max="11" width="38.7109375" style="2" bestFit="1" customWidth="1"/>
    <col min="12" max="12" width="11.140625" style="4" customWidth="1"/>
    <col min="13" max="13" width="12.28515625" style="4" customWidth="1"/>
    <col min="14" max="14" width="7.28515625" style="4" customWidth="1"/>
    <col min="15" max="15" width="11.42578125" style="4" customWidth="1"/>
    <col min="16" max="16" width="14.42578125" customWidth="1"/>
    <col min="18" max="18" width="10.7109375" bestFit="1" customWidth="1"/>
    <col min="19" max="19" width="10" customWidth="1"/>
    <col min="20" max="20" width="9.7109375" customWidth="1"/>
    <col min="23" max="23" width="37.85546875" customWidth="1"/>
    <col min="24" max="24" width="10.7109375" customWidth="1"/>
  </cols>
  <sheetData>
    <row r="1" spans="1:26" s="10" customFormat="1" ht="32.25" thickBot="1" x14ac:dyDescent="0.55000000000000004">
      <c r="A1" s="53" t="s">
        <v>145</v>
      </c>
      <c r="B1" s="53"/>
      <c r="C1" s="53"/>
      <c r="D1" s="53"/>
      <c r="E1" s="53"/>
      <c r="F1" s="53"/>
      <c r="G1" s="53"/>
      <c r="H1" s="53"/>
      <c r="I1" s="53"/>
      <c r="J1" s="53"/>
      <c r="K1" s="53"/>
      <c r="L1" s="53"/>
      <c r="M1" s="53"/>
      <c r="N1" s="53"/>
      <c r="O1" s="53"/>
      <c r="P1" s="12"/>
    </row>
    <row r="2" spans="1:26" s="10" customFormat="1" ht="36.75" customHeight="1" x14ac:dyDescent="0.5">
      <c r="A2" s="20"/>
      <c r="B2" s="32" t="s">
        <v>126</v>
      </c>
      <c r="C2" s="34" t="s">
        <v>135</v>
      </c>
      <c r="D2" s="31">
        <v>-0.1888</v>
      </c>
      <c r="E2" s="20"/>
      <c r="F2" s="22"/>
      <c r="G2" s="20"/>
      <c r="H2" s="20"/>
      <c r="I2" s="20"/>
      <c r="J2" s="20"/>
      <c r="K2" s="20"/>
      <c r="L2" s="20"/>
      <c r="M2" s="20"/>
      <c r="N2" s="20"/>
      <c r="O2" s="22"/>
      <c r="P2" s="12"/>
    </row>
    <row r="3" spans="1:26" s="10" customFormat="1" ht="36.75" customHeight="1" thickBot="1" x14ac:dyDescent="0.55000000000000004">
      <c r="A3" s="20"/>
      <c r="B3" s="63"/>
      <c r="C3" s="64" t="s">
        <v>136</v>
      </c>
      <c r="D3" s="65">
        <v>-0.2631</v>
      </c>
      <c r="E3" s="20"/>
      <c r="F3" s="22"/>
      <c r="G3" s="20"/>
      <c r="H3" s="20"/>
      <c r="I3" s="20"/>
      <c r="J3" s="20"/>
      <c r="K3" s="20"/>
      <c r="L3" s="20"/>
      <c r="M3" s="20"/>
      <c r="N3" s="20"/>
      <c r="O3" s="22"/>
      <c r="P3" s="12"/>
    </row>
    <row r="4" spans="1:26" x14ac:dyDescent="0.25">
      <c r="A4" s="54"/>
      <c r="B4" s="54"/>
      <c r="C4" s="54"/>
      <c r="D4" s="54"/>
      <c r="E4" s="54"/>
      <c r="F4" s="54"/>
      <c r="G4" s="54"/>
      <c r="H4" s="13"/>
      <c r="I4" s="54"/>
      <c r="J4" s="54"/>
      <c r="K4" s="54"/>
      <c r="L4" s="54"/>
      <c r="M4" s="54"/>
      <c r="N4" s="54"/>
      <c r="O4" s="54"/>
      <c r="P4" s="15" t="s">
        <v>124</v>
      </c>
      <c r="V4" s="55" t="s">
        <v>238</v>
      </c>
      <c r="W4" s="55"/>
      <c r="X4" s="55"/>
    </row>
    <row r="5" spans="1:26" s="29" customFormat="1" ht="76.5" customHeight="1" thickBot="1" x14ac:dyDescent="0.3">
      <c r="A5" s="24" t="s">
        <v>16</v>
      </c>
      <c r="B5" s="24" t="s">
        <v>49</v>
      </c>
      <c r="C5" s="24" t="s">
        <v>140</v>
      </c>
      <c r="D5" s="25" t="s">
        <v>128</v>
      </c>
      <c r="E5" s="25" t="s">
        <v>141</v>
      </c>
      <c r="F5" s="25" t="s">
        <v>138</v>
      </c>
      <c r="G5" s="25" t="s">
        <v>50</v>
      </c>
      <c r="H5" s="25"/>
      <c r="I5" s="24" t="s">
        <v>0</v>
      </c>
      <c r="J5" s="24" t="s">
        <v>86</v>
      </c>
      <c r="K5" s="26" t="s">
        <v>85</v>
      </c>
      <c r="L5" s="27" t="s">
        <v>239</v>
      </c>
      <c r="M5" s="27" t="s">
        <v>152</v>
      </c>
      <c r="N5" s="27" t="s">
        <v>142</v>
      </c>
      <c r="O5" s="27" t="s">
        <v>137</v>
      </c>
      <c r="P5" s="28" t="s">
        <v>127</v>
      </c>
      <c r="Q5" s="29" t="s">
        <v>125</v>
      </c>
      <c r="R5" s="29" t="s">
        <v>144</v>
      </c>
      <c r="S5" s="29" t="s">
        <v>143</v>
      </c>
      <c r="T5" s="29" t="s">
        <v>146</v>
      </c>
      <c r="V5" s="49" t="s">
        <v>147</v>
      </c>
      <c r="W5" s="49" t="s">
        <v>148</v>
      </c>
      <c r="X5" s="50" t="s">
        <v>149</v>
      </c>
    </row>
    <row r="6" spans="1:26" ht="15.75" thickBot="1" x14ac:dyDescent="0.3">
      <c r="A6" s="14">
        <v>447</v>
      </c>
      <c r="B6" s="17" t="s">
        <v>29</v>
      </c>
      <c r="C6" s="44">
        <f>VLOOKUP(A6,$V$6:$X$94,3)</f>
        <v>13.93</v>
      </c>
      <c r="D6" s="16">
        <f>C6*(1+$D$2)</f>
        <v>11.300015999999999</v>
      </c>
      <c r="E6" s="23">
        <f>VLOOKUP(A6,$V$6:$Z$94,5)/12</f>
        <v>451.33333333333331</v>
      </c>
      <c r="F6" s="35">
        <f>D6*E6</f>
        <v>5100.0738879999999</v>
      </c>
      <c r="G6" s="13">
        <v>294</v>
      </c>
      <c r="H6" s="13"/>
      <c r="I6" s="14">
        <v>390</v>
      </c>
      <c r="J6" s="18">
        <v>0</v>
      </c>
      <c r="K6" s="15" t="str">
        <f>VLOOKUP(I6,$V$6:$W$94,2)</f>
        <v>LS 390 OH LED Cobra 6000-8200</v>
      </c>
      <c r="L6" s="16">
        <f>VLOOKUP(I6,$V$6:$X$94,3)+VLOOKUP(J6,$V$95:$X$100,3)</f>
        <v>9.58</v>
      </c>
      <c r="M6" s="16">
        <f>L6*(1+$D$3)</f>
        <v>7.0595020000000002</v>
      </c>
      <c r="N6" s="23">
        <f>IF(I6&lt;&gt;I5,VLOOKUP(I6,$V$6:$Z$94,5)/12,"")</f>
        <v>334.66666666666669</v>
      </c>
      <c r="O6" s="35">
        <f>IF(I6&lt;&gt;I5,M6*N6,"")</f>
        <v>2362.580002666667</v>
      </c>
      <c r="P6" s="19">
        <f>D6-M6</f>
        <v>4.2405139999999992</v>
      </c>
      <c r="Q6" t="str">
        <f>IF(P6&gt;0,"Yes","No")</f>
        <v>Yes</v>
      </c>
      <c r="R6" s="51">
        <f>N6+SUMIFS(E6:E$68,Q6:Q$68,"Yes",I6:I$68,I6)</f>
        <v>21859</v>
      </c>
      <c r="S6" s="37">
        <f>O6+SUMIF(I6:I$68,I6,F6:F$68)</f>
        <v>196526.91254666669</v>
      </c>
      <c r="T6" s="39">
        <f>IF(R6&lt;&gt;"",S6/R6,"")</f>
        <v>8.9906634588346535</v>
      </c>
      <c r="V6" s="52">
        <v>390</v>
      </c>
      <c r="W6" s="11" t="s">
        <v>51</v>
      </c>
      <c r="X6" s="6">
        <v>9.58</v>
      </c>
      <c r="Y6" s="59" t="s">
        <v>153</v>
      </c>
      <c r="Z6" s="60">
        <v>4016</v>
      </c>
    </row>
    <row r="7" spans="1:26" ht="15.75" thickBot="1" x14ac:dyDescent="0.3">
      <c r="A7" s="14">
        <v>463</v>
      </c>
      <c r="B7" s="17" t="s">
        <v>87</v>
      </c>
      <c r="C7" s="44">
        <f>VLOOKUP(A7,$V$6:$X$94,3)</f>
        <v>11.06</v>
      </c>
      <c r="D7" s="16">
        <f>C7*(1+$D$2)</f>
        <v>8.9718720000000012</v>
      </c>
      <c r="E7" s="23">
        <f t="shared" ref="E7:E68" si="0">VLOOKUP(A7,$V$6:$Z$94,5)/12</f>
        <v>21073</v>
      </c>
      <c r="F7" s="35">
        <f>D7*E7</f>
        <v>189064.25865600002</v>
      </c>
      <c r="G7" s="13">
        <v>117</v>
      </c>
      <c r="H7" s="13"/>
      <c r="I7" s="14">
        <v>390</v>
      </c>
      <c r="J7" s="18">
        <v>0</v>
      </c>
      <c r="K7" s="15" t="str">
        <f>VLOOKUP(I7,$V$6:$W$94,2)</f>
        <v>LS 390 OH LED Cobra 6000-8200</v>
      </c>
      <c r="L7" s="16">
        <f>VLOOKUP(I7,$V$6:$X$94,3)+VLOOKUP(J7,$V$95:$X$100,3)</f>
        <v>9.58</v>
      </c>
      <c r="M7" s="16">
        <f>L7*(1+$D$3)</f>
        <v>7.0595020000000002</v>
      </c>
      <c r="N7" s="23" t="str">
        <f>IF(I7&lt;&gt;I6,VLOOKUP(I7,$V$6:$Z$94,5)/12,"")</f>
        <v/>
      </c>
      <c r="O7" s="35" t="str">
        <f>IF(I7&lt;&gt;I6,M7*N7,"")</f>
        <v/>
      </c>
      <c r="P7" s="19">
        <f>D7-M7</f>
        <v>1.912370000000001</v>
      </c>
      <c r="Q7" s="10" t="str">
        <f>IF(P7&gt;0,"Yes","No")</f>
        <v>Yes</v>
      </c>
      <c r="R7" s="51" t="str">
        <f>IF(I7&lt;&gt;I6,N7+SUMIFS(E7:E$68,Q7:Q$68,"Yes",I7:I$68,I7),"")</f>
        <v/>
      </c>
      <c r="S7" s="38" t="str">
        <f>IF(I7&lt;&gt;I6,O7+SUMIFS(F7:F$68,I7:I$68,I7,Q7:Q$68,"Yes"),"")</f>
        <v/>
      </c>
      <c r="T7" s="39" t="str">
        <f>IF(R7&lt;&gt;"",S7/R7,"")</f>
        <v/>
      </c>
      <c r="V7" s="52">
        <v>391</v>
      </c>
      <c r="W7" s="11" t="s">
        <v>52</v>
      </c>
      <c r="X7" s="6">
        <v>11.55</v>
      </c>
      <c r="Y7" s="59" t="s">
        <v>154</v>
      </c>
      <c r="Z7" s="60">
        <v>3756</v>
      </c>
    </row>
    <row r="8" spans="1:26" ht="15.75" thickBot="1" x14ac:dyDescent="0.3">
      <c r="A8" s="14">
        <v>448</v>
      </c>
      <c r="B8" s="17" t="s">
        <v>30</v>
      </c>
      <c r="C8" s="44">
        <f>VLOOKUP(A8,$V$6:$X$94,3)</f>
        <v>15.14</v>
      </c>
      <c r="D8" s="16">
        <f>C8*(1+$D$2)</f>
        <v>12.281568000000002</v>
      </c>
      <c r="E8" s="23">
        <f t="shared" si="0"/>
        <v>971</v>
      </c>
      <c r="F8" s="35">
        <f>D8*E8</f>
        <v>11925.402528000002</v>
      </c>
      <c r="G8" s="13">
        <v>453</v>
      </c>
      <c r="H8" s="13"/>
      <c r="I8" s="14">
        <v>391</v>
      </c>
      <c r="J8" s="18">
        <v>0</v>
      </c>
      <c r="K8" s="15" t="str">
        <f>VLOOKUP(I8,$V$6:$W$94,2)</f>
        <v>LS 391 OH LED Cobra 13000-16500</v>
      </c>
      <c r="L8" s="16">
        <f>VLOOKUP(I8,$V$6:$X$94,3)+VLOOKUP(J8,$V$95:$X$100,3)</f>
        <v>11.55</v>
      </c>
      <c r="M8" s="16">
        <f>L8*(1+$D$3)</f>
        <v>8.5111950000000007</v>
      </c>
      <c r="N8" s="23">
        <f t="shared" ref="N8:N68" si="1">IF(I8&lt;&gt;I7,VLOOKUP(I8,$V$6:$Z$94,5)/12,"")</f>
        <v>313</v>
      </c>
      <c r="O8" s="35">
        <f t="shared" ref="O8:O68" si="2">IF(I8&lt;&gt;I7,M8*N8,"")</f>
        <v>2664.0040350000004</v>
      </c>
      <c r="P8" s="19">
        <f>D8-M8</f>
        <v>3.7703730000000011</v>
      </c>
      <c r="Q8" s="10" t="str">
        <f>IF(P8&gt;0,"Yes","No")</f>
        <v>Yes</v>
      </c>
      <c r="R8" s="51">
        <f>IF(I8&lt;&gt;I7,N8+SUMIFS(E8:E$68,Q8:Q$68,"Yes",I8:I$68,I8),"")</f>
        <v>9069</v>
      </c>
      <c r="S8" s="38">
        <f>IF(I8&lt;&gt;I7,O8+SUMIFS(F8:F$68,I8:I$68,I8,Q8:Q$68,"Yes"),"")</f>
        <v>122894.94936300001</v>
      </c>
      <c r="T8" s="39">
        <f>IF(R8&lt;&gt;"",S8/R8,"")</f>
        <v>13.551102587165069</v>
      </c>
      <c r="V8" s="52">
        <v>392</v>
      </c>
      <c r="W8" s="11" t="s">
        <v>53</v>
      </c>
      <c r="X8" s="6">
        <v>14.86</v>
      </c>
      <c r="Y8" s="59" t="s">
        <v>155</v>
      </c>
      <c r="Z8" s="60">
        <v>3778</v>
      </c>
    </row>
    <row r="9" spans="1:26" ht="15.75" thickBot="1" x14ac:dyDescent="0.3">
      <c r="A9" s="14">
        <v>464</v>
      </c>
      <c r="B9" s="17" t="s">
        <v>89</v>
      </c>
      <c r="C9" s="44">
        <f>VLOOKUP(A9,$V$6:$X$94,3)</f>
        <v>17.149999999999999</v>
      </c>
      <c r="D9" s="16">
        <f>C9*(1+$D$2)</f>
        <v>13.91208</v>
      </c>
      <c r="E9" s="23">
        <f t="shared" si="0"/>
        <v>7785</v>
      </c>
      <c r="F9" s="35">
        <f>D9*E9</f>
        <v>108305.5428</v>
      </c>
      <c r="G9" s="13">
        <v>242</v>
      </c>
      <c r="H9" s="13"/>
      <c r="I9" s="14">
        <v>391</v>
      </c>
      <c r="J9" s="18">
        <v>0</v>
      </c>
      <c r="K9" s="15" t="str">
        <f>VLOOKUP(I9,$V$6:$W$94,2)</f>
        <v>LS 391 OH LED Cobra 13000-16500</v>
      </c>
      <c r="L9" s="16">
        <f>VLOOKUP(I9,$V$6:$X$94,3)+VLOOKUP(J9,$V$95:$X$100,3)</f>
        <v>11.55</v>
      </c>
      <c r="M9" s="16">
        <f>L9*(1+$D$3)</f>
        <v>8.5111950000000007</v>
      </c>
      <c r="N9" s="23" t="str">
        <f t="shared" si="1"/>
        <v/>
      </c>
      <c r="O9" s="35" t="str">
        <f t="shared" si="2"/>
        <v/>
      </c>
      <c r="P9" s="19">
        <f>D9-M9</f>
        <v>5.4008849999999988</v>
      </c>
      <c r="Q9" s="10" t="str">
        <f>IF(P9&gt;0,"Yes","No")</f>
        <v>Yes</v>
      </c>
      <c r="R9" s="51" t="str">
        <f>IF(I9&lt;&gt;I8,N9+SUMIFS(E9:E$68,Q9:Q$68,"Yes",I9:I$68,I9),"")</f>
        <v/>
      </c>
      <c r="S9" s="38" t="str">
        <f>IF(I9&lt;&gt;I8,O9+SUMIFS(F9:F$68,I9:I$68,I9,Q9:Q$68,"Yes"),"")</f>
        <v/>
      </c>
      <c r="T9" s="39" t="str">
        <f>IF(R9&lt;&gt;"",S9/R9,"")</f>
        <v/>
      </c>
      <c r="V9" s="52">
        <v>393</v>
      </c>
      <c r="W9" s="11" t="s">
        <v>54</v>
      </c>
      <c r="X9" s="6">
        <v>7.84</v>
      </c>
      <c r="Y9" s="59" t="s">
        <v>156</v>
      </c>
      <c r="Z9" s="60">
        <v>16956</v>
      </c>
    </row>
    <row r="10" spans="1:26" ht="15.75" thickBot="1" x14ac:dyDescent="0.3">
      <c r="A10" s="14">
        <v>409</v>
      </c>
      <c r="B10" s="17" t="s">
        <v>18</v>
      </c>
      <c r="C10" s="44">
        <f>VLOOKUP(A10,$V$6:$X$94,3)</f>
        <v>14.84</v>
      </c>
      <c r="D10" s="16">
        <f>C10*(1+$D$2)</f>
        <v>12.038208000000001</v>
      </c>
      <c r="E10" s="23">
        <f t="shared" si="0"/>
        <v>107</v>
      </c>
      <c r="F10" s="35">
        <f>D10*E10</f>
        <v>1288.088256</v>
      </c>
      <c r="G10" s="13">
        <v>471</v>
      </c>
      <c r="H10" s="13"/>
      <c r="I10" s="14">
        <v>392</v>
      </c>
      <c r="J10" s="18">
        <v>0</v>
      </c>
      <c r="K10" s="15" t="str">
        <f>VLOOKUP(I10,$V$6:$W$94,2)</f>
        <v>LS 392 OH LED Cobra 22000-29000</v>
      </c>
      <c r="L10" s="16">
        <f>VLOOKUP(I10,$V$6:$X$94,3)+VLOOKUP(J10,$V$95:$X$100,3)</f>
        <v>14.86</v>
      </c>
      <c r="M10" s="16">
        <f>L10*(1+$D$3)</f>
        <v>10.950334</v>
      </c>
      <c r="N10" s="23">
        <f t="shared" si="1"/>
        <v>314.83333333333331</v>
      </c>
      <c r="O10" s="35">
        <f t="shared" si="2"/>
        <v>3447.530154333333</v>
      </c>
      <c r="P10" s="19">
        <f>D10-M10</f>
        <v>1.0878740000000011</v>
      </c>
      <c r="Q10" s="10" t="str">
        <f>IF(P10&gt;0,"Yes","No")</f>
        <v>Yes</v>
      </c>
      <c r="R10" s="51">
        <f>IF(I10&lt;&gt;I9,N10+SUMIFS(E10:E$68,Q10:Q$68,"Yes",I10:I$68,I10),"")</f>
        <v>3107</v>
      </c>
      <c r="S10" s="38">
        <f>IF(I10&lt;&gt;I9,O10+SUMIFS(F10:F$68,I10:I$68,I10,Q10:Q$68,"Yes"),"")</f>
        <v>63612.559026333336</v>
      </c>
      <c r="T10" s="39">
        <f>IF(R10&lt;&gt;"",S10/R10,"")</f>
        <v>20.473948833708832</v>
      </c>
      <c r="V10" s="52">
        <v>396</v>
      </c>
      <c r="W10" s="11" t="s">
        <v>60</v>
      </c>
      <c r="X10" s="6">
        <v>5.35</v>
      </c>
      <c r="Y10" s="59" t="s">
        <v>157</v>
      </c>
      <c r="Z10" s="60">
        <v>1482</v>
      </c>
    </row>
    <row r="11" spans="1:26" ht="15.75" thickBot="1" x14ac:dyDescent="0.3">
      <c r="A11" s="14">
        <v>465</v>
      </c>
      <c r="B11" s="17" t="s">
        <v>90</v>
      </c>
      <c r="C11" s="44">
        <f>VLOOKUP(A11,$V$6:$X$94,3)</f>
        <v>27.03</v>
      </c>
      <c r="D11" s="16">
        <f>C11*(1+$D$2)</f>
        <v>21.926736000000002</v>
      </c>
      <c r="E11" s="23">
        <f t="shared" si="0"/>
        <v>2685.1666666666665</v>
      </c>
      <c r="F11" s="35">
        <f>D11*E11</f>
        <v>58876.940616</v>
      </c>
      <c r="G11" s="13">
        <v>471</v>
      </c>
      <c r="H11" s="13"/>
      <c r="I11" s="14">
        <v>392</v>
      </c>
      <c r="J11" s="18">
        <v>0</v>
      </c>
      <c r="K11" s="15" t="str">
        <f>VLOOKUP(I11,$V$6:$W$94,2)</f>
        <v>LS 392 OH LED Cobra 22000-29000</v>
      </c>
      <c r="L11" s="16">
        <f>VLOOKUP(I11,$V$6:$X$94,3)+VLOOKUP(J11,$V$95:$X$100,3)</f>
        <v>14.86</v>
      </c>
      <c r="M11" s="16">
        <f>L11*(1+$D$3)</f>
        <v>10.950334</v>
      </c>
      <c r="N11" s="23" t="str">
        <f t="shared" si="1"/>
        <v/>
      </c>
      <c r="O11" s="35" t="str">
        <f t="shared" si="2"/>
        <v/>
      </c>
      <c r="P11" s="19">
        <f>D11-M11</f>
        <v>10.976402000000002</v>
      </c>
      <c r="Q11" s="10" t="str">
        <f>IF(P11&gt;0,"Yes","No")</f>
        <v>Yes</v>
      </c>
      <c r="R11" s="51" t="str">
        <f>IF(I11&lt;&gt;I10,N11+SUMIFS(E11:E$68,Q11:Q$68,"Yes",I11:I$68,I11),"")</f>
        <v/>
      </c>
      <c r="S11" s="38" t="str">
        <f>IF(I11&lt;&gt;I10,O11+SUMIFS(F11:F$68,I11:I$68,I11,Q11:Q$68,"Yes"),"")</f>
        <v/>
      </c>
      <c r="T11" s="39" t="str">
        <f>IF(R11&lt;&gt;"",S11/R11,"")</f>
        <v/>
      </c>
      <c r="V11" s="52">
        <v>397</v>
      </c>
      <c r="W11" s="11" t="s">
        <v>61</v>
      </c>
      <c r="X11" s="6">
        <v>7.33</v>
      </c>
      <c r="Y11" s="59" t="s">
        <v>158</v>
      </c>
      <c r="Z11" s="60">
        <v>9118</v>
      </c>
    </row>
    <row r="12" spans="1:26" ht="15.75" thickBot="1" x14ac:dyDescent="0.3">
      <c r="A12" s="14">
        <v>404</v>
      </c>
      <c r="B12" s="17" t="s">
        <v>17</v>
      </c>
      <c r="C12" s="44">
        <f>VLOOKUP(A12,$V$6:$X$94,3)</f>
        <v>12.42</v>
      </c>
      <c r="D12" s="16">
        <f>C12*(1+$D$2)</f>
        <v>10.075104</v>
      </c>
      <c r="E12" s="23">
        <f t="shared" si="0"/>
        <v>4968</v>
      </c>
      <c r="F12" s="35">
        <f>D12*E12</f>
        <v>50053.116671999996</v>
      </c>
      <c r="G12" s="13">
        <v>207</v>
      </c>
      <c r="H12" s="13"/>
      <c r="I12" s="14">
        <v>393</v>
      </c>
      <c r="J12" s="18">
        <v>0</v>
      </c>
      <c r="K12" s="15" t="str">
        <f>VLOOKUP(I12,$V$6:$W$94,2)</f>
        <v>LS 393 OH LED Open Bottom 4500-6000</v>
      </c>
      <c r="L12" s="16">
        <f>VLOOKUP(I12,$V$6:$X$94,3)+VLOOKUP(J12,$V$95:$X$100,3)</f>
        <v>7.84</v>
      </c>
      <c r="M12" s="16">
        <f>L12*(1+$D$3)</f>
        <v>5.7772959999999998</v>
      </c>
      <c r="N12" s="23">
        <f t="shared" si="1"/>
        <v>1413</v>
      </c>
      <c r="O12" s="35">
        <f t="shared" si="2"/>
        <v>8163.3192479999998</v>
      </c>
      <c r="P12" s="19">
        <f>D12-M12</f>
        <v>4.2978079999999999</v>
      </c>
      <c r="Q12" s="10" t="str">
        <f>IF(P12&gt;0,"Yes","No")</f>
        <v>Yes</v>
      </c>
      <c r="R12" s="51">
        <f>IF(I12&lt;&gt;I11,N12+SUMIFS(E12:E$68,Q12:Q$68,"Yes",I12:I$68,I12),"")</f>
        <v>42515</v>
      </c>
      <c r="S12" s="38">
        <f>IF(I12&lt;&gt;I11,O12+SUMIFS(F12:F$68,I12:I$68,I12,Q12:Q$68,"Yes"),"")</f>
        <v>336651.36110400001</v>
      </c>
      <c r="T12" s="39">
        <f>IF(R12&lt;&gt;"",S12/R12,"")</f>
        <v>7.9184137622956605</v>
      </c>
      <c r="V12" s="52">
        <v>398</v>
      </c>
      <c r="W12" s="11" t="s">
        <v>62</v>
      </c>
      <c r="X12" s="6">
        <v>10.64</v>
      </c>
      <c r="Y12" s="59" t="s">
        <v>159</v>
      </c>
      <c r="Z12" s="60">
        <v>508</v>
      </c>
    </row>
    <row r="13" spans="1:26" ht="15.75" thickBot="1" x14ac:dyDescent="0.3">
      <c r="A13" s="14">
        <v>424</v>
      </c>
      <c r="B13" s="17" t="s">
        <v>24</v>
      </c>
      <c r="C13" s="44">
        <f>VLOOKUP(A13,$V$6:$X$94,3)</f>
        <v>7.96</v>
      </c>
      <c r="D13" s="16">
        <f>C13*(1+$D$2)</f>
        <v>6.4571520000000007</v>
      </c>
      <c r="E13" s="23">
        <f t="shared" si="0"/>
        <v>8</v>
      </c>
      <c r="F13" s="35">
        <f>D13*E13</f>
        <v>51.657216000000005</v>
      </c>
      <c r="G13" s="13">
        <v>100</v>
      </c>
      <c r="H13" s="13"/>
      <c r="I13" s="14">
        <v>393</v>
      </c>
      <c r="J13" s="18">
        <v>0</v>
      </c>
      <c r="K13" s="15" t="str">
        <f>VLOOKUP(I13,$V$6:$W$94,2)</f>
        <v>LS 393 OH LED Open Bottom 4500-6000</v>
      </c>
      <c r="L13" s="16">
        <f>VLOOKUP(I13,$V$6:$X$94,3)+VLOOKUP(J13,$V$95:$X$100,3)</f>
        <v>7.84</v>
      </c>
      <c r="M13" s="16">
        <f>L13*(1+$D$3)</f>
        <v>5.7772959999999998</v>
      </c>
      <c r="N13" s="23" t="str">
        <f t="shared" si="1"/>
        <v/>
      </c>
      <c r="O13" s="35" t="str">
        <f t="shared" si="2"/>
        <v/>
      </c>
      <c r="P13" s="19">
        <f>D13-M13</f>
        <v>0.6798560000000009</v>
      </c>
      <c r="Q13" s="10" t="str">
        <f>IF(P13&gt;0,"Yes","No")</f>
        <v>Yes</v>
      </c>
      <c r="R13" s="51" t="str">
        <f>IF(I13&lt;&gt;I12,N13+SUMIFS(E13:E$68,Q13:Q$68,"Yes",I13:I$68,I13),"")</f>
        <v/>
      </c>
      <c r="S13" s="38" t="str">
        <f>IF(I13&lt;&gt;I12,O13+SUMIFS(F13:F$68,I13:I$68,I13,Q13:Q$68,"Yes"),"")</f>
        <v/>
      </c>
      <c r="T13" s="39" t="str">
        <f>IF(R13&lt;&gt;"",S13/R13,"")</f>
        <v/>
      </c>
      <c r="V13" s="52">
        <v>399</v>
      </c>
      <c r="W13" s="11" t="s">
        <v>63</v>
      </c>
      <c r="X13" s="6">
        <v>7.14</v>
      </c>
      <c r="Y13" s="59" t="s">
        <v>160</v>
      </c>
      <c r="Z13" s="60">
        <v>3788</v>
      </c>
    </row>
    <row r="14" spans="1:26" ht="15.75" thickBot="1" x14ac:dyDescent="0.3">
      <c r="A14" s="14">
        <v>425</v>
      </c>
      <c r="B14" s="17" t="s">
        <v>25</v>
      </c>
      <c r="C14" s="44">
        <f>VLOOKUP(A14,$V$6:$X$94,3)</f>
        <v>10.36</v>
      </c>
      <c r="D14" s="16">
        <f>C14*(1+$D$2)</f>
        <v>8.4040319999999991</v>
      </c>
      <c r="E14" s="23">
        <f t="shared" si="0"/>
        <v>1</v>
      </c>
      <c r="F14" s="35">
        <f>D14*E14</f>
        <v>8.4040319999999991</v>
      </c>
      <c r="G14" s="13">
        <v>100</v>
      </c>
      <c r="H14" s="13"/>
      <c r="I14" s="14">
        <v>393</v>
      </c>
      <c r="J14" s="18">
        <v>0</v>
      </c>
      <c r="K14" s="15" t="str">
        <f>VLOOKUP(I14,$V$6:$W$94,2)</f>
        <v>LS 393 OH LED Open Bottom 4500-6000</v>
      </c>
      <c r="L14" s="16">
        <f>VLOOKUP(I14,$V$6:$X$94,3)+VLOOKUP(J14,$V$95:$X$100,3)</f>
        <v>7.84</v>
      </c>
      <c r="M14" s="16">
        <f>L14*(1+$D$3)</f>
        <v>5.7772959999999998</v>
      </c>
      <c r="N14" s="23" t="str">
        <f t="shared" si="1"/>
        <v/>
      </c>
      <c r="O14" s="35" t="str">
        <f t="shared" si="2"/>
        <v/>
      </c>
      <c r="P14" s="19">
        <f>D14-M14</f>
        <v>2.6267359999999993</v>
      </c>
      <c r="Q14" s="10" t="str">
        <f>IF(P14&gt;0,"Yes","No")</f>
        <v>Yes</v>
      </c>
      <c r="R14" s="51" t="str">
        <f>IF(I14&lt;&gt;I13,N14+SUMIFS(E14:E$68,Q14:Q$68,"Yes",I14:I$68,I14),"")</f>
        <v/>
      </c>
      <c r="S14" s="38" t="str">
        <f>IF(I14&lt;&gt;I13,O14+SUMIFS(F14:F$68,I14:I$68,I14,Q14:Q$68,"Yes"),"")</f>
        <v/>
      </c>
      <c r="T14" s="39" t="str">
        <f>IF(R14&lt;&gt;"",S14/R14,"")</f>
        <v/>
      </c>
      <c r="V14" s="8">
        <v>401</v>
      </c>
      <c r="W14" s="48" t="s">
        <v>98</v>
      </c>
      <c r="X14" s="4">
        <v>18.45</v>
      </c>
      <c r="Y14" s="59" t="s">
        <v>161</v>
      </c>
      <c r="Z14" s="60">
        <v>768</v>
      </c>
    </row>
    <row r="15" spans="1:26" ht="15.75" thickBot="1" x14ac:dyDescent="0.3">
      <c r="A15" s="14">
        <v>426</v>
      </c>
      <c r="B15" s="17" t="s">
        <v>26</v>
      </c>
      <c r="C15" s="44">
        <f>VLOOKUP(A15,$V$6:$X$94,3)</f>
        <v>9.32</v>
      </c>
      <c r="D15" s="16">
        <f>C15*(1+$D$2)</f>
        <v>7.5603840000000009</v>
      </c>
      <c r="E15" s="23">
        <f t="shared" si="0"/>
        <v>129</v>
      </c>
      <c r="F15" s="35">
        <f>D15*E15</f>
        <v>975.28953600000011</v>
      </c>
      <c r="G15" s="13">
        <v>83</v>
      </c>
      <c r="H15" s="13"/>
      <c r="I15" s="14">
        <v>393</v>
      </c>
      <c r="J15" s="18">
        <v>0</v>
      </c>
      <c r="K15" s="15" t="str">
        <f>VLOOKUP(I15,$V$6:$W$94,2)</f>
        <v>LS 393 OH LED Open Bottom 4500-6000</v>
      </c>
      <c r="L15" s="16">
        <f>VLOOKUP(I15,$V$6:$X$94,3)+VLOOKUP(J15,$V$95:$X$100,3)</f>
        <v>7.84</v>
      </c>
      <c r="M15" s="16">
        <f>L15*(1+$D$3)</f>
        <v>5.7772959999999998</v>
      </c>
      <c r="N15" s="23" t="str">
        <f t="shared" si="1"/>
        <v/>
      </c>
      <c r="O15" s="35" t="str">
        <f t="shared" si="2"/>
        <v/>
      </c>
      <c r="P15" s="19">
        <f>D15-M15</f>
        <v>1.7830880000000011</v>
      </c>
      <c r="Q15" s="10" t="str">
        <f>IF(P15&gt;0,"Yes","No")</f>
        <v>Yes</v>
      </c>
      <c r="R15" s="51" t="str">
        <f>IF(I15&lt;&gt;I14,N15+SUMIFS(E15:E$68,Q15:Q$68,"Yes",I15:I$68,I15),"")</f>
        <v/>
      </c>
      <c r="S15" s="38" t="str">
        <f>IF(I15&lt;&gt;I14,O15+SUMIFS(F15:F$68,I15:I$68,I15,Q15:Q$68,"Yes"),"")</f>
        <v/>
      </c>
      <c r="T15" s="39" t="str">
        <f>IF(R15&lt;&gt;"",S15/R15,"")</f>
        <v/>
      </c>
      <c r="V15" s="8">
        <v>404</v>
      </c>
      <c r="W15" s="48" t="s">
        <v>17</v>
      </c>
      <c r="X15" s="4">
        <v>12.42</v>
      </c>
      <c r="Y15" s="59" t="s">
        <v>162</v>
      </c>
      <c r="Z15" s="60">
        <v>59616</v>
      </c>
    </row>
    <row r="16" spans="1:26" ht="15.75" thickBot="1" x14ac:dyDescent="0.3">
      <c r="A16" s="14">
        <v>428</v>
      </c>
      <c r="B16" s="17" t="s">
        <v>95</v>
      </c>
      <c r="C16" s="44">
        <f>VLOOKUP(A16,$V$6:$X$94,3)</f>
        <v>9.5</v>
      </c>
      <c r="D16" s="16">
        <f>C16*(1+$D$2)</f>
        <v>7.7064000000000004</v>
      </c>
      <c r="E16" s="23">
        <f t="shared" si="0"/>
        <v>35996</v>
      </c>
      <c r="F16" s="35">
        <f>D16*E16</f>
        <v>277399.57440000004</v>
      </c>
      <c r="G16" s="13">
        <v>117</v>
      </c>
      <c r="H16" s="13"/>
      <c r="I16" s="14">
        <v>393</v>
      </c>
      <c r="J16" s="18">
        <v>0</v>
      </c>
      <c r="K16" s="15" t="str">
        <f>VLOOKUP(I16,$V$6:$W$94,2)</f>
        <v>LS 393 OH LED Open Bottom 4500-6000</v>
      </c>
      <c r="L16" s="16">
        <f>VLOOKUP(I16,$V$6:$X$94,3)+VLOOKUP(J16,$V$95:$X$100,3)</f>
        <v>7.84</v>
      </c>
      <c r="M16" s="16">
        <f>L16*(1+$D$3)</f>
        <v>5.7772959999999998</v>
      </c>
      <c r="N16" s="23" t="str">
        <f t="shared" si="1"/>
        <v/>
      </c>
      <c r="O16" s="35" t="str">
        <f t="shared" si="2"/>
        <v/>
      </c>
      <c r="P16" s="19">
        <f>D16-M16</f>
        <v>1.9291040000000006</v>
      </c>
      <c r="Q16" s="10" t="str">
        <f>IF(P16&gt;0,"Yes","No")</f>
        <v>Yes</v>
      </c>
      <c r="R16" s="51" t="str">
        <f>IF(I16&lt;&gt;I15,N16+SUMIFS(E16:E$68,Q16:Q$68,"Yes",I16:I$68,I16),"")</f>
        <v/>
      </c>
      <c r="S16" s="38" t="str">
        <f>IF(I16&lt;&gt;I15,O16+SUMIFS(F16:F$68,I16:I$68,I16,Q16:Q$68,"Yes"),"")</f>
        <v/>
      </c>
      <c r="T16" s="39" t="str">
        <f>IF(R16&lt;&gt;"",S16/R16,"")</f>
        <v/>
      </c>
      <c r="V16" s="8">
        <v>409</v>
      </c>
      <c r="W16" s="48" t="s">
        <v>18</v>
      </c>
      <c r="X16" s="4">
        <v>14.84</v>
      </c>
      <c r="Y16" s="59" t="s">
        <v>163</v>
      </c>
      <c r="Z16" s="60">
        <v>1284</v>
      </c>
    </row>
    <row r="17" spans="1:26" ht="15.75" thickBot="1" x14ac:dyDescent="0.3">
      <c r="A17" s="14">
        <v>421</v>
      </c>
      <c r="B17" s="17" t="s">
        <v>22</v>
      </c>
      <c r="C17" s="44">
        <f>VLOOKUP(A17,$V$6:$X$94,3)</f>
        <v>4.03</v>
      </c>
      <c r="D17" s="16">
        <f>C17*(1+$D$2)</f>
        <v>3.2691360000000005</v>
      </c>
      <c r="E17" s="23">
        <f t="shared" si="0"/>
        <v>9</v>
      </c>
      <c r="F17" s="35">
        <f>D17*E17</f>
        <v>29.422224000000003</v>
      </c>
      <c r="G17" s="13">
        <v>100</v>
      </c>
      <c r="H17" s="13"/>
      <c r="I17" s="14">
        <v>393</v>
      </c>
      <c r="J17" s="18">
        <v>0</v>
      </c>
      <c r="K17" s="15" t="str">
        <f>VLOOKUP(I17,$V$6:$W$94,2)</f>
        <v>LS 393 OH LED Open Bottom 4500-6000</v>
      </c>
      <c r="L17" s="16">
        <f>VLOOKUP(I17,$V$6:$X$94,3)+VLOOKUP(J17,$V$95:$X$100,3)</f>
        <v>7.84</v>
      </c>
      <c r="M17" s="16">
        <f>L17*(1+$D$3)</f>
        <v>5.7772959999999998</v>
      </c>
      <c r="N17" s="23" t="str">
        <f t="shared" si="1"/>
        <v/>
      </c>
      <c r="O17" s="35" t="str">
        <f t="shared" si="2"/>
        <v/>
      </c>
      <c r="P17" s="19">
        <f>D17-M17</f>
        <v>-2.5081599999999993</v>
      </c>
      <c r="Q17" s="10" t="str">
        <f>IF(P17&gt;0,"Yes","No")</f>
        <v>No</v>
      </c>
      <c r="R17" s="51" t="str">
        <f>IF(I17&lt;&gt;I16,N17+SUMIFS(E17:E$68,Q17:Q$68,"Yes",I17:I$68,I17),"")</f>
        <v/>
      </c>
      <c r="S17" s="38" t="str">
        <f>IF(I17&lt;&gt;I16,O17+SUMIFS(F17:F$68,I17:I$68,I17,Q17:Q$68,"Yes"),"")</f>
        <v/>
      </c>
      <c r="T17" s="39" t="str">
        <f>IF(R17&lt;&gt;"",S17/R17,"")</f>
        <v/>
      </c>
      <c r="V17" s="8">
        <v>410</v>
      </c>
      <c r="W17" s="48" t="s">
        <v>19</v>
      </c>
      <c r="X17" s="4">
        <v>24.69</v>
      </c>
      <c r="Y17" s="59" t="s">
        <v>164</v>
      </c>
      <c r="Z17" s="60">
        <v>2856</v>
      </c>
    </row>
    <row r="18" spans="1:26" ht="15.75" thickBot="1" x14ac:dyDescent="0.3">
      <c r="A18" s="14">
        <v>422</v>
      </c>
      <c r="B18" s="17" t="s">
        <v>23</v>
      </c>
      <c r="C18" s="44">
        <f>VLOOKUP(A18,$V$6:$X$94,3)</f>
        <v>5.22</v>
      </c>
      <c r="D18" s="16">
        <f>C18*(1+$D$2)</f>
        <v>4.234464</v>
      </c>
      <c r="E18" s="23">
        <f t="shared" si="0"/>
        <v>75</v>
      </c>
      <c r="F18" s="35">
        <f>D18*E18</f>
        <v>317.58479999999997</v>
      </c>
      <c r="G18" s="13">
        <v>100</v>
      </c>
      <c r="H18" s="13"/>
      <c r="I18" s="14">
        <v>393</v>
      </c>
      <c r="J18" s="18">
        <v>0</v>
      </c>
      <c r="K18" s="15" t="str">
        <f>VLOOKUP(I18,$V$6:$W$94,2)</f>
        <v>LS 393 OH LED Open Bottom 4500-6000</v>
      </c>
      <c r="L18" s="16">
        <f>VLOOKUP(I18,$V$6:$X$94,3)+VLOOKUP(J18,$V$95:$X$100,3)</f>
        <v>7.84</v>
      </c>
      <c r="M18" s="16">
        <f>L18*(1+$D$3)</f>
        <v>5.7772959999999998</v>
      </c>
      <c r="N18" s="23" t="str">
        <f t="shared" si="1"/>
        <v/>
      </c>
      <c r="O18" s="35" t="str">
        <f t="shared" si="2"/>
        <v/>
      </c>
      <c r="P18" s="19">
        <f>D18-M18</f>
        <v>-1.5428319999999998</v>
      </c>
      <c r="Q18" s="10" t="str">
        <f>IF(P18&gt;0,"Yes","No")</f>
        <v>No</v>
      </c>
      <c r="R18" s="51" t="str">
        <f>IF(I18&lt;&gt;I17,N18+SUMIFS(E18:E$68,Q18:Q$68,"Yes",I18:I$68,I18),"")</f>
        <v/>
      </c>
      <c r="S18" s="38" t="str">
        <f>IF(I18&lt;&gt;I17,O18+SUMIFS(F18:F$68,I18:I$68,I18,Q18:Q$68,"Yes"),"")</f>
        <v/>
      </c>
      <c r="T18" s="39" t="str">
        <f>IF(R18&lt;&gt;"",S18/R18,"")</f>
        <v/>
      </c>
      <c r="V18" s="8">
        <v>411</v>
      </c>
      <c r="W18" s="48" t="s">
        <v>99</v>
      </c>
      <c r="X18" s="4">
        <v>26.21</v>
      </c>
      <c r="Y18" s="59" t="s">
        <v>165</v>
      </c>
      <c r="Z18" s="60">
        <v>1368</v>
      </c>
    </row>
    <row r="19" spans="1:26" ht="15.75" thickBot="1" x14ac:dyDescent="0.3">
      <c r="A19" s="14">
        <v>457</v>
      </c>
      <c r="B19" s="17" t="s">
        <v>36</v>
      </c>
      <c r="C19" s="44">
        <f>VLOOKUP(A19,$V$6:$X$94,3)</f>
        <v>15.87</v>
      </c>
      <c r="D19" s="16">
        <f>C19*(1+$D$2)</f>
        <v>12.873744</v>
      </c>
      <c r="E19" s="23">
        <f t="shared" si="0"/>
        <v>309</v>
      </c>
      <c r="F19" s="35">
        <f>D19*E19</f>
        <v>3977.9868959999999</v>
      </c>
      <c r="G19" s="13">
        <v>294</v>
      </c>
      <c r="H19" s="13"/>
      <c r="I19" s="14">
        <v>396</v>
      </c>
      <c r="J19" s="18" t="s">
        <v>76</v>
      </c>
      <c r="K19" s="15" t="str">
        <f>VLOOKUP(I19,$V$6:$W$94,2)</f>
        <v>LS 396 UG LED Cobra 6000-8200</v>
      </c>
      <c r="L19" s="16">
        <f>VLOOKUP(I19,$V$6:$X$94,3)+VLOOKUP(J19,$V$95:$X$100,3)</f>
        <v>18.119999999999997</v>
      </c>
      <c r="M19" s="16">
        <f>L19*(1+$D$3)</f>
        <v>13.352627999999997</v>
      </c>
      <c r="N19" s="23">
        <f t="shared" si="1"/>
        <v>123.5</v>
      </c>
      <c r="O19" s="35">
        <f t="shared" si="2"/>
        <v>1649.0495579999997</v>
      </c>
      <c r="P19" s="19">
        <f>D19-M19</f>
        <v>-0.4788839999999972</v>
      </c>
      <c r="Q19" s="10" t="str">
        <f>IF(P19&gt;0,"Yes","No")</f>
        <v>No</v>
      </c>
      <c r="R19" s="51">
        <f>IF(I19&lt;&gt;I18,N19+SUMIFS(E19:E$68,Q19:Q$68,"Yes",I19:I$68,I19),"")</f>
        <v>123.5</v>
      </c>
      <c r="S19" s="38">
        <f>IF(I19&lt;&gt;I18,O19+SUMIFS(F19:F$68,I19:I$68,I19,Q19:Q$68,"Yes"),"")</f>
        <v>1649.0495579999997</v>
      </c>
      <c r="T19" s="39">
        <f>IF(R19&lt;&gt;"",S19/R19,"")</f>
        <v>13.352627999999997</v>
      </c>
      <c r="V19" s="8">
        <v>412</v>
      </c>
      <c r="W19" s="48" t="s">
        <v>20</v>
      </c>
      <c r="X19" s="4">
        <v>36.299999999999997</v>
      </c>
      <c r="Y19" s="59" t="s">
        <v>166</v>
      </c>
      <c r="Z19" s="60">
        <v>348</v>
      </c>
    </row>
    <row r="20" spans="1:26" ht="15.75" thickBot="1" x14ac:dyDescent="0.3">
      <c r="A20" s="14">
        <v>473</v>
      </c>
      <c r="B20" s="17" t="s">
        <v>92</v>
      </c>
      <c r="C20" s="44">
        <f>VLOOKUP(A20,$V$6:$X$94,3)</f>
        <v>15.16</v>
      </c>
      <c r="D20" s="16">
        <f>C20*(1+$D$2)</f>
        <v>12.297792000000001</v>
      </c>
      <c r="E20" s="23">
        <f t="shared" si="0"/>
        <v>3471.5</v>
      </c>
      <c r="F20" s="35">
        <f>D20*E20</f>
        <v>42691.784928000001</v>
      </c>
      <c r="G20" s="13">
        <v>117</v>
      </c>
      <c r="H20" s="13"/>
      <c r="I20" s="14">
        <v>396</v>
      </c>
      <c r="J20" s="18" t="s">
        <v>76</v>
      </c>
      <c r="K20" s="15" t="str">
        <f>VLOOKUP(I20,$V$6:$W$94,2)</f>
        <v>LS 396 UG LED Cobra 6000-8200</v>
      </c>
      <c r="L20" s="16">
        <f>VLOOKUP(I20,$V$6:$X$94,3)+VLOOKUP(J20,$V$95:$X$100,3)</f>
        <v>18.119999999999997</v>
      </c>
      <c r="M20" s="16">
        <f>L20*(1+$D$3)</f>
        <v>13.352627999999997</v>
      </c>
      <c r="N20" s="23" t="str">
        <f t="shared" si="1"/>
        <v/>
      </c>
      <c r="O20" s="35" t="str">
        <f t="shared" si="2"/>
        <v/>
      </c>
      <c r="P20" s="19">
        <f>D20-M20</f>
        <v>-1.0548359999999963</v>
      </c>
      <c r="Q20" s="10" t="str">
        <f>IF(P20&gt;0,"Yes","No")</f>
        <v>No</v>
      </c>
      <c r="R20" s="51" t="str">
        <f>IF(I20&lt;&gt;I19,N20+SUMIFS(E20:E$68,Q20:Q$68,"Yes",I20:I$68,I20),"")</f>
        <v/>
      </c>
      <c r="S20" s="38" t="str">
        <f>IF(I20&lt;&gt;I19,O20+SUMIFS(F20:F$68,I20:I$68,I20,Q20:Q$68,"Yes"),"")</f>
        <v/>
      </c>
      <c r="T20" s="39" t="str">
        <f>IF(R20&lt;&gt;"",S20/R20,"")</f>
        <v/>
      </c>
      <c r="V20" s="8">
        <v>413</v>
      </c>
      <c r="W20" s="48" t="s">
        <v>21</v>
      </c>
      <c r="X20" s="4">
        <v>36.49</v>
      </c>
      <c r="Y20" s="59" t="s">
        <v>167</v>
      </c>
      <c r="Z20" s="60">
        <v>1176</v>
      </c>
    </row>
    <row r="21" spans="1:26" ht="15.75" thickBot="1" x14ac:dyDescent="0.3">
      <c r="A21" s="14">
        <v>474</v>
      </c>
      <c r="B21" s="17" t="s">
        <v>93</v>
      </c>
      <c r="C21" s="44">
        <f>VLOOKUP(A21,$V$6:$X$94,3)</f>
        <v>21.55</v>
      </c>
      <c r="D21" s="16">
        <f>C21*(1+$D$2)</f>
        <v>17.481360000000002</v>
      </c>
      <c r="E21" s="23">
        <f t="shared" si="0"/>
        <v>5196.166666666667</v>
      </c>
      <c r="F21" s="35">
        <f>D21*E21</f>
        <v>90836.060120000024</v>
      </c>
      <c r="G21" s="13">
        <v>242</v>
      </c>
      <c r="H21" s="13"/>
      <c r="I21" s="14">
        <v>397</v>
      </c>
      <c r="J21" s="18" t="s">
        <v>76</v>
      </c>
      <c r="K21" s="15" t="str">
        <f>VLOOKUP(I21,$V$6:$W$94,2)</f>
        <v>LS 397 UG LED Cobra 13000-16500</v>
      </c>
      <c r="L21" s="16">
        <f>VLOOKUP(I21,$V$6:$X$94,3)+VLOOKUP(J21,$V$95:$X$100,3)</f>
        <v>20.100000000000001</v>
      </c>
      <c r="M21" s="16">
        <f>L21*(1+$D$3)</f>
        <v>14.81169</v>
      </c>
      <c r="N21" s="23">
        <f t="shared" si="1"/>
        <v>759.83333333333337</v>
      </c>
      <c r="O21" s="35">
        <f t="shared" si="2"/>
        <v>11254.415785000001</v>
      </c>
      <c r="P21" s="19">
        <f>D21-M21</f>
        <v>2.6696700000000018</v>
      </c>
      <c r="Q21" s="10" t="str">
        <f>IF(P21&gt;0,"Yes","No")</f>
        <v>Yes</v>
      </c>
      <c r="R21" s="51">
        <f>IF(I21&lt;&gt;I20,N21+SUMIFS(E21:E$68,Q21:Q$68,"Yes",I21:I$68,I21),"")</f>
        <v>5956</v>
      </c>
      <c r="S21" s="38">
        <f>IF(I21&lt;&gt;I20,O21+SUMIFS(F21:F$68,I21:I$68,I21,Q21:Q$68,"Yes"),"")</f>
        <v>102090.47590500003</v>
      </c>
      <c r="T21" s="39">
        <f>IF(R21&lt;&gt;"",S21/R21,"")</f>
        <v>17.140778358797856</v>
      </c>
      <c r="V21" s="8">
        <v>414</v>
      </c>
      <c r="W21" s="48" t="s">
        <v>116</v>
      </c>
      <c r="X21" s="4">
        <v>36.31</v>
      </c>
      <c r="Y21" s="59" t="s">
        <v>168</v>
      </c>
      <c r="Z21" s="60">
        <v>156</v>
      </c>
    </row>
    <row r="22" spans="1:26" ht="15.75" thickBot="1" x14ac:dyDescent="0.3">
      <c r="A22" s="14">
        <v>458</v>
      </c>
      <c r="B22" s="17" t="s">
        <v>37</v>
      </c>
      <c r="C22" s="44">
        <f>VLOOKUP(A22,$V$6:$X$94,3)</f>
        <v>17.760000000000002</v>
      </c>
      <c r="D22" s="16">
        <f>C22*(1+$D$2)</f>
        <v>14.406912000000002</v>
      </c>
      <c r="E22" s="23">
        <f t="shared" si="0"/>
        <v>911</v>
      </c>
      <c r="F22" s="35">
        <f>D22*E22</f>
        <v>13124.696832000001</v>
      </c>
      <c r="G22" s="13">
        <v>453</v>
      </c>
      <c r="H22" s="13"/>
      <c r="I22" s="14">
        <v>397</v>
      </c>
      <c r="J22" s="18" t="s">
        <v>76</v>
      </c>
      <c r="K22" s="15" t="str">
        <f>VLOOKUP(I22,$V$6:$W$94,2)</f>
        <v>LS 397 UG LED Cobra 13000-16500</v>
      </c>
      <c r="L22" s="16">
        <f>VLOOKUP(I22,$V$6:$X$94,3)+VLOOKUP(J22,$V$95:$X$100,3)</f>
        <v>20.100000000000001</v>
      </c>
      <c r="M22" s="16">
        <f>L22*(1+$D$3)</f>
        <v>14.81169</v>
      </c>
      <c r="N22" s="23" t="str">
        <f t="shared" si="1"/>
        <v/>
      </c>
      <c r="O22" s="35" t="str">
        <f t="shared" si="2"/>
        <v/>
      </c>
      <c r="P22" s="19">
        <f>D22-M22</f>
        <v>-0.40477799999999853</v>
      </c>
      <c r="Q22" s="10" t="str">
        <f>IF(P22&gt;0,"Yes","No")</f>
        <v>No</v>
      </c>
      <c r="R22" s="51" t="str">
        <f>IF(I22&lt;&gt;I21,N22+SUMIFS(E22:E$68,Q22:Q$68,"Yes",I22:I$68,I22),"")</f>
        <v/>
      </c>
      <c r="S22" s="38" t="str">
        <f>IF(I22&lt;&gt;I21,O22+SUMIFS(F22:F$68,I22:I$68,I22,Q22:Q$68,"Yes"),"")</f>
        <v/>
      </c>
      <c r="T22" s="39" t="str">
        <f>IF(R22&lt;&gt;"",S22/R22,"")</f>
        <v/>
      </c>
      <c r="V22" s="8">
        <v>415</v>
      </c>
      <c r="W22" s="48" t="s">
        <v>117</v>
      </c>
      <c r="X22" s="4">
        <v>36.479999999999997</v>
      </c>
      <c r="Y22" s="59" t="s">
        <v>169</v>
      </c>
      <c r="Z22" s="60">
        <v>288</v>
      </c>
    </row>
    <row r="23" spans="1:26" ht="15.75" thickBot="1" x14ac:dyDescent="0.3">
      <c r="A23" s="14">
        <v>475</v>
      </c>
      <c r="B23" s="17" t="s">
        <v>94</v>
      </c>
      <c r="C23" s="44">
        <f>VLOOKUP(A23,$V$6:$X$94,3)</f>
        <v>29.97</v>
      </c>
      <c r="D23" s="16">
        <f>C23*(1+$D$2)</f>
        <v>24.311664</v>
      </c>
      <c r="E23" s="23">
        <f t="shared" si="0"/>
        <v>577.66666666666663</v>
      </c>
      <c r="F23" s="35">
        <f>D23*E23</f>
        <v>14044.037903999999</v>
      </c>
      <c r="G23" s="13">
        <v>471</v>
      </c>
      <c r="H23" s="13"/>
      <c r="I23" s="14">
        <v>398</v>
      </c>
      <c r="J23" s="18" t="s">
        <v>76</v>
      </c>
      <c r="K23" s="15" t="str">
        <f>VLOOKUP(I23,$V$6:$W$94,2)</f>
        <v>LS 398 UG LED Cobra 22000-29000</v>
      </c>
      <c r="L23" s="16">
        <f>VLOOKUP(I23,$V$6:$X$94,3)+VLOOKUP(J23,$V$95:$X$100,3)</f>
        <v>23.41</v>
      </c>
      <c r="M23" s="16">
        <f>L23*(1+$D$3)</f>
        <v>17.250829</v>
      </c>
      <c r="N23" s="23">
        <f t="shared" si="1"/>
        <v>42.333333333333336</v>
      </c>
      <c r="O23" s="35">
        <f t="shared" si="2"/>
        <v>730.2850943333334</v>
      </c>
      <c r="P23" s="19">
        <f>D23-M23</f>
        <v>7.0608350000000009</v>
      </c>
      <c r="Q23" s="10" t="str">
        <f>IF(P23&gt;0,"Yes","No")</f>
        <v>Yes</v>
      </c>
      <c r="R23" s="51">
        <f>IF(I23&lt;&gt;I22,N23+SUMIFS(E23:E$68,Q23:Q$68,"Yes",I23:I$68,I23),"")</f>
        <v>620</v>
      </c>
      <c r="S23" s="38">
        <f>IF(I23&lt;&gt;I22,O23+SUMIFS(F23:F$68,I23:I$68,I23,Q23:Q$68,"Yes"),"")</f>
        <v>14774.322998333333</v>
      </c>
      <c r="T23" s="39">
        <f>IF(R23&lt;&gt;"",S23/R23,"")</f>
        <v>23.829553223118278</v>
      </c>
      <c r="V23" s="8">
        <v>420</v>
      </c>
      <c r="W23" s="48" t="s">
        <v>100</v>
      </c>
      <c r="X23" s="4">
        <v>18.78</v>
      </c>
      <c r="Y23" s="59" t="s">
        <v>170</v>
      </c>
      <c r="Z23" s="60">
        <v>6312</v>
      </c>
    </row>
    <row r="24" spans="1:26" ht="15.75" thickBot="1" x14ac:dyDescent="0.3">
      <c r="A24" s="14">
        <v>412</v>
      </c>
      <c r="B24" s="17" t="s">
        <v>20</v>
      </c>
      <c r="C24" s="44">
        <f>VLOOKUP(A24,$V$6:$X$94,3)</f>
        <v>36.299999999999997</v>
      </c>
      <c r="D24" s="16">
        <f>C24*(1+$D$2)</f>
        <v>29.446559999999998</v>
      </c>
      <c r="E24" s="23">
        <f t="shared" si="0"/>
        <v>29</v>
      </c>
      <c r="F24" s="35">
        <f>D24*E24</f>
        <v>853.95023999999989</v>
      </c>
      <c r="G24" s="13">
        <v>83</v>
      </c>
      <c r="H24" s="13"/>
      <c r="I24" s="14">
        <v>399</v>
      </c>
      <c r="J24" s="18" t="s">
        <v>78</v>
      </c>
      <c r="K24" s="15" t="str">
        <f>VLOOKUP(I24,$V$6:$W$94,2)</f>
        <v>LS 399 UG LED Colonial 4000-7000</v>
      </c>
      <c r="L24" s="16">
        <f>VLOOKUP(I24,$V$6:$X$94,3)+VLOOKUP(J24,$V$95:$X$100,3)</f>
        <v>18.95</v>
      </c>
      <c r="M24" s="16">
        <f>L24*(1+$D$3)</f>
        <v>13.964255</v>
      </c>
      <c r="N24" s="23">
        <f t="shared" si="1"/>
        <v>315.66666666666669</v>
      </c>
      <c r="O24" s="35">
        <f t="shared" si="2"/>
        <v>4408.0498283333336</v>
      </c>
      <c r="P24" s="19">
        <f>D24-M24</f>
        <v>15.482304999999998</v>
      </c>
      <c r="Q24" s="10" t="str">
        <f>IF(P24&gt;0,"Yes","No")</f>
        <v>Yes</v>
      </c>
      <c r="R24" s="51">
        <f>IF(I24&lt;&gt;I23,N24+SUMIFS(E24:E$68,Q24:Q$68,"Yes",I24:I$68,I24),"")</f>
        <v>442.66666666666669</v>
      </c>
      <c r="S24" s="38">
        <f>IF(I24&lt;&gt;I23,O24+SUMIFS(F24:F$68,I24:I$68,I24,Q24:Q$68,"Yes"),"")</f>
        <v>8162.8674923333338</v>
      </c>
      <c r="T24" s="39">
        <f>IF(R24&lt;&gt;"",S24/R24,"")</f>
        <v>18.440212708584337</v>
      </c>
      <c r="V24" s="8">
        <v>421</v>
      </c>
      <c r="W24" s="48" t="s">
        <v>22</v>
      </c>
      <c r="X24" s="4">
        <v>4.03</v>
      </c>
      <c r="Y24" s="59" t="s">
        <v>171</v>
      </c>
      <c r="Z24" s="60">
        <v>108</v>
      </c>
    </row>
    <row r="25" spans="1:26" ht="15.75" thickBot="1" x14ac:dyDescent="0.3">
      <c r="A25" s="14">
        <v>413</v>
      </c>
      <c r="B25" s="17" t="s">
        <v>21</v>
      </c>
      <c r="C25" s="44">
        <f>VLOOKUP(A25,$V$6:$X$94,3)</f>
        <v>36.49</v>
      </c>
      <c r="D25" s="16">
        <f>C25*(1+$D$2)</f>
        <v>29.600688000000002</v>
      </c>
      <c r="E25" s="23">
        <f t="shared" si="0"/>
        <v>98</v>
      </c>
      <c r="F25" s="35">
        <f>D25*E25</f>
        <v>2900.867424</v>
      </c>
      <c r="G25" s="13">
        <v>117</v>
      </c>
      <c r="H25" s="13"/>
      <c r="I25" s="14">
        <v>399</v>
      </c>
      <c r="J25" s="18" t="s">
        <v>78</v>
      </c>
      <c r="K25" s="15" t="str">
        <f>VLOOKUP(I25,$V$6:$W$94,2)</f>
        <v>LS 399 UG LED Colonial 4000-7000</v>
      </c>
      <c r="L25" s="16">
        <f>VLOOKUP(I25,$V$6:$X$94,3)+VLOOKUP(J25,$V$95:$X$100,3)</f>
        <v>18.95</v>
      </c>
      <c r="M25" s="16">
        <f>L25*(1+$D$3)</f>
        <v>13.964255</v>
      </c>
      <c r="N25" s="23" t="str">
        <f t="shared" si="1"/>
        <v/>
      </c>
      <c r="O25" s="35" t="str">
        <f t="shared" si="2"/>
        <v/>
      </c>
      <c r="P25" s="19">
        <f>D25-M25</f>
        <v>15.636433000000002</v>
      </c>
      <c r="Q25" s="10" t="str">
        <f>IF(P25&gt;0,"Yes","No")</f>
        <v>Yes</v>
      </c>
      <c r="R25" s="51" t="str">
        <f>IF(I25&lt;&gt;I24,N25+SUMIFS(E25:E$68,Q25:Q$68,"Yes",I25:I$68,I25),"")</f>
        <v/>
      </c>
      <c r="S25" s="38" t="str">
        <f>IF(I25&lt;&gt;I24,O25+SUMIFS(F25:F$68,I25:I$68,I25,Q25:Q$68,"Yes"),"")</f>
        <v/>
      </c>
      <c r="T25" s="39" t="str">
        <f>IF(R25&lt;&gt;"",S25/R25,"")</f>
        <v/>
      </c>
      <c r="V25" s="8">
        <v>422</v>
      </c>
      <c r="W25" s="48" t="s">
        <v>23</v>
      </c>
      <c r="X25" s="4">
        <v>5.22</v>
      </c>
      <c r="Y25" s="59" t="s">
        <v>172</v>
      </c>
      <c r="Z25" s="60">
        <v>900</v>
      </c>
    </row>
    <row r="26" spans="1:26" ht="15.75" thickBot="1" x14ac:dyDescent="0.3">
      <c r="A26" s="14">
        <v>466</v>
      </c>
      <c r="B26" s="17" t="s">
        <v>41</v>
      </c>
      <c r="C26" s="44">
        <f>VLOOKUP(A26,$V$6:$X$94,3)</f>
        <v>12.06</v>
      </c>
      <c r="D26" s="16">
        <f>C26*(1+$D$2)</f>
        <v>9.7830720000000007</v>
      </c>
      <c r="E26" s="23">
        <f t="shared" si="0"/>
        <v>787</v>
      </c>
      <c r="F26" s="35">
        <f>D26*E26</f>
        <v>7699.2776640000002</v>
      </c>
      <c r="G26" s="13">
        <v>60</v>
      </c>
      <c r="H26" s="13"/>
      <c r="I26" s="14">
        <v>399</v>
      </c>
      <c r="J26" s="18" t="s">
        <v>78</v>
      </c>
      <c r="K26" s="15" t="str">
        <f>VLOOKUP(I26,$V$6:$W$94,2)</f>
        <v>LS 399 UG LED Colonial 4000-7000</v>
      </c>
      <c r="L26" s="16">
        <f>VLOOKUP(I26,$V$6:$X$94,3)+VLOOKUP(J26,$V$95:$X$100,3)</f>
        <v>18.95</v>
      </c>
      <c r="M26" s="16">
        <f>L26*(1+$D$3)</f>
        <v>13.964255</v>
      </c>
      <c r="N26" s="23" t="str">
        <f t="shared" si="1"/>
        <v/>
      </c>
      <c r="O26" s="35" t="str">
        <f t="shared" si="2"/>
        <v/>
      </c>
      <c r="P26" s="19">
        <f>D26-M26</f>
        <v>-4.181182999999999</v>
      </c>
      <c r="Q26" s="10" t="str">
        <f>IF(P26&gt;0,"Yes","No")</f>
        <v>No</v>
      </c>
      <c r="R26" s="51" t="str">
        <f>IF(I26&lt;&gt;I25,N26+SUMIFS(E26:E$68,Q26:Q$68,"Yes",I26:I$68,I26),"")</f>
        <v/>
      </c>
      <c r="S26" s="38" t="str">
        <f>IF(I26&lt;&gt;I25,O26+SUMIFS(F26:F$68,I26:I$68,I26,Q26:Q$68,"Yes"),"")</f>
        <v/>
      </c>
      <c r="T26" s="39" t="str">
        <f>IF(R26&lt;&gt;"",S26/R26,"")</f>
        <v/>
      </c>
      <c r="V26" s="8">
        <v>424</v>
      </c>
      <c r="W26" s="48" t="s">
        <v>24</v>
      </c>
      <c r="X26" s="4">
        <v>7.96</v>
      </c>
      <c r="Y26" s="59" t="s">
        <v>173</v>
      </c>
      <c r="Z26" s="60">
        <v>96</v>
      </c>
    </row>
    <row r="27" spans="1:26" ht="15.75" thickBot="1" x14ac:dyDescent="0.3">
      <c r="A27" s="14">
        <v>467</v>
      </c>
      <c r="B27" s="17" t="s">
        <v>96</v>
      </c>
      <c r="C27" s="44">
        <f>VLOOKUP(A27,$V$6:$X$94,3)</f>
        <v>13.61</v>
      </c>
      <c r="D27" s="16">
        <f>C27*(1+$D$2)</f>
        <v>11.040431999999999</v>
      </c>
      <c r="E27" s="23">
        <f t="shared" si="0"/>
        <v>1555.3333333333333</v>
      </c>
      <c r="F27" s="35">
        <f>D27*E27</f>
        <v>17171.551903999996</v>
      </c>
      <c r="G27" s="13">
        <v>83</v>
      </c>
      <c r="H27" s="13"/>
      <c r="I27" s="14">
        <v>399</v>
      </c>
      <c r="J27" s="18" t="s">
        <v>78</v>
      </c>
      <c r="K27" s="15" t="str">
        <f>VLOOKUP(I27,$V$6:$W$94,2)</f>
        <v>LS 399 UG LED Colonial 4000-7000</v>
      </c>
      <c r="L27" s="16">
        <f>VLOOKUP(I27,$V$6:$X$94,3)+VLOOKUP(J27,$V$95:$X$100,3)</f>
        <v>18.95</v>
      </c>
      <c r="M27" s="16">
        <f>L27*(1+$D$3)</f>
        <v>13.964255</v>
      </c>
      <c r="N27" s="23" t="str">
        <f t="shared" si="1"/>
        <v/>
      </c>
      <c r="O27" s="35" t="str">
        <f t="shared" si="2"/>
        <v/>
      </c>
      <c r="P27" s="19">
        <f>D27-M27</f>
        <v>-2.9238230000000005</v>
      </c>
      <c r="Q27" s="10" t="str">
        <f>IF(P27&gt;0,"Yes","No")</f>
        <v>No</v>
      </c>
      <c r="R27" s="51" t="str">
        <f>IF(I27&lt;&gt;I26,N27+SUMIFS(E27:E$68,Q27:Q$68,"Yes",I27:I$68,I27),"")</f>
        <v/>
      </c>
      <c r="S27" s="38" t="str">
        <f>IF(I27&lt;&gt;I26,O27+SUMIFS(F27:F$68,I27:I$68,I27,Q27:Q$68,"Yes"),"")</f>
        <v/>
      </c>
      <c r="T27" s="39" t="str">
        <f>IF(R27&lt;&gt;"",S27/R27,"")</f>
        <v/>
      </c>
      <c r="V27" s="8">
        <v>425</v>
      </c>
      <c r="W27" s="48" t="s">
        <v>25</v>
      </c>
      <c r="X27" s="4">
        <v>10.36</v>
      </c>
      <c r="Y27" s="59" t="s">
        <v>174</v>
      </c>
      <c r="Z27" s="60">
        <v>12</v>
      </c>
    </row>
    <row r="28" spans="1:26" ht="15.75" thickBot="1" x14ac:dyDescent="0.3">
      <c r="A28" s="14">
        <v>468</v>
      </c>
      <c r="B28" s="17" t="s">
        <v>97</v>
      </c>
      <c r="C28" s="44">
        <f>VLOOKUP(A28,$V$6:$X$94,3)</f>
        <v>13.8</v>
      </c>
      <c r="D28" s="16">
        <f>C28*(1+$D$2)</f>
        <v>11.194560000000001</v>
      </c>
      <c r="E28" s="23">
        <f t="shared" si="0"/>
        <v>4577</v>
      </c>
      <c r="F28" s="35">
        <f>D28*E28</f>
        <v>51237.501120000001</v>
      </c>
      <c r="G28" s="13">
        <v>117</v>
      </c>
      <c r="H28" s="13"/>
      <c r="I28" s="14">
        <v>399</v>
      </c>
      <c r="J28" s="18" t="s">
        <v>78</v>
      </c>
      <c r="K28" s="15" t="str">
        <f>VLOOKUP(I28,$V$6:$W$94,2)</f>
        <v>LS 399 UG LED Colonial 4000-7000</v>
      </c>
      <c r="L28" s="16">
        <f>VLOOKUP(I28,$V$6:$X$94,3)+VLOOKUP(J28,$V$95:$X$100,3)</f>
        <v>18.95</v>
      </c>
      <c r="M28" s="16">
        <f>L28*(1+$D$3)</f>
        <v>13.964255</v>
      </c>
      <c r="N28" s="23" t="str">
        <f t="shared" si="1"/>
        <v/>
      </c>
      <c r="O28" s="35" t="str">
        <f t="shared" si="2"/>
        <v/>
      </c>
      <c r="P28" s="19">
        <f>D28-M28</f>
        <v>-2.7696949999999987</v>
      </c>
      <c r="Q28" s="10" t="str">
        <f>IF(P28&gt;0,"Yes","No")</f>
        <v>No</v>
      </c>
      <c r="R28" s="51" t="str">
        <f>IF(I28&lt;&gt;I27,N28+SUMIFS(E28:E$68,Q28:Q$68,"Yes",I28:I$68,I28),"")</f>
        <v/>
      </c>
      <c r="S28" s="38" t="str">
        <f>IF(I28&lt;&gt;I27,O28+SUMIFS(F28:F$68,I28:I$68,I28,Q28:Q$68,"Yes"),"")</f>
        <v/>
      </c>
      <c r="T28" s="39" t="str">
        <f>IF(R28&lt;&gt;"",S28/R28,"")</f>
        <v/>
      </c>
      <c r="V28" s="8">
        <v>426</v>
      </c>
      <c r="W28" s="48" t="s">
        <v>26</v>
      </c>
      <c r="X28" s="4">
        <v>9.32</v>
      </c>
      <c r="Y28" s="59" t="s">
        <v>175</v>
      </c>
      <c r="Z28" s="60">
        <v>1548</v>
      </c>
    </row>
    <row r="29" spans="1:26" ht="15.75" thickBot="1" x14ac:dyDescent="0.3">
      <c r="A29" s="14">
        <v>430</v>
      </c>
      <c r="B29" s="17" t="s">
        <v>101</v>
      </c>
      <c r="C29" s="44">
        <f>VLOOKUP(A29,$V$6:$X$94,3)</f>
        <v>26.67</v>
      </c>
      <c r="D29" s="16">
        <f>C29*(1+$D$2)</f>
        <v>21.634704000000003</v>
      </c>
      <c r="E29" s="23">
        <f t="shared" si="0"/>
        <v>1212</v>
      </c>
      <c r="F29" s="35">
        <f>D29*E29</f>
        <v>26221.261248000003</v>
      </c>
      <c r="G29" s="13">
        <v>117</v>
      </c>
      <c r="H29" s="13"/>
      <c r="I29" s="14" t="s">
        <v>1</v>
      </c>
      <c r="J29" s="18" t="s">
        <v>82</v>
      </c>
      <c r="K29" s="15" t="str">
        <f>VLOOKUP(I29,$V$6:$W$94,2)</f>
        <v>LS KA1 UG LED Acorn 4000-7000</v>
      </c>
      <c r="L29" s="16">
        <f>VLOOKUP(I29,$V$6:$X$94,3)+VLOOKUP(J29,$V$95:$X$100,3)</f>
        <v>23.36</v>
      </c>
      <c r="M29" s="16">
        <f>L29*(1+$D$3)</f>
        <v>17.213984</v>
      </c>
      <c r="N29" s="23">
        <f t="shared" si="1"/>
        <v>14</v>
      </c>
      <c r="O29" s="35">
        <f t="shared" si="2"/>
        <v>240.99577600000001</v>
      </c>
      <c r="P29" s="19">
        <f>D29-M29</f>
        <v>4.4207200000000029</v>
      </c>
      <c r="Q29" s="10" t="str">
        <f>IF(P29&gt;0,"Yes","No")</f>
        <v>Yes</v>
      </c>
      <c r="R29" s="51">
        <f>IF(I29&lt;&gt;I28,N29+SUMIFS(E29:E$68,Q29:Q$68,"Yes",I29:I$68,I29),"")</f>
        <v>2104</v>
      </c>
      <c r="S29" s="38">
        <f>IF(I29&lt;&gt;I28,O29+SUMIFS(F29:F$68,I29:I$68,I29,Q29:Q$68,"Yes"),"")</f>
        <v>41666.124352000006</v>
      </c>
      <c r="T29" s="39">
        <f>IF(R29&lt;&gt;"",S29/R29,"")</f>
        <v>19.803291041825098</v>
      </c>
      <c r="V29" s="8">
        <v>428</v>
      </c>
      <c r="W29" s="48" t="s">
        <v>95</v>
      </c>
      <c r="X29" s="4">
        <v>9.5</v>
      </c>
      <c r="Y29" s="59" t="s">
        <v>176</v>
      </c>
      <c r="Z29" s="60">
        <v>431952</v>
      </c>
    </row>
    <row r="30" spans="1:26" ht="15.75" thickBot="1" x14ac:dyDescent="0.3">
      <c r="A30" s="14">
        <v>410</v>
      </c>
      <c r="B30" s="17" t="s">
        <v>19</v>
      </c>
      <c r="C30" s="44">
        <f>VLOOKUP(A30,$V$6:$X$94,3)</f>
        <v>24.69</v>
      </c>
      <c r="D30" s="16">
        <f>C30*(1+$D$2)</f>
        <v>20.028528000000001</v>
      </c>
      <c r="E30" s="23">
        <f t="shared" si="0"/>
        <v>238</v>
      </c>
      <c r="F30" s="35">
        <f>D30*E30</f>
        <v>4766.7896639999999</v>
      </c>
      <c r="G30" s="13">
        <v>60</v>
      </c>
      <c r="H30" s="13"/>
      <c r="I30" s="14" t="s">
        <v>1</v>
      </c>
      <c r="J30" s="18" t="s">
        <v>82</v>
      </c>
      <c r="K30" s="15" t="str">
        <f>VLOOKUP(I30,$V$6:$W$94,2)</f>
        <v>LS KA1 UG LED Acorn 4000-7000</v>
      </c>
      <c r="L30" s="16">
        <f>VLOOKUP(I30,$V$6:$X$94,3)+VLOOKUP(J30,$V$95:$X$100,3)</f>
        <v>23.36</v>
      </c>
      <c r="M30" s="16">
        <f>L30*(1+$D$3)</f>
        <v>17.213984</v>
      </c>
      <c r="N30" s="23" t="str">
        <f t="shared" si="1"/>
        <v/>
      </c>
      <c r="O30" s="35" t="str">
        <f t="shared" si="2"/>
        <v/>
      </c>
      <c r="P30" s="19">
        <f>D30-M30</f>
        <v>2.8145440000000015</v>
      </c>
      <c r="Q30" s="10" t="str">
        <f>IF(P30&gt;0,"Yes","No")</f>
        <v>Yes</v>
      </c>
      <c r="R30" s="51" t="str">
        <f>IF(I30&lt;&gt;I29,N30+SUMIFS(E30:E$68,Q30:Q$68,"Yes",I30:I$68,I30),"")</f>
        <v/>
      </c>
      <c r="S30" s="38" t="str">
        <f>IF(I30&lt;&gt;I29,O30+SUMIFS(F30:F$68,I30:I$68,I30,Q30:Q$68,"Yes"),"")</f>
        <v/>
      </c>
      <c r="T30" s="39" t="str">
        <f>IF(R30&lt;&gt;"",S30/R30,"")</f>
        <v/>
      </c>
      <c r="V30" s="8">
        <v>430</v>
      </c>
      <c r="W30" s="48" t="s">
        <v>101</v>
      </c>
      <c r="X30" s="4">
        <v>26.67</v>
      </c>
      <c r="Y30" s="59" t="s">
        <v>177</v>
      </c>
      <c r="Z30" s="60">
        <v>14544</v>
      </c>
    </row>
    <row r="31" spans="1:26" ht="15.75" thickBot="1" x14ac:dyDescent="0.3">
      <c r="A31" s="14">
        <v>411</v>
      </c>
      <c r="B31" s="17" t="s">
        <v>99</v>
      </c>
      <c r="C31" s="44">
        <f>VLOOKUP(A31,$V$6:$X$94,3)</f>
        <v>26.21</v>
      </c>
      <c r="D31" s="16">
        <f>C31*(1+$D$2)</f>
        <v>21.261552000000002</v>
      </c>
      <c r="E31" s="23">
        <f t="shared" si="0"/>
        <v>114</v>
      </c>
      <c r="F31" s="35">
        <f>D31*E31</f>
        <v>2423.8169280000002</v>
      </c>
      <c r="G31" s="13">
        <v>83</v>
      </c>
      <c r="H31" s="13"/>
      <c r="I31" s="14" t="s">
        <v>1</v>
      </c>
      <c r="J31" s="18" t="s">
        <v>82</v>
      </c>
      <c r="K31" s="15" t="str">
        <f>VLOOKUP(I31,$V$6:$W$94,2)</f>
        <v>LS KA1 UG LED Acorn 4000-7000</v>
      </c>
      <c r="L31" s="16">
        <f>VLOOKUP(I31,$V$6:$X$94,3)+VLOOKUP(J31,$V$95:$X$100,3)</f>
        <v>23.36</v>
      </c>
      <c r="M31" s="16">
        <f>L31*(1+$D$3)</f>
        <v>17.213984</v>
      </c>
      <c r="N31" s="23" t="str">
        <f t="shared" si="1"/>
        <v/>
      </c>
      <c r="O31" s="35" t="str">
        <f t="shared" si="2"/>
        <v/>
      </c>
      <c r="P31" s="19">
        <f>D31-M31</f>
        <v>4.0475680000000018</v>
      </c>
      <c r="Q31" s="10" t="str">
        <f>IF(P31&gt;0,"Yes","No")</f>
        <v>Yes</v>
      </c>
      <c r="R31" s="51" t="str">
        <f>IF(I31&lt;&gt;I30,N31+SUMIFS(E31:E$68,Q31:Q$68,"Yes",I31:I$68,I31),"")</f>
        <v/>
      </c>
      <c r="S31" s="38" t="str">
        <f>IF(I31&lt;&gt;I30,O31+SUMIFS(F31:F$68,I31:I$68,I31,Q31:Q$68,"Yes"),"")</f>
        <v/>
      </c>
      <c r="T31" s="39" t="str">
        <f>IF(R31&lt;&gt;"",S31/R31,"")</f>
        <v/>
      </c>
      <c r="V31" s="8">
        <v>440</v>
      </c>
      <c r="W31" s="48" t="s">
        <v>27</v>
      </c>
      <c r="X31" s="4">
        <v>17.329999999999998</v>
      </c>
      <c r="Y31" s="59" t="s">
        <v>178</v>
      </c>
      <c r="Z31" s="60">
        <v>24</v>
      </c>
    </row>
    <row r="32" spans="1:26" ht="15.75" thickBot="1" x14ac:dyDescent="0.3">
      <c r="A32" s="14">
        <v>420</v>
      </c>
      <c r="B32" s="17" t="s">
        <v>100</v>
      </c>
      <c r="C32" s="44">
        <f>VLOOKUP(A32,$V$6:$X$94,3)</f>
        <v>18.78</v>
      </c>
      <c r="D32" s="16">
        <f>C32*(1+$D$2)</f>
        <v>15.234336000000001</v>
      </c>
      <c r="E32" s="23">
        <f t="shared" si="0"/>
        <v>526</v>
      </c>
      <c r="F32" s="35">
        <f>D32*E32</f>
        <v>8013.2607360000002</v>
      </c>
      <c r="G32" s="13">
        <v>117</v>
      </c>
      <c r="H32" s="13"/>
      <c r="I32" s="14" t="s">
        <v>1</v>
      </c>
      <c r="J32" s="18" t="s">
        <v>78</v>
      </c>
      <c r="K32" s="15" t="str">
        <f>VLOOKUP(I32,$V$6:$W$94,2)</f>
        <v>LS KA1 UG LED Acorn 4000-7000</v>
      </c>
      <c r="L32" s="16">
        <f>VLOOKUP(I32,$V$6:$X$94,3)+VLOOKUP(J32,$V$95:$X$100,3)</f>
        <v>20.5</v>
      </c>
      <c r="M32" s="16">
        <f>L32*(1+$D$3)</f>
        <v>15.106450000000001</v>
      </c>
      <c r="N32" s="23" t="str">
        <f t="shared" si="1"/>
        <v/>
      </c>
      <c r="O32" s="35" t="str">
        <f t="shared" si="2"/>
        <v/>
      </c>
      <c r="P32" s="19">
        <f>D32-M32</f>
        <v>0.12788600000000017</v>
      </c>
      <c r="Q32" s="10" t="str">
        <f>IF(P32&gt;0,"Yes","No")</f>
        <v>Yes</v>
      </c>
      <c r="R32" s="51" t="str">
        <f>IF(I32&lt;&gt;I31,N32+SUMIFS(E32:E$68,Q32:Q$68,"Yes",I32:I$68,I32),"")</f>
        <v/>
      </c>
      <c r="S32" s="38" t="str">
        <f>IF(I32&lt;&gt;I31,O32+SUMIFS(F32:F$68,I32:I$68,I32,Q32:Q$68,"Yes"),"")</f>
        <v/>
      </c>
      <c r="T32" s="39" t="str">
        <f>IF(R32&lt;&gt;"",S32/R32,"")</f>
        <v/>
      </c>
      <c r="V32" s="8">
        <v>446</v>
      </c>
      <c r="W32" s="48" t="s">
        <v>28</v>
      </c>
      <c r="X32" s="4">
        <v>11.81</v>
      </c>
      <c r="Y32" s="59" t="s">
        <v>179</v>
      </c>
      <c r="Z32" s="60">
        <v>8388</v>
      </c>
    </row>
    <row r="33" spans="1:26" ht="15.75" thickBot="1" x14ac:dyDescent="0.3">
      <c r="A33" s="14">
        <v>401</v>
      </c>
      <c r="B33" s="17" t="s">
        <v>98</v>
      </c>
      <c r="C33" s="44">
        <f>VLOOKUP(A33,$V$6:$X$94,3)</f>
        <v>18.45</v>
      </c>
      <c r="D33" s="16">
        <f>C33*(1+$D$2)</f>
        <v>14.96664</v>
      </c>
      <c r="E33" s="23">
        <f t="shared" si="0"/>
        <v>64</v>
      </c>
      <c r="F33" s="35">
        <f>D33*E33</f>
        <v>957.86496</v>
      </c>
      <c r="G33" s="13">
        <v>83</v>
      </c>
      <c r="H33" s="13"/>
      <c r="I33" s="14" t="s">
        <v>1</v>
      </c>
      <c r="J33" s="18" t="s">
        <v>78</v>
      </c>
      <c r="K33" s="15" t="str">
        <f>VLOOKUP(I33,$V$6:$W$94,2)</f>
        <v>LS KA1 UG LED Acorn 4000-7000</v>
      </c>
      <c r="L33" s="16">
        <f>VLOOKUP(I33,$V$6:$X$94,3)+VLOOKUP(J33,$V$95:$X$100,3)</f>
        <v>20.5</v>
      </c>
      <c r="M33" s="16">
        <f>L33*(1+$D$3)</f>
        <v>15.106450000000001</v>
      </c>
      <c r="N33" s="23" t="str">
        <f t="shared" si="1"/>
        <v/>
      </c>
      <c r="O33" s="35" t="str">
        <f t="shared" si="2"/>
        <v/>
      </c>
      <c r="P33" s="19">
        <f>D33-M33</f>
        <v>-0.13981000000000066</v>
      </c>
      <c r="Q33" s="10" t="str">
        <f>IF(P33&gt;0,"Yes","No")</f>
        <v>No</v>
      </c>
      <c r="R33" s="51" t="str">
        <f>IF(I33&lt;&gt;I32,N33+SUMIFS(E33:E$68,Q33:Q$68,"Yes",I33:I$68,I33),"")</f>
        <v/>
      </c>
      <c r="S33" s="38" t="str">
        <f>IF(I33&lt;&gt;I32,O33+SUMIFS(F33:F$68,I33:I$68,I33,Q33:Q$68,"Yes"),"")</f>
        <v/>
      </c>
      <c r="T33" s="39" t="str">
        <f>IF(R33&lt;&gt;"",S33/R33,"")</f>
        <v/>
      </c>
      <c r="V33" s="8">
        <v>447</v>
      </c>
      <c r="W33" s="48" t="s">
        <v>29</v>
      </c>
      <c r="X33" s="4">
        <v>13.93</v>
      </c>
      <c r="Y33" s="59" t="s">
        <v>180</v>
      </c>
      <c r="Z33" s="60">
        <v>5416</v>
      </c>
    </row>
    <row r="34" spans="1:26" ht="15.75" thickBot="1" x14ac:dyDescent="0.3">
      <c r="A34" s="14">
        <v>440</v>
      </c>
      <c r="B34" s="17" t="s">
        <v>27</v>
      </c>
      <c r="C34" s="44">
        <f>VLOOKUP(A34,$V$6:$X$94,3)</f>
        <v>17.329999999999998</v>
      </c>
      <c r="D34" s="16">
        <f>C34*(1+$D$2)</f>
        <v>14.058095999999999</v>
      </c>
      <c r="E34" s="23">
        <f t="shared" si="0"/>
        <v>2</v>
      </c>
      <c r="F34" s="35">
        <f>D34*E34</f>
        <v>28.116191999999998</v>
      </c>
      <c r="G34" s="13">
        <v>60</v>
      </c>
      <c r="H34" s="13"/>
      <c r="I34" s="14" t="s">
        <v>1</v>
      </c>
      <c r="J34" s="18" t="s">
        <v>78</v>
      </c>
      <c r="K34" s="15" t="str">
        <f>VLOOKUP(I34,$V$6:$W$94,2)</f>
        <v>LS KA1 UG LED Acorn 4000-7000</v>
      </c>
      <c r="L34" s="16">
        <f>VLOOKUP(I34,$V$6:$X$94,3)+VLOOKUP(J34,$V$95:$X$100,3)</f>
        <v>20.5</v>
      </c>
      <c r="M34" s="16">
        <f>L34*(1+$D$3)</f>
        <v>15.106450000000001</v>
      </c>
      <c r="N34" s="23" t="str">
        <f t="shared" si="1"/>
        <v/>
      </c>
      <c r="O34" s="35" t="str">
        <f t="shared" si="2"/>
        <v/>
      </c>
      <c r="P34" s="19">
        <f>D34-M34</f>
        <v>-1.0483540000000016</v>
      </c>
      <c r="Q34" s="10" t="str">
        <f>IF(P34&gt;0,"Yes","No")</f>
        <v>No</v>
      </c>
      <c r="R34" s="51" t="str">
        <f>IF(I34&lt;&gt;I33,N34+SUMIFS(E34:E$68,Q34:Q$68,"Yes",I34:I$68,I34),"")</f>
        <v/>
      </c>
      <c r="S34" s="38" t="str">
        <f>IF(I34&lt;&gt;I33,O34+SUMIFS(F34:F$68,I34:I$68,I34,Q34:Q$68,"Yes"),"")</f>
        <v/>
      </c>
      <c r="T34" s="39" t="str">
        <f>IF(R34&lt;&gt;"",S34/R34,"")</f>
        <v/>
      </c>
      <c r="V34" s="8">
        <v>448</v>
      </c>
      <c r="W34" s="48" t="s">
        <v>30</v>
      </c>
      <c r="X34" s="4">
        <v>15.14</v>
      </c>
      <c r="Y34" s="59" t="s">
        <v>181</v>
      </c>
      <c r="Z34" s="60">
        <v>11652</v>
      </c>
    </row>
    <row r="35" spans="1:26" ht="15.75" thickBot="1" x14ac:dyDescent="0.3">
      <c r="A35" s="14">
        <v>446</v>
      </c>
      <c r="B35" s="17" t="s">
        <v>28</v>
      </c>
      <c r="C35" s="44">
        <f>VLOOKUP(A35,$V$6:$X$94,3)</f>
        <v>11.81</v>
      </c>
      <c r="D35" s="16">
        <f>C35*(1+$D$2)</f>
        <v>9.5802720000000008</v>
      </c>
      <c r="E35" s="23">
        <f t="shared" si="0"/>
        <v>699</v>
      </c>
      <c r="F35" s="35">
        <f>D35*E35</f>
        <v>6696.6101280000003</v>
      </c>
      <c r="G35" s="13">
        <v>207</v>
      </c>
      <c r="H35" s="13"/>
      <c r="I35" s="14" t="s">
        <v>2</v>
      </c>
      <c r="J35" s="18">
        <v>0</v>
      </c>
      <c r="K35" s="15" t="str">
        <f>VLOOKUP(I35,$V$6:$W$94,2)</f>
        <v>LS KC1 OH LED Cobra 2500-4000</v>
      </c>
      <c r="L35" s="16">
        <f>VLOOKUP(I35,$V$6:$X$94,3)+VLOOKUP(J35,$V$95:$X$100,3)</f>
        <v>8.25</v>
      </c>
      <c r="M35" s="16">
        <f>L35*(1+$D$3)</f>
        <v>6.0794249999999996</v>
      </c>
      <c r="N35" s="23">
        <f t="shared" si="1"/>
        <v>400.33333333333331</v>
      </c>
      <c r="O35" s="35">
        <f t="shared" si="2"/>
        <v>2433.7964749999996</v>
      </c>
      <c r="P35" s="19">
        <f>D35-M35</f>
        <v>3.5008470000000012</v>
      </c>
      <c r="Q35" s="10" t="str">
        <f>IF(P35&gt;0,"Yes","No")</f>
        <v>Yes</v>
      </c>
      <c r="R35" s="51">
        <f>IF(I35&lt;&gt;I34,N35+SUMIFS(E35:E$68,Q35:Q$68,"Yes",I35:I$68,I35),"")</f>
        <v>16427</v>
      </c>
      <c r="S35" s="38">
        <f>IF(I35&lt;&gt;I34,O35+SUMIFS(F35:F$68,I35:I$68,I35,Q35:Q$68,"Yes"),"")</f>
        <v>136236.88438700003</v>
      </c>
      <c r="T35" s="39">
        <f>IF(R35&lt;&gt;"",S35/R35,"")</f>
        <v>8.2934732079503277</v>
      </c>
      <c r="V35" s="8">
        <v>450</v>
      </c>
      <c r="W35" s="48" t="s">
        <v>31</v>
      </c>
      <c r="X35" s="4">
        <v>17.399999999999999</v>
      </c>
      <c r="Y35" s="59" t="s">
        <v>182</v>
      </c>
      <c r="Z35" s="60">
        <v>7896</v>
      </c>
    </row>
    <row r="36" spans="1:26" ht="15.75" thickBot="1" x14ac:dyDescent="0.3">
      <c r="A36" s="14">
        <v>461</v>
      </c>
      <c r="B36" s="17" t="s">
        <v>40</v>
      </c>
      <c r="C36" s="44">
        <f>VLOOKUP(A36,$V$6:$X$94,3)</f>
        <v>9.58</v>
      </c>
      <c r="D36" s="16">
        <f>C36*(1+$D$2)</f>
        <v>7.7712960000000004</v>
      </c>
      <c r="E36" s="23">
        <f t="shared" si="0"/>
        <v>6610.5</v>
      </c>
      <c r="F36" s="35">
        <f>D36*E36</f>
        <v>51372.152208</v>
      </c>
      <c r="G36" s="13">
        <v>60</v>
      </c>
      <c r="H36" s="13"/>
      <c r="I36" s="14" t="s">
        <v>2</v>
      </c>
      <c r="J36" s="18">
        <v>0</v>
      </c>
      <c r="K36" s="15" t="str">
        <f>VLOOKUP(I36,$V$6:$W$94,2)</f>
        <v>LS KC1 OH LED Cobra 2500-4000</v>
      </c>
      <c r="L36" s="16">
        <f>VLOOKUP(I36,$V$6:$X$94,3)+VLOOKUP(J36,$V$95:$X$100,3)</f>
        <v>8.25</v>
      </c>
      <c r="M36" s="16">
        <f>L36*(1+$D$3)</f>
        <v>6.0794249999999996</v>
      </c>
      <c r="N36" s="23" t="str">
        <f t="shared" si="1"/>
        <v/>
      </c>
      <c r="O36" s="35" t="str">
        <f t="shared" si="2"/>
        <v/>
      </c>
      <c r="P36" s="19">
        <f>D36-M36</f>
        <v>1.6918710000000008</v>
      </c>
      <c r="Q36" s="10" t="str">
        <f>IF(P36&gt;0,"Yes","No")</f>
        <v>Yes</v>
      </c>
      <c r="R36" s="51" t="str">
        <f>IF(I36&lt;&gt;I35,N36+SUMIFS(E36:E$68,Q36:Q$68,"Yes",I36:I$68,I36),"")</f>
        <v/>
      </c>
      <c r="S36" s="38" t="str">
        <f>IF(I36&lt;&gt;I35,O36+SUMIFS(F36:F$68,I36:I$68,I36,Q36:Q$68,"Yes"),"")</f>
        <v/>
      </c>
      <c r="T36" s="39" t="str">
        <f>IF(R36&lt;&gt;"",S36/R36,"")</f>
        <v/>
      </c>
      <c r="V36" s="8">
        <v>451</v>
      </c>
      <c r="W36" s="48" t="s">
        <v>102</v>
      </c>
      <c r="X36" s="4">
        <v>24.28</v>
      </c>
      <c r="Y36" s="59" t="s">
        <v>183</v>
      </c>
      <c r="Z36" s="60">
        <v>69948</v>
      </c>
    </row>
    <row r="37" spans="1:26" ht="15.75" thickBot="1" x14ac:dyDescent="0.3">
      <c r="A37" s="14">
        <v>462</v>
      </c>
      <c r="B37" s="17" t="s">
        <v>88</v>
      </c>
      <c r="C37" s="44">
        <f>VLOOKUP(A37,$V$6:$X$94,3)</f>
        <v>10.71</v>
      </c>
      <c r="D37" s="16">
        <f>C37*(1+$D$2)</f>
        <v>8.687952000000001</v>
      </c>
      <c r="E37" s="23">
        <f t="shared" si="0"/>
        <v>8717.1666666666661</v>
      </c>
      <c r="F37" s="35">
        <f>D37*E37</f>
        <v>75734.325576000003</v>
      </c>
      <c r="G37" s="13">
        <v>83</v>
      </c>
      <c r="H37" s="13"/>
      <c r="I37" s="14" t="s">
        <v>2</v>
      </c>
      <c r="J37" s="18">
        <v>0</v>
      </c>
      <c r="K37" s="15" t="str">
        <f>VLOOKUP(I37,$V$6:$W$94,2)</f>
        <v>LS KC1 OH LED Cobra 2500-4000</v>
      </c>
      <c r="L37" s="16">
        <f>VLOOKUP(I37,$V$6:$X$94,3)+VLOOKUP(J37,$V$95:$X$100,3)</f>
        <v>8.25</v>
      </c>
      <c r="M37" s="16">
        <f>L37*(1+$D$3)</f>
        <v>6.0794249999999996</v>
      </c>
      <c r="N37" s="23" t="str">
        <f t="shared" si="1"/>
        <v/>
      </c>
      <c r="O37" s="35" t="str">
        <f t="shared" si="2"/>
        <v/>
      </c>
      <c r="P37" s="19">
        <f>D37-M37</f>
        <v>2.6085270000000014</v>
      </c>
      <c r="Q37" s="10" t="str">
        <f>IF(P37&gt;0,"Yes","No")</f>
        <v>Yes</v>
      </c>
      <c r="R37" s="51" t="str">
        <f>IF(I37&lt;&gt;I36,N37+SUMIFS(E37:E$68,Q37:Q$68,"Yes",I37:I$68,I37),"")</f>
        <v/>
      </c>
      <c r="S37" s="38" t="str">
        <f>IF(I37&lt;&gt;I36,O37+SUMIFS(F37:F$68,I37:I$68,I37,Q37:Q$68,"Yes"),"")</f>
        <v/>
      </c>
      <c r="T37" s="39" t="str">
        <f>IF(R37&lt;&gt;"",S37/R37,"")</f>
        <v/>
      </c>
      <c r="V37" s="8">
        <v>452</v>
      </c>
      <c r="W37" s="48" t="s">
        <v>32</v>
      </c>
      <c r="X37" s="4">
        <v>50.12</v>
      </c>
      <c r="Y37" s="59" t="s">
        <v>184</v>
      </c>
      <c r="Z37" s="60">
        <v>8604</v>
      </c>
    </row>
    <row r="38" spans="1:26" ht="15.75" thickBot="1" x14ac:dyDescent="0.3">
      <c r="A38" s="14">
        <v>456</v>
      </c>
      <c r="B38" s="17" t="s">
        <v>35</v>
      </c>
      <c r="C38" s="44">
        <f>VLOOKUP(A38,$V$6:$X$94,3)</f>
        <v>14.11</v>
      </c>
      <c r="D38" s="16">
        <f>C38*(1+$D$2)</f>
        <v>11.446032000000001</v>
      </c>
      <c r="E38" s="23">
        <f t="shared" si="0"/>
        <v>89</v>
      </c>
      <c r="F38" s="35">
        <f>D38*E38</f>
        <v>1018.696848</v>
      </c>
      <c r="G38" s="13">
        <v>207</v>
      </c>
      <c r="H38" s="13"/>
      <c r="I38" s="14" t="s">
        <v>8</v>
      </c>
      <c r="J38" s="18" t="s">
        <v>76</v>
      </c>
      <c r="K38" s="15" t="str">
        <f>VLOOKUP(I38,$V$6:$W$94,2)</f>
        <v>LS KC2 UG LED Cobra 2500-4000</v>
      </c>
      <c r="L38" s="16">
        <f>VLOOKUP(I38,$V$6:$X$94,3)+VLOOKUP(J38,$V$95:$X$100,3)</f>
        <v>16.8</v>
      </c>
      <c r="M38" s="16">
        <f>L38*(1+$D$3)</f>
        <v>12.37992</v>
      </c>
      <c r="N38" s="23">
        <f t="shared" si="1"/>
        <v>57</v>
      </c>
      <c r="O38" s="35">
        <f t="shared" si="2"/>
        <v>705.65544</v>
      </c>
      <c r="P38" s="19">
        <f>D38-M38</f>
        <v>-0.93388799999999961</v>
      </c>
      <c r="Q38" s="10" t="str">
        <f>IF(P38&gt;0,"Yes","No")</f>
        <v>No</v>
      </c>
      <c r="R38" s="51">
        <f>IF(I38&lt;&gt;I37,N38+SUMIFS(E38:E$68,Q38:Q$68,"Yes",I38:I$68,I38),"")</f>
        <v>57</v>
      </c>
      <c r="S38" s="38">
        <f>IF(I38&lt;&gt;I37,O38+SUMIFS(F38:F$68,I38:I$68,I38,Q38:Q$68,"Yes"),"")</f>
        <v>705.65544</v>
      </c>
      <c r="T38" s="39">
        <f>IF(R38&lt;&gt;"",S38/R38,"")</f>
        <v>12.37992</v>
      </c>
      <c r="V38" s="8">
        <v>454</v>
      </c>
      <c r="W38" s="48" t="s">
        <v>33</v>
      </c>
      <c r="X38" s="4">
        <v>22.44</v>
      </c>
      <c r="Y38" s="59" t="s">
        <v>185</v>
      </c>
      <c r="Z38" s="60">
        <v>1740</v>
      </c>
    </row>
    <row r="39" spans="1:26" ht="15.75" thickBot="1" x14ac:dyDescent="0.3">
      <c r="A39" s="14">
        <v>471</v>
      </c>
      <c r="B39" s="17" t="s">
        <v>44</v>
      </c>
      <c r="C39" s="44">
        <f>VLOOKUP(A39,$V$6:$X$94,3)</f>
        <v>13.1</v>
      </c>
      <c r="D39" s="16">
        <f>C39*(1+$D$2)</f>
        <v>10.626720000000001</v>
      </c>
      <c r="E39" s="23">
        <f t="shared" si="0"/>
        <v>3267</v>
      </c>
      <c r="F39" s="35">
        <f>D39*E39</f>
        <v>34717.49424</v>
      </c>
      <c r="G39" s="13">
        <v>60</v>
      </c>
      <c r="H39" s="13"/>
      <c r="I39" s="14" t="s">
        <v>8</v>
      </c>
      <c r="J39" s="18" t="s">
        <v>76</v>
      </c>
      <c r="K39" s="15" t="str">
        <f>VLOOKUP(I39,$V$6:$W$94,2)</f>
        <v>LS KC2 UG LED Cobra 2500-4000</v>
      </c>
      <c r="L39" s="16">
        <f>VLOOKUP(I39,$V$6:$X$94,3)+VLOOKUP(J39,$V$95:$X$100,3)</f>
        <v>16.8</v>
      </c>
      <c r="M39" s="16">
        <f>L39*(1+$D$3)</f>
        <v>12.37992</v>
      </c>
      <c r="N39" s="23" t="str">
        <f t="shared" si="1"/>
        <v/>
      </c>
      <c r="O39" s="35" t="str">
        <f t="shared" si="2"/>
        <v/>
      </c>
      <c r="P39" s="19">
        <f>D39-M39</f>
        <v>-1.7531999999999996</v>
      </c>
      <c r="Q39" s="10" t="str">
        <f>IF(P39&gt;0,"Yes","No")</f>
        <v>No</v>
      </c>
      <c r="R39" s="51" t="str">
        <f>IF(I39&lt;&gt;I38,N39+SUMIFS(E39:E$68,Q39:Q$68,"Yes",I39:I$68,I39),"")</f>
        <v/>
      </c>
      <c r="S39" s="38" t="str">
        <f>IF(I39&lt;&gt;I38,O39+SUMIFS(F39:F$68,I39:I$68,I39,Q39:Q$68,"Yes"),"")</f>
        <v/>
      </c>
      <c r="T39" s="39" t="str">
        <f>IF(R39&lt;&gt;"",S39/R39,"")</f>
        <v/>
      </c>
      <c r="V39" s="8">
        <v>455</v>
      </c>
      <c r="W39" s="48" t="s">
        <v>34</v>
      </c>
      <c r="X39" s="4">
        <v>29.31</v>
      </c>
      <c r="Y39" s="59" t="s">
        <v>186</v>
      </c>
      <c r="Z39" s="60">
        <v>10452</v>
      </c>
    </row>
    <row r="40" spans="1:26" ht="15.75" thickBot="1" x14ac:dyDescent="0.3">
      <c r="A40" s="14">
        <v>472</v>
      </c>
      <c r="B40" s="17" t="s">
        <v>91</v>
      </c>
      <c r="C40" s="44">
        <f>VLOOKUP(A40,$V$6:$X$94,3)</f>
        <v>14.59</v>
      </c>
      <c r="D40" s="16">
        <f>C40*(1+$D$2)</f>
        <v>11.835408000000001</v>
      </c>
      <c r="E40" s="23">
        <f t="shared" si="0"/>
        <v>9460</v>
      </c>
      <c r="F40" s="35">
        <f>D40*E40</f>
        <v>111962.95968000001</v>
      </c>
      <c r="G40" s="13">
        <v>83</v>
      </c>
      <c r="H40" s="13"/>
      <c r="I40" s="14" t="s">
        <v>8</v>
      </c>
      <c r="J40" s="18" t="s">
        <v>76</v>
      </c>
      <c r="K40" s="15" t="str">
        <f>VLOOKUP(I40,$V$6:$W$94,2)</f>
        <v>LS KC2 UG LED Cobra 2500-4000</v>
      </c>
      <c r="L40" s="16">
        <f>VLOOKUP(I40,$V$6:$X$94,3)+VLOOKUP(J40,$V$95:$X$100,3)</f>
        <v>16.8</v>
      </c>
      <c r="M40" s="16">
        <f>L40*(1+$D$3)</f>
        <v>12.37992</v>
      </c>
      <c r="N40" s="23" t="str">
        <f t="shared" si="1"/>
        <v/>
      </c>
      <c r="O40" s="35" t="str">
        <f t="shared" si="2"/>
        <v/>
      </c>
      <c r="P40" s="19">
        <f>D40-M40</f>
        <v>-0.54451199999999922</v>
      </c>
      <c r="Q40" s="10" t="str">
        <f>IF(P40&gt;0,"Yes","No")</f>
        <v>No</v>
      </c>
      <c r="R40" s="51" t="str">
        <f>IF(I40&lt;&gt;I39,N40+SUMIFS(E40:E$68,Q40:Q$68,"Yes",I40:I$68,I40),"")</f>
        <v/>
      </c>
      <c r="S40" s="38" t="str">
        <f>IF(I40&lt;&gt;I39,O40+SUMIFS(F40:F$68,I40:I$68,I40,Q40:Q$68,"Yes"),"")</f>
        <v/>
      </c>
      <c r="T40" s="39" t="str">
        <f>IF(R40&lt;&gt;"",S40/R40,"")</f>
        <v/>
      </c>
      <c r="V40" s="8">
        <v>456</v>
      </c>
      <c r="W40" s="48" t="s">
        <v>35</v>
      </c>
      <c r="X40" s="4">
        <v>14.11</v>
      </c>
      <c r="Y40" s="59" t="s">
        <v>187</v>
      </c>
      <c r="Z40" s="60">
        <v>1068</v>
      </c>
    </row>
    <row r="41" spans="1:26" ht="15.75" thickBot="1" x14ac:dyDescent="0.3">
      <c r="A41" s="14">
        <v>487</v>
      </c>
      <c r="B41" s="17" t="s">
        <v>103</v>
      </c>
      <c r="C41" s="44">
        <f>VLOOKUP(A41,$V$6:$X$94,3)</f>
        <v>10.9</v>
      </c>
      <c r="D41" s="16">
        <f>C41*(1+$D$2)</f>
        <v>8.842080000000001</v>
      </c>
      <c r="E41" s="23">
        <f t="shared" si="0"/>
        <v>11064</v>
      </c>
      <c r="F41" s="35">
        <f>D41*E41</f>
        <v>97828.773120000013</v>
      </c>
      <c r="G41" s="13">
        <v>117</v>
      </c>
      <c r="H41" s="13"/>
      <c r="I41" s="14" t="s">
        <v>14</v>
      </c>
      <c r="J41" s="18">
        <v>0</v>
      </c>
      <c r="K41" s="15" t="str">
        <f>VLOOKUP(I41,$V$6:$W$94,2)</f>
        <v>LS KF1 OH LED Flood  4500-6000</v>
      </c>
      <c r="L41" s="16">
        <f>VLOOKUP(I41,$V$6:$X$94,3)+VLOOKUP(J41,$V$95:$X$100,3)</f>
        <v>10.8</v>
      </c>
      <c r="M41" s="16">
        <f>L41*(1+$D$3)</f>
        <v>7.9585200000000009</v>
      </c>
      <c r="N41" s="23">
        <f t="shared" si="1"/>
        <v>221</v>
      </c>
      <c r="O41" s="35">
        <f t="shared" si="2"/>
        <v>1758.8329200000003</v>
      </c>
      <c r="P41" s="19">
        <f>D41-M41</f>
        <v>0.88356000000000012</v>
      </c>
      <c r="Q41" s="10" t="str">
        <f>IF(P41&gt;0,"Yes","No")</f>
        <v>Yes</v>
      </c>
      <c r="R41" s="51">
        <f>IF(I41&lt;&gt;I40,N41+SUMIFS(E41:E$68,Q41:Q$68,"Yes",I41:I$68,I41),"")</f>
        <v>11285</v>
      </c>
      <c r="S41" s="38">
        <f>IF(I41&lt;&gt;I40,O41+SUMIFS(F41:F$68,I41:I$68,I41,Q41:Q$68,"Yes"),"")</f>
        <v>99587.606040000013</v>
      </c>
      <c r="T41" s="39">
        <f>IF(R41&lt;&gt;"",S41/R41,"")</f>
        <v>8.8247767868852467</v>
      </c>
      <c r="V41" s="8">
        <v>457</v>
      </c>
      <c r="W41" s="48" t="s">
        <v>36</v>
      </c>
      <c r="X41" s="4">
        <v>15.87</v>
      </c>
      <c r="Y41" s="59" t="s">
        <v>188</v>
      </c>
      <c r="Z41" s="60">
        <v>3708</v>
      </c>
    </row>
    <row r="42" spans="1:26" ht="15.75" thickBot="1" x14ac:dyDescent="0.3">
      <c r="A42" s="14">
        <v>450</v>
      </c>
      <c r="B42" s="17" t="s">
        <v>31</v>
      </c>
      <c r="C42" s="44">
        <f>VLOOKUP(A42,$V$6:$X$94,3)</f>
        <v>17.399999999999999</v>
      </c>
      <c r="D42" s="16">
        <f>C42*(1+$D$2)</f>
        <v>14.114879999999999</v>
      </c>
      <c r="E42" s="23">
        <f t="shared" si="0"/>
        <v>658</v>
      </c>
      <c r="F42" s="35">
        <f>D42*E42</f>
        <v>9287.5910399999993</v>
      </c>
      <c r="G42" s="13">
        <v>150</v>
      </c>
      <c r="H42" s="13"/>
      <c r="I42" s="14" t="s">
        <v>3</v>
      </c>
      <c r="J42" s="18">
        <v>0</v>
      </c>
      <c r="K42" s="15" t="str">
        <f>VLOOKUP(I42,$V$6:$W$94,2)</f>
        <v>LS KF2 OH LED Flood  14000-17500</v>
      </c>
      <c r="L42" s="16">
        <f>VLOOKUP(I42,$V$6:$X$94,3)+VLOOKUP(J42,$V$95:$X$100,3)</f>
        <v>12.7</v>
      </c>
      <c r="M42" s="16">
        <f>L42*(1+$D$3)</f>
        <v>9.3586299999999998</v>
      </c>
      <c r="N42" s="23">
        <f t="shared" si="1"/>
        <v>128</v>
      </c>
      <c r="O42" s="35">
        <f t="shared" si="2"/>
        <v>1197.90464</v>
      </c>
      <c r="P42" s="19">
        <f>D42-M42</f>
        <v>4.7562499999999996</v>
      </c>
      <c r="Q42" s="10" t="str">
        <f>IF(P42&gt;0,"Yes","No")</f>
        <v>Yes</v>
      </c>
      <c r="R42" s="51">
        <f>IF(I42&lt;&gt;I41,N42+SUMIFS(E42:E$68,Q42:Q$68,"Yes",I42:I$68,I42),"")</f>
        <v>786</v>
      </c>
      <c r="S42" s="38">
        <f>IF(I42&lt;&gt;I41,O42+SUMIFS(F42:F$68,I42:I$68,I42,Q42:Q$68,"Yes"),"")</f>
        <v>10485.49568</v>
      </c>
      <c r="T42" s="39">
        <f>IF(R42&lt;&gt;"",S42/R42,"")</f>
        <v>13.340325292620864</v>
      </c>
      <c r="V42" s="8">
        <v>458</v>
      </c>
      <c r="W42" s="48" t="s">
        <v>37</v>
      </c>
      <c r="X42" s="4">
        <v>17.760000000000002</v>
      </c>
      <c r="Y42" s="59" t="s">
        <v>189</v>
      </c>
      <c r="Z42" s="60">
        <v>10932</v>
      </c>
    </row>
    <row r="43" spans="1:26" ht="15.75" thickBot="1" x14ac:dyDescent="0.3">
      <c r="A43" s="14">
        <v>451</v>
      </c>
      <c r="B43" s="17" t="s">
        <v>102</v>
      </c>
      <c r="C43" s="44">
        <f>VLOOKUP(A43,$V$6:$X$94,3)</f>
        <v>24.28</v>
      </c>
      <c r="D43" s="16">
        <f>C43*(1+$D$2)</f>
        <v>19.695936000000003</v>
      </c>
      <c r="E43" s="23">
        <f t="shared" si="0"/>
        <v>5829</v>
      </c>
      <c r="F43" s="35">
        <f>D43*E43</f>
        <v>114807.61094400001</v>
      </c>
      <c r="G43" s="13">
        <v>350</v>
      </c>
      <c r="H43" s="13"/>
      <c r="I43" s="14" t="s">
        <v>4</v>
      </c>
      <c r="J43" s="18">
        <v>0</v>
      </c>
      <c r="K43" s="15" t="str">
        <f>VLOOKUP(I43,$V$6:$W$94,2)</f>
        <v>LS KF3 OH LED Flood  22000-28000</v>
      </c>
      <c r="L43" s="16">
        <f>VLOOKUP(I43,$V$6:$X$94,3)+VLOOKUP(J43,$V$95:$X$100,3)</f>
        <v>15.06</v>
      </c>
      <c r="M43" s="16">
        <f>L43*(1+$D$3)</f>
        <v>11.097714</v>
      </c>
      <c r="N43" s="23">
        <f t="shared" si="1"/>
        <v>545</v>
      </c>
      <c r="O43" s="35">
        <f t="shared" si="2"/>
        <v>6048.2541300000003</v>
      </c>
      <c r="P43" s="19">
        <f>D43-M43</f>
        <v>8.5982220000000034</v>
      </c>
      <c r="Q43" s="10" t="str">
        <f>IF(P43&gt;0,"Yes","No")</f>
        <v>Yes</v>
      </c>
      <c r="R43" s="51">
        <f>IF(I43&lt;&gt;I42,N43+SUMIFS(E43:E$68,Q43:Q$68,"Yes",I43:I$68,I43),"")</f>
        <v>21400</v>
      </c>
      <c r="S43" s="38">
        <f>IF(I43&lt;&gt;I42,O43+SUMIFS(F43:F$68,I43:I$68,I43,Q43:Q$68,"Yes"),"")</f>
        <v>367408.04253000004</v>
      </c>
      <c r="T43" s="39">
        <f>IF(R43&lt;&gt;"",S43/R43,"")</f>
        <v>17.168600118224301</v>
      </c>
      <c r="V43" s="8">
        <v>459</v>
      </c>
      <c r="W43" s="48" t="s">
        <v>38</v>
      </c>
      <c r="X43" s="4">
        <v>55.15</v>
      </c>
      <c r="Y43" s="59" t="s">
        <v>190</v>
      </c>
      <c r="Z43" s="60">
        <v>1548</v>
      </c>
    </row>
    <row r="44" spans="1:26" ht="15.75" thickBot="1" x14ac:dyDescent="0.3">
      <c r="A44" s="14">
        <v>488</v>
      </c>
      <c r="B44" s="17" t="s">
        <v>104</v>
      </c>
      <c r="C44" s="44">
        <f>VLOOKUP(A44,$V$6:$X$94,3)</f>
        <v>16.47</v>
      </c>
      <c r="D44" s="16">
        <f>C44*(1+$D$2)</f>
        <v>13.360464</v>
      </c>
      <c r="E44" s="23">
        <f t="shared" si="0"/>
        <v>6587</v>
      </c>
      <c r="F44" s="35">
        <f>D44*E44</f>
        <v>88005.376367999997</v>
      </c>
      <c r="G44" s="13">
        <v>242</v>
      </c>
      <c r="H44" s="13"/>
      <c r="I44" s="14" t="s">
        <v>4</v>
      </c>
      <c r="J44" s="18">
        <v>0</v>
      </c>
      <c r="K44" s="15" t="str">
        <f>VLOOKUP(I44,$V$6:$W$94,2)</f>
        <v>LS KF3 OH LED Flood  22000-28000</v>
      </c>
      <c r="L44" s="16">
        <f>VLOOKUP(I44,$V$6:$X$94,3)+VLOOKUP(J44,$V$95:$X$100,3)</f>
        <v>15.06</v>
      </c>
      <c r="M44" s="16">
        <f>L44*(1+$D$3)</f>
        <v>11.097714</v>
      </c>
      <c r="N44" s="23" t="str">
        <f t="shared" si="1"/>
        <v/>
      </c>
      <c r="O44" s="35" t="str">
        <f t="shared" si="2"/>
        <v/>
      </c>
      <c r="P44" s="19">
        <f>D44-M44</f>
        <v>2.2627500000000005</v>
      </c>
      <c r="Q44" s="10" t="str">
        <f>IF(P44&gt;0,"Yes","No")</f>
        <v>Yes</v>
      </c>
      <c r="R44" s="51" t="str">
        <f>IF(I44&lt;&gt;I43,N44+SUMIFS(E44:E$68,Q44:Q$68,"Yes",I44:I$68,I44),"")</f>
        <v/>
      </c>
      <c r="S44" s="38" t="str">
        <f>IF(I44&lt;&gt;I43,O44+SUMIFS(F44:F$68,I44:I$68,I44,Q44:Q$68,"Yes"),"")</f>
        <v/>
      </c>
      <c r="T44" s="39" t="str">
        <f>IF(R44&lt;&gt;"",S44/R44,"")</f>
        <v/>
      </c>
      <c r="V44" s="8">
        <v>460</v>
      </c>
      <c r="W44" s="48" t="s">
        <v>39</v>
      </c>
      <c r="X44" s="4">
        <v>33.36</v>
      </c>
      <c r="Y44" s="59" t="s">
        <v>191</v>
      </c>
      <c r="Z44" s="60">
        <v>228</v>
      </c>
    </row>
    <row r="45" spans="1:26" ht="15.75" thickBot="1" x14ac:dyDescent="0.3">
      <c r="A45" s="14">
        <v>489</v>
      </c>
      <c r="B45" s="17" t="s">
        <v>105</v>
      </c>
      <c r="C45" s="44">
        <f>VLOOKUP(A45,$V$6:$X$94,3)</f>
        <v>23.16</v>
      </c>
      <c r="D45" s="16">
        <f>C45*(1+$D$2)</f>
        <v>18.787392000000001</v>
      </c>
      <c r="E45" s="23">
        <f t="shared" si="0"/>
        <v>8439</v>
      </c>
      <c r="F45" s="35">
        <f>D45*E45</f>
        <v>158546.80108800001</v>
      </c>
      <c r="G45" s="13">
        <v>471</v>
      </c>
      <c r="H45" s="13"/>
      <c r="I45" s="14" t="s">
        <v>4</v>
      </c>
      <c r="J45" s="18">
        <v>0</v>
      </c>
      <c r="K45" s="15" t="str">
        <f>VLOOKUP(I45,$V$6:$W$94,2)</f>
        <v>LS KF3 OH LED Flood  22000-28000</v>
      </c>
      <c r="L45" s="16">
        <f>VLOOKUP(I45,$V$6:$X$94,3)+VLOOKUP(J45,$V$95:$X$100,3)</f>
        <v>15.06</v>
      </c>
      <c r="M45" s="16">
        <f>L45*(1+$D$3)</f>
        <v>11.097714</v>
      </c>
      <c r="N45" s="23" t="str">
        <f t="shared" si="1"/>
        <v/>
      </c>
      <c r="O45" s="35" t="str">
        <f t="shared" si="2"/>
        <v/>
      </c>
      <c r="P45" s="19">
        <f>D45-M45</f>
        <v>7.6896780000000007</v>
      </c>
      <c r="Q45" s="10" t="str">
        <f>IF(P45&gt;0,"Yes","No")</f>
        <v>Yes</v>
      </c>
      <c r="R45" s="51" t="str">
        <f>IF(I45&lt;&gt;I44,N45+SUMIFS(E45:E$68,Q45:Q$68,"Yes",I45:I$68,I45),"")</f>
        <v/>
      </c>
      <c r="S45" s="38" t="str">
        <f>IF(I45&lt;&gt;I44,O45+SUMIFS(F45:F$68,I45:I$68,I45,Q45:Q$68,"Yes"),"")</f>
        <v/>
      </c>
      <c r="T45" s="39" t="str">
        <f>IF(R45&lt;&gt;"",S45/R45,"")</f>
        <v/>
      </c>
      <c r="V45" s="8">
        <v>461</v>
      </c>
      <c r="W45" s="48" t="s">
        <v>40</v>
      </c>
      <c r="X45" s="4">
        <v>9.58</v>
      </c>
      <c r="Y45" s="59" t="s">
        <v>192</v>
      </c>
      <c r="Z45" s="60">
        <v>79326</v>
      </c>
    </row>
    <row r="46" spans="1:26" ht="15.75" thickBot="1" x14ac:dyDescent="0.3">
      <c r="A46" s="14">
        <v>452</v>
      </c>
      <c r="B46" s="17" t="s">
        <v>32</v>
      </c>
      <c r="C46" s="44">
        <f>VLOOKUP(A46,$V$6:$X$94,3)</f>
        <v>50.12</v>
      </c>
      <c r="D46" s="16">
        <f>C46*(1+$D$2)</f>
        <v>40.657344000000002</v>
      </c>
      <c r="E46" s="23">
        <f t="shared" si="0"/>
        <v>717</v>
      </c>
      <c r="F46" s="35">
        <f>D46*E46</f>
        <v>29151.315648</v>
      </c>
      <c r="G46" s="13">
        <v>1080</v>
      </c>
      <c r="H46" s="13"/>
      <c r="I46" s="14" t="s">
        <v>5</v>
      </c>
      <c r="J46" s="18">
        <v>0</v>
      </c>
      <c r="K46" s="15" t="str">
        <f>VLOOKUP(I46,$V$6:$W$94,2)</f>
        <v>LS KF4 OH LED Flood  35000-50000</v>
      </c>
      <c r="L46" s="16">
        <f>VLOOKUP(I46,$V$6:$X$94,3)+VLOOKUP(J46,$V$95:$X$100,3)</f>
        <v>21.83</v>
      </c>
      <c r="M46" s="16">
        <f>L46*(1+$D$3)</f>
        <v>16.086527</v>
      </c>
      <c r="N46" s="23">
        <f t="shared" si="1"/>
        <v>468</v>
      </c>
      <c r="O46" s="35">
        <f t="shared" si="2"/>
        <v>7528.4946360000004</v>
      </c>
      <c r="P46" s="19">
        <f>D46-M46</f>
        <v>24.570817000000002</v>
      </c>
      <c r="Q46" s="10" t="str">
        <f>IF(P46&gt;0,"Yes","No")</f>
        <v>Yes</v>
      </c>
      <c r="R46" s="51">
        <f>IF(I46&lt;&gt;I45,N46+SUMIFS(E46:E$68,Q46:Q$68,"Yes",I46:I$68,I46),"")</f>
        <v>1185</v>
      </c>
      <c r="S46" s="38">
        <f>IF(I46&lt;&gt;I45,O46+SUMIFS(F46:F$68,I46:I$68,I46,Q46:Q$68,"Yes"),"")</f>
        <v>36679.810283999999</v>
      </c>
      <c r="T46" s="39">
        <f>IF(R46&lt;&gt;"",S46/R46,"")</f>
        <v>30.953426399999998</v>
      </c>
      <c r="V46" s="8">
        <v>462</v>
      </c>
      <c r="W46" s="48" t="s">
        <v>88</v>
      </c>
      <c r="X46" s="4">
        <v>10.71</v>
      </c>
      <c r="Y46" s="59" t="s">
        <v>193</v>
      </c>
      <c r="Z46" s="60">
        <v>104606</v>
      </c>
    </row>
    <row r="47" spans="1:26" ht="15.75" thickBot="1" x14ac:dyDescent="0.3">
      <c r="A47" s="14">
        <v>460</v>
      </c>
      <c r="B47" s="17" t="s">
        <v>39</v>
      </c>
      <c r="C47" s="44">
        <f>VLOOKUP(A47,$V$6:$X$94,3)</f>
        <v>33.36</v>
      </c>
      <c r="D47" s="16">
        <f>C47*(1+$D$2)</f>
        <v>27.061631999999999</v>
      </c>
      <c r="E47" s="23">
        <f t="shared" si="0"/>
        <v>19</v>
      </c>
      <c r="F47" s="35">
        <f>D47*E47</f>
        <v>514.17100800000003</v>
      </c>
      <c r="G47" s="13">
        <v>150</v>
      </c>
      <c r="H47" s="13"/>
      <c r="I47" s="14" t="s">
        <v>6</v>
      </c>
      <c r="J47" s="18" t="s">
        <v>76</v>
      </c>
      <c r="K47" s="15" t="str">
        <f>VLOOKUP(I47,$V$6:$W$94,2)</f>
        <v>LS KF6 UG LED Flood  14000-17500</v>
      </c>
      <c r="L47" s="16">
        <f>VLOOKUP(I47,$V$6:$X$94,3)+VLOOKUP(J47,$V$95:$X$100,3)</f>
        <v>22.86</v>
      </c>
      <c r="M47" s="16">
        <f>L47*(1+$D$3)</f>
        <v>16.845534000000001</v>
      </c>
      <c r="N47" s="23">
        <f t="shared" si="1"/>
        <v>0</v>
      </c>
      <c r="O47" s="35">
        <f t="shared" si="2"/>
        <v>0</v>
      </c>
      <c r="P47" s="19">
        <f>D47-M47</f>
        <v>10.216097999999999</v>
      </c>
      <c r="Q47" s="10" t="str">
        <f>IF(P47&gt;0,"Yes","No")</f>
        <v>Yes</v>
      </c>
      <c r="R47" s="51">
        <f>IF(I47&lt;&gt;I46,N47+SUMIFS(E47:E$68,Q47:Q$68,"Yes",I47:I$68,I47),"")</f>
        <v>164</v>
      </c>
      <c r="S47" s="38">
        <f>IF(I47&lt;&gt;I46,O47+SUMIFS(F47:F$68,I47:I$68,I47,Q47:Q$68,"Yes"),"")</f>
        <v>3153.6535680000006</v>
      </c>
      <c r="T47" s="30" t="e">
        <f>#REF!</f>
        <v>#REF!</v>
      </c>
      <c r="V47" s="8">
        <v>463</v>
      </c>
      <c r="W47" s="48" t="s">
        <v>87</v>
      </c>
      <c r="X47" s="4">
        <v>11.06</v>
      </c>
      <c r="Y47" s="59" t="s">
        <v>194</v>
      </c>
      <c r="Z47" s="60">
        <v>252876</v>
      </c>
    </row>
    <row r="48" spans="1:26" ht="15.75" thickBot="1" x14ac:dyDescent="0.3">
      <c r="A48" s="14">
        <v>454</v>
      </c>
      <c r="B48" s="17" t="s">
        <v>33</v>
      </c>
      <c r="C48" s="44">
        <f>VLOOKUP(A48,$V$6:$X$94,3)</f>
        <v>22.44</v>
      </c>
      <c r="D48" s="16">
        <f>C48*(1+$D$2)</f>
        <v>18.203328000000003</v>
      </c>
      <c r="E48" s="23">
        <f t="shared" si="0"/>
        <v>145</v>
      </c>
      <c r="F48" s="35">
        <f>D48*E48</f>
        <v>2639.4825600000004</v>
      </c>
      <c r="G48" s="13">
        <v>150</v>
      </c>
      <c r="H48" s="13"/>
      <c r="I48" s="14" t="s">
        <v>6</v>
      </c>
      <c r="J48" s="18" t="s">
        <v>76</v>
      </c>
      <c r="K48" s="15" t="str">
        <f>VLOOKUP(I48,$V$6:$W$94,2)</f>
        <v>LS KF6 UG LED Flood  14000-17500</v>
      </c>
      <c r="L48" s="16">
        <f>VLOOKUP(I48,$V$6:$X$94,3)+VLOOKUP(J48,$V$95:$X$100,3)</f>
        <v>22.86</v>
      </c>
      <c r="M48" s="16">
        <f>L48*(1+$D$3)</f>
        <v>16.845534000000001</v>
      </c>
      <c r="N48" s="23" t="str">
        <f t="shared" si="1"/>
        <v/>
      </c>
      <c r="O48" s="35" t="str">
        <f t="shared" si="2"/>
        <v/>
      </c>
      <c r="P48" s="19">
        <f>D48-M48</f>
        <v>1.3577940000000019</v>
      </c>
      <c r="Q48" s="10" t="str">
        <f>IF(P48&gt;0,"Yes","No")</f>
        <v>Yes</v>
      </c>
      <c r="R48" s="51" t="str">
        <f>IF(I48&lt;&gt;I47,N48+SUMIFS(E48:E$68,Q48:Q$68,"Yes",I48:I$68,I48),"")</f>
        <v/>
      </c>
      <c r="S48" s="38" t="str">
        <f>IF(I48&lt;&gt;I47,O48+SUMIFS(F48:F$68,I48:I$68,I48,Q48:Q$68,"Yes"),"")</f>
        <v/>
      </c>
      <c r="T48" s="39" t="str">
        <f>IF(R48&lt;&gt;"",S48/R48,"")</f>
        <v/>
      </c>
      <c r="V48" s="8">
        <v>464</v>
      </c>
      <c r="W48" s="48" t="s">
        <v>89</v>
      </c>
      <c r="X48" s="4">
        <v>17.149999999999999</v>
      </c>
      <c r="Y48" s="59" t="s">
        <v>195</v>
      </c>
      <c r="Z48" s="60">
        <v>93420</v>
      </c>
    </row>
    <row r="49" spans="1:26" ht="15.75" thickBot="1" x14ac:dyDescent="0.3">
      <c r="A49" s="14">
        <v>469</v>
      </c>
      <c r="B49" s="17" t="s">
        <v>42</v>
      </c>
      <c r="C49" s="44">
        <f>VLOOKUP(A49,$V$6:$X$94,3)</f>
        <v>39.29</v>
      </c>
      <c r="D49" s="16">
        <f>C49*(1+$D$2)</f>
        <v>31.872047999999999</v>
      </c>
      <c r="E49" s="23">
        <f t="shared" si="0"/>
        <v>260</v>
      </c>
      <c r="F49" s="35">
        <f>D49*E49</f>
        <v>8286.7324800000006</v>
      </c>
      <c r="G49" s="13">
        <v>350</v>
      </c>
      <c r="H49" s="13"/>
      <c r="I49" s="14" t="s">
        <v>7</v>
      </c>
      <c r="J49" s="18" t="s">
        <v>76</v>
      </c>
      <c r="K49" s="15" t="str">
        <f>VLOOKUP(I49,$V$6:$W$94,2)</f>
        <v>LS KF7 UG LED Flood  22000-28000</v>
      </c>
      <c r="L49" s="16">
        <f>VLOOKUP(I49,$V$6:$X$94,3)+VLOOKUP(J49,$V$95:$X$100,3)</f>
        <v>25.21</v>
      </c>
      <c r="M49" s="16">
        <f>L49*(1+$D$3)</f>
        <v>18.577249000000002</v>
      </c>
      <c r="N49" s="23">
        <f t="shared" si="1"/>
        <v>4</v>
      </c>
      <c r="O49" s="35">
        <f t="shared" si="2"/>
        <v>74.308996000000008</v>
      </c>
      <c r="P49" s="19">
        <f>D49-M49</f>
        <v>13.294798999999998</v>
      </c>
      <c r="Q49" s="10" t="str">
        <f>IF(P49&gt;0,"Yes","No")</f>
        <v>Yes</v>
      </c>
      <c r="R49" s="51">
        <f>IF(I49&lt;&gt;I48,N49+SUMIFS(E49:E$68,Q49:Q$68,"Yes",I49:I$68,I49),"")</f>
        <v>1135</v>
      </c>
      <c r="S49" s="38">
        <f>IF(I49&lt;&gt;I48,O49+SUMIFS(F49:F$68,I49:I$68,I49,Q49:Q$68,"Yes"),"")</f>
        <v>29070.174387999999</v>
      </c>
      <c r="T49" s="39">
        <f>IF(R49&lt;&gt;"",S49/R49,"")</f>
        <v>25.612488447577093</v>
      </c>
      <c r="V49" s="8">
        <v>465</v>
      </c>
      <c r="W49" s="48" t="s">
        <v>90</v>
      </c>
      <c r="X49" s="4">
        <v>27.03</v>
      </c>
      <c r="Y49" s="59" t="s">
        <v>196</v>
      </c>
      <c r="Z49" s="60">
        <v>32222</v>
      </c>
    </row>
    <row r="50" spans="1:26" ht="15.75" thickBot="1" x14ac:dyDescent="0.3">
      <c r="A50" s="14">
        <v>455</v>
      </c>
      <c r="B50" s="17" t="s">
        <v>34</v>
      </c>
      <c r="C50" s="44">
        <f>VLOOKUP(A50,$V$6:$X$94,3)</f>
        <v>29.31</v>
      </c>
      <c r="D50" s="16">
        <f>C50*(1+$D$2)</f>
        <v>23.776271999999999</v>
      </c>
      <c r="E50" s="23">
        <f t="shared" si="0"/>
        <v>871</v>
      </c>
      <c r="F50" s="35">
        <f>D50*E50</f>
        <v>20709.132911999997</v>
      </c>
      <c r="G50" s="13">
        <v>350</v>
      </c>
      <c r="H50" s="13"/>
      <c r="I50" s="14" t="s">
        <v>7</v>
      </c>
      <c r="J50" s="18" t="s">
        <v>76</v>
      </c>
      <c r="K50" s="15" t="str">
        <f>VLOOKUP(I50,$V$6:$W$94,2)</f>
        <v>LS KF7 UG LED Flood  22000-28000</v>
      </c>
      <c r="L50" s="16">
        <f>VLOOKUP(I50,$V$6:$X$94,3)+VLOOKUP(J50,$V$95:$X$100,3)</f>
        <v>25.21</v>
      </c>
      <c r="M50" s="16">
        <f>L50*(1+$D$3)</f>
        <v>18.577249000000002</v>
      </c>
      <c r="N50" s="23" t="str">
        <f t="shared" si="1"/>
        <v/>
      </c>
      <c r="O50" s="35" t="str">
        <f t="shared" si="2"/>
        <v/>
      </c>
      <c r="P50" s="19">
        <f>D50-M50</f>
        <v>5.1990229999999968</v>
      </c>
      <c r="Q50" s="10" t="str">
        <f>IF(P50&gt;0,"Yes","No")</f>
        <v>Yes</v>
      </c>
      <c r="R50" s="51" t="str">
        <f>IF(I50&lt;&gt;I49,N50+SUMIFS(E50:E$68,Q50:Q$68,"Yes",I50:I$68,I50),"")</f>
        <v/>
      </c>
      <c r="S50" s="38" t="str">
        <f>IF(I50&lt;&gt;I49,O50+SUMIFS(F50:F$68,I50:I$68,I50,Q50:Q$68,"Yes"),"")</f>
        <v/>
      </c>
      <c r="T50" s="39" t="str">
        <f>IF(R50&lt;&gt;"",S50/R50,"")</f>
        <v/>
      </c>
      <c r="V50" s="8">
        <v>466</v>
      </c>
      <c r="W50" s="48" t="s">
        <v>41</v>
      </c>
      <c r="X50" s="4">
        <v>12.06</v>
      </c>
      <c r="Y50" s="59" t="s">
        <v>197</v>
      </c>
      <c r="Z50" s="60">
        <v>9444</v>
      </c>
    </row>
    <row r="51" spans="1:26" ht="15.75" thickBot="1" x14ac:dyDescent="0.3">
      <c r="A51" s="14">
        <v>459</v>
      </c>
      <c r="B51" s="17" t="s">
        <v>38</v>
      </c>
      <c r="C51" s="44">
        <f>VLOOKUP(A51,$V$6:$X$94,3)</f>
        <v>55.15</v>
      </c>
      <c r="D51" s="16">
        <f>C51*(1+$D$2)</f>
        <v>44.737679999999997</v>
      </c>
      <c r="E51" s="23">
        <f t="shared" si="0"/>
        <v>129</v>
      </c>
      <c r="F51" s="35">
        <f>D51*E51</f>
        <v>5771.1607199999999</v>
      </c>
      <c r="G51" s="13">
        <v>1080</v>
      </c>
      <c r="H51" s="13"/>
      <c r="I51" s="14" t="s">
        <v>9</v>
      </c>
      <c r="J51" s="18" t="s">
        <v>76</v>
      </c>
      <c r="K51" s="15" t="str">
        <f>VLOOKUP(I51,$V$6:$W$94,2)</f>
        <v>LS KF8 UG LED Flood  35000-50000</v>
      </c>
      <c r="L51" s="16">
        <f>VLOOKUP(I51,$V$6:$X$94,3)+VLOOKUP(J51,$V$95:$X$100,3)</f>
        <v>31.99</v>
      </c>
      <c r="M51" s="16">
        <f>L51*(1+$D$3)</f>
        <v>23.573430999999999</v>
      </c>
      <c r="N51" s="23">
        <f t="shared" si="1"/>
        <v>25</v>
      </c>
      <c r="O51" s="35">
        <f t="shared" si="2"/>
        <v>589.33577500000001</v>
      </c>
      <c r="P51" s="19">
        <f>D51-M51</f>
        <v>21.164248999999998</v>
      </c>
      <c r="Q51" s="10" t="str">
        <f>IF(P51&gt;0,"Yes","No")</f>
        <v>Yes</v>
      </c>
      <c r="R51" s="51">
        <f>IF(I51&lt;&gt;I50,N51+SUMIFS(E51:E$68,Q51:Q$68,"Yes",I51:I$68,I51),"")</f>
        <v>192</v>
      </c>
      <c r="S51" s="38">
        <f>IF(I51&lt;&gt;I50,O51+SUMIFS(F51:F$68,I51:I$68,I51,Q51:Q$68,"Yes"),"")</f>
        <v>8360.4614230000007</v>
      </c>
      <c r="T51" s="39">
        <f>IF(R51&lt;&gt;"",S51/R51,"")</f>
        <v>43.544069911458337</v>
      </c>
      <c r="V51" s="8">
        <v>467</v>
      </c>
      <c r="W51" s="48" t="s">
        <v>96</v>
      </c>
      <c r="X51" s="4">
        <v>13.61</v>
      </c>
      <c r="Y51" s="59" t="s">
        <v>198</v>
      </c>
      <c r="Z51" s="60">
        <v>18664</v>
      </c>
    </row>
    <row r="52" spans="1:26" ht="15.75" thickBot="1" x14ac:dyDescent="0.3">
      <c r="A52" s="14">
        <v>470</v>
      </c>
      <c r="B52" s="17" t="s">
        <v>43</v>
      </c>
      <c r="C52" s="44">
        <f>VLOOKUP(A52,$V$6:$X$94,3)</f>
        <v>64.88</v>
      </c>
      <c r="D52" s="16">
        <f>C52*(1+$D$2)</f>
        <v>52.630656000000002</v>
      </c>
      <c r="E52" s="23">
        <f t="shared" si="0"/>
        <v>38</v>
      </c>
      <c r="F52" s="35">
        <f>D52*E52</f>
        <v>1999.9649280000001</v>
      </c>
      <c r="G52" s="13">
        <v>1080</v>
      </c>
      <c r="H52" s="13"/>
      <c r="I52" s="14" t="s">
        <v>9</v>
      </c>
      <c r="J52" s="18" t="s">
        <v>76</v>
      </c>
      <c r="K52" s="15" t="str">
        <f>VLOOKUP(I52,$V$6:$W$94,2)</f>
        <v>LS KF8 UG LED Flood  35000-50000</v>
      </c>
      <c r="L52" s="16">
        <f>VLOOKUP(I52,$V$6:$X$94,3)+VLOOKUP(J52,$V$95:$X$100,3)</f>
        <v>31.99</v>
      </c>
      <c r="M52" s="16">
        <f>L52*(1+$D$3)</f>
        <v>23.573430999999999</v>
      </c>
      <c r="N52" s="23" t="str">
        <f t="shared" si="1"/>
        <v/>
      </c>
      <c r="O52" s="35" t="str">
        <f t="shared" si="2"/>
        <v/>
      </c>
      <c r="P52" s="19">
        <f>D52-M52</f>
        <v>29.057225000000003</v>
      </c>
      <c r="Q52" s="10" t="str">
        <f>IF(P52&gt;0,"Yes","No")</f>
        <v>Yes</v>
      </c>
      <c r="R52" s="51" t="str">
        <f>IF(I52&lt;&gt;I51,N52+SUMIFS(E52:E$68,Q52:Q$68,"Yes",I52:I$68,I52),"")</f>
        <v/>
      </c>
      <c r="S52" s="38" t="str">
        <f>IF(I52&lt;&gt;I51,O52+SUMIFS(F52:F$68,I52:I$68,I52,Q52:Q$68,"Yes"),"")</f>
        <v/>
      </c>
      <c r="T52" s="39" t="str">
        <f>IF(R52&lt;&gt;"",S52/R52,"")</f>
        <v/>
      </c>
      <c r="V52" s="8">
        <v>468</v>
      </c>
      <c r="W52" s="48" t="s">
        <v>97</v>
      </c>
      <c r="X52" s="4">
        <v>13.8</v>
      </c>
      <c r="Y52" s="59" t="s">
        <v>199</v>
      </c>
      <c r="Z52" s="60">
        <v>54924</v>
      </c>
    </row>
    <row r="53" spans="1:26" ht="15.75" thickBot="1" x14ac:dyDescent="0.3">
      <c r="A53" s="14">
        <v>476</v>
      </c>
      <c r="B53" s="17" t="s">
        <v>106</v>
      </c>
      <c r="C53" s="44">
        <f>VLOOKUP(A53,$V$6:$X$94,3)</f>
        <v>20.76</v>
      </c>
      <c r="D53" s="16">
        <f>C53*(1+$D$2)</f>
        <v>16.840512</v>
      </c>
      <c r="E53" s="23">
        <f t="shared" si="0"/>
        <v>4778.5</v>
      </c>
      <c r="F53" s="35">
        <f>D53*E53</f>
        <v>80472.386591999995</v>
      </c>
      <c r="G53" s="13">
        <v>83</v>
      </c>
      <c r="H53" s="13"/>
      <c r="I53" s="14" t="s">
        <v>10</v>
      </c>
      <c r="J53" s="18" t="s">
        <v>80</v>
      </c>
      <c r="K53" s="15" t="str">
        <f>VLOOKUP(I53,$V$6:$W$94,2)</f>
        <v>LS KN1 UG LED Contemporary 4000-7000</v>
      </c>
      <c r="L53" s="16">
        <f>VLOOKUP(I53,$V$6:$X$94,3)+VLOOKUP(J53,$V$95:$X$100,3)</f>
        <v>18.62</v>
      </c>
      <c r="M53" s="16">
        <f>L53*(1+$D$3)</f>
        <v>13.721078</v>
      </c>
      <c r="N53" s="23">
        <f t="shared" si="1"/>
        <v>202.5</v>
      </c>
      <c r="O53" s="35">
        <f t="shared" si="2"/>
        <v>2778.5182949999999</v>
      </c>
      <c r="P53" s="19">
        <f>D53-M53</f>
        <v>3.119434</v>
      </c>
      <c r="Q53" s="10" t="str">
        <f>IF(P53&gt;0,"Yes","No")</f>
        <v>Yes</v>
      </c>
      <c r="R53" s="51">
        <f>IF(I53&lt;&gt;I52,N53+SUMIFS(E53:E$68,Q53:Q$68,"Yes",I53:I$68,I53),"")</f>
        <v>4985</v>
      </c>
      <c r="S53" s="38">
        <f>IF(I53&lt;&gt;I52,O53+SUMIFS(F53:F$68,I53:I$68,I53,Q53:Q$68,"Yes"),"")</f>
        <v>83310.576759000003</v>
      </c>
      <c r="T53" s="39">
        <f>IF(R53&lt;&gt;"",S53/R53,"")</f>
        <v>16.712252108124375</v>
      </c>
      <c r="V53" s="8">
        <v>469</v>
      </c>
      <c r="W53" s="48" t="s">
        <v>42</v>
      </c>
      <c r="X53" s="4">
        <v>39.29</v>
      </c>
      <c r="Y53" s="59" t="s">
        <v>200</v>
      </c>
      <c r="Z53" s="60">
        <v>3120</v>
      </c>
    </row>
    <row r="54" spans="1:26" ht="15.75" thickBot="1" x14ac:dyDescent="0.3">
      <c r="A54" s="14">
        <v>492</v>
      </c>
      <c r="B54" s="17" t="s">
        <v>111</v>
      </c>
      <c r="C54" s="44">
        <f>VLOOKUP(A54,$V$6:$X$94,3)</f>
        <v>18.39</v>
      </c>
      <c r="D54" s="16">
        <f>C54*(1+$D$2)</f>
        <v>14.917968000000002</v>
      </c>
      <c r="E54" s="23">
        <f t="shared" si="0"/>
        <v>4</v>
      </c>
      <c r="F54" s="35">
        <f>D54*E54</f>
        <v>59.671872000000008</v>
      </c>
      <c r="G54" s="13">
        <v>83</v>
      </c>
      <c r="H54" s="13"/>
      <c r="I54" s="14" t="s">
        <v>10</v>
      </c>
      <c r="J54" s="18" t="s">
        <v>80</v>
      </c>
      <c r="K54" s="15" t="str">
        <f>VLOOKUP(I54,$V$6:$W$94,2)</f>
        <v>LS KN1 UG LED Contemporary 4000-7000</v>
      </c>
      <c r="L54" s="16">
        <f>VLOOKUP(I54,$V$6:$X$94,3)+VLOOKUP(J54,$V$95:$X$100,3)</f>
        <v>18.62</v>
      </c>
      <c r="M54" s="16">
        <f>L54*(1+$D$3)</f>
        <v>13.721078</v>
      </c>
      <c r="N54" s="23" t="str">
        <f t="shared" si="1"/>
        <v/>
      </c>
      <c r="O54" s="35" t="str">
        <f t="shared" si="2"/>
        <v/>
      </c>
      <c r="P54" s="19">
        <f>D54-M54</f>
        <v>1.1968900000000016</v>
      </c>
      <c r="Q54" s="10" t="str">
        <f>IF(P54&gt;0,"Yes","No")</f>
        <v>Yes</v>
      </c>
      <c r="R54" s="51" t="str">
        <f>IF(I54&lt;&gt;I53,N54+SUMIFS(E54:E$68,Q54:Q$68,"Yes",I54:I$68,I54),"")</f>
        <v/>
      </c>
      <c r="S54" s="38" t="str">
        <f>IF(I54&lt;&gt;I53,O54+SUMIFS(F54:F$68,I54:I$68,I54,Q54:Q$68,"Yes"),"")</f>
        <v/>
      </c>
      <c r="T54" s="39" t="str">
        <f>IF(R54&lt;&gt;"",S54/R54,"")</f>
        <v/>
      </c>
      <c r="V54" s="8">
        <v>470</v>
      </c>
      <c r="W54" s="48" t="s">
        <v>43</v>
      </c>
      <c r="X54" s="4">
        <v>64.88</v>
      </c>
      <c r="Y54" s="59" t="s">
        <v>201</v>
      </c>
      <c r="Z54" s="60">
        <v>456</v>
      </c>
    </row>
    <row r="55" spans="1:26" ht="15.75" thickBot="1" x14ac:dyDescent="0.3">
      <c r="A55" s="14">
        <v>494</v>
      </c>
      <c r="B55" s="17" t="s">
        <v>47</v>
      </c>
      <c r="C55" s="44">
        <f>VLOOKUP(A55,$V$6:$X$94,3)</f>
        <v>33.57</v>
      </c>
      <c r="D55" s="16">
        <f>C55*(1+$D$2)</f>
        <v>27.231984000000001</v>
      </c>
      <c r="E55" s="23">
        <f t="shared" si="0"/>
        <v>190</v>
      </c>
      <c r="F55" s="35">
        <f>D55*E55</f>
        <v>5174.0769600000003</v>
      </c>
      <c r="G55" s="13">
        <v>150</v>
      </c>
      <c r="H55" s="13"/>
      <c r="I55" s="14" t="s">
        <v>11</v>
      </c>
      <c r="J55" s="18" t="s">
        <v>80</v>
      </c>
      <c r="K55" s="15" t="str">
        <f>VLOOKUP(I55,$V$6:$W$94,2)</f>
        <v>LS KN2 UG LED Contemporary 8000-11000</v>
      </c>
      <c r="L55" s="16">
        <f>VLOOKUP(I55,$V$6:$X$94,3)+VLOOKUP(J55,$V$95:$X$100,3)</f>
        <v>19.97</v>
      </c>
      <c r="M55" s="16">
        <f>L55*(1+$D$3)</f>
        <v>14.715892999999999</v>
      </c>
      <c r="N55" s="23">
        <f t="shared" si="1"/>
        <v>3</v>
      </c>
      <c r="O55" s="35">
        <f t="shared" si="2"/>
        <v>44.147678999999997</v>
      </c>
      <c r="P55" s="19">
        <f>D55-M55</f>
        <v>12.516091000000001</v>
      </c>
      <c r="Q55" s="10" t="str">
        <f>IF(P55&gt;0,"Yes","No")</f>
        <v>Yes</v>
      </c>
      <c r="R55" s="51">
        <f>IF(I55&lt;&gt;I54,N55+SUMIFS(E55:E$68,Q55:Q$68,"Yes",I55:I$68,I55),"")</f>
        <v>1359</v>
      </c>
      <c r="S55" s="38">
        <f>IF(I55&lt;&gt;I54,O55+SUMIFS(F55:F$68,I55:I$68,I55,Q55:Q$68,"Yes"),"")</f>
        <v>28968.473343000005</v>
      </c>
      <c r="T55" s="39">
        <f>IF(R55&lt;&gt;"",S55/R55,"")</f>
        <v>21.316021591611484</v>
      </c>
      <c r="V55" s="8">
        <v>471</v>
      </c>
      <c r="W55" s="48" t="s">
        <v>44</v>
      </c>
      <c r="X55" s="4">
        <v>13.1</v>
      </c>
      <c r="Y55" s="59" t="s">
        <v>202</v>
      </c>
      <c r="Z55" s="60">
        <v>39204</v>
      </c>
    </row>
    <row r="56" spans="1:26" ht="15.75" thickBot="1" x14ac:dyDescent="0.3">
      <c r="A56" s="14">
        <v>477</v>
      </c>
      <c r="B56" s="17" t="s">
        <v>107</v>
      </c>
      <c r="C56" s="44">
        <f>VLOOKUP(A56,$V$6:$X$94,3)</f>
        <v>25.44</v>
      </c>
      <c r="D56" s="16">
        <f>C56*(1+$D$2)</f>
        <v>20.636928000000001</v>
      </c>
      <c r="E56" s="23">
        <f t="shared" si="0"/>
        <v>1108</v>
      </c>
      <c r="F56" s="35">
        <f>D56*E56</f>
        <v>22865.716224</v>
      </c>
      <c r="G56" s="13">
        <v>117</v>
      </c>
      <c r="H56" s="13"/>
      <c r="I56" s="14" t="s">
        <v>11</v>
      </c>
      <c r="J56" s="18" t="s">
        <v>80</v>
      </c>
      <c r="K56" s="15" t="str">
        <f>VLOOKUP(I56,$V$6:$W$94,2)</f>
        <v>LS KN2 UG LED Contemporary 8000-11000</v>
      </c>
      <c r="L56" s="16">
        <f>VLOOKUP(I56,$V$6:$X$94,3)+VLOOKUP(J56,$V$95:$X$100,3)</f>
        <v>19.97</v>
      </c>
      <c r="M56" s="16">
        <f>L56*(1+$D$3)</f>
        <v>14.715892999999999</v>
      </c>
      <c r="N56" s="23" t="str">
        <f t="shared" si="1"/>
        <v/>
      </c>
      <c r="O56" s="35" t="str">
        <f t="shared" si="2"/>
        <v/>
      </c>
      <c r="P56" s="19">
        <f>D56-M56</f>
        <v>5.9210350000000016</v>
      </c>
      <c r="Q56" s="10" t="str">
        <f>IF(P56&gt;0,"Yes","No")</f>
        <v>Yes</v>
      </c>
      <c r="R56" s="51" t="str">
        <f>IF(I56&lt;&gt;I55,N56+SUMIFS(E56:E$68,Q56:Q$68,"Yes",I56:I$68,I56),"")</f>
        <v/>
      </c>
      <c r="S56" s="38" t="str">
        <f>IF(I56&lt;&gt;I55,O56+SUMIFS(F56:F$68,I56:I$68,I56,Q56:Q$68,"Yes"),"")</f>
        <v/>
      </c>
      <c r="T56" s="39" t="str">
        <f>IF(R56&lt;&gt;"",S56/R56,"")</f>
        <v/>
      </c>
      <c r="V56" s="8">
        <v>472</v>
      </c>
      <c r="W56" s="48" t="s">
        <v>91</v>
      </c>
      <c r="X56" s="4">
        <v>14.59</v>
      </c>
      <c r="Y56" s="59" t="s">
        <v>203</v>
      </c>
      <c r="Z56" s="60">
        <v>113520</v>
      </c>
    </row>
    <row r="57" spans="1:26" ht="15.75" thickBot="1" x14ac:dyDescent="0.3">
      <c r="A57" s="14">
        <v>490</v>
      </c>
      <c r="B57" s="17" t="s">
        <v>45</v>
      </c>
      <c r="C57" s="44">
        <f>VLOOKUP(A57,$V$6:$X$94,3)</f>
        <v>18.8</v>
      </c>
      <c r="D57" s="16">
        <f>C57*(1+$D$2)</f>
        <v>15.250560000000002</v>
      </c>
      <c r="E57" s="23">
        <f t="shared" si="0"/>
        <v>58</v>
      </c>
      <c r="F57" s="35">
        <f>D57*E57</f>
        <v>884.53248000000008</v>
      </c>
      <c r="G57" s="13">
        <v>150</v>
      </c>
      <c r="H57" s="13"/>
      <c r="I57" s="14" t="s">
        <v>11</v>
      </c>
      <c r="J57" s="18" t="s">
        <v>80</v>
      </c>
      <c r="K57" s="15" t="str">
        <f>VLOOKUP(I57,$V$6:$W$94,2)</f>
        <v>LS KN2 UG LED Contemporary 8000-11000</v>
      </c>
      <c r="L57" s="16">
        <f>VLOOKUP(I57,$V$6:$X$94,3)+VLOOKUP(J57,$V$95:$X$100,3)</f>
        <v>19.97</v>
      </c>
      <c r="M57" s="16">
        <f>L57*(1+$D$3)</f>
        <v>14.715892999999999</v>
      </c>
      <c r="N57" s="23" t="str">
        <f t="shared" si="1"/>
        <v/>
      </c>
      <c r="O57" s="35" t="str">
        <f t="shared" si="2"/>
        <v/>
      </c>
      <c r="P57" s="19">
        <f>D57-M57</f>
        <v>0.53466700000000245</v>
      </c>
      <c r="Q57" s="10" t="str">
        <f>IF(P57&gt;0,"Yes","No")</f>
        <v>Yes</v>
      </c>
      <c r="R57" s="51" t="str">
        <f>IF(I57&lt;&gt;I56,N57+SUMIFS(E57:E$68,Q57:Q$68,"Yes",I57:I$68,I57),"")</f>
        <v/>
      </c>
      <c r="S57" s="38" t="str">
        <f>IF(I57&lt;&gt;I56,O57+SUMIFS(F57:F$68,I57:I$68,I57,Q57:Q$68,"Yes"),"")</f>
        <v/>
      </c>
      <c r="T57" s="39" t="str">
        <f>IF(R57&lt;&gt;"",S57/R57,"")</f>
        <v/>
      </c>
      <c r="V57" s="8">
        <v>473</v>
      </c>
      <c r="W57" s="48" t="s">
        <v>92</v>
      </c>
      <c r="X57" s="4">
        <v>15.16</v>
      </c>
      <c r="Y57" s="59" t="s">
        <v>204</v>
      </c>
      <c r="Z57" s="60">
        <v>41658</v>
      </c>
    </row>
    <row r="58" spans="1:26" ht="15.75" thickBot="1" x14ac:dyDescent="0.3">
      <c r="A58" s="14">
        <v>497</v>
      </c>
      <c r="B58" s="17" t="s">
        <v>113</v>
      </c>
      <c r="C58" s="44">
        <f>VLOOKUP(A58,$V$6:$X$94,3)</f>
        <v>18.09</v>
      </c>
      <c r="D58" s="16">
        <f>C58*(1+$D$2)</f>
        <v>14.674608000000001</v>
      </c>
      <c r="E58" s="23">
        <f t="shared" si="0"/>
        <v>30</v>
      </c>
      <c r="F58" s="35">
        <f>D58*E58</f>
        <v>440.23824000000002</v>
      </c>
      <c r="G58" s="13">
        <v>117</v>
      </c>
      <c r="H58" s="13"/>
      <c r="I58" s="14" t="s">
        <v>11</v>
      </c>
      <c r="J58" s="18" t="s">
        <v>80</v>
      </c>
      <c r="K58" s="15" t="str">
        <f>VLOOKUP(I58,$V$6:$W$94,2)</f>
        <v>LS KN2 UG LED Contemporary 8000-11000</v>
      </c>
      <c r="L58" s="16">
        <f>VLOOKUP(I58,$V$6:$X$94,3)+VLOOKUP(J58,$V$95:$X$100,3)</f>
        <v>19.97</v>
      </c>
      <c r="M58" s="16">
        <f>L58*(1+$D$3)</f>
        <v>14.715892999999999</v>
      </c>
      <c r="N58" s="23" t="str">
        <f t="shared" si="1"/>
        <v/>
      </c>
      <c r="O58" s="35" t="str">
        <f t="shared" si="2"/>
        <v/>
      </c>
      <c r="P58" s="19">
        <f>D58-M58</f>
        <v>-4.1284999999998462E-2</v>
      </c>
      <c r="Q58" s="10" t="str">
        <f>IF(P58&gt;0,"Yes","No")</f>
        <v>No</v>
      </c>
      <c r="R58" s="51" t="str">
        <f>IF(I58&lt;&gt;I57,N58+SUMIFS(E58:E$68,Q58:Q$68,"Yes",I58:I$68,I58),"")</f>
        <v/>
      </c>
      <c r="S58" s="38" t="str">
        <f>IF(I58&lt;&gt;I57,O58+SUMIFS(F58:F$68,I58:I$68,I58,Q58:Q$68,"Yes"),"")</f>
        <v/>
      </c>
      <c r="T58" s="39" t="str">
        <f>IF(R58&lt;&gt;"",S58/R58,"")</f>
        <v/>
      </c>
      <c r="V58" s="8">
        <v>474</v>
      </c>
      <c r="W58" s="48" t="s">
        <v>93</v>
      </c>
      <c r="X58" s="4">
        <v>21.55</v>
      </c>
      <c r="Y58" s="59" t="s">
        <v>205</v>
      </c>
      <c r="Z58" s="60">
        <v>62354</v>
      </c>
    </row>
    <row r="59" spans="1:26" ht="15.75" thickBot="1" x14ac:dyDescent="0.3">
      <c r="A59" s="14">
        <v>478</v>
      </c>
      <c r="B59" s="17" t="s">
        <v>108</v>
      </c>
      <c r="C59" s="44">
        <f>VLOOKUP(A59,$V$6:$X$94,3)</f>
        <v>32.770000000000003</v>
      </c>
      <c r="D59" s="16">
        <f>C59*(1+$D$2)</f>
        <v>26.583024000000005</v>
      </c>
      <c r="E59" s="23">
        <f t="shared" si="0"/>
        <v>1469</v>
      </c>
      <c r="F59" s="35">
        <f>D59*E59</f>
        <v>39050.462256000006</v>
      </c>
      <c r="G59" s="13">
        <v>242</v>
      </c>
      <c r="H59" s="13"/>
      <c r="I59" s="14" t="s">
        <v>12</v>
      </c>
      <c r="J59" s="18" t="s">
        <v>80</v>
      </c>
      <c r="K59" s="15" t="str">
        <f>VLOOKUP(I59,$V$6:$W$94,2)</f>
        <v>LS KN3 UG LED Contemporary 13500-16500</v>
      </c>
      <c r="L59" s="16">
        <f>VLOOKUP(I59,$V$6:$X$94,3)+VLOOKUP(J59,$V$95:$X$100,3)</f>
        <v>21.86</v>
      </c>
      <c r="M59" s="16">
        <f>L59*(1+$D$3)</f>
        <v>16.108633999999999</v>
      </c>
      <c r="N59" s="23">
        <f t="shared" si="1"/>
        <v>63</v>
      </c>
      <c r="O59" s="35">
        <f t="shared" si="2"/>
        <v>1014.8439419999999</v>
      </c>
      <c r="P59" s="19">
        <f>D59-M59</f>
        <v>10.474390000000007</v>
      </c>
      <c r="Q59" s="10" t="str">
        <f>IF(P59&gt;0,"Yes","No")</f>
        <v>Yes</v>
      </c>
      <c r="R59" s="51">
        <f>IF(I59&lt;&gt;I58,N59+SUMIFS(E59:E$68,Q59:Q$68,"Yes",I59:I$68,I59),"")</f>
        <v>1568</v>
      </c>
      <c r="S59" s="38">
        <f>IF(I59&lt;&gt;I58,O59+SUMIFS(F59:F$68,I59:I$68,I59,Q59:Q$68,"Yes"),"")</f>
        <v>40682.661846000003</v>
      </c>
      <c r="T59" s="39">
        <f>IF(R59&lt;&gt;"",S59/R59,"")</f>
        <v>25.945575156887756</v>
      </c>
      <c r="V59" s="8">
        <v>475</v>
      </c>
      <c r="W59" s="48" t="s">
        <v>94</v>
      </c>
      <c r="X59" s="4">
        <v>29.97</v>
      </c>
      <c r="Y59" s="59" t="s">
        <v>206</v>
      </c>
      <c r="Z59" s="60">
        <v>6932</v>
      </c>
    </row>
    <row r="60" spans="1:26" ht="15.75" thickBot="1" x14ac:dyDescent="0.3">
      <c r="A60" s="14">
        <v>498</v>
      </c>
      <c r="B60" s="17" t="s">
        <v>114</v>
      </c>
      <c r="C60" s="44">
        <f>VLOOKUP(A60,$V$6:$X$94,3)</f>
        <v>21.14</v>
      </c>
      <c r="D60" s="16">
        <f>C60*(1+$D$2)</f>
        <v>17.148768</v>
      </c>
      <c r="E60" s="23">
        <f t="shared" si="0"/>
        <v>36</v>
      </c>
      <c r="F60" s="35">
        <f>D60*E60</f>
        <v>617.35564799999997</v>
      </c>
      <c r="G60" s="13">
        <v>242</v>
      </c>
      <c r="H60" s="13"/>
      <c r="I60" s="14" t="s">
        <v>12</v>
      </c>
      <c r="J60" s="18" t="s">
        <v>80</v>
      </c>
      <c r="K60" s="15" t="str">
        <f>VLOOKUP(I60,$V$6:$W$94,2)</f>
        <v>LS KN3 UG LED Contemporary 13500-16500</v>
      </c>
      <c r="L60" s="16">
        <f>VLOOKUP(I60,$V$6:$X$94,3)+VLOOKUP(J60,$V$95:$X$100,3)</f>
        <v>21.86</v>
      </c>
      <c r="M60" s="16">
        <f>L60*(1+$D$3)</f>
        <v>16.108633999999999</v>
      </c>
      <c r="N60" s="23" t="str">
        <f t="shared" si="1"/>
        <v/>
      </c>
      <c r="O60" s="35" t="str">
        <f t="shared" si="2"/>
        <v/>
      </c>
      <c r="P60" s="19">
        <f>D60-M60</f>
        <v>1.0401340000000019</v>
      </c>
      <c r="Q60" s="10" t="str">
        <f>IF(P60&gt;0,"Yes","No")</f>
        <v>Yes</v>
      </c>
      <c r="R60" s="51" t="str">
        <f>IF(I60&lt;&gt;I59,N60+SUMIFS(E60:E$68,Q60:Q$68,"Yes",I60:I$68,I60),"")</f>
        <v/>
      </c>
      <c r="S60" s="38" t="str">
        <f>IF(I60&lt;&gt;I59,O60+SUMIFS(F60:F$68,I60:I$68,I60,Q60:Q$68,"Yes"),"")</f>
        <v/>
      </c>
      <c r="T60" s="39" t="str">
        <f>IF(R60&lt;&gt;"",S60/R60,"")</f>
        <v/>
      </c>
      <c r="V60" s="8">
        <v>476</v>
      </c>
      <c r="W60" s="48" t="s">
        <v>106</v>
      </c>
      <c r="X60" s="4">
        <v>20.76</v>
      </c>
      <c r="Y60" s="59" t="s">
        <v>207</v>
      </c>
      <c r="Z60" s="60">
        <v>57342</v>
      </c>
    </row>
    <row r="61" spans="1:26" ht="15.75" thickBot="1" x14ac:dyDescent="0.3">
      <c r="A61" s="14">
        <v>479</v>
      </c>
      <c r="B61" s="17" t="s">
        <v>109</v>
      </c>
      <c r="C61" s="44">
        <f>VLOOKUP(A61,$V$6:$X$94,3)</f>
        <v>40.25</v>
      </c>
      <c r="D61" s="16">
        <f>C61*(1+$D$2)</f>
        <v>32.650800000000004</v>
      </c>
      <c r="E61" s="23">
        <f t="shared" si="0"/>
        <v>863</v>
      </c>
      <c r="F61" s="35">
        <f>D61*E61</f>
        <v>28177.640400000004</v>
      </c>
      <c r="G61" s="13">
        <v>471</v>
      </c>
      <c r="H61" s="13"/>
      <c r="I61" s="14" t="s">
        <v>13</v>
      </c>
      <c r="J61" s="18" t="s">
        <v>80</v>
      </c>
      <c r="K61" s="15" t="str">
        <f>VLOOKUP(I61,$V$6:$W$94,2)</f>
        <v>LS KN4 UG LED Contemporary 21000-28000</v>
      </c>
      <c r="L61" s="16">
        <f>VLOOKUP(I61,$V$6:$X$94,3)+VLOOKUP(J61,$V$95:$X$100,3)</f>
        <v>26.4</v>
      </c>
      <c r="M61" s="16">
        <f>L61*(1+$D$3)</f>
        <v>19.454159999999998</v>
      </c>
      <c r="N61" s="23">
        <f t="shared" si="1"/>
        <v>161</v>
      </c>
      <c r="O61" s="35">
        <f t="shared" si="2"/>
        <v>3132.1197599999996</v>
      </c>
      <c r="P61" s="19">
        <f>D61-M61</f>
        <v>13.196640000000006</v>
      </c>
      <c r="Q61" s="10" t="str">
        <f>IF(P61&gt;0,"Yes","No")</f>
        <v>Yes</v>
      </c>
      <c r="R61" s="51">
        <f>IF(I61&lt;&gt;I60,N61+SUMIFS(E61:E$68,Q61:Q$68,"Yes",I61:I$68,I61),"")</f>
        <v>2106</v>
      </c>
      <c r="S61" s="38">
        <f>IF(I61&lt;&gt;I60,O61+SUMIFS(F61:F$68,I61:I$68,I61,Q61:Q$68,"Yes"),"")</f>
        <v>63642.829344000005</v>
      </c>
      <c r="T61" s="39">
        <f>IF(R61&lt;&gt;"",S61/R61,"")</f>
        <v>30.219767019943024</v>
      </c>
      <c r="V61" s="8">
        <v>477</v>
      </c>
      <c r="W61" s="48" t="s">
        <v>107</v>
      </c>
      <c r="X61" s="4">
        <v>25.44</v>
      </c>
      <c r="Y61" s="59" t="s">
        <v>208</v>
      </c>
      <c r="Z61" s="60">
        <v>13296</v>
      </c>
    </row>
    <row r="62" spans="1:26" ht="15.75" thickBot="1" x14ac:dyDescent="0.3">
      <c r="A62" s="14">
        <v>495</v>
      </c>
      <c r="B62" s="17" t="s">
        <v>112</v>
      </c>
      <c r="C62" s="44">
        <f>VLOOKUP(A62,$V$6:$X$94,3)</f>
        <v>41.26</v>
      </c>
      <c r="D62" s="16">
        <f>C62*(1+$D$2)</f>
        <v>33.470112</v>
      </c>
      <c r="E62" s="23">
        <f t="shared" si="0"/>
        <v>763</v>
      </c>
      <c r="F62" s="35">
        <f>D62*E62</f>
        <v>25537.695456000001</v>
      </c>
      <c r="G62" s="13">
        <v>350</v>
      </c>
      <c r="H62" s="13"/>
      <c r="I62" s="14" t="s">
        <v>13</v>
      </c>
      <c r="J62" s="18" t="s">
        <v>80</v>
      </c>
      <c r="K62" s="15" t="str">
        <f>VLOOKUP(I62,$V$6:$W$94,2)</f>
        <v>LS KN4 UG LED Contemporary 21000-28000</v>
      </c>
      <c r="L62" s="16">
        <f>VLOOKUP(I62,$V$6:$X$94,3)+VLOOKUP(J62,$V$95:$X$100,3)</f>
        <v>26.4</v>
      </c>
      <c r="M62" s="16">
        <f>L62*(1+$D$3)</f>
        <v>19.454159999999998</v>
      </c>
      <c r="N62" s="23" t="str">
        <f t="shared" si="1"/>
        <v/>
      </c>
      <c r="O62" s="35" t="str">
        <f t="shared" si="2"/>
        <v/>
      </c>
      <c r="P62" s="19">
        <f>D62-M62</f>
        <v>14.015952000000002</v>
      </c>
      <c r="Q62" s="10" t="str">
        <f>IF(P62&gt;0,"Yes","No")</f>
        <v>Yes</v>
      </c>
      <c r="R62" s="51" t="str">
        <f>IF(I62&lt;&gt;I61,N62+SUMIFS(E62:E$68,Q62:Q$68,"Yes",I62:I$68,I62),"")</f>
        <v/>
      </c>
      <c r="S62" s="38" t="str">
        <f>IF(I62&lt;&gt;I61,O62+SUMIFS(F62:F$68,I62:I$68,I62,Q62:Q$68,"Yes"),"")</f>
        <v/>
      </c>
      <c r="T62" s="39" t="str">
        <f>IF(R62&lt;&gt;"",S62/R62,"")</f>
        <v/>
      </c>
      <c r="V62" s="8">
        <v>478</v>
      </c>
      <c r="W62" s="48" t="s">
        <v>108</v>
      </c>
      <c r="X62" s="4">
        <v>32.770000000000003</v>
      </c>
      <c r="Y62" s="59" t="s">
        <v>209</v>
      </c>
      <c r="Z62" s="60">
        <v>17628</v>
      </c>
    </row>
    <row r="63" spans="1:26" ht="15.75" thickBot="1" x14ac:dyDescent="0.3">
      <c r="A63" s="14">
        <v>491</v>
      </c>
      <c r="B63" s="17" t="s">
        <v>110</v>
      </c>
      <c r="C63" s="44">
        <f>VLOOKUP(A63,$V$6:$X$94,3)</f>
        <v>26.26</v>
      </c>
      <c r="D63" s="16">
        <f>C63*(1+$D$2)</f>
        <v>21.302112000000001</v>
      </c>
      <c r="E63" s="23">
        <f t="shared" si="0"/>
        <v>319</v>
      </c>
      <c r="F63" s="35">
        <f>D63*E63</f>
        <v>6795.3737280000005</v>
      </c>
      <c r="G63" s="13">
        <v>350</v>
      </c>
      <c r="H63" s="13"/>
      <c r="I63" s="14" t="s">
        <v>13</v>
      </c>
      <c r="J63" s="18" t="s">
        <v>80</v>
      </c>
      <c r="K63" s="15" t="str">
        <f>VLOOKUP(I63,$V$6:$W$94,2)</f>
        <v>LS KN4 UG LED Contemporary 21000-28000</v>
      </c>
      <c r="L63" s="16">
        <f>VLOOKUP(I63,$V$6:$X$94,3)+VLOOKUP(J63,$V$95:$X$100,3)</f>
        <v>26.4</v>
      </c>
      <c r="M63" s="16">
        <f>L63*(1+$D$3)</f>
        <v>19.454159999999998</v>
      </c>
      <c r="N63" s="23" t="str">
        <f t="shared" si="1"/>
        <v/>
      </c>
      <c r="O63" s="35" t="str">
        <f t="shared" si="2"/>
        <v/>
      </c>
      <c r="P63" s="19">
        <f>D63-M63</f>
        <v>1.8479520000000029</v>
      </c>
      <c r="Q63" s="10" t="str">
        <f>IF(P63&gt;0,"Yes","No")</f>
        <v>Yes</v>
      </c>
      <c r="R63" s="51" t="str">
        <f>IF(I63&lt;&gt;I62,N63+SUMIFS(E63:E$68,Q63:Q$68,"Yes",I63:I$68,I63),"")</f>
        <v/>
      </c>
      <c r="S63" s="38" t="str">
        <f>IF(I63&lt;&gt;I62,O63+SUMIFS(F63:F$68,I63:I$68,I63,Q63:Q$68,"Yes"),"")</f>
        <v/>
      </c>
      <c r="T63" s="39" t="str">
        <f>IF(R63&lt;&gt;"",S63/R63,"")</f>
        <v/>
      </c>
      <c r="V63" s="8">
        <v>479</v>
      </c>
      <c r="W63" s="48" t="s">
        <v>109</v>
      </c>
      <c r="X63" s="4">
        <v>40.25</v>
      </c>
      <c r="Y63" s="59" t="s">
        <v>210</v>
      </c>
      <c r="Z63" s="60">
        <v>10356</v>
      </c>
    </row>
    <row r="64" spans="1:26" ht="15.75" thickBot="1" x14ac:dyDescent="0.3">
      <c r="A64" s="14">
        <v>499</v>
      </c>
      <c r="B64" s="17" t="s">
        <v>115</v>
      </c>
      <c r="C64" s="44">
        <f>VLOOKUP(A64,$V$6:$X$94,3)</f>
        <v>25.49</v>
      </c>
      <c r="D64" s="16">
        <f>C64*(1+$D$2)</f>
        <v>20.677488</v>
      </c>
      <c r="E64" s="23">
        <f t="shared" si="0"/>
        <v>0</v>
      </c>
      <c r="F64" s="35">
        <f>D64*E64</f>
        <v>0</v>
      </c>
      <c r="G64" s="13">
        <v>471</v>
      </c>
      <c r="H64" s="13"/>
      <c r="I64" s="14" t="s">
        <v>13</v>
      </c>
      <c r="J64" s="18" t="s">
        <v>80</v>
      </c>
      <c r="K64" s="15" t="str">
        <f>VLOOKUP(I64,$V$6:$W$94,2)</f>
        <v>LS KN4 UG LED Contemporary 21000-28000</v>
      </c>
      <c r="L64" s="16">
        <f>VLOOKUP(I64,$V$6:$X$94,3)+VLOOKUP(J64,$V$95:$X$100,3)</f>
        <v>26.4</v>
      </c>
      <c r="M64" s="16">
        <f>L64*(1+$D$3)</f>
        <v>19.454159999999998</v>
      </c>
      <c r="N64" s="23" t="str">
        <f t="shared" si="1"/>
        <v/>
      </c>
      <c r="O64" s="35" t="str">
        <f t="shared" si="2"/>
        <v/>
      </c>
      <c r="P64" s="19">
        <f>D64-M64</f>
        <v>1.2233280000000022</v>
      </c>
      <c r="Q64" s="10" t="str">
        <f>IF(P64&gt;0,"Yes","No")</f>
        <v>Yes</v>
      </c>
      <c r="R64" s="51" t="str">
        <f>IF(I64&lt;&gt;I63,N64+SUMIFS(E64:E$68,Q64:Q$68,"Yes",I64:I$68,I64),"")</f>
        <v/>
      </c>
      <c r="S64" s="38" t="str">
        <f>IF(I64&lt;&gt;I63,O64+SUMIFS(F64:F$68,I64:I$68,I64,Q64:Q$68,"Yes"),"")</f>
        <v/>
      </c>
      <c r="T64" s="39" t="str">
        <f>IF(R64&lt;&gt;"",S64/R64,"")</f>
        <v/>
      </c>
      <c r="V64" s="8">
        <v>487</v>
      </c>
      <c r="W64" s="48" t="s">
        <v>103</v>
      </c>
      <c r="X64" s="4">
        <v>10.9</v>
      </c>
      <c r="Y64" s="59" t="s">
        <v>211</v>
      </c>
      <c r="Z64" s="60">
        <v>132768</v>
      </c>
    </row>
    <row r="65" spans="1:26" ht="15.75" thickBot="1" x14ac:dyDescent="0.3">
      <c r="A65" s="14">
        <v>493</v>
      </c>
      <c r="B65" s="17" t="s">
        <v>46</v>
      </c>
      <c r="C65" s="44">
        <f>VLOOKUP(A65,$V$6:$X$94,3)</f>
        <v>56.96</v>
      </c>
      <c r="D65" s="16">
        <f>C65*(1+$D$2)</f>
        <v>46.205952000000003</v>
      </c>
      <c r="E65" s="23">
        <f t="shared" si="0"/>
        <v>28</v>
      </c>
      <c r="F65" s="35">
        <f>D65*E65</f>
        <v>1293.766656</v>
      </c>
      <c r="G65" s="13">
        <v>1080</v>
      </c>
      <c r="H65" s="13"/>
      <c r="I65" s="14" t="s">
        <v>15</v>
      </c>
      <c r="J65" s="18" t="s">
        <v>80</v>
      </c>
      <c r="K65" s="15" t="str">
        <f>VLOOKUP(I65,$V$6:$W$94,2)</f>
        <v>LS KN5 UG LED Contemporary 45000-50000</v>
      </c>
      <c r="L65" s="16">
        <f>VLOOKUP(I65,$V$6:$X$94,3)+VLOOKUP(J65,$V$95:$X$100,3)</f>
        <v>32.1</v>
      </c>
      <c r="M65" s="16">
        <f>L65*(1+$D$3)</f>
        <v>23.654490000000003</v>
      </c>
      <c r="N65" s="23">
        <f t="shared" si="1"/>
        <v>10</v>
      </c>
      <c r="O65" s="35">
        <f t="shared" si="2"/>
        <v>236.54490000000004</v>
      </c>
      <c r="P65" s="19">
        <f>D65-M65</f>
        <v>22.551462000000001</v>
      </c>
      <c r="Q65" s="10" t="str">
        <f>IF(P65&gt;0,"Yes","No")</f>
        <v>Yes</v>
      </c>
      <c r="R65" s="51">
        <f>IF(I65&lt;&gt;I64,N65+SUMIFS(E65:E$68,Q65:Q$68,"Yes",I65:I$68,I65),"")</f>
        <v>139</v>
      </c>
      <c r="S65" s="38">
        <f>IF(I65&lt;&gt;I64,O65+SUMIFS(F65:F$68,I65:I$68,I65,Q65:Q$68,"Yes"),"")</f>
        <v>7159.8043079999989</v>
      </c>
      <c r="T65" s="39">
        <f>IF(R65&lt;&gt;"",S65/R65,"")</f>
        <v>51.509383510791359</v>
      </c>
      <c r="V65" s="8">
        <v>488</v>
      </c>
      <c r="W65" s="48" t="s">
        <v>104</v>
      </c>
      <c r="X65" s="4">
        <v>16.47</v>
      </c>
      <c r="Y65" s="59" t="s">
        <v>212</v>
      </c>
      <c r="Z65" s="60">
        <v>79044</v>
      </c>
    </row>
    <row r="66" spans="1:26" ht="15.75" thickBot="1" x14ac:dyDescent="0.3">
      <c r="A66" s="14">
        <v>496</v>
      </c>
      <c r="B66" s="17" t="s">
        <v>48</v>
      </c>
      <c r="C66" s="44">
        <f>VLOOKUP(A66,$V$6:$X$94,3)</f>
        <v>68.709999999999994</v>
      </c>
      <c r="D66" s="16">
        <f>C66*(1+$D$2)</f>
        <v>55.737551999999994</v>
      </c>
      <c r="E66" s="23">
        <f t="shared" si="0"/>
        <v>101</v>
      </c>
      <c r="F66" s="35">
        <f>D66*E66</f>
        <v>5629.4927519999992</v>
      </c>
      <c r="G66" s="13">
        <v>1080</v>
      </c>
      <c r="H66" s="13"/>
      <c r="I66" s="14" t="s">
        <v>15</v>
      </c>
      <c r="J66" s="18" t="s">
        <v>80</v>
      </c>
      <c r="K66" s="15" t="str">
        <f>VLOOKUP(I66,$V$6:$W$94,2)</f>
        <v>LS KN5 UG LED Contemporary 45000-50000</v>
      </c>
      <c r="L66" s="16">
        <f>VLOOKUP(I66,$V$6:$X$94,3)+VLOOKUP(J66,$V$95:$X$100,3)</f>
        <v>32.1</v>
      </c>
      <c r="M66" s="16">
        <f>L66*(1+$D$3)</f>
        <v>23.654490000000003</v>
      </c>
      <c r="N66" s="23" t="str">
        <f t="shared" si="1"/>
        <v/>
      </c>
      <c r="O66" s="35" t="str">
        <f t="shared" si="2"/>
        <v/>
      </c>
      <c r="P66" s="19">
        <f>D66-M66</f>
        <v>32.083061999999991</v>
      </c>
      <c r="Q66" s="10" t="str">
        <f>IF(P66&gt;0,"Yes","No")</f>
        <v>Yes</v>
      </c>
      <c r="R66" s="51" t="str">
        <f>IF(I66&lt;&gt;I65,N66+SUMIFS(E66:E$68,Q66:Q$68,"Yes",I66:I$68,I66),"")</f>
        <v/>
      </c>
      <c r="S66" s="38" t="str">
        <f>IF(I66&lt;&gt;I65,O66+SUMIFS(F66:F$68,I66:I$68,I66,Q66:Q$68,"Yes"),"")</f>
        <v/>
      </c>
      <c r="T66" s="39" t="str">
        <f>IF(R66&lt;&gt;"",S66/R66,"")</f>
        <v/>
      </c>
      <c r="V66" s="8">
        <v>489</v>
      </c>
      <c r="W66" s="48" t="s">
        <v>105</v>
      </c>
      <c r="X66" s="4">
        <v>23.16</v>
      </c>
      <c r="Y66" s="59" t="s">
        <v>213</v>
      </c>
      <c r="Z66" s="60">
        <v>101268</v>
      </c>
    </row>
    <row r="67" spans="1:26" ht="15.75" thickBot="1" x14ac:dyDescent="0.3">
      <c r="A67" s="14">
        <v>414</v>
      </c>
      <c r="B67" s="17" t="s">
        <v>116</v>
      </c>
      <c r="C67" s="44">
        <f>VLOOKUP(A67,$V$6:$X$94,3)</f>
        <v>36.31</v>
      </c>
      <c r="D67" s="16">
        <f>C67*(1+$D$2)</f>
        <v>29.454672000000002</v>
      </c>
      <c r="E67" s="23">
        <f t="shared" si="0"/>
        <v>13</v>
      </c>
      <c r="F67" s="35">
        <f>D67*E67</f>
        <v>382.91073600000004</v>
      </c>
      <c r="G67" s="13">
        <v>83</v>
      </c>
      <c r="H67" s="13"/>
      <c r="I67" s="14" t="s">
        <v>120</v>
      </c>
      <c r="J67" s="18" t="s">
        <v>82</v>
      </c>
      <c r="K67" s="15" t="str">
        <f>VLOOKUP(I67,$V$6:$W$94,2)</f>
        <v>LS KV1 UG LED Victorian 4000-7000</v>
      </c>
      <c r="L67" s="16">
        <f>VLOOKUP(I67,$V$6:$X$94,3)+VLOOKUP(J67,$V$95:$X$100,3)</f>
        <v>36.369999999999997</v>
      </c>
      <c r="M67" s="16">
        <f>L67*(1+$D$3)</f>
        <v>26.801053</v>
      </c>
      <c r="N67" s="23">
        <f t="shared" si="1"/>
        <v>0</v>
      </c>
      <c r="O67" s="35">
        <f t="shared" si="2"/>
        <v>0</v>
      </c>
      <c r="P67" s="19">
        <f>D67-M67</f>
        <v>2.6536190000000026</v>
      </c>
      <c r="Q67" s="10" t="str">
        <f>IF(P67&gt;0,"Yes","No")</f>
        <v>Yes</v>
      </c>
      <c r="R67" s="51"/>
      <c r="S67" s="38">
        <f>IF(I67&lt;&gt;I66,O67+SUMIFS(F67:F$68,I67:I$68,I67,Q67:Q$68,"Yes"),"")</f>
        <v>1093.13256</v>
      </c>
      <c r="T67" s="30" t="e">
        <f>#REF!</f>
        <v>#REF!</v>
      </c>
      <c r="V67" s="8">
        <v>490</v>
      </c>
      <c r="W67" s="48" t="s">
        <v>45</v>
      </c>
      <c r="X67" s="4">
        <v>18.8</v>
      </c>
      <c r="Y67" s="59" t="s">
        <v>214</v>
      </c>
      <c r="Z67" s="60">
        <v>696</v>
      </c>
    </row>
    <row r="68" spans="1:26" ht="15.75" thickBot="1" x14ac:dyDescent="0.3">
      <c r="A68" s="14">
        <v>415</v>
      </c>
      <c r="B68" s="17" t="s">
        <v>117</v>
      </c>
      <c r="C68" s="44">
        <f>VLOOKUP(A68,$V$6:$X$94,3)</f>
        <v>36.479999999999997</v>
      </c>
      <c r="D68" s="16">
        <f>C68*(1+$D$2)</f>
        <v>29.592575999999998</v>
      </c>
      <c r="E68" s="23">
        <f t="shared" si="0"/>
        <v>24</v>
      </c>
      <c r="F68" s="35">
        <f>D68*E68</f>
        <v>710.22182399999997</v>
      </c>
      <c r="G68" s="13">
        <v>117</v>
      </c>
      <c r="H68" s="13"/>
      <c r="I68" s="14" t="s">
        <v>120</v>
      </c>
      <c r="J68" s="18" t="s">
        <v>82</v>
      </c>
      <c r="K68" s="15" t="str">
        <f>VLOOKUP(I68,$V$6:$W$94,2)</f>
        <v>LS KV1 UG LED Victorian 4000-7000</v>
      </c>
      <c r="L68" s="16">
        <f>VLOOKUP(I68,$V$6:$X$94,3)+VLOOKUP(J68,$V$95:$X$100,3)</f>
        <v>36.369999999999997</v>
      </c>
      <c r="M68" s="16">
        <f>L68*(1+$D$3)</f>
        <v>26.801053</v>
      </c>
      <c r="N68" s="23" t="str">
        <f t="shared" si="1"/>
        <v/>
      </c>
      <c r="O68" s="35" t="str">
        <f t="shared" si="2"/>
        <v/>
      </c>
      <c r="P68" s="19">
        <f>D68-M68</f>
        <v>2.791522999999998</v>
      </c>
      <c r="Q68" s="10" t="str">
        <f>IF(P68&gt;0,"Yes","No")</f>
        <v>Yes</v>
      </c>
      <c r="R68" s="51" t="str">
        <f>IF(I68&lt;&gt;I67,N68+SUMIFS(E68:E$68,Q68:Q$68,"Yes",I68:I$68,I68),"")</f>
        <v/>
      </c>
      <c r="S68" s="38" t="str">
        <f>IF(I68&lt;&gt;I67,O68+SUMIFS(F68:F$68,I68:I$68,I68,Q68:Q$68,"Yes"),"")</f>
        <v/>
      </c>
      <c r="T68" s="39" t="str">
        <f>IF(R68&lt;&gt;"",S68/R68,"")</f>
        <v/>
      </c>
      <c r="V68" s="8">
        <v>491</v>
      </c>
      <c r="W68" s="48" t="s">
        <v>110</v>
      </c>
      <c r="X68" s="4">
        <v>26.26</v>
      </c>
      <c r="Y68" s="59" t="s">
        <v>215</v>
      </c>
      <c r="Z68" s="60">
        <v>3828</v>
      </c>
    </row>
    <row r="69" spans="1:26" s="1" customFormat="1" ht="15.75" thickBot="1" x14ac:dyDescent="0.3">
      <c r="A69" s="8"/>
      <c r="B69" s="3"/>
      <c r="C69" s="57">
        <f>SUMPRODUCT(C6:C68,E6:E68)</f>
        <v>2499366.4616666655</v>
      </c>
      <c r="D69" s="9"/>
      <c r="E69" s="9" t="s">
        <v>150</v>
      </c>
      <c r="F69" s="56">
        <f>SUM(F6:F68)</f>
        <v>2027486.0737039999</v>
      </c>
      <c r="G69" s="9"/>
      <c r="H69" s="9"/>
      <c r="I69" s="8"/>
      <c r="J69" s="8"/>
      <c r="K69" s="2" t="s">
        <v>150</v>
      </c>
      <c r="L69" s="36">
        <f>SUMPRODUCT(L6:L68,N6:N68)</f>
        <v>84764.536666666652</v>
      </c>
      <c r="M69" s="4"/>
      <c r="N69" s="4"/>
      <c r="O69" s="36">
        <f>SUM(O6:O68)</f>
        <v>62462.987069666684</v>
      </c>
      <c r="V69" s="8">
        <v>492</v>
      </c>
      <c r="W69" s="48" t="s">
        <v>111</v>
      </c>
      <c r="X69" s="4">
        <v>18.39</v>
      </c>
      <c r="Y69" s="59" t="s">
        <v>216</v>
      </c>
      <c r="Z69" s="60">
        <v>48</v>
      </c>
    </row>
    <row r="70" spans="1:26" ht="15.75" thickBot="1" x14ac:dyDescent="0.3">
      <c r="A70" s="8"/>
      <c r="B70" s="8"/>
      <c r="C70" s="58">
        <f>12*C69</f>
        <v>29992397.539999984</v>
      </c>
      <c r="D70" s="7"/>
      <c r="E70" s="7" t="s">
        <v>151</v>
      </c>
      <c r="F70" s="56">
        <f>12*F69</f>
        <v>24329832.884447999</v>
      </c>
      <c r="G70" s="7"/>
      <c r="H70" s="7"/>
      <c r="I70" s="8"/>
      <c r="J70" s="8"/>
      <c r="K70" s="2" t="s">
        <v>151</v>
      </c>
      <c r="L70" s="36">
        <f>12*L69</f>
        <v>1017174.4399999998</v>
      </c>
      <c r="O70" s="36">
        <f>12*O69</f>
        <v>749555.84483600024</v>
      </c>
      <c r="V70" s="8">
        <v>493</v>
      </c>
      <c r="W70" s="48" t="s">
        <v>46</v>
      </c>
      <c r="X70" s="4">
        <v>56.96</v>
      </c>
      <c r="Y70" s="59" t="s">
        <v>217</v>
      </c>
      <c r="Z70" s="60">
        <v>336</v>
      </c>
    </row>
    <row r="71" spans="1:26" ht="15.75" thickBot="1" x14ac:dyDescent="0.3">
      <c r="A71" s="8"/>
      <c r="B71" s="3"/>
      <c r="C71" s="62">
        <f>C70+L70</f>
        <v>31009571.979999986</v>
      </c>
      <c r="D71" s="9"/>
      <c r="E71" s="9"/>
      <c r="F71" s="9"/>
      <c r="G71" s="9"/>
      <c r="H71" s="9"/>
      <c r="I71" s="8"/>
      <c r="J71" s="8"/>
      <c r="V71" s="8">
        <v>494</v>
      </c>
      <c r="W71" s="48" t="s">
        <v>47</v>
      </c>
      <c r="X71" s="4">
        <v>33.57</v>
      </c>
      <c r="Y71" s="59" t="s">
        <v>218</v>
      </c>
      <c r="Z71" s="60">
        <v>2280</v>
      </c>
    </row>
    <row r="72" spans="1:26" ht="15.75" thickBot="1" x14ac:dyDescent="0.3">
      <c r="A72" s="8"/>
      <c r="B72" s="3"/>
      <c r="C72" s="3"/>
      <c r="D72" s="9"/>
      <c r="E72" s="9"/>
      <c r="F72" s="9"/>
      <c r="G72" s="9"/>
      <c r="H72" s="9"/>
      <c r="I72" s="8"/>
      <c r="J72" s="8"/>
      <c r="V72" s="8">
        <v>495</v>
      </c>
      <c r="W72" s="48" t="s">
        <v>112</v>
      </c>
      <c r="X72" s="4">
        <v>41.26</v>
      </c>
      <c r="Y72" s="59" t="s">
        <v>219</v>
      </c>
      <c r="Z72" s="60">
        <v>9156</v>
      </c>
    </row>
    <row r="73" spans="1:26" x14ac:dyDescent="0.25">
      <c r="A73" s="8"/>
      <c r="B73" s="3"/>
      <c r="C73" s="3"/>
      <c r="D73" s="9"/>
      <c r="E73" s="9"/>
      <c r="F73" s="9"/>
      <c r="G73" s="9"/>
      <c r="H73" s="9"/>
      <c r="I73" s="8"/>
      <c r="J73" s="8"/>
      <c r="V73" s="8">
        <v>496</v>
      </c>
      <c r="W73" s="48" t="s">
        <v>48</v>
      </c>
      <c r="X73" s="4">
        <v>68.709999999999994</v>
      </c>
      <c r="Y73" s="61" t="s">
        <v>220</v>
      </c>
      <c r="Z73" s="60">
        <v>1212</v>
      </c>
    </row>
    <row r="74" spans="1:26" x14ac:dyDescent="0.25">
      <c r="A74" s="8"/>
      <c r="B74" s="3"/>
      <c r="C74" s="3"/>
      <c r="D74" s="9"/>
      <c r="E74" s="9"/>
      <c r="F74" s="9"/>
      <c r="G74" s="9"/>
      <c r="H74" s="9"/>
      <c r="I74" s="8"/>
      <c r="J74" s="8"/>
      <c r="V74" s="8">
        <v>497</v>
      </c>
      <c r="W74" s="48" t="s">
        <v>113</v>
      </c>
      <c r="X74" s="4">
        <v>18.09</v>
      </c>
      <c r="Y74" s="61" t="s">
        <v>221</v>
      </c>
      <c r="Z74" s="60">
        <v>360</v>
      </c>
    </row>
    <row r="75" spans="1:26" x14ac:dyDescent="0.25">
      <c r="A75" s="8"/>
      <c r="B75" s="3"/>
      <c r="C75" s="3"/>
      <c r="D75" s="9"/>
      <c r="E75" s="9"/>
      <c r="F75" s="9"/>
      <c r="G75" s="9"/>
      <c r="H75" s="9"/>
      <c r="I75" s="8"/>
      <c r="J75" s="8"/>
      <c r="V75" s="8">
        <v>498</v>
      </c>
      <c r="W75" s="48" t="s">
        <v>114</v>
      </c>
      <c r="X75" s="4">
        <v>21.14</v>
      </c>
      <c r="Y75" s="61" t="s">
        <v>222</v>
      </c>
      <c r="Z75" s="60">
        <v>432</v>
      </c>
    </row>
    <row r="76" spans="1:26" x14ac:dyDescent="0.25">
      <c r="A76" s="8"/>
      <c r="B76" s="3"/>
      <c r="C76" s="3"/>
      <c r="D76" s="9"/>
      <c r="E76" s="9"/>
      <c r="F76" s="9"/>
      <c r="G76" s="9"/>
      <c r="H76" s="9"/>
      <c r="I76" s="8"/>
      <c r="J76" s="8"/>
      <c r="V76" s="8">
        <v>499</v>
      </c>
      <c r="W76" s="48" t="s">
        <v>115</v>
      </c>
      <c r="X76" s="4">
        <v>25.49</v>
      </c>
      <c r="Y76" s="61" t="s">
        <v>223</v>
      </c>
      <c r="Z76" s="60">
        <v>336</v>
      </c>
    </row>
    <row r="77" spans="1:26" x14ac:dyDescent="0.25">
      <c r="A77" s="8"/>
      <c r="B77" s="3"/>
      <c r="C77" s="3"/>
      <c r="D77" s="9"/>
      <c r="E77" s="9"/>
      <c r="F77" s="9"/>
      <c r="G77" s="9"/>
      <c r="H77" s="9"/>
      <c r="I77" s="8"/>
      <c r="J77" s="8"/>
      <c r="V77" s="8">
        <v>499</v>
      </c>
      <c r="W77" s="48" t="s">
        <v>115</v>
      </c>
      <c r="X77" s="4">
        <v>25.49</v>
      </c>
      <c r="Y77" s="61"/>
      <c r="Z77" s="60"/>
    </row>
    <row r="78" spans="1:26" x14ac:dyDescent="0.25">
      <c r="A78" s="8"/>
      <c r="B78" s="3"/>
      <c r="C78" s="3"/>
      <c r="D78" s="9"/>
      <c r="E78" s="9"/>
      <c r="F78" s="9"/>
      <c r="G78" s="9"/>
      <c r="H78" s="9"/>
      <c r="I78" s="8"/>
      <c r="J78" s="8"/>
      <c r="V78" s="52" t="s">
        <v>1</v>
      </c>
      <c r="W78" s="11" t="s">
        <v>64</v>
      </c>
      <c r="X78" s="6">
        <v>8.69</v>
      </c>
      <c r="Y78" s="61" t="s">
        <v>224</v>
      </c>
      <c r="Z78" s="60">
        <v>168</v>
      </c>
    </row>
    <row r="79" spans="1:26" x14ac:dyDescent="0.25">
      <c r="A79" s="8"/>
      <c r="B79" s="3"/>
      <c r="C79" s="3"/>
      <c r="D79" s="9"/>
      <c r="E79" s="9"/>
      <c r="F79" s="9"/>
      <c r="G79" s="9"/>
      <c r="H79" s="9"/>
      <c r="I79" s="8"/>
      <c r="J79" s="8"/>
      <c r="V79" s="52" t="s">
        <v>2</v>
      </c>
      <c r="W79" s="11" t="s">
        <v>55</v>
      </c>
      <c r="X79" s="6">
        <v>8.25</v>
      </c>
      <c r="Y79" s="61" t="s">
        <v>225</v>
      </c>
      <c r="Z79" s="60">
        <v>4804</v>
      </c>
    </row>
    <row r="80" spans="1:26" x14ac:dyDescent="0.25">
      <c r="A80" s="8"/>
      <c r="B80" s="3"/>
      <c r="C80" s="3"/>
      <c r="D80" s="9"/>
      <c r="E80" s="9"/>
      <c r="F80" s="9"/>
      <c r="G80" s="9"/>
      <c r="H80" s="9"/>
      <c r="I80" s="8"/>
      <c r="J80" s="8"/>
      <c r="V80" s="52" t="s">
        <v>8</v>
      </c>
      <c r="W80" s="11" t="s">
        <v>70</v>
      </c>
      <c r="X80" s="6">
        <v>4.03</v>
      </c>
      <c r="Y80" s="61" t="s">
        <v>226</v>
      </c>
      <c r="Z80" s="60">
        <v>684</v>
      </c>
    </row>
    <row r="81" spans="1:26" x14ac:dyDescent="0.25">
      <c r="A81" s="8"/>
      <c r="B81" s="3"/>
      <c r="C81" s="3"/>
      <c r="D81" s="9"/>
      <c r="E81" s="9"/>
      <c r="F81" s="9"/>
      <c r="G81" s="9"/>
      <c r="H81" s="9"/>
      <c r="I81" s="8"/>
      <c r="J81" s="8"/>
      <c r="V81" s="52" t="s">
        <v>14</v>
      </c>
      <c r="W81" s="11" t="s">
        <v>56</v>
      </c>
      <c r="X81" s="6">
        <v>10.8</v>
      </c>
      <c r="Y81" s="61" t="s">
        <v>227</v>
      </c>
      <c r="Z81" s="60">
        <v>2652</v>
      </c>
    </row>
    <row r="82" spans="1:26" x14ac:dyDescent="0.25">
      <c r="A82" s="8"/>
      <c r="B82" s="3"/>
      <c r="C82" s="3"/>
      <c r="D82" s="9"/>
      <c r="E82" s="9"/>
      <c r="F82" s="9"/>
      <c r="G82" s="9"/>
      <c r="H82" s="9"/>
      <c r="I82" s="8"/>
      <c r="J82" s="8"/>
      <c r="V82" s="52" t="s">
        <v>3</v>
      </c>
      <c r="W82" s="11" t="s">
        <v>57</v>
      </c>
      <c r="X82" s="6">
        <v>12.7</v>
      </c>
      <c r="Y82" s="61" t="s">
        <v>228</v>
      </c>
      <c r="Z82" s="60">
        <v>1536</v>
      </c>
    </row>
    <row r="83" spans="1:26" x14ac:dyDescent="0.25">
      <c r="A83" s="8"/>
      <c r="B83" s="3"/>
      <c r="C83" s="3"/>
      <c r="D83" s="9"/>
      <c r="E83" s="9"/>
      <c r="F83" s="9"/>
      <c r="G83" s="9"/>
      <c r="H83" s="9"/>
      <c r="I83" s="8"/>
      <c r="J83" s="8"/>
      <c r="V83" s="52" t="s">
        <v>4</v>
      </c>
      <c r="W83" s="11" t="s">
        <v>58</v>
      </c>
      <c r="X83" s="6">
        <v>15.06</v>
      </c>
      <c r="Y83" s="61" t="s">
        <v>229</v>
      </c>
      <c r="Z83" s="60">
        <v>6540</v>
      </c>
    </row>
    <row r="84" spans="1:26" x14ac:dyDescent="0.25">
      <c r="A84" s="8"/>
      <c r="B84" s="3"/>
      <c r="C84" s="3"/>
      <c r="D84" s="9"/>
      <c r="E84" s="9"/>
      <c r="F84" s="9"/>
      <c r="G84" s="9"/>
      <c r="H84" s="9"/>
      <c r="I84" s="8"/>
      <c r="J84" s="8"/>
      <c r="V84" s="52" t="s">
        <v>5</v>
      </c>
      <c r="W84" s="11" t="s">
        <v>59</v>
      </c>
      <c r="X84" s="6">
        <v>21.83</v>
      </c>
      <c r="Y84" s="61" t="s">
        <v>230</v>
      </c>
      <c r="Z84" s="60">
        <v>5616</v>
      </c>
    </row>
    <row r="85" spans="1:26" x14ac:dyDescent="0.25">
      <c r="A85" s="8"/>
      <c r="B85" s="3"/>
      <c r="C85" s="3"/>
      <c r="D85" s="9"/>
      <c r="E85" s="9"/>
      <c r="F85" s="9"/>
      <c r="G85" s="9"/>
      <c r="H85" s="9"/>
      <c r="I85" s="8"/>
      <c r="J85" s="8"/>
      <c r="V85" s="52" t="s">
        <v>71</v>
      </c>
      <c r="W85" s="11" t="s">
        <v>72</v>
      </c>
      <c r="X85" s="6">
        <v>8.18</v>
      </c>
      <c r="Y85" s="61"/>
      <c r="Z85" s="60"/>
    </row>
    <row r="86" spans="1:26" x14ac:dyDescent="0.25">
      <c r="A86" s="8"/>
      <c r="B86" s="3"/>
      <c r="C86" s="3"/>
      <c r="D86" s="9"/>
      <c r="E86" s="9"/>
      <c r="F86" s="9"/>
      <c r="G86" s="9"/>
      <c r="H86" s="9"/>
      <c r="I86" s="8"/>
      <c r="J86" s="8"/>
      <c r="V86" s="52" t="s">
        <v>6</v>
      </c>
      <c r="W86" s="11" t="s">
        <v>73</v>
      </c>
      <c r="X86" s="6">
        <v>10.09</v>
      </c>
      <c r="Y86" s="61"/>
      <c r="Z86" s="60"/>
    </row>
    <row r="87" spans="1:26" x14ac:dyDescent="0.25">
      <c r="A87" s="8"/>
      <c r="B87" s="3"/>
      <c r="C87" s="3"/>
      <c r="D87" s="9"/>
      <c r="E87" s="9"/>
      <c r="F87" s="9"/>
      <c r="G87" s="9"/>
      <c r="H87" s="9"/>
      <c r="I87" s="8"/>
      <c r="J87" s="8"/>
      <c r="V87" s="52" t="s">
        <v>7</v>
      </c>
      <c r="W87" s="11" t="s">
        <v>74</v>
      </c>
      <c r="X87" s="6">
        <v>12.44</v>
      </c>
      <c r="Y87" s="61" t="s">
        <v>231</v>
      </c>
      <c r="Z87" s="60">
        <v>48</v>
      </c>
    </row>
    <row r="88" spans="1:26" x14ac:dyDescent="0.25">
      <c r="A88" s="8"/>
      <c r="B88" s="3"/>
      <c r="C88" s="3"/>
      <c r="D88" s="9"/>
      <c r="E88" s="9"/>
      <c r="F88" s="9"/>
      <c r="G88" s="9"/>
      <c r="H88" s="9"/>
      <c r="I88" s="8"/>
      <c r="J88" s="8"/>
      <c r="V88" s="52" t="s">
        <v>9</v>
      </c>
      <c r="W88" s="11" t="s">
        <v>75</v>
      </c>
      <c r="X88" s="6">
        <v>19.22</v>
      </c>
      <c r="Y88" s="61" t="s">
        <v>232</v>
      </c>
      <c r="Z88" s="60">
        <v>300</v>
      </c>
    </row>
    <row r="89" spans="1:26" x14ac:dyDescent="0.25">
      <c r="A89" s="8"/>
      <c r="B89" s="3"/>
      <c r="C89" s="3"/>
      <c r="D89" s="9"/>
      <c r="E89" s="9"/>
      <c r="F89" s="9"/>
      <c r="G89" s="9"/>
      <c r="H89" s="9"/>
      <c r="I89" s="8"/>
      <c r="J89" s="8"/>
      <c r="V89" s="52" t="s">
        <v>10</v>
      </c>
      <c r="W89" s="11" t="s">
        <v>65</v>
      </c>
      <c r="X89" s="6">
        <v>6.81</v>
      </c>
      <c r="Y89" s="61" t="s">
        <v>233</v>
      </c>
      <c r="Z89" s="60">
        <v>2430</v>
      </c>
    </row>
    <row r="90" spans="1:26" x14ac:dyDescent="0.25">
      <c r="A90" s="8"/>
      <c r="B90" s="3"/>
      <c r="C90" s="3"/>
      <c r="D90" s="9"/>
      <c r="E90" s="9"/>
      <c r="F90" s="9"/>
      <c r="G90" s="9"/>
      <c r="H90" s="9"/>
      <c r="I90" s="8"/>
      <c r="J90" s="8"/>
      <c r="V90" s="52" t="s">
        <v>11</v>
      </c>
      <c r="W90" s="11" t="s">
        <v>66</v>
      </c>
      <c r="X90" s="6">
        <v>8.16</v>
      </c>
      <c r="Y90" s="61" t="s">
        <v>234</v>
      </c>
      <c r="Z90" s="60">
        <v>36</v>
      </c>
    </row>
    <row r="91" spans="1:26" x14ac:dyDescent="0.25">
      <c r="A91" s="8"/>
      <c r="B91" s="3"/>
      <c r="C91" s="3"/>
      <c r="D91" s="9"/>
      <c r="E91" s="9"/>
      <c r="F91" s="9"/>
      <c r="G91" s="9"/>
      <c r="H91" s="9"/>
      <c r="I91" s="8"/>
      <c r="J91" s="8"/>
      <c r="V91" s="52" t="s">
        <v>12</v>
      </c>
      <c r="W91" s="11" t="s">
        <v>67</v>
      </c>
      <c r="X91" s="6">
        <v>10.050000000000001</v>
      </c>
      <c r="Y91" s="61" t="s">
        <v>235</v>
      </c>
      <c r="Z91" s="60">
        <v>756</v>
      </c>
    </row>
    <row r="92" spans="1:26" x14ac:dyDescent="0.25">
      <c r="A92" s="8"/>
      <c r="B92" s="3"/>
      <c r="C92" s="3"/>
      <c r="D92" s="9"/>
      <c r="E92" s="9"/>
      <c r="F92" s="9"/>
      <c r="G92" s="9"/>
      <c r="H92" s="9"/>
      <c r="I92" s="8"/>
      <c r="J92" s="8"/>
      <c r="V92" s="52" t="s">
        <v>13</v>
      </c>
      <c r="W92" s="11" t="s">
        <v>68</v>
      </c>
      <c r="X92" s="6">
        <v>14.59</v>
      </c>
      <c r="Y92" s="61" t="s">
        <v>236</v>
      </c>
      <c r="Z92" s="60">
        <v>1932</v>
      </c>
    </row>
    <row r="93" spans="1:26" x14ac:dyDescent="0.25">
      <c r="A93" s="8"/>
      <c r="B93" s="3"/>
      <c r="C93" s="3"/>
      <c r="D93" s="9"/>
      <c r="E93" s="9"/>
      <c r="F93" s="9"/>
      <c r="G93" s="9"/>
      <c r="H93" s="9"/>
      <c r="I93" s="8"/>
      <c r="J93" s="8"/>
      <c r="V93" s="52" t="s">
        <v>15</v>
      </c>
      <c r="W93" s="11" t="s">
        <v>69</v>
      </c>
      <c r="X93" s="6">
        <v>20.29</v>
      </c>
      <c r="Y93" s="61" t="s">
        <v>237</v>
      </c>
      <c r="Z93" s="60">
        <v>120</v>
      </c>
    </row>
    <row r="94" spans="1:26" x14ac:dyDescent="0.25">
      <c r="A94" s="8"/>
      <c r="B94" s="3"/>
      <c r="C94" s="3"/>
      <c r="D94" s="9"/>
      <c r="E94" s="9"/>
      <c r="F94" s="9"/>
      <c r="G94" s="9"/>
      <c r="H94" s="9"/>
      <c r="I94" s="8"/>
      <c r="J94" s="8"/>
      <c r="V94" s="52" t="s">
        <v>120</v>
      </c>
      <c r="W94" s="11" t="s">
        <v>121</v>
      </c>
      <c r="X94" s="6">
        <v>21.7</v>
      </c>
    </row>
    <row r="95" spans="1:26" x14ac:dyDescent="0.25">
      <c r="A95" s="8"/>
      <c r="B95" s="3"/>
      <c r="C95" s="3"/>
      <c r="D95" s="9"/>
      <c r="E95" s="9"/>
      <c r="F95" s="9"/>
      <c r="G95" s="9"/>
      <c r="H95" s="9"/>
      <c r="I95" s="8"/>
      <c r="J95" s="8"/>
      <c r="V95" s="52" t="s">
        <v>76</v>
      </c>
      <c r="W95" s="11" t="s">
        <v>77</v>
      </c>
      <c r="X95" s="6">
        <v>12.77</v>
      </c>
    </row>
    <row r="96" spans="1:26" x14ac:dyDescent="0.25">
      <c r="A96" s="8"/>
      <c r="B96" s="3"/>
      <c r="C96" s="3"/>
      <c r="D96" s="9"/>
      <c r="E96" s="9"/>
      <c r="F96" s="9"/>
      <c r="G96" s="9"/>
      <c r="H96" s="9"/>
      <c r="I96" s="8"/>
      <c r="J96" s="8"/>
      <c r="V96" s="52" t="s">
        <v>78</v>
      </c>
      <c r="W96" s="11" t="s">
        <v>79</v>
      </c>
      <c r="X96" s="6">
        <v>8.77</v>
      </c>
    </row>
    <row r="97" spans="1:24" x14ac:dyDescent="0.25">
      <c r="A97" s="8"/>
      <c r="B97" s="3"/>
      <c r="C97" s="3"/>
      <c r="D97" s="9"/>
      <c r="E97" s="9"/>
      <c r="F97" s="9"/>
      <c r="G97" s="9"/>
      <c r="H97" s="9"/>
      <c r="I97" s="8"/>
      <c r="J97" s="8"/>
      <c r="V97" s="52" t="s">
        <v>80</v>
      </c>
      <c r="W97" s="11" t="s">
        <v>81</v>
      </c>
      <c r="X97" s="6">
        <v>11.81</v>
      </c>
    </row>
    <row r="98" spans="1:24" x14ac:dyDescent="0.25">
      <c r="A98" s="8"/>
      <c r="B98" s="3"/>
      <c r="C98" s="3"/>
      <c r="D98" s="9"/>
      <c r="E98" s="9"/>
      <c r="F98" s="9"/>
      <c r="G98" s="9"/>
      <c r="H98" s="9"/>
      <c r="I98" s="8"/>
      <c r="J98" s="8"/>
      <c r="V98" s="52" t="s">
        <v>82</v>
      </c>
      <c r="W98" s="11" t="s">
        <v>83</v>
      </c>
      <c r="X98" s="6">
        <v>14.67</v>
      </c>
    </row>
    <row r="99" spans="1:24" x14ac:dyDescent="0.25">
      <c r="A99" s="8"/>
      <c r="B99" s="3"/>
      <c r="C99" s="3"/>
      <c r="D99" s="9"/>
      <c r="E99" s="9"/>
      <c r="F99" s="9"/>
      <c r="G99" s="9"/>
      <c r="H99" s="9"/>
      <c r="I99" s="8"/>
      <c r="J99" s="8"/>
      <c r="V99" s="52" t="s">
        <v>118</v>
      </c>
      <c r="W99" s="11" t="s">
        <v>119</v>
      </c>
      <c r="X99" s="6">
        <v>8.61</v>
      </c>
    </row>
    <row r="100" spans="1:24" x14ac:dyDescent="0.25">
      <c r="A100" s="8"/>
      <c r="B100" s="3"/>
      <c r="C100" s="3"/>
      <c r="D100" s="9"/>
      <c r="E100" s="9"/>
      <c r="F100" s="9"/>
      <c r="G100" s="9"/>
      <c r="H100" s="9"/>
      <c r="I100" s="8"/>
      <c r="J100" s="8"/>
      <c r="V100" s="52">
        <v>0</v>
      </c>
      <c r="W100" s="11" t="s">
        <v>123</v>
      </c>
      <c r="X100" s="6">
        <v>0</v>
      </c>
    </row>
    <row r="101" spans="1:24" x14ac:dyDescent="0.25">
      <c r="A101" s="8"/>
      <c r="B101" s="3"/>
      <c r="C101" s="3"/>
      <c r="D101" s="9"/>
      <c r="E101" s="9"/>
      <c r="F101" s="9"/>
      <c r="G101" s="9"/>
      <c r="H101" s="9"/>
      <c r="I101" s="8"/>
      <c r="J101" s="8"/>
      <c r="V101" s="52" t="s">
        <v>84</v>
      </c>
      <c r="W101" s="11" t="s">
        <v>122</v>
      </c>
      <c r="X101" s="6">
        <v>5.01</v>
      </c>
    </row>
    <row r="102" spans="1:24" x14ac:dyDescent="0.25">
      <c r="A102" s="8"/>
      <c r="B102" s="3"/>
      <c r="C102" s="3"/>
      <c r="D102" s="9"/>
      <c r="E102" s="9"/>
      <c r="F102" s="9"/>
      <c r="G102" s="9"/>
      <c r="H102" s="9"/>
      <c r="I102" s="8"/>
      <c r="J102" s="8"/>
    </row>
    <row r="103" spans="1:24" x14ac:dyDescent="0.25">
      <c r="A103" s="8"/>
      <c r="B103" s="3"/>
      <c r="C103" s="3"/>
      <c r="D103" s="9"/>
      <c r="E103" s="9"/>
      <c r="F103" s="9"/>
      <c r="G103" s="9"/>
      <c r="H103" s="9"/>
      <c r="I103" s="8"/>
      <c r="J103" s="8"/>
    </row>
    <row r="104" spans="1:24" x14ac:dyDescent="0.25">
      <c r="A104" s="8"/>
      <c r="B104" s="3"/>
      <c r="C104" s="3"/>
      <c r="D104" s="9"/>
      <c r="E104" s="9"/>
      <c r="F104" s="9"/>
      <c r="G104" s="9"/>
      <c r="H104" s="9"/>
      <c r="I104" s="8"/>
      <c r="J104" s="8"/>
    </row>
    <row r="105" spans="1:24" x14ac:dyDescent="0.25">
      <c r="A105" s="8"/>
      <c r="B105" s="3"/>
      <c r="C105" s="3"/>
      <c r="D105" s="9"/>
      <c r="E105" s="9"/>
      <c r="F105" s="9"/>
      <c r="G105" s="9"/>
      <c r="H105" s="9"/>
      <c r="I105" s="8"/>
      <c r="J105" s="8"/>
    </row>
    <row r="106" spans="1:24" x14ac:dyDescent="0.25">
      <c r="A106" s="8"/>
      <c r="B106" s="3"/>
      <c r="C106" s="3"/>
      <c r="D106" s="9"/>
      <c r="E106" s="9"/>
      <c r="F106" s="9"/>
      <c r="G106" s="9"/>
      <c r="H106" s="9"/>
      <c r="I106" s="8"/>
      <c r="J106" s="8"/>
    </row>
    <row r="107" spans="1:24" x14ac:dyDescent="0.25">
      <c r="A107" s="8"/>
      <c r="B107" s="3"/>
      <c r="C107" s="3"/>
      <c r="D107" s="9"/>
      <c r="E107" s="9"/>
      <c r="F107" s="9"/>
      <c r="G107" s="9"/>
      <c r="H107" s="9"/>
      <c r="I107" s="8"/>
      <c r="J107" s="8"/>
    </row>
    <row r="108" spans="1:24" x14ac:dyDescent="0.25">
      <c r="A108" s="8"/>
      <c r="B108" s="3"/>
      <c r="C108" s="3"/>
      <c r="D108" s="9"/>
      <c r="E108" s="9"/>
      <c r="F108" s="9"/>
      <c r="G108" s="9"/>
      <c r="H108" s="9"/>
      <c r="I108" s="8"/>
      <c r="J108" s="8"/>
    </row>
    <row r="109" spans="1:24" x14ac:dyDescent="0.25">
      <c r="A109" s="8"/>
      <c r="B109" s="3"/>
      <c r="C109" s="3"/>
      <c r="D109" s="9"/>
      <c r="E109" s="9"/>
      <c r="F109" s="9"/>
      <c r="G109" s="9"/>
      <c r="H109" s="9"/>
      <c r="I109" s="8"/>
      <c r="J109" s="8"/>
    </row>
    <row r="110" spans="1:24" x14ac:dyDescent="0.25">
      <c r="A110" s="8"/>
      <c r="B110" s="3"/>
      <c r="C110" s="3"/>
      <c r="D110" s="9"/>
      <c r="E110" s="9"/>
      <c r="F110" s="9"/>
      <c r="G110" s="9"/>
      <c r="H110" s="9"/>
      <c r="I110" s="8"/>
      <c r="J110" s="8"/>
    </row>
    <row r="111" spans="1:24" x14ac:dyDescent="0.25">
      <c r="A111" s="8"/>
      <c r="B111" s="3"/>
      <c r="C111" s="3"/>
      <c r="D111" s="9"/>
      <c r="E111" s="9"/>
      <c r="F111" s="9"/>
      <c r="G111" s="9"/>
      <c r="H111" s="9"/>
      <c r="I111" s="8"/>
      <c r="J111" s="8"/>
    </row>
    <row r="112" spans="1:24" x14ac:dyDescent="0.25">
      <c r="A112" s="8"/>
      <c r="B112" s="3"/>
      <c r="C112" s="3"/>
      <c r="D112" s="9"/>
      <c r="E112" s="9"/>
      <c r="F112" s="9"/>
      <c r="G112" s="9"/>
      <c r="H112" s="9"/>
      <c r="I112" s="8"/>
      <c r="J112" s="8"/>
    </row>
    <row r="113" spans="1:10" x14ac:dyDescent="0.25">
      <c r="A113" s="8"/>
      <c r="B113" s="3"/>
      <c r="C113" s="3"/>
      <c r="D113" s="9"/>
      <c r="E113" s="9"/>
      <c r="F113" s="9"/>
      <c r="G113" s="9"/>
      <c r="H113" s="9"/>
      <c r="I113" s="8"/>
      <c r="J113" s="8"/>
    </row>
    <row r="114" spans="1:10" x14ac:dyDescent="0.25">
      <c r="A114" s="8"/>
      <c r="B114" s="3"/>
      <c r="C114" s="3"/>
      <c r="D114" s="9"/>
      <c r="E114" s="9"/>
      <c r="F114" s="9"/>
      <c r="G114" s="9"/>
      <c r="H114" s="9"/>
      <c r="I114" s="8"/>
      <c r="J114" s="8"/>
    </row>
    <row r="115" spans="1:10" x14ac:dyDescent="0.25">
      <c r="A115" s="8"/>
      <c r="B115" s="3"/>
      <c r="C115" s="3"/>
      <c r="D115" s="9"/>
      <c r="E115" s="9"/>
      <c r="F115" s="9"/>
      <c r="G115" s="9"/>
      <c r="H115" s="9"/>
      <c r="I115" s="8"/>
      <c r="J115" s="8"/>
    </row>
    <row r="116" spans="1:10" x14ac:dyDescent="0.25">
      <c r="A116" s="8"/>
      <c r="B116" s="3"/>
      <c r="C116" s="3"/>
      <c r="D116" s="9"/>
      <c r="E116" s="9"/>
      <c r="F116" s="9"/>
      <c r="G116" s="9"/>
      <c r="H116" s="9"/>
      <c r="I116" s="8"/>
      <c r="J116" s="8"/>
    </row>
    <row r="117" spans="1:10" x14ac:dyDescent="0.25">
      <c r="A117" s="8"/>
      <c r="B117" s="3"/>
      <c r="C117" s="3"/>
      <c r="D117" s="9"/>
      <c r="E117" s="9"/>
      <c r="F117" s="9"/>
      <c r="G117" s="9"/>
      <c r="H117" s="9"/>
      <c r="I117" s="8"/>
      <c r="J117" s="8"/>
    </row>
    <row r="118" spans="1:10" x14ac:dyDescent="0.25">
      <c r="A118" s="8"/>
      <c r="B118" s="3"/>
      <c r="C118" s="3"/>
      <c r="D118" s="9"/>
      <c r="E118" s="9"/>
      <c r="F118" s="9"/>
      <c r="G118" s="9"/>
      <c r="H118" s="9"/>
      <c r="I118" s="8"/>
      <c r="J118" s="8"/>
    </row>
    <row r="119" spans="1:10" x14ac:dyDescent="0.25">
      <c r="A119" s="8"/>
      <c r="B119" s="3"/>
      <c r="C119" s="3"/>
      <c r="D119" s="9"/>
      <c r="E119" s="9"/>
      <c r="F119" s="9"/>
      <c r="G119" s="9"/>
      <c r="H119" s="9"/>
      <c r="I119" s="8"/>
      <c r="J119" s="8"/>
    </row>
    <row r="120" spans="1:10" x14ac:dyDescent="0.25">
      <c r="A120" s="8"/>
      <c r="B120" s="3"/>
      <c r="C120" s="3"/>
      <c r="D120" s="9"/>
      <c r="E120" s="9"/>
      <c r="F120" s="9"/>
      <c r="G120" s="9"/>
      <c r="H120" s="9"/>
      <c r="I120" s="8"/>
      <c r="J120" s="8"/>
    </row>
    <row r="121" spans="1:10" x14ac:dyDescent="0.25">
      <c r="A121" s="8"/>
      <c r="B121" s="3"/>
      <c r="C121" s="3"/>
      <c r="D121" s="9"/>
      <c r="E121" s="9"/>
      <c r="F121" s="9"/>
      <c r="G121" s="9"/>
      <c r="H121" s="9"/>
      <c r="I121" s="8"/>
      <c r="J121" s="8"/>
    </row>
    <row r="122" spans="1:10" x14ac:dyDescent="0.25">
      <c r="A122" s="8"/>
      <c r="B122" s="3"/>
      <c r="C122" s="3"/>
      <c r="D122" s="9"/>
      <c r="E122" s="9"/>
      <c r="F122" s="9"/>
      <c r="G122" s="9"/>
      <c r="H122" s="9"/>
      <c r="I122" s="8"/>
      <c r="J122" s="8"/>
    </row>
    <row r="123" spans="1:10" x14ac:dyDescent="0.25">
      <c r="A123" s="8"/>
      <c r="B123" s="3"/>
      <c r="C123" s="3"/>
      <c r="D123" s="9"/>
      <c r="E123" s="9"/>
      <c r="F123" s="9"/>
      <c r="G123" s="9"/>
      <c r="H123" s="9"/>
      <c r="I123" s="8"/>
      <c r="J123" s="8"/>
    </row>
    <row r="124" spans="1:10" x14ac:dyDescent="0.25">
      <c r="A124" s="8"/>
      <c r="B124" s="3"/>
      <c r="C124" s="3"/>
      <c r="D124" s="9"/>
      <c r="E124" s="9"/>
      <c r="F124" s="9"/>
      <c r="G124" s="9"/>
      <c r="H124" s="9"/>
      <c r="I124" s="8"/>
      <c r="J124" s="8"/>
    </row>
    <row r="125" spans="1:10" x14ac:dyDescent="0.25">
      <c r="A125" s="8"/>
      <c r="B125" s="3"/>
      <c r="C125" s="3"/>
      <c r="D125" s="9"/>
      <c r="E125" s="9"/>
      <c r="F125" s="9"/>
      <c r="G125" s="9"/>
      <c r="H125" s="9"/>
      <c r="I125" s="8"/>
      <c r="J125" s="8"/>
    </row>
    <row r="126" spans="1:10" x14ac:dyDescent="0.25">
      <c r="A126" s="8"/>
      <c r="B126" s="3"/>
      <c r="C126" s="3"/>
      <c r="D126" s="9"/>
      <c r="E126" s="9"/>
      <c r="F126" s="9"/>
      <c r="G126" s="9"/>
      <c r="H126" s="9"/>
      <c r="I126" s="8"/>
      <c r="J126" s="8"/>
    </row>
    <row r="127" spans="1:10" x14ac:dyDescent="0.25">
      <c r="A127" s="8"/>
      <c r="B127" s="3"/>
      <c r="C127" s="3"/>
      <c r="D127" s="9"/>
      <c r="E127" s="9"/>
      <c r="F127" s="9"/>
      <c r="G127" s="9"/>
      <c r="H127" s="9"/>
      <c r="I127" s="8"/>
      <c r="J127" s="8"/>
    </row>
    <row r="128" spans="1:10" x14ac:dyDescent="0.25">
      <c r="A128" s="8"/>
      <c r="B128" s="3"/>
      <c r="C128" s="3"/>
      <c r="D128" s="9"/>
      <c r="E128" s="9"/>
      <c r="F128" s="9"/>
      <c r="G128" s="9"/>
      <c r="H128" s="9"/>
      <c r="I128" s="8"/>
      <c r="J128" s="8"/>
    </row>
    <row r="129" spans="1:10" x14ac:dyDescent="0.25">
      <c r="A129" s="8"/>
      <c r="B129" s="3"/>
      <c r="C129" s="3"/>
      <c r="D129" s="9"/>
      <c r="E129" s="9"/>
      <c r="F129" s="9"/>
      <c r="G129" s="9"/>
      <c r="H129" s="9"/>
      <c r="I129" s="8"/>
      <c r="J129" s="8"/>
    </row>
    <row r="130" spans="1:10" x14ac:dyDescent="0.25">
      <c r="A130" s="8"/>
      <c r="B130" s="3"/>
      <c r="C130" s="3"/>
      <c r="D130" s="9"/>
      <c r="E130" s="9"/>
      <c r="F130" s="9"/>
      <c r="G130" s="9"/>
      <c r="H130" s="9"/>
      <c r="I130" s="8"/>
      <c r="J130" s="8"/>
    </row>
    <row r="131" spans="1:10" x14ac:dyDescent="0.25">
      <c r="A131" s="8"/>
      <c r="B131" s="3"/>
      <c r="C131" s="3"/>
      <c r="D131" s="9"/>
      <c r="E131" s="9"/>
      <c r="F131" s="9"/>
      <c r="G131" s="9"/>
      <c r="H131" s="9"/>
      <c r="I131" s="8"/>
      <c r="J131" s="8"/>
    </row>
    <row r="132" spans="1:10" x14ac:dyDescent="0.25">
      <c r="A132" s="8"/>
      <c r="B132" s="3"/>
      <c r="C132" s="3"/>
      <c r="D132" s="9"/>
      <c r="E132" s="9"/>
      <c r="F132" s="9"/>
      <c r="G132" s="9"/>
      <c r="H132" s="9"/>
      <c r="I132" s="8"/>
      <c r="J132" s="8"/>
    </row>
    <row r="133" spans="1:10" x14ac:dyDescent="0.25">
      <c r="A133" s="8"/>
      <c r="B133" s="3"/>
      <c r="C133" s="3"/>
      <c r="D133" s="9"/>
      <c r="E133" s="9"/>
      <c r="F133" s="9"/>
      <c r="G133" s="9"/>
      <c r="H133" s="9"/>
      <c r="I133" s="8"/>
      <c r="J133" s="8"/>
    </row>
    <row r="134" spans="1:10" x14ac:dyDescent="0.25">
      <c r="A134" s="8"/>
      <c r="B134" s="3"/>
      <c r="C134" s="3"/>
      <c r="D134" s="9"/>
      <c r="E134" s="9"/>
      <c r="F134" s="9"/>
      <c r="G134" s="9"/>
      <c r="H134" s="9"/>
      <c r="I134" s="8"/>
      <c r="J134" s="8"/>
    </row>
    <row r="135" spans="1:10" x14ac:dyDescent="0.25">
      <c r="A135" s="8"/>
      <c r="B135" s="3"/>
      <c r="C135" s="3"/>
      <c r="D135" s="9"/>
      <c r="E135" s="9"/>
      <c r="F135" s="9"/>
      <c r="G135" s="9"/>
      <c r="H135" s="9"/>
      <c r="I135" s="8"/>
      <c r="J135" s="8"/>
    </row>
    <row r="136" spans="1:10" x14ac:dyDescent="0.25">
      <c r="A136" s="8"/>
      <c r="B136" s="3"/>
      <c r="C136" s="3"/>
      <c r="D136" s="9"/>
      <c r="E136" s="9"/>
      <c r="F136" s="9"/>
      <c r="G136" s="9"/>
      <c r="H136" s="9"/>
      <c r="I136" s="8"/>
      <c r="J136" s="8"/>
    </row>
    <row r="137" spans="1:10" x14ac:dyDescent="0.25">
      <c r="A137" s="8"/>
      <c r="B137" s="3"/>
      <c r="C137" s="3"/>
      <c r="D137" s="9"/>
      <c r="E137" s="9"/>
      <c r="F137" s="9"/>
      <c r="G137" s="9"/>
      <c r="H137" s="9"/>
      <c r="I137" s="8"/>
      <c r="J137" s="8"/>
    </row>
    <row r="138" spans="1:10" x14ac:dyDescent="0.25">
      <c r="A138" s="8"/>
      <c r="B138" s="3"/>
      <c r="C138" s="3"/>
      <c r="D138" s="9"/>
      <c r="E138" s="9"/>
      <c r="F138" s="9"/>
      <c r="G138" s="9"/>
      <c r="H138" s="9"/>
      <c r="I138" s="8"/>
      <c r="J138" s="8"/>
    </row>
    <row r="139" spans="1:10" x14ac:dyDescent="0.25">
      <c r="A139" s="8"/>
      <c r="B139" s="3"/>
      <c r="C139" s="3"/>
      <c r="D139" s="9"/>
      <c r="E139" s="9"/>
      <c r="F139" s="9"/>
      <c r="G139" s="9"/>
      <c r="H139" s="9"/>
      <c r="I139" s="8"/>
      <c r="J139" s="8"/>
    </row>
    <row r="140" spans="1:10" x14ac:dyDescent="0.25">
      <c r="A140" s="8"/>
      <c r="B140" s="3"/>
      <c r="C140" s="3"/>
      <c r="D140" s="9"/>
      <c r="E140" s="9"/>
      <c r="F140" s="9"/>
      <c r="G140" s="9"/>
      <c r="H140" s="9"/>
      <c r="I140" s="8"/>
      <c r="J140" s="8"/>
    </row>
  </sheetData>
  <sortState xmlns:xlrd2="http://schemas.microsoft.com/office/spreadsheetml/2017/richdata2" ref="A6:T68">
    <sortCondition ref="I6:I68"/>
    <sortCondition descending="1" ref="Q6:Q68"/>
  </sortState>
  <mergeCells count="4">
    <mergeCell ref="A1:O1"/>
    <mergeCell ref="A4:G4"/>
    <mergeCell ref="I4:O4"/>
    <mergeCell ref="V4:X4"/>
  </mergeCells>
  <conditionalFormatting sqref="K6:K68">
    <cfRule type="containsText" dxfId="6" priority="28" operator="containsText" text="Cobra">
      <formula>NOT(ISERROR(SEARCH("Cobra",K6)))</formula>
    </cfRule>
  </conditionalFormatting>
  <conditionalFormatting sqref="K6:K68">
    <cfRule type="containsText" dxfId="5" priority="22" operator="containsText" text="Contemporary">
      <formula>NOT(ISERROR(SEARCH("Contemporary",K6)))</formula>
    </cfRule>
    <cfRule type="containsText" dxfId="4" priority="23" operator="containsText" text="Flood">
      <formula>NOT(ISERROR(SEARCH("Flood",K6)))</formula>
    </cfRule>
    <cfRule type="containsText" dxfId="3" priority="24" operator="containsText" text="Acorn">
      <formula>NOT(ISERROR(SEARCH("Acorn",K6)))</formula>
    </cfRule>
    <cfRule type="containsText" dxfId="2" priority="25" operator="containsText" text="Colonial">
      <formula>NOT(ISERROR(SEARCH("Colonial",K6)))</formula>
    </cfRule>
    <cfRule type="containsText" dxfId="1" priority="26" operator="containsText" text="Open Bottom">
      <formula>NOT(ISERROR(SEARCH("Open Bottom",K6)))</formula>
    </cfRule>
    <cfRule type="containsText" dxfId="0" priority="27" operator="containsText" text="Cobra">
      <formula>NOT(ISERROR(SEARCH("Cobra",K6)))</formula>
    </cfRule>
  </conditionalFormatting>
  <pageMargins left="1" right="1" top="1.5" bottom="1" header="0.5" footer="0.5"/>
  <pageSetup scale="52" fitToHeight="0" orientation="landscape" r:id="rId1"/>
  <headerFooter scaleWithDoc="0">
    <oddHeader xml:space="preserve">&amp;R&amp;"Times New Roman,Bold"&amp;12 Case No. 2020-00350
Attachment to Response to LFUCG-1 Question No. 12b
Page &amp;P of &amp;N
Wolfe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79FDA-985D-4EF1-893A-1BE3104F362F}">
  <dimension ref="A1:F104"/>
  <sheetViews>
    <sheetView tabSelected="1" workbookViewId="0">
      <selection activeCell="I16" sqref="I16"/>
    </sheetView>
  </sheetViews>
  <sheetFormatPr defaultRowHeight="15" x14ac:dyDescent="0.25"/>
  <cols>
    <col min="1" max="1" width="5.5703125" style="43" customWidth="1"/>
    <col min="2" max="2" width="39.42578125" style="41" customWidth="1"/>
    <col min="3" max="3" width="10.85546875" style="41" customWidth="1"/>
    <col min="4" max="4" width="11.140625" style="41" customWidth="1"/>
    <col min="5" max="5" width="42.85546875" style="41" customWidth="1"/>
    <col min="6" max="16384" width="9.140625" style="41"/>
  </cols>
  <sheetData>
    <row r="1" spans="1:6" x14ac:dyDescent="0.25">
      <c r="A1" s="45" t="s">
        <v>139</v>
      </c>
    </row>
    <row r="2" spans="1:6" x14ac:dyDescent="0.25">
      <c r="A2" s="45"/>
    </row>
    <row r="3" spans="1:6" x14ac:dyDescent="0.25">
      <c r="A3" s="45"/>
    </row>
    <row r="4" spans="1:6" x14ac:dyDescent="0.25">
      <c r="A4" s="45"/>
    </row>
    <row r="6" spans="1:6" s="47" customFormat="1" ht="57" customHeight="1" x14ac:dyDescent="0.25">
      <c r="A6" s="46" t="s">
        <v>129</v>
      </c>
      <c r="B6" s="47" t="s">
        <v>130</v>
      </c>
      <c r="C6" s="47" t="s">
        <v>133</v>
      </c>
      <c r="D6" s="47" t="s">
        <v>131</v>
      </c>
      <c r="E6" s="47" t="s">
        <v>132</v>
      </c>
      <c r="F6" s="47" t="s">
        <v>134</v>
      </c>
    </row>
    <row r="7" spans="1:6" x14ac:dyDescent="0.25">
      <c r="A7" s="40">
        <f>'Comparable Fixtures Table'!I6</f>
        <v>390</v>
      </c>
      <c r="B7" s="41" t="str">
        <f>'Comparable Fixtures Table'!K6</f>
        <v>LS 390 OH LED Cobra 6000-8200</v>
      </c>
      <c r="C7" s="33">
        <f>IF('Comparable Fixtures Table'!I6&lt;&gt;'Comparable Fixtures Table'!I5,'Comparable Fixtures Table'!T6,"")</f>
        <v>8.9906634588346535</v>
      </c>
      <c r="D7" s="42">
        <f>'Comparable Fixtures Table'!A6</f>
        <v>447</v>
      </c>
      <c r="E7" s="41" t="str">
        <f>'Comparable Fixtures Table'!B6</f>
        <v>RLS 447: OH MV Cobra Head 10000L Fixture</v>
      </c>
      <c r="F7" s="33" t="str">
        <f>IF('Comparable Fixtures Table'!Q6="No",'Comparable Fixtures Table'!D6,"")</f>
        <v/>
      </c>
    </row>
    <row r="8" spans="1:6" x14ac:dyDescent="0.25">
      <c r="A8" s="41" t="str">
        <f>IF('Comparable Fixtures Table'!I7&lt;&gt;'Comparable Fixtures Table'!I6,'Comparable Fixtures Table'!I7,"")</f>
        <v/>
      </c>
      <c r="B8" s="41" t="str">
        <f>IF('Comparable Fixtures Table'!K7&lt;&gt;'Comparable Fixtures Table'!K6,'Comparable Fixtures Table'!K7,"")</f>
        <v/>
      </c>
      <c r="C8" s="33" t="str">
        <f>IF('Comparable Fixtures Table'!I7&lt;&gt;'Comparable Fixtures Table'!I6,'Comparable Fixtures Table'!T7,"")</f>
        <v/>
      </c>
      <c r="D8" s="42">
        <f>'Comparable Fixtures Table'!A7</f>
        <v>463</v>
      </c>
      <c r="E8" s="41" t="str">
        <f>'Comparable Fixtures Table'!B7</f>
        <v>RLS 463: OH HPS Cobra Head 9500L Fixture</v>
      </c>
      <c r="F8" s="33" t="str">
        <f>IF('Comparable Fixtures Table'!Q7="No",'Comparable Fixtures Table'!D7,"")</f>
        <v/>
      </c>
    </row>
    <row r="9" spans="1:6" x14ac:dyDescent="0.25">
      <c r="A9" s="41"/>
      <c r="C9" s="33"/>
      <c r="D9" s="42"/>
      <c r="F9" s="33"/>
    </row>
    <row r="10" spans="1:6" x14ac:dyDescent="0.25">
      <c r="A10" s="41">
        <f>IF('Comparable Fixtures Table'!I8&lt;&gt;'Comparable Fixtures Table'!I7,'Comparable Fixtures Table'!I8,"")</f>
        <v>391</v>
      </c>
      <c r="B10" s="41" t="str">
        <f>IF('Comparable Fixtures Table'!K8&lt;&gt;'Comparable Fixtures Table'!K7,'Comparable Fixtures Table'!K8,"")</f>
        <v>LS 391 OH LED Cobra 13000-16500</v>
      </c>
      <c r="C10" s="33">
        <f>IF('Comparable Fixtures Table'!I8&lt;&gt;'Comparable Fixtures Table'!I7,'Comparable Fixtures Table'!T8,"")</f>
        <v>13.551102587165069</v>
      </c>
      <c r="D10" s="42">
        <f>'Comparable Fixtures Table'!A8</f>
        <v>448</v>
      </c>
      <c r="E10" s="41" t="str">
        <f>'Comparable Fixtures Table'!B8</f>
        <v>RLS 448: OH MV Cobra Head 20000L Fixture</v>
      </c>
      <c r="F10" s="33" t="str">
        <f>IF('Comparable Fixtures Table'!Q8="No",'Comparable Fixtures Table'!D8,"")</f>
        <v/>
      </c>
    </row>
    <row r="11" spans="1:6" x14ac:dyDescent="0.25">
      <c r="A11" s="41" t="str">
        <f>IF('Comparable Fixtures Table'!I9&lt;&gt;'Comparable Fixtures Table'!I8,'Comparable Fixtures Table'!I9,"")</f>
        <v/>
      </c>
      <c r="B11" s="41" t="str">
        <f>IF('Comparable Fixtures Table'!K9&lt;&gt;'Comparable Fixtures Table'!K8,'Comparable Fixtures Table'!K9,"")</f>
        <v/>
      </c>
      <c r="C11" s="33" t="str">
        <f>IF('Comparable Fixtures Table'!I9&lt;&gt;'Comparable Fixtures Table'!I8,'Comparable Fixtures Table'!T9,"")</f>
        <v/>
      </c>
      <c r="D11" s="42">
        <f>'Comparable Fixtures Table'!A9</f>
        <v>464</v>
      </c>
      <c r="E11" s="41" t="str">
        <f>'Comparable Fixtures Table'!B9</f>
        <v>RLS 464: OH HPS Cobra Head 22000L Fixture</v>
      </c>
      <c r="F11" s="33" t="str">
        <f>IF('Comparable Fixtures Table'!Q9="No",'Comparable Fixtures Table'!D9,"")</f>
        <v/>
      </c>
    </row>
    <row r="12" spans="1:6" x14ac:dyDescent="0.25">
      <c r="A12" s="41"/>
      <c r="C12" s="33"/>
      <c r="D12" s="42"/>
      <c r="F12" s="33"/>
    </row>
    <row r="13" spans="1:6" x14ac:dyDescent="0.25">
      <c r="A13" s="41">
        <f>IF('Comparable Fixtures Table'!I10&lt;&gt;'Comparable Fixtures Table'!I9,'Comparable Fixtures Table'!I10,"")</f>
        <v>392</v>
      </c>
      <c r="B13" s="41" t="str">
        <f>IF('Comparable Fixtures Table'!K10&lt;&gt;'Comparable Fixtures Table'!K9,'Comparable Fixtures Table'!K10,"")</f>
        <v>LS 392 OH LED Cobra 22000-29000</v>
      </c>
      <c r="C13" s="33">
        <f>IF('Comparable Fixtures Table'!I10&lt;&gt;'Comparable Fixtures Table'!I9,'Comparable Fixtures Table'!T10,"")</f>
        <v>20.473948833708832</v>
      </c>
      <c r="D13" s="42">
        <f>'Comparable Fixtures Table'!A10</f>
        <v>409</v>
      </c>
      <c r="E13" s="41" t="str">
        <f>'Comparable Fixtures Table'!B10</f>
        <v>RLS 409: OH HPS Cobra Head 50000L Fix</v>
      </c>
      <c r="F13" s="33" t="str">
        <f>IF('Comparable Fixtures Table'!Q10="No",'Comparable Fixtures Table'!D10,"")</f>
        <v/>
      </c>
    </row>
    <row r="14" spans="1:6" x14ac:dyDescent="0.25">
      <c r="A14" s="41" t="str">
        <f>IF('Comparable Fixtures Table'!I11&lt;&gt;'Comparable Fixtures Table'!I10,'Comparable Fixtures Table'!I11,"")</f>
        <v/>
      </c>
      <c r="B14" s="41" t="str">
        <f>IF('Comparable Fixtures Table'!K11&lt;&gt;'Comparable Fixtures Table'!K10,'Comparable Fixtures Table'!K11,"")</f>
        <v/>
      </c>
      <c r="C14" s="33" t="str">
        <f>IF('Comparable Fixtures Table'!I11&lt;&gt;'Comparable Fixtures Table'!I10,'Comparable Fixtures Table'!T11,"")</f>
        <v/>
      </c>
      <c r="D14" s="42">
        <f>'Comparable Fixtures Table'!A11</f>
        <v>465</v>
      </c>
      <c r="E14" s="41" t="str">
        <f>'Comparable Fixtures Table'!B11</f>
        <v>RLS 465: OH HPS Cobra Head 50000L Fixture</v>
      </c>
      <c r="F14" s="33" t="str">
        <f>IF('Comparable Fixtures Table'!Q11="No",'Comparable Fixtures Table'!D11,"")</f>
        <v/>
      </c>
    </row>
    <row r="15" spans="1:6" x14ac:dyDescent="0.25">
      <c r="A15" s="41"/>
      <c r="C15" s="33"/>
      <c r="D15" s="42"/>
      <c r="F15" s="33"/>
    </row>
    <row r="16" spans="1:6" x14ac:dyDescent="0.25">
      <c r="A16" s="41">
        <f>IF('Comparable Fixtures Table'!I12&lt;&gt;'Comparable Fixtures Table'!I11,'Comparable Fixtures Table'!I12,"")</f>
        <v>393</v>
      </c>
      <c r="B16" s="41" t="str">
        <f>IF('Comparable Fixtures Table'!K12&lt;&gt;'Comparable Fixtures Table'!K11,'Comparable Fixtures Table'!K12,"")</f>
        <v>LS 393 OH LED Open Bottom 4500-6000</v>
      </c>
      <c r="C16" s="33">
        <f>IF('Comparable Fixtures Table'!I12&lt;&gt;'Comparable Fixtures Table'!I11,'Comparable Fixtures Table'!T12,"")</f>
        <v>7.9184137622956605</v>
      </c>
      <c r="D16" s="42">
        <f>'Comparable Fixtures Table'!A12</f>
        <v>404</v>
      </c>
      <c r="E16" s="41" t="str">
        <f>'Comparable Fixtures Table'!B12</f>
        <v>RLS 404: OH MV Open Bottom 7000L Fixture</v>
      </c>
      <c r="F16" s="33" t="str">
        <f>IF('Comparable Fixtures Table'!Q12="No",'Comparable Fixtures Table'!D12,"")</f>
        <v/>
      </c>
    </row>
    <row r="17" spans="1:6" x14ac:dyDescent="0.25">
      <c r="A17" s="41" t="str">
        <f>IF('Comparable Fixtures Table'!I13&lt;&gt;'Comparable Fixtures Table'!I12,'Comparable Fixtures Table'!I13,"")</f>
        <v/>
      </c>
      <c r="B17" s="41" t="str">
        <f>IF('Comparable Fixtures Table'!K13&lt;&gt;'Comparable Fixtures Table'!K12,'Comparable Fixtures Table'!K13,"")</f>
        <v/>
      </c>
      <c r="C17" s="33" t="str">
        <f>IF('Comparable Fixtures Table'!I13&lt;&gt;'Comparable Fixtures Table'!I12,'Comparable Fixtures Table'!T13,"")</f>
        <v/>
      </c>
      <c r="D17" s="42">
        <f>'Comparable Fixtures Table'!A13</f>
        <v>424</v>
      </c>
      <c r="E17" s="41" t="str">
        <f>'Comparable Fixtures Table'!B13</f>
        <v>RLS 424: OH Inc Tear Drop 4000L Fix Only</v>
      </c>
      <c r="F17" s="33" t="str">
        <f>IF('Comparable Fixtures Table'!Q13="No",'Comparable Fixtures Table'!D13,"")</f>
        <v/>
      </c>
    </row>
    <row r="18" spans="1:6" x14ac:dyDescent="0.25">
      <c r="A18" s="41" t="str">
        <f>IF('Comparable Fixtures Table'!I14&lt;&gt;'Comparable Fixtures Table'!I13,'Comparable Fixtures Table'!I14,"")</f>
        <v/>
      </c>
      <c r="B18" s="41" t="str">
        <f>IF('Comparable Fixtures Table'!K14&lt;&gt;'Comparable Fixtures Table'!K13,'Comparable Fixtures Table'!K14,"")</f>
        <v/>
      </c>
      <c r="C18" s="33" t="str">
        <f>IF('Comparable Fixtures Table'!I14&lt;&gt;'Comparable Fixtures Table'!I13,'Comparable Fixtures Table'!T14,"")</f>
        <v/>
      </c>
      <c r="D18" s="42">
        <f>'Comparable Fixtures Table'!A14</f>
        <v>425</v>
      </c>
      <c r="E18" s="41" t="str">
        <f>'Comparable Fixtures Table'!B14</f>
        <v>RLS 425: OH Inc Tear Drop 6000L Fix Only</v>
      </c>
      <c r="F18" s="33" t="str">
        <f>IF('Comparable Fixtures Table'!Q14="No",'Comparable Fixtures Table'!D14,"")</f>
        <v/>
      </c>
    </row>
    <row r="19" spans="1:6" x14ac:dyDescent="0.25">
      <c r="A19" s="41" t="str">
        <f>IF('Comparable Fixtures Table'!I15&lt;&gt;'Comparable Fixtures Table'!I14,'Comparable Fixtures Table'!I15,"")</f>
        <v/>
      </c>
      <c r="B19" s="41" t="str">
        <f>IF('Comparable Fixtures Table'!K15&lt;&gt;'Comparable Fixtures Table'!K14,'Comparable Fixtures Table'!K15,"")</f>
        <v/>
      </c>
      <c r="C19" s="33" t="str">
        <f>IF('Comparable Fixtures Table'!I15&lt;&gt;'Comparable Fixtures Table'!I14,'Comparable Fixtures Table'!T15,"")</f>
        <v/>
      </c>
      <c r="D19" s="42">
        <f>'Comparable Fixtures Table'!A15</f>
        <v>426</v>
      </c>
      <c r="E19" s="41" t="str">
        <f>'Comparable Fixtures Table'!B15</f>
        <v>RLS 426: OH HPS Open Bottom 5800L Fix</v>
      </c>
      <c r="F19" s="33" t="str">
        <f>IF('Comparable Fixtures Table'!Q15="No",'Comparable Fixtures Table'!D15,"")</f>
        <v/>
      </c>
    </row>
    <row r="20" spans="1:6" x14ac:dyDescent="0.25">
      <c r="A20" s="41" t="str">
        <f>IF('Comparable Fixtures Table'!I16&lt;&gt;'Comparable Fixtures Table'!I15,'Comparable Fixtures Table'!I16,"")</f>
        <v/>
      </c>
      <c r="B20" s="41" t="str">
        <f>IF('Comparable Fixtures Table'!K16&lt;&gt;'Comparable Fixtures Table'!K15,'Comparable Fixtures Table'!K16,"")</f>
        <v/>
      </c>
      <c r="C20" s="33" t="str">
        <f>IF('Comparable Fixtures Table'!I16&lt;&gt;'Comparable Fixtures Table'!I15,'Comparable Fixtures Table'!T16,"")</f>
        <v/>
      </c>
      <c r="D20" s="42">
        <f>'Comparable Fixtures Table'!A16</f>
        <v>428</v>
      </c>
      <c r="E20" s="41" t="str">
        <f>'Comparable Fixtures Table'!B16</f>
        <v>RLS 428: OH HPS Open Bottom 9500L Fixture</v>
      </c>
      <c r="F20" s="33" t="str">
        <f>IF('Comparable Fixtures Table'!Q16="No",'Comparable Fixtures Table'!D16,"")</f>
        <v/>
      </c>
    </row>
    <row r="21" spans="1:6" x14ac:dyDescent="0.25">
      <c r="A21" s="41" t="str">
        <f>IF('Comparable Fixtures Table'!I17&lt;&gt;'Comparable Fixtures Table'!I16,'Comparable Fixtures Table'!I17,"")</f>
        <v/>
      </c>
      <c r="B21" s="41" t="str">
        <f>IF('Comparable Fixtures Table'!K17&lt;&gt;'Comparable Fixtures Table'!K16,'Comparable Fixtures Table'!K17,"")</f>
        <v/>
      </c>
      <c r="C21" s="33" t="str">
        <f>IF('Comparable Fixtures Table'!I17&lt;&gt;'Comparable Fixtures Table'!I16,'Comparable Fixtures Table'!T17,"")</f>
        <v/>
      </c>
      <c r="D21" s="42">
        <f>'Comparable Fixtures Table'!A17</f>
        <v>421</v>
      </c>
      <c r="E21" s="41" t="str">
        <f>'Comparable Fixtures Table'!B17</f>
        <v>RLS 421: OH Inc Tear Drop 1000L Fix Only</v>
      </c>
      <c r="F21" s="33">
        <f>IF('Comparable Fixtures Table'!Q17="No",'Comparable Fixtures Table'!D17,"")</f>
        <v>3.2691360000000005</v>
      </c>
    </row>
    <row r="22" spans="1:6" x14ac:dyDescent="0.25">
      <c r="A22" s="41" t="str">
        <f>IF('Comparable Fixtures Table'!I18&lt;&gt;'Comparable Fixtures Table'!I17,'Comparable Fixtures Table'!I18,"")</f>
        <v/>
      </c>
      <c r="B22" s="41" t="str">
        <f>IF('Comparable Fixtures Table'!K18&lt;&gt;'Comparable Fixtures Table'!K17,'Comparable Fixtures Table'!K18,"")</f>
        <v/>
      </c>
      <c r="C22" s="33" t="str">
        <f>IF('Comparable Fixtures Table'!I18&lt;&gt;'Comparable Fixtures Table'!I17,'Comparable Fixtures Table'!T18,"")</f>
        <v/>
      </c>
      <c r="D22" s="42">
        <f>'Comparable Fixtures Table'!A18</f>
        <v>422</v>
      </c>
      <c r="E22" s="41" t="str">
        <f>'Comparable Fixtures Table'!B18</f>
        <v>RLS 422: OH Inc Tear Drop 2500L Fix Only</v>
      </c>
      <c r="F22" s="33">
        <f>IF('Comparable Fixtures Table'!Q18="No",'Comparable Fixtures Table'!D18,"")</f>
        <v>4.234464</v>
      </c>
    </row>
    <row r="23" spans="1:6" x14ac:dyDescent="0.25">
      <c r="A23" s="41"/>
      <c r="C23" s="33"/>
      <c r="D23" s="42"/>
      <c r="F23" s="33"/>
    </row>
    <row r="24" spans="1:6" x14ac:dyDescent="0.25">
      <c r="A24" s="41">
        <f>IF('Comparable Fixtures Table'!I19&lt;&gt;'Comparable Fixtures Table'!I18,'Comparable Fixtures Table'!I19,"")</f>
        <v>396</v>
      </c>
      <c r="B24" s="41" t="str">
        <f>IF('Comparable Fixtures Table'!K19&lt;&gt;'Comparable Fixtures Table'!K18,'Comparable Fixtures Table'!K19,"")</f>
        <v>LS 396 UG LED Cobra 6000-8200</v>
      </c>
      <c r="C24" s="33">
        <f>IF('Comparable Fixtures Table'!I19&lt;&gt;'Comparable Fixtures Table'!I18,'Comparable Fixtures Table'!T19,"")</f>
        <v>13.352627999999997</v>
      </c>
      <c r="D24" s="42">
        <f>'Comparable Fixtures Table'!A19</f>
        <v>457</v>
      </c>
      <c r="E24" s="41" t="str">
        <f>'Comparable Fixtures Table'!B19</f>
        <v>RLS 457: OH MV Cobra 10000L Fixture/Pole</v>
      </c>
      <c r="F24" s="33">
        <f>IF('Comparable Fixtures Table'!Q19="No",'Comparable Fixtures Table'!D19,"")</f>
        <v>12.873744</v>
      </c>
    </row>
    <row r="25" spans="1:6" x14ac:dyDescent="0.25">
      <c r="A25" s="41" t="str">
        <f>IF('Comparable Fixtures Table'!I20&lt;&gt;'Comparable Fixtures Table'!I19,'Comparable Fixtures Table'!I20,"")</f>
        <v/>
      </c>
      <c r="B25" s="41" t="str">
        <f>IF('Comparable Fixtures Table'!K20&lt;&gt;'Comparable Fixtures Table'!K19,'Comparable Fixtures Table'!K20,"")</f>
        <v/>
      </c>
      <c r="C25" s="33" t="str">
        <f>IF('Comparable Fixtures Table'!I20&lt;&gt;'Comparable Fixtures Table'!I19,'Comparable Fixtures Table'!T20,"")</f>
        <v/>
      </c>
      <c r="D25" s="42">
        <f>'Comparable Fixtures Table'!A20</f>
        <v>473</v>
      </c>
      <c r="E25" s="41" t="str">
        <f>'Comparable Fixtures Table'!B20</f>
        <v>RLS 473: OH HPS Cobra 9500L Ornamental</v>
      </c>
      <c r="F25" s="33">
        <f>IF('Comparable Fixtures Table'!Q20="No",'Comparable Fixtures Table'!D20,"")</f>
        <v>12.297792000000001</v>
      </c>
    </row>
    <row r="26" spans="1:6" x14ac:dyDescent="0.25">
      <c r="A26" s="41"/>
      <c r="C26" s="33"/>
      <c r="D26" s="42"/>
      <c r="F26" s="33"/>
    </row>
    <row r="27" spans="1:6" x14ac:dyDescent="0.25">
      <c r="A27" s="41">
        <f>IF('Comparable Fixtures Table'!I21&lt;&gt;'Comparable Fixtures Table'!I20,'Comparable Fixtures Table'!I21,"")</f>
        <v>397</v>
      </c>
      <c r="B27" s="41" t="str">
        <f>IF('Comparable Fixtures Table'!K21&lt;&gt;'Comparable Fixtures Table'!K20,'Comparable Fixtures Table'!K21,"")</f>
        <v>LS 397 UG LED Cobra 13000-16500</v>
      </c>
      <c r="C27" s="33">
        <f>IF('Comparable Fixtures Table'!I21&lt;&gt;'Comparable Fixtures Table'!I20,'Comparable Fixtures Table'!T21,"")</f>
        <v>17.140778358797856</v>
      </c>
      <c r="D27" s="42">
        <f>'Comparable Fixtures Table'!A21</f>
        <v>474</v>
      </c>
      <c r="E27" s="41" t="str">
        <f>'Comparable Fixtures Table'!B21</f>
        <v>RLS 474: OH HPS Cobra 22000L Ornamental</v>
      </c>
      <c r="F27" s="33" t="str">
        <f>IF('Comparable Fixtures Table'!Q21="No",'Comparable Fixtures Table'!D21,"")</f>
        <v/>
      </c>
    </row>
    <row r="28" spans="1:6" x14ac:dyDescent="0.25">
      <c r="A28" s="41" t="str">
        <f>IF('Comparable Fixtures Table'!I22&lt;&gt;'Comparable Fixtures Table'!I21,'Comparable Fixtures Table'!I22,"")</f>
        <v/>
      </c>
      <c r="B28" s="41" t="str">
        <f>IF('Comparable Fixtures Table'!K22&lt;&gt;'Comparable Fixtures Table'!K21,'Comparable Fixtures Table'!K22,"")</f>
        <v/>
      </c>
      <c r="C28" s="33" t="str">
        <f>IF('Comparable Fixtures Table'!I22&lt;&gt;'Comparable Fixtures Table'!I21,'Comparable Fixtures Table'!T22,"")</f>
        <v/>
      </c>
      <c r="D28" s="42">
        <f>'Comparable Fixtures Table'!A22</f>
        <v>458</v>
      </c>
      <c r="E28" s="41" t="str">
        <f>'Comparable Fixtures Table'!B22</f>
        <v>RLS 458: OH MV Cobra 20000L Fixture/Pole</v>
      </c>
      <c r="F28" s="33">
        <f>IF('Comparable Fixtures Table'!Q22="No",'Comparable Fixtures Table'!D22,"")</f>
        <v>14.406912000000002</v>
      </c>
    </row>
    <row r="29" spans="1:6" x14ac:dyDescent="0.25">
      <c r="A29" s="41"/>
      <c r="C29" s="33"/>
      <c r="D29" s="42"/>
      <c r="F29" s="33"/>
    </row>
    <row r="30" spans="1:6" x14ac:dyDescent="0.25">
      <c r="A30" s="41">
        <f>IF('Comparable Fixtures Table'!I23&lt;&gt;'Comparable Fixtures Table'!I22,'Comparable Fixtures Table'!I23,"")</f>
        <v>398</v>
      </c>
      <c r="B30" s="41" t="str">
        <f>IF('Comparable Fixtures Table'!K23&lt;&gt;'Comparable Fixtures Table'!K22,'Comparable Fixtures Table'!K23,"")</f>
        <v>LS 398 UG LED Cobra 22000-29000</v>
      </c>
      <c r="C30" s="33">
        <f>IF('Comparable Fixtures Table'!I23&lt;&gt;'Comparable Fixtures Table'!I22,'Comparable Fixtures Table'!T23,"")</f>
        <v>23.829553223118278</v>
      </c>
      <c r="D30" s="42">
        <f>'Comparable Fixtures Table'!A23</f>
        <v>475</v>
      </c>
      <c r="E30" s="41" t="str">
        <f>'Comparable Fixtures Table'!B23</f>
        <v>RLS 475: OH HPS Cobra 50000L Ornamental</v>
      </c>
      <c r="F30" s="33" t="str">
        <f>IF('Comparable Fixtures Table'!Q23="No",'Comparable Fixtures Table'!D23,"")</f>
        <v/>
      </c>
    </row>
    <row r="31" spans="1:6" x14ac:dyDescent="0.25">
      <c r="A31" s="41"/>
      <c r="C31" s="33"/>
      <c r="D31" s="42"/>
      <c r="F31" s="33"/>
    </row>
    <row r="32" spans="1:6" x14ac:dyDescent="0.25">
      <c r="A32" s="41">
        <f>IF('Comparable Fixtures Table'!I24&lt;&gt;'Comparable Fixtures Table'!I23,'Comparable Fixtures Table'!I24,"")</f>
        <v>399</v>
      </c>
      <c r="B32" s="41" t="str">
        <f>IF('Comparable Fixtures Table'!K24&lt;&gt;'Comparable Fixtures Table'!K23,'Comparable Fixtures Table'!K24,"")</f>
        <v>LS 399 UG LED Colonial 4000-7000</v>
      </c>
      <c r="C32" s="33">
        <f>IF('Comparable Fixtures Table'!I24&lt;&gt;'Comparable Fixtures Table'!I23,'Comparable Fixtures Table'!T24,"")</f>
        <v>18.440212708584337</v>
      </c>
      <c r="D32" s="42">
        <f>'Comparable Fixtures Table'!A24</f>
        <v>412</v>
      </c>
      <c r="E32" s="41" t="str">
        <f>'Comparable Fixtures Table'!B24</f>
        <v>RLS 412: UG HPS Coach 5800L Decorative</v>
      </c>
      <c r="F32" s="33" t="str">
        <f>IF('Comparable Fixtures Table'!Q24="No",'Comparable Fixtures Table'!D24,"")</f>
        <v/>
      </c>
    </row>
    <row r="33" spans="1:6" x14ac:dyDescent="0.25">
      <c r="A33" s="41" t="str">
        <f>IF('Comparable Fixtures Table'!I25&lt;&gt;'Comparable Fixtures Table'!I24,'Comparable Fixtures Table'!I25,"")</f>
        <v/>
      </c>
      <c r="B33" s="41" t="str">
        <f>IF('Comparable Fixtures Table'!K25&lt;&gt;'Comparable Fixtures Table'!K24,'Comparable Fixtures Table'!K25,"")</f>
        <v/>
      </c>
      <c r="C33" s="33" t="str">
        <f>IF('Comparable Fixtures Table'!I25&lt;&gt;'Comparable Fixtures Table'!I24,'Comparable Fixtures Table'!T25,"")</f>
        <v/>
      </c>
      <c r="D33" s="42">
        <f>'Comparable Fixtures Table'!A25</f>
        <v>413</v>
      </c>
      <c r="E33" s="41" t="str">
        <f>'Comparable Fixtures Table'!B25</f>
        <v>RLS 413: UG HPS Coach 9500L Decorative</v>
      </c>
      <c r="F33" s="33" t="str">
        <f>IF('Comparable Fixtures Table'!Q25="No",'Comparable Fixtures Table'!D25,"")</f>
        <v/>
      </c>
    </row>
    <row r="34" spans="1:6" x14ac:dyDescent="0.25">
      <c r="A34" s="41" t="str">
        <f>IF('Comparable Fixtures Table'!I26&lt;&gt;'Comparable Fixtures Table'!I25,'Comparable Fixtures Table'!I26,"")</f>
        <v/>
      </c>
      <c r="B34" s="41" t="str">
        <f>IF('Comparable Fixtures Table'!K26&lt;&gt;'Comparable Fixtures Table'!K25,'Comparable Fixtures Table'!K26,"")</f>
        <v/>
      </c>
      <c r="C34" s="33" t="str">
        <f>IF('Comparable Fixtures Table'!I26&lt;&gt;'Comparable Fixtures Table'!I25,'Comparable Fixtures Table'!T26,"")</f>
        <v/>
      </c>
      <c r="D34" s="42">
        <f>'Comparable Fixtures Table'!A26</f>
        <v>466</v>
      </c>
      <c r="E34" s="41" t="str">
        <f>'Comparable Fixtures Table'!B26</f>
        <v>RLS 466: UG HPS Colonial 4000L Deco</v>
      </c>
      <c r="F34" s="33">
        <f>IF('Comparable Fixtures Table'!Q26="No",'Comparable Fixtures Table'!D26,"")</f>
        <v>9.7830720000000007</v>
      </c>
    </row>
    <row r="35" spans="1:6" x14ac:dyDescent="0.25">
      <c r="A35" s="41" t="str">
        <f>IF('Comparable Fixtures Table'!I27&lt;&gt;'Comparable Fixtures Table'!I26,'Comparable Fixtures Table'!I27,"")</f>
        <v/>
      </c>
      <c r="B35" s="41" t="str">
        <f>IF('Comparable Fixtures Table'!K27&lt;&gt;'Comparable Fixtures Table'!K26,'Comparable Fixtures Table'!K27,"")</f>
        <v/>
      </c>
      <c r="C35" s="33" t="str">
        <f>IF('Comparable Fixtures Table'!I27&lt;&gt;'Comparable Fixtures Table'!I26,'Comparable Fixtures Table'!T27,"")</f>
        <v/>
      </c>
      <c r="D35" s="42">
        <f>'Comparable Fixtures Table'!A27</f>
        <v>467</v>
      </c>
      <c r="E35" s="41" t="str">
        <f>'Comparable Fixtures Table'!B27</f>
        <v>RLS 467: UG HPS Colonial 5800L Deco</v>
      </c>
      <c r="F35" s="33">
        <f>IF('Comparable Fixtures Table'!Q27="No",'Comparable Fixtures Table'!D27,"")</f>
        <v>11.040431999999999</v>
      </c>
    </row>
    <row r="36" spans="1:6" x14ac:dyDescent="0.25">
      <c r="A36" s="41" t="str">
        <f>IF('Comparable Fixtures Table'!I28&lt;&gt;'Comparable Fixtures Table'!I27,'Comparable Fixtures Table'!I28,"")</f>
        <v/>
      </c>
      <c r="B36" s="41" t="str">
        <f>IF('Comparable Fixtures Table'!K28&lt;&gt;'Comparable Fixtures Table'!K27,'Comparable Fixtures Table'!K28,"")</f>
        <v/>
      </c>
      <c r="C36" s="33" t="str">
        <f>IF('Comparable Fixtures Table'!I28&lt;&gt;'Comparable Fixtures Table'!I27,'Comparable Fixtures Table'!T28,"")</f>
        <v/>
      </c>
      <c r="D36" s="42">
        <f>'Comparable Fixtures Table'!A28</f>
        <v>468</v>
      </c>
      <c r="E36" s="41" t="str">
        <f>'Comparable Fixtures Table'!B28</f>
        <v>RLS 468: UG HPS Colonial 9500L Deco</v>
      </c>
      <c r="F36" s="33">
        <f>IF('Comparable Fixtures Table'!Q28="No",'Comparable Fixtures Table'!D28,"")</f>
        <v>11.194560000000001</v>
      </c>
    </row>
    <row r="37" spans="1:6" x14ac:dyDescent="0.25">
      <c r="A37" s="41"/>
      <c r="C37" s="33"/>
      <c r="D37" s="42"/>
      <c r="F37" s="33"/>
    </row>
    <row r="38" spans="1:6" x14ac:dyDescent="0.25">
      <c r="A38" s="41" t="str">
        <f>IF('Comparable Fixtures Table'!I29&lt;&gt;'Comparable Fixtures Table'!I28,'Comparable Fixtures Table'!I29,"")</f>
        <v>KA1</v>
      </c>
      <c r="B38" s="41" t="str">
        <f>IF('Comparable Fixtures Table'!K29&lt;&gt;'Comparable Fixtures Table'!K28,'Comparable Fixtures Table'!K29,"")</f>
        <v>LS KA1 UG LED Acorn 4000-7000</v>
      </c>
      <c r="C38" s="33">
        <f>IF('Comparable Fixtures Table'!I29&lt;&gt;'Comparable Fixtures Table'!I28,'Comparable Fixtures Table'!T29,"")</f>
        <v>19.803291041825098</v>
      </c>
      <c r="D38" s="42">
        <f>'Comparable Fixtures Table'!A29</f>
        <v>430</v>
      </c>
      <c r="E38" s="41" t="str">
        <f>'Comparable Fixtures Table'!B29</f>
        <v>RLS 430: UG HPS Acorn 9500L Historic</v>
      </c>
      <c r="F38" s="33" t="str">
        <f>IF('Comparable Fixtures Table'!Q29="No",'Comparable Fixtures Table'!D29,"")</f>
        <v/>
      </c>
    </row>
    <row r="39" spans="1:6" x14ac:dyDescent="0.25">
      <c r="A39" s="41" t="str">
        <f>IF('Comparable Fixtures Table'!I30&lt;&gt;'Comparable Fixtures Table'!I29,'Comparable Fixtures Table'!I30,"")</f>
        <v/>
      </c>
      <c r="B39" s="41" t="str">
        <f>IF('Comparable Fixtures Table'!K30&lt;&gt;'Comparable Fixtures Table'!K29,'Comparable Fixtures Table'!K30,"")</f>
        <v/>
      </c>
      <c r="C39" s="33" t="str">
        <f>IF('Comparable Fixtures Table'!I30&lt;&gt;'Comparable Fixtures Table'!I29,'Comparable Fixtures Table'!T30,"")</f>
        <v/>
      </c>
      <c r="D39" s="42">
        <f>'Comparable Fixtures Table'!A30</f>
        <v>410</v>
      </c>
      <c r="E39" s="41" t="str">
        <f>'Comparable Fixtures Table'!B30</f>
        <v>RLS 410: UG HPS Acorn 4000L Historic</v>
      </c>
      <c r="F39" s="33" t="str">
        <f>IF('Comparable Fixtures Table'!Q30="No",'Comparable Fixtures Table'!D30,"")</f>
        <v/>
      </c>
    </row>
    <row r="40" spans="1:6" x14ac:dyDescent="0.25">
      <c r="A40" s="41" t="str">
        <f>IF('Comparable Fixtures Table'!I31&lt;&gt;'Comparable Fixtures Table'!I30,'Comparable Fixtures Table'!I31,"")</f>
        <v/>
      </c>
      <c r="B40" s="41" t="str">
        <f>IF('Comparable Fixtures Table'!K31&lt;&gt;'Comparable Fixtures Table'!K30,'Comparable Fixtures Table'!K31,"")</f>
        <v/>
      </c>
      <c r="C40" s="33" t="str">
        <f>IF('Comparable Fixtures Table'!I31&lt;&gt;'Comparable Fixtures Table'!I30,'Comparable Fixtures Table'!T31,"")</f>
        <v/>
      </c>
      <c r="D40" s="42">
        <f>'Comparable Fixtures Table'!A31</f>
        <v>411</v>
      </c>
      <c r="E40" s="41" t="str">
        <f>'Comparable Fixtures Table'!B31</f>
        <v>RLS 411: UG HPS Acorn 5800L Historic</v>
      </c>
      <c r="F40" s="33" t="str">
        <f>IF('Comparable Fixtures Table'!Q31="No",'Comparable Fixtures Table'!D31,"")</f>
        <v/>
      </c>
    </row>
    <row r="41" spans="1:6" x14ac:dyDescent="0.25">
      <c r="A41" s="41" t="str">
        <f>IF('Comparable Fixtures Table'!I32&lt;&gt;'Comparable Fixtures Table'!I31,'Comparable Fixtures Table'!I32,"")</f>
        <v/>
      </c>
      <c r="B41" s="41" t="str">
        <f>IF('Comparable Fixtures Table'!K32&lt;&gt;'Comparable Fixtures Table'!K31,'Comparable Fixtures Table'!K32,"")</f>
        <v/>
      </c>
      <c r="C41" s="33" t="str">
        <f>IF('Comparable Fixtures Table'!I32&lt;&gt;'Comparable Fixtures Table'!I31,'Comparable Fixtures Table'!T32,"")</f>
        <v/>
      </c>
      <c r="D41" s="42">
        <f>'Comparable Fixtures Table'!A32</f>
        <v>420</v>
      </c>
      <c r="E41" s="41" t="str">
        <f>'Comparable Fixtures Table'!B32</f>
        <v>RLS 420: UG HPS Acorn 9500L Decorative</v>
      </c>
      <c r="F41" s="33" t="str">
        <f>IF('Comparable Fixtures Table'!Q32="No",'Comparable Fixtures Table'!D32,"")</f>
        <v/>
      </c>
    </row>
    <row r="42" spans="1:6" x14ac:dyDescent="0.25">
      <c r="A42" s="41" t="str">
        <f>IF('Comparable Fixtures Table'!I33&lt;&gt;'Comparable Fixtures Table'!I32,'Comparable Fixtures Table'!I33,"")</f>
        <v/>
      </c>
      <c r="B42" s="41" t="str">
        <f>IF('Comparable Fixtures Table'!K33&lt;&gt;'Comparable Fixtures Table'!K32,'Comparable Fixtures Table'!K33,"")</f>
        <v/>
      </c>
      <c r="C42" s="33" t="str">
        <f>IF('Comparable Fixtures Table'!I33&lt;&gt;'Comparable Fixtures Table'!I32,'Comparable Fixtures Table'!T33,"")</f>
        <v/>
      </c>
      <c r="D42" s="42">
        <f>'Comparable Fixtures Table'!A33</f>
        <v>401</v>
      </c>
      <c r="E42" s="41" t="str">
        <f>'Comparable Fixtures Table'!B33</f>
        <v>RLS 401: UG HPS Acorn 5800L Decorative</v>
      </c>
      <c r="F42" s="33">
        <f>IF('Comparable Fixtures Table'!Q33="No",'Comparable Fixtures Table'!D33,"")</f>
        <v>14.96664</v>
      </c>
    </row>
    <row r="43" spans="1:6" x14ac:dyDescent="0.25">
      <c r="A43" s="41" t="str">
        <f>IF('Comparable Fixtures Table'!I34&lt;&gt;'Comparable Fixtures Table'!I33,'Comparable Fixtures Table'!I34,"")</f>
        <v/>
      </c>
      <c r="B43" s="41" t="str">
        <f>IF('Comparable Fixtures Table'!K34&lt;&gt;'Comparable Fixtures Table'!K33,'Comparable Fixtures Table'!K34,"")</f>
        <v/>
      </c>
      <c r="C43" s="33" t="str">
        <f>IF('Comparable Fixtures Table'!I34&lt;&gt;'Comparable Fixtures Table'!I33,'Comparable Fixtures Table'!T34,"")</f>
        <v/>
      </c>
      <c r="D43" s="42">
        <f>'Comparable Fixtures Table'!A34</f>
        <v>440</v>
      </c>
      <c r="E43" s="41" t="str">
        <f>'Comparable Fixtures Table'!B34</f>
        <v>RLS 440: UG HPS Acorn 4000L Decorative</v>
      </c>
      <c r="F43" s="33">
        <f>IF('Comparable Fixtures Table'!Q34="No",'Comparable Fixtures Table'!D34,"")</f>
        <v>14.058095999999999</v>
      </c>
    </row>
    <row r="44" spans="1:6" x14ac:dyDescent="0.25">
      <c r="A44" s="41"/>
      <c r="C44" s="33"/>
      <c r="D44" s="42"/>
      <c r="F44" s="33"/>
    </row>
    <row r="45" spans="1:6" x14ac:dyDescent="0.25">
      <c r="A45" s="41" t="str">
        <f>IF('Comparable Fixtures Table'!I35&lt;&gt;'Comparable Fixtures Table'!I34,'Comparable Fixtures Table'!I35,"")</f>
        <v>KC1</v>
      </c>
      <c r="B45" s="41" t="str">
        <f>IF('Comparable Fixtures Table'!K35&lt;&gt;'Comparable Fixtures Table'!K34,'Comparable Fixtures Table'!K35,"")</f>
        <v>LS KC1 OH LED Cobra 2500-4000</v>
      </c>
      <c r="C45" s="33">
        <f>IF('Comparable Fixtures Table'!I35&lt;&gt;'Comparable Fixtures Table'!I34,'Comparable Fixtures Table'!T35,"")</f>
        <v>8.2934732079503277</v>
      </c>
      <c r="D45" s="42">
        <f>'Comparable Fixtures Table'!A35</f>
        <v>446</v>
      </c>
      <c r="E45" s="41" t="str">
        <f>'Comparable Fixtures Table'!B35</f>
        <v>RLS 446: OH MV Cobra Head 7000L Fixture</v>
      </c>
      <c r="F45" s="33" t="str">
        <f>IF('Comparable Fixtures Table'!Q35="No",'Comparable Fixtures Table'!D35,"")</f>
        <v/>
      </c>
    </row>
    <row r="46" spans="1:6" x14ac:dyDescent="0.25">
      <c r="A46" s="41" t="str">
        <f>IF('Comparable Fixtures Table'!I36&lt;&gt;'Comparable Fixtures Table'!I35,'Comparable Fixtures Table'!I36,"")</f>
        <v/>
      </c>
      <c r="B46" s="41" t="str">
        <f>IF('Comparable Fixtures Table'!K36&lt;&gt;'Comparable Fixtures Table'!K35,'Comparable Fixtures Table'!K36,"")</f>
        <v/>
      </c>
      <c r="C46" s="33" t="str">
        <f>IF('Comparable Fixtures Table'!I36&lt;&gt;'Comparable Fixtures Table'!I35,'Comparable Fixtures Table'!T36,"")</f>
        <v/>
      </c>
      <c r="D46" s="42">
        <f>'Comparable Fixtures Table'!A36</f>
        <v>461</v>
      </c>
      <c r="E46" s="41" t="str">
        <f>'Comparable Fixtures Table'!B36</f>
        <v>RLS 461: OH HPS Cobra Head 4000L Fixture</v>
      </c>
      <c r="F46" s="33" t="str">
        <f>IF('Comparable Fixtures Table'!Q36="No",'Comparable Fixtures Table'!D36,"")</f>
        <v/>
      </c>
    </row>
    <row r="47" spans="1:6" x14ac:dyDescent="0.25">
      <c r="A47" s="41" t="str">
        <f>IF('Comparable Fixtures Table'!I37&lt;&gt;'Comparable Fixtures Table'!I36,'Comparable Fixtures Table'!I37,"")</f>
        <v/>
      </c>
      <c r="B47" s="41" t="str">
        <f>IF('Comparable Fixtures Table'!K37&lt;&gt;'Comparable Fixtures Table'!K36,'Comparable Fixtures Table'!K37,"")</f>
        <v/>
      </c>
      <c r="C47" s="33" t="str">
        <f>IF('Comparable Fixtures Table'!I37&lt;&gt;'Comparable Fixtures Table'!I36,'Comparable Fixtures Table'!T37,"")</f>
        <v/>
      </c>
      <c r="D47" s="42">
        <f>'Comparable Fixtures Table'!A37</f>
        <v>462</v>
      </c>
      <c r="E47" s="41" t="str">
        <f>'Comparable Fixtures Table'!B37</f>
        <v>RLS 462: OH HPS Cobra Head 5800L Fixture</v>
      </c>
      <c r="F47" s="33" t="str">
        <f>IF('Comparable Fixtures Table'!Q37="No",'Comparable Fixtures Table'!D37,"")</f>
        <v/>
      </c>
    </row>
    <row r="48" spans="1:6" x14ac:dyDescent="0.25">
      <c r="A48" s="41"/>
      <c r="C48" s="33"/>
      <c r="D48" s="42"/>
      <c r="F48" s="33"/>
    </row>
    <row r="49" spans="1:6" x14ac:dyDescent="0.25">
      <c r="A49" s="41" t="str">
        <f>IF('Comparable Fixtures Table'!I38&lt;&gt;'Comparable Fixtures Table'!I37,'Comparable Fixtures Table'!I38,"")</f>
        <v>KC2</v>
      </c>
      <c r="B49" s="41" t="str">
        <f>IF('Comparable Fixtures Table'!K38&lt;&gt;'Comparable Fixtures Table'!K37,'Comparable Fixtures Table'!K38,"")</f>
        <v>LS KC2 UG LED Cobra 2500-4000</v>
      </c>
      <c r="C49" s="33">
        <f>IF('Comparable Fixtures Table'!I38&lt;&gt;'Comparable Fixtures Table'!I37,'Comparable Fixtures Table'!T38,"")</f>
        <v>12.37992</v>
      </c>
      <c r="D49" s="42">
        <f>'Comparable Fixtures Table'!A38</f>
        <v>456</v>
      </c>
      <c r="E49" s="41" t="str">
        <f>'Comparable Fixtures Table'!B38</f>
        <v>RLS 456: OH MV Cobra 7000L Fixture/Pole</v>
      </c>
      <c r="F49" s="33">
        <f>IF('Comparable Fixtures Table'!Q38="No",'Comparable Fixtures Table'!D38,"")</f>
        <v>11.446032000000001</v>
      </c>
    </row>
    <row r="50" spans="1:6" x14ac:dyDescent="0.25">
      <c r="A50" s="41" t="str">
        <f>IF('Comparable Fixtures Table'!I39&lt;&gt;'Comparable Fixtures Table'!I38,'Comparable Fixtures Table'!I39,"")</f>
        <v/>
      </c>
      <c r="B50" s="41" t="str">
        <f>IF('Comparable Fixtures Table'!K39&lt;&gt;'Comparable Fixtures Table'!K38,'Comparable Fixtures Table'!K39,"")</f>
        <v/>
      </c>
      <c r="C50" s="33" t="str">
        <f>IF('Comparable Fixtures Table'!I39&lt;&gt;'Comparable Fixtures Table'!I38,'Comparable Fixtures Table'!T39,"")</f>
        <v/>
      </c>
      <c r="D50" s="42">
        <f>'Comparable Fixtures Table'!A39</f>
        <v>471</v>
      </c>
      <c r="E50" s="41" t="str">
        <f>'Comparable Fixtures Table'!B39</f>
        <v>RLS 471: OH HPS Cobra Hd 4000L Fix/Pole</v>
      </c>
      <c r="F50" s="33">
        <f>IF('Comparable Fixtures Table'!Q39="No",'Comparable Fixtures Table'!D39,"")</f>
        <v>10.626720000000001</v>
      </c>
    </row>
    <row r="51" spans="1:6" x14ac:dyDescent="0.25">
      <c r="A51" s="41" t="str">
        <f>IF('Comparable Fixtures Table'!I40&lt;&gt;'Comparable Fixtures Table'!I39,'Comparable Fixtures Table'!I40,"")</f>
        <v/>
      </c>
      <c r="B51" s="41" t="str">
        <f>IF('Comparable Fixtures Table'!K40&lt;&gt;'Comparable Fixtures Table'!K39,'Comparable Fixtures Table'!K40,"")</f>
        <v/>
      </c>
      <c r="C51" s="33" t="str">
        <f>IF('Comparable Fixtures Table'!I40&lt;&gt;'Comparable Fixtures Table'!I39,'Comparable Fixtures Table'!T40,"")</f>
        <v/>
      </c>
      <c r="D51" s="42">
        <f>'Comparable Fixtures Table'!A40</f>
        <v>472</v>
      </c>
      <c r="E51" s="41" t="str">
        <f>'Comparable Fixtures Table'!B40</f>
        <v>RLS 472: OH HPS Cobra 5800L Ornamental</v>
      </c>
      <c r="F51" s="33">
        <f>IF('Comparable Fixtures Table'!Q40="No",'Comparable Fixtures Table'!D40,"")</f>
        <v>11.835408000000001</v>
      </c>
    </row>
    <row r="52" spans="1:6" x14ac:dyDescent="0.25">
      <c r="A52" s="41"/>
      <c r="C52" s="33"/>
      <c r="D52" s="42"/>
      <c r="F52" s="33"/>
    </row>
    <row r="53" spans="1:6" x14ac:dyDescent="0.25">
      <c r="A53" s="41" t="str">
        <f>IF('Comparable Fixtures Table'!I41&lt;&gt;'Comparable Fixtures Table'!I40,'Comparable Fixtures Table'!I41,"")</f>
        <v>KF1</v>
      </c>
      <c r="B53" s="41" t="str">
        <f>IF('Comparable Fixtures Table'!K41&lt;&gt;'Comparable Fixtures Table'!K40,'Comparable Fixtures Table'!K41,"")</f>
        <v>LS KF1 OH LED Flood  4500-6000</v>
      </c>
      <c r="C53" s="33">
        <f>IF('Comparable Fixtures Table'!I41&lt;&gt;'Comparable Fixtures Table'!I40,'Comparable Fixtures Table'!T41,"")</f>
        <v>8.8247767868852467</v>
      </c>
      <c r="D53" s="42">
        <f>'Comparable Fixtures Table'!A41</f>
        <v>487</v>
      </c>
      <c r="E53" s="41" t="str">
        <f>'Comparable Fixtures Table'!B41</f>
        <v>RLS 487: OH HPS Directional 9500L Fixture</v>
      </c>
      <c r="F53" s="33" t="str">
        <f>IF('Comparable Fixtures Table'!Q41="No",'Comparable Fixtures Table'!D41,"")</f>
        <v/>
      </c>
    </row>
    <row r="54" spans="1:6" x14ac:dyDescent="0.25">
      <c r="A54" s="41"/>
      <c r="C54" s="33"/>
      <c r="D54" s="42"/>
      <c r="F54" s="33"/>
    </row>
    <row r="55" spans="1:6" x14ac:dyDescent="0.25">
      <c r="A55" s="41" t="str">
        <f>IF('Comparable Fixtures Table'!I42&lt;&gt;'Comparable Fixtures Table'!I41,'Comparable Fixtures Table'!I42,"")</f>
        <v>KF2</v>
      </c>
      <c r="B55" s="41" t="str">
        <f>IF('Comparable Fixtures Table'!K42&lt;&gt;'Comparable Fixtures Table'!K41,'Comparable Fixtures Table'!K42,"")</f>
        <v>LS KF2 OH LED Flood  14000-17500</v>
      </c>
      <c r="C55" s="33">
        <f>IF('Comparable Fixtures Table'!I42&lt;&gt;'Comparable Fixtures Table'!I41,'Comparable Fixtures Table'!T42,"")</f>
        <v>13.340325292620864</v>
      </c>
      <c r="D55" s="42">
        <f>'Comparable Fixtures Table'!A42</f>
        <v>450</v>
      </c>
      <c r="E55" s="41" t="str">
        <f>'Comparable Fixtures Table'!B42</f>
        <v>RLS 450: OH MH Directional 12000L Fix</v>
      </c>
      <c r="F55" s="33" t="str">
        <f>IF('Comparable Fixtures Table'!Q42="No",'Comparable Fixtures Table'!D42,"")</f>
        <v/>
      </c>
    </row>
    <row r="56" spans="1:6" x14ac:dyDescent="0.25">
      <c r="A56" s="41"/>
      <c r="C56" s="33"/>
      <c r="D56" s="42"/>
      <c r="F56" s="33"/>
    </row>
    <row r="57" spans="1:6" x14ac:dyDescent="0.25">
      <c r="A57" s="41" t="str">
        <f>IF('Comparable Fixtures Table'!I43&lt;&gt;'Comparable Fixtures Table'!I42,'Comparable Fixtures Table'!I43,"")</f>
        <v>KF3</v>
      </c>
      <c r="B57" s="41" t="str">
        <f>IF('Comparable Fixtures Table'!K43&lt;&gt;'Comparable Fixtures Table'!K42,'Comparable Fixtures Table'!K43,"")</f>
        <v>LS KF3 OH LED Flood  22000-28000</v>
      </c>
      <c r="C57" s="33">
        <f>IF('Comparable Fixtures Table'!I43&lt;&gt;'Comparable Fixtures Table'!I42,'Comparable Fixtures Table'!T43,"")</f>
        <v>17.168600118224301</v>
      </c>
      <c r="D57" s="42">
        <f>'Comparable Fixtures Table'!A43</f>
        <v>451</v>
      </c>
      <c r="E57" s="41" t="str">
        <f>'Comparable Fixtures Table'!B43</f>
        <v>RLS 451: OH MH Directional 32000L Fixture</v>
      </c>
      <c r="F57" s="33" t="str">
        <f>IF('Comparable Fixtures Table'!Q43="No",'Comparable Fixtures Table'!D43,"")</f>
        <v/>
      </c>
    </row>
    <row r="58" spans="1:6" x14ac:dyDescent="0.25">
      <c r="A58" s="41" t="str">
        <f>IF('Comparable Fixtures Table'!I44&lt;&gt;'Comparable Fixtures Table'!I43,'Comparable Fixtures Table'!I44,"")</f>
        <v/>
      </c>
      <c r="B58" s="41" t="str">
        <f>IF('Comparable Fixtures Table'!K44&lt;&gt;'Comparable Fixtures Table'!K43,'Comparable Fixtures Table'!K44,"")</f>
        <v/>
      </c>
      <c r="C58" s="33" t="str">
        <f>IF('Comparable Fixtures Table'!I44&lt;&gt;'Comparable Fixtures Table'!I43,'Comparable Fixtures Table'!T44,"")</f>
        <v/>
      </c>
      <c r="D58" s="42">
        <f>'Comparable Fixtures Table'!A44</f>
        <v>488</v>
      </c>
      <c r="E58" s="41" t="str">
        <f>'Comparable Fixtures Table'!B44</f>
        <v>RLS 488: OH HPS Directional 22000L Fix</v>
      </c>
      <c r="F58" s="33" t="str">
        <f>IF('Comparable Fixtures Table'!Q44="No",'Comparable Fixtures Table'!D44,"")</f>
        <v/>
      </c>
    </row>
    <row r="59" spans="1:6" x14ac:dyDescent="0.25">
      <c r="A59" s="41" t="str">
        <f>IF('Comparable Fixtures Table'!I45&lt;&gt;'Comparable Fixtures Table'!I44,'Comparable Fixtures Table'!I45,"")</f>
        <v/>
      </c>
      <c r="B59" s="41" t="str">
        <f>IF('Comparable Fixtures Table'!K45&lt;&gt;'Comparable Fixtures Table'!K44,'Comparable Fixtures Table'!K45,"")</f>
        <v/>
      </c>
      <c r="C59" s="33" t="str">
        <f>IF('Comparable Fixtures Table'!I45&lt;&gt;'Comparable Fixtures Table'!I44,'Comparable Fixtures Table'!T45,"")</f>
        <v/>
      </c>
      <c r="D59" s="42">
        <f>'Comparable Fixtures Table'!A45</f>
        <v>489</v>
      </c>
      <c r="E59" s="41" t="str">
        <f>'Comparable Fixtures Table'!B45</f>
        <v>RLS 489: OH HPS Directional 50000L Fix</v>
      </c>
      <c r="F59" s="33" t="str">
        <f>IF('Comparable Fixtures Table'!Q45="No",'Comparable Fixtures Table'!D45,"")</f>
        <v/>
      </c>
    </row>
    <row r="60" spans="1:6" x14ac:dyDescent="0.25">
      <c r="A60" s="41"/>
      <c r="C60" s="33"/>
      <c r="D60" s="42"/>
      <c r="F60" s="33"/>
    </row>
    <row r="61" spans="1:6" x14ac:dyDescent="0.25">
      <c r="A61" s="41" t="str">
        <f>IF('Comparable Fixtures Table'!I46&lt;&gt;'Comparable Fixtures Table'!I45,'Comparable Fixtures Table'!I46,"")</f>
        <v>KF4</v>
      </c>
      <c r="B61" s="41" t="str">
        <f>IF('Comparable Fixtures Table'!K46&lt;&gt;'Comparable Fixtures Table'!K45,'Comparable Fixtures Table'!K46,"")</f>
        <v>LS KF4 OH LED Flood  35000-50000</v>
      </c>
      <c r="C61" s="33">
        <f>IF('Comparable Fixtures Table'!I46&lt;&gt;'Comparable Fixtures Table'!I45,'Comparable Fixtures Table'!T46,"")</f>
        <v>30.953426399999998</v>
      </c>
      <c r="D61" s="42">
        <f>'Comparable Fixtures Table'!A46</f>
        <v>452</v>
      </c>
      <c r="E61" s="41" t="str">
        <f>'Comparable Fixtures Table'!B46</f>
        <v>RLS 452: OH MH Directional 107800L Fix</v>
      </c>
      <c r="F61" s="33" t="str">
        <f>IF('Comparable Fixtures Table'!Q46="No",'Comparable Fixtures Table'!D46,"")</f>
        <v/>
      </c>
    </row>
    <row r="62" spans="1:6" x14ac:dyDescent="0.25">
      <c r="A62" s="41"/>
      <c r="C62" s="33"/>
      <c r="D62" s="42"/>
      <c r="F62" s="33"/>
    </row>
    <row r="63" spans="1:6" x14ac:dyDescent="0.25">
      <c r="A63" s="41" t="str">
        <f>IF('Comparable Fixtures Table'!I47&lt;&gt;'Comparable Fixtures Table'!I46,'Comparable Fixtures Table'!I47,"")</f>
        <v>KF6</v>
      </c>
      <c r="B63" s="41" t="str">
        <f>IF('Comparable Fixtures Table'!K47&lt;&gt;'Comparable Fixtures Table'!K46,'Comparable Fixtures Table'!K47,"")</f>
        <v>LS KF6 UG LED Flood  14000-17500</v>
      </c>
      <c r="C63" s="33" t="e">
        <f>IF('Comparable Fixtures Table'!I47&lt;&gt;'Comparable Fixtures Table'!I46,'Comparable Fixtures Table'!T47,"")</f>
        <v>#REF!</v>
      </c>
      <c r="D63" s="42">
        <f>'Comparable Fixtures Table'!A47</f>
        <v>460</v>
      </c>
      <c r="E63" s="41" t="str">
        <f>'Comparable Fixtures Table'!B47</f>
        <v>RLS 460: UG MH Directional 12000L Deco</v>
      </c>
      <c r="F63" s="33" t="str">
        <f>IF('Comparable Fixtures Table'!Q47="No",'Comparable Fixtures Table'!D47,"")</f>
        <v/>
      </c>
    </row>
    <row r="64" spans="1:6" x14ac:dyDescent="0.25">
      <c r="A64" s="41" t="str">
        <f>IF('Comparable Fixtures Table'!I48&lt;&gt;'Comparable Fixtures Table'!I47,'Comparable Fixtures Table'!I48,"")</f>
        <v/>
      </c>
      <c r="B64" s="41" t="str">
        <f>IF('Comparable Fixtures Table'!K48&lt;&gt;'Comparable Fixtures Table'!K47,'Comparable Fixtures Table'!K48,"")</f>
        <v/>
      </c>
      <c r="C64" s="33" t="str">
        <f>IF('Comparable Fixtures Table'!I48&lt;&gt;'Comparable Fixtures Table'!I47,'Comparable Fixtures Table'!T48,"")</f>
        <v/>
      </c>
      <c r="D64" s="42">
        <f>'Comparable Fixtures Table'!A48</f>
        <v>454</v>
      </c>
      <c r="E64" s="41" t="str">
        <f>'Comparable Fixtures Table'!B48</f>
        <v>RLS 454: OH MH Directional 12000L Fix/Po</v>
      </c>
      <c r="F64" s="33" t="str">
        <f>IF('Comparable Fixtures Table'!Q48="No",'Comparable Fixtures Table'!D48,"")</f>
        <v/>
      </c>
    </row>
    <row r="65" spans="1:6" x14ac:dyDescent="0.25">
      <c r="A65" s="41"/>
      <c r="C65" s="33"/>
      <c r="D65" s="42"/>
      <c r="F65" s="33"/>
    </row>
    <row r="66" spans="1:6" x14ac:dyDescent="0.25">
      <c r="A66" s="41" t="str">
        <f>IF('Comparable Fixtures Table'!I49&lt;&gt;'Comparable Fixtures Table'!I48,'Comparable Fixtures Table'!I49,"")</f>
        <v>KF7</v>
      </c>
      <c r="B66" s="41" t="str">
        <f>IF('Comparable Fixtures Table'!K49&lt;&gt;'Comparable Fixtures Table'!K48,'Comparable Fixtures Table'!K49,"")</f>
        <v>LS KF7 UG LED Flood  22000-28000</v>
      </c>
      <c r="C66" s="33">
        <f>IF('Comparable Fixtures Table'!I49&lt;&gt;'Comparable Fixtures Table'!I48,'Comparable Fixtures Table'!T49,"")</f>
        <v>25.612488447577093</v>
      </c>
      <c r="D66" s="42">
        <f>'Comparable Fixtures Table'!A49</f>
        <v>469</v>
      </c>
      <c r="E66" s="41" t="str">
        <f>'Comparable Fixtures Table'!B49</f>
        <v>RLS 469: UG MH Directional 32000L Deco</v>
      </c>
      <c r="F66" s="33" t="str">
        <f>IF('Comparable Fixtures Table'!Q49="No",'Comparable Fixtures Table'!D49,"")</f>
        <v/>
      </c>
    </row>
    <row r="67" spans="1:6" x14ac:dyDescent="0.25">
      <c r="A67" s="41" t="str">
        <f>IF('Comparable Fixtures Table'!I50&lt;&gt;'Comparable Fixtures Table'!I49,'Comparable Fixtures Table'!I50,"")</f>
        <v/>
      </c>
      <c r="B67" s="41" t="str">
        <f>IF('Comparable Fixtures Table'!K50&lt;&gt;'Comparable Fixtures Table'!K49,'Comparable Fixtures Table'!K50,"")</f>
        <v/>
      </c>
      <c r="C67" s="33" t="str">
        <f>IF('Comparable Fixtures Table'!I50&lt;&gt;'Comparable Fixtures Table'!I49,'Comparable Fixtures Table'!T50,"")</f>
        <v/>
      </c>
      <c r="D67" s="42">
        <f>'Comparable Fixtures Table'!A50</f>
        <v>455</v>
      </c>
      <c r="E67" s="41" t="str">
        <f>'Comparable Fixtures Table'!B50</f>
        <v>RLS 455: OH MH Directional 32000L Fix/Po</v>
      </c>
      <c r="F67" s="33" t="str">
        <f>IF('Comparable Fixtures Table'!Q50="No",'Comparable Fixtures Table'!D50,"")</f>
        <v/>
      </c>
    </row>
    <row r="68" spans="1:6" x14ac:dyDescent="0.25">
      <c r="A68" s="41"/>
      <c r="C68" s="33"/>
      <c r="D68" s="42"/>
      <c r="F68" s="33"/>
    </row>
    <row r="69" spans="1:6" x14ac:dyDescent="0.25">
      <c r="A69" s="41" t="str">
        <f>IF('Comparable Fixtures Table'!I51&lt;&gt;'Comparable Fixtures Table'!I50,'Comparable Fixtures Table'!I51,"")</f>
        <v>KF8</v>
      </c>
      <c r="B69" s="41" t="str">
        <f>IF('Comparable Fixtures Table'!K51&lt;&gt;'Comparable Fixtures Table'!K50,'Comparable Fixtures Table'!K51,"")</f>
        <v>LS KF8 UG LED Flood  35000-50000</v>
      </c>
      <c r="C69" s="33">
        <f>IF('Comparable Fixtures Table'!I51&lt;&gt;'Comparable Fixtures Table'!I50,'Comparable Fixtures Table'!T51,"")</f>
        <v>43.544069911458337</v>
      </c>
      <c r="D69" s="42">
        <f>'Comparable Fixtures Table'!A51</f>
        <v>459</v>
      </c>
      <c r="E69" s="41" t="str">
        <f>'Comparable Fixtures Table'!B51</f>
        <v>RLS 459: OH MH Directional 107800L Fix/P</v>
      </c>
      <c r="F69" s="33" t="str">
        <f>IF('Comparable Fixtures Table'!Q51="No",'Comparable Fixtures Table'!D51,"")</f>
        <v/>
      </c>
    </row>
    <row r="70" spans="1:6" x14ac:dyDescent="0.25">
      <c r="A70" s="41" t="str">
        <f>IF('Comparable Fixtures Table'!I52&lt;&gt;'Comparable Fixtures Table'!I51,'Comparable Fixtures Table'!I52,"")</f>
        <v/>
      </c>
      <c r="B70" s="41" t="str">
        <f>IF('Comparable Fixtures Table'!K52&lt;&gt;'Comparable Fixtures Table'!K51,'Comparable Fixtures Table'!K52,"")</f>
        <v/>
      </c>
      <c r="C70" s="33" t="str">
        <f>IF('Comparable Fixtures Table'!I52&lt;&gt;'Comparable Fixtures Table'!I51,'Comparable Fixtures Table'!T52,"")</f>
        <v/>
      </c>
      <c r="D70" s="42">
        <f>'Comparable Fixtures Table'!A52</f>
        <v>470</v>
      </c>
      <c r="E70" s="41" t="str">
        <f>'Comparable Fixtures Table'!B52</f>
        <v>RLS 470: UG MH Directional 107800L Deco</v>
      </c>
      <c r="F70" s="33" t="str">
        <f>IF('Comparable Fixtures Table'!Q52="No",'Comparable Fixtures Table'!D52,"")</f>
        <v/>
      </c>
    </row>
    <row r="71" spans="1:6" x14ac:dyDescent="0.25">
      <c r="A71" s="41"/>
      <c r="C71" s="33"/>
      <c r="D71" s="42"/>
      <c r="F71" s="33"/>
    </row>
    <row r="72" spans="1:6" x14ac:dyDescent="0.25">
      <c r="A72" s="41" t="str">
        <f>IF('Comparable Fixtures Table'!I53&lt;&gt;'Comparable Fixtures Table'!I52,'Comparable Fixtures Table'!I53,"")</f>
        <v>KN1</v>
      </c>
      <c r="B72" s="41" t="str">
        <f>IF('Comparable Fixtures Table'!K53&lt;&gt;'Comparable Fixtures Table'!K52,'Comparable Fixtures Table'!K53,"")</f>
        <v>LS KN1 UG LED Contemporary 4000-7000</v>
      </c>
      <c r="C72" s="33">
        <f>IF('Comparable Fixtures Table'!I53&lt;&gt;'Comparable Fixtures Table'!I52,'Comparable Fixtures Table'!T53,"")</f>
        <v>16.712252108124375</v>
      </c>
      <c r="D72" s="42">
        <f>'Comparable Fixtures Table'!A53</f>
        <v>476</v>
      </c>
      <c r="E72" s="41" t="str">
        <f>'Comparable Fixtures Table'!B53</f>
        <v>RLS 476: UG HPS Contemporary 5800L Deco</v>
      </c>
      <c r="F72" s="33" t="str">
        <f>IF('Comparable Fixtures Table'!Q53="No",'Comparable Fixtures Table'!D53,"")</f>
        <v/>
      </c>
    </row>
    <row r="73" spans="1:6" x14ac:dyDescent="0.25">
      <c r="A73" s="41" t="str">
        <f>IF('Comparable Fixtures Table'!I54&lt;&gt;'Comparable Fixtures Table'!I53,'Comparable Fixtures Table'!I54,"")</f>
        <v/>
      </c>
      <c r="B73" s="41" t="str">
        <f>IF('Comparable Fixtures Table'!K54&lt;&gt;'Comparable Fixtures Table'!K53,'Comparable Fixtures Table'!K54,"")</f>
        <v/>
      </c>
      <c r="C73" s="33" t="str">
        <f>IF('Comparable Fixtures Table'!I54&lt;&gt;'Comparable Fixtures Table'!I53,'Comparable Fixtures Table'!T54,"")</f>
        <v/>
      </c>
      <c r="D73" s="42">
        <f>'Comparable Fixtures Table'!A54</f>
        <v>492</v>
      </c>
      <c r="E73" s="41" t="str">
        <f>'Comparable Fixtures Table'!B54</f>
        <v>RLS 492: UG HPS Contemporary 5800L Fix</v>
      </c>
      <c r="F73" s="33" t="str">
        <f>IF('Comparable Fixtures Table'!Q54="No",'Comparable Fixtures Table'!D54,"")</f>
        <v/>
      </c>
    </row>
    <row r="74" spans="1:6" x14ac:dyDescent="0.25">
      <c r="A74" s="41"/>
      <c r="C74" s="33"/>
      <c r="D74" s="42"/>
      <c r="F74" s="33"/>
    </row>
    <row r="75" spans="1:6" x14ac:dyDescent="0.25">
      <c r="A75" s="41" t="str">
        <f>IF('Comparable Fixtures Table'!I55&lt;&gt;'Comparable Fixtures Table'!I54,'Comparable Fixtures Table'!I55,"")</f>
        <v>KN2</v>
      </c>
      <c r="B75" s="41" t="str">
        <f>IF('Comparable Fixtures Table'!K55&lt;&gt;'Comparable Fixtures Table'!K54,'Comparable Fixtures Table'!K55,"")</f>
        <v>LS KN2 UG LED Contemporary 8000-11000</v>
      </c>
      <c r="C75" s="33">
        <f>IF('Comparable Fixtures Table'!I55&lt;&gt;'Comparable Fixtures Table'!I54,'Comparable Fixtures Table'!T55,"")</f>
        <v>21.316021591611484</v>
      </c>
      <c r="D75" s="42">
        <f>'Comparable Fixtures Table'!A55</f>
        <v>494</v>
      </c>
      <c r="E75" s="41" t="str">
        <f>'Comparable Fixtures Table'!B55</f>
        <v>RLS 494: UG MH Contemporary 12000L Deco</v>
      </c>
      <c r="F75" s="33" t="str">
        <f>IF('Comparable Fixtures Table'!Q55="No",'Comparable Fixtures Table'!D55,"")</f>
        <v/>
      </c>
    </row>
    <row r="76" spans="1:6" x14ac:dyDescent="0.25">
      <c r="A76" s="41" t="str">
        <f>IF('Comparable Fixtures Table'!I56&lt;&gt;'Comparable Fixtures Table'!I55,'Comparable Fixtures Table'!I56,"")</f>
        <v/>
      </c>
      <c r="B76" s="41" t="str">
        <f>IF('Comparable Fixtures Table'!K56&lt;&gt;'Comparable Fixtures Table'!K55,'Comparable Fixtures Table'!K56,"")</f>
        <v/>
      </c>
      <c r="C76" s="33" t="str">
        <f>IF('Comparable Fixtures Table'!I56&lt;&gt;'Comparable Fixtures Table'!I55,'Comparable Fixtures Table'!T56,"")</f>
        <v/>
      </c>
      <c r="D76" s="42">
        <f>'Comparable Fixtures Table'!A56</f>
        <v>477</v>
      </c>
      <c r="E76" s="41" t="str">
        <f>'Comparable Fixtures Table'!B56</f>
        <v>RLS 477: UG HPS Contemporary 9500L Deco</v>
      </c>
      <c r="F76" s="33" t="str">
        <f>IF('Comparable Fixtures Table'!Q56="No",'Comparable Fixtures Table'!D56,"")</f>
        <v/>
      </c>
    </row>
    <row r="77" spans="1:6" x14ac:dyDescent="0.25">
      <c r="A77" s="41" t="str">
        <f>IF('Comparable Fixtures Table'!I57&lt;&gt;'Comparable Fixtures Table'!I56,'Comparable Fixtures Table'!I57,"")</f>
        <v/>
      </c>
      <c r="B77" s="41" t="str">
        <f>IF('Comparable Fixtures Table'!K57&lt;&gt;'Comparable Fixtures Table'!K56,'Comparable Fixtures Table'!K57,"")</f>
        <v/>
      </c>
      <c r="C77" s="33" t="str">
        <f>IF('Comparable Fixtures Table'!I57&lt;&gt;'Comparable Fixtures Table'!I56,'Comparable Fixtures Table'!T57,"")</f>
        <v/>
      </c>
      <c r="D77" s="42">
        <f>'Comparable Fixtures Table'!A57</f>
        <v>490</v>
      </c>
      <c r="E77" s="41" t="str">
        <f>'Comparable Fixtures Table'!B57</f>
        <v>RLS 490: UG MH Contemporary 12000L Fix</v>
      </c>
      <c r="F77" s="33" t="str">
        <f>IF('Comparable Fixtures Table'!Q57="No",'Comparable Fixtures Table'!D57,"")</f>
        <v/>
      </c>
    </row>
    <row r="78" spans="1:6" x14ac:dyDescent="0.25">
      <c r="A78" s="41" t="str">
        <f>IF('Comparable Fixtures Table'!I58&lt;&gt;'Comparable Fixtures Table'!I57,'Comparable Fixtures Table'!I58,"")</f>
        <v/>
      </c>
      <c r="B78" s="41" t="str">
        <f>IF('Comparable Fixtures Table'!K58&lt;&gt;'Comparable Fixtures Table'!K57,'Comparable Fixtures Table'!K58,"")</f>
        <v/>
      </c>
      <c r="C78" s="33" t="str">
        <f>IF('Comparable Fixtures Table'!I58&lt;&gt;'Comparable Fixtures Table'!I57,'Comparable Fixtures Table'!T58,"")</f>
        <v/>
      </c>
      <c r="D78" s="42">
        <f>'Comparable Fixtures Table'!A58</f>
        <v>497</v>
      </c>
      <c r="E78" s="41" t="str">
        <f>'Comparable Fixtures Table'!B58</f>
        <v>RLS 497: UG HPS Contemporary 9500L Fix</v>
      </c>
      <c r="F78" s="33">
        <f>IF('Comparable Fixtures Table'!Q58="No",'Comparable Fixtures Table'!D58,"")</f>
        <v>14.674608000000001</v>
      </c>
    </row>
    <row r="79" spans="1:6" x14ac:dyDescent="0.25">
      <c r="A79" s="41"/>
      <c r="C79" s="33"/>
      <c r="D79" s="42"/>
      <c r="F79" s="33"/>
    </row>
    <row r="80" spans="1:6" x14ac:dyDescent="0.25">
      <c r="A80" s="41" t="str">
        <f>IF('Comparable Fixtures Table'!I59&lt;&gt;'Comparable Fixtures Table'!I58,'Comparable Fixtures Table'!I59,"")</f>
        <v>KN3</v>
      </c>
      <c r="B80" s="41" t="str">
        <f>IF('Comparable Fixtures Table'!K59&lt;&gt;'Comparable Fixtures Table'!K58,'Comparable Fixtures Table'!K59,"")</f>
        <v>LS KN3 UG LED Contemporary 13500-16500</v>
      </c>
      <c r="C80" s="33">
        <f>IF('Comparable Fixtures Table'!I59&lt;&gt;'Comparable Fixtures Table'!I58,'Comparable Fixtures Table'!T59,"")</f>
        <v>25.945575156887756</v>
      </c>
      <c r="D80" s="42">
        <f>'Comparable Fixtures Table'!A59</f>
        <v>478</v>
      </c>
      <c r="E80" s="41" t="str">
        <f>'Comparable Fixtures Table'!B59</f>
        <v>RLS 478: UG HPS Contemporary 22000L Deco</v>
      </c>
      <c r="F80" s="33" t="str">
        <f>IF('Comparable Fixtures Table'!Q59="No",'Comparable Fixtures Table'!D59,"")</f>
        <v/>
      </c>
    </row>
    <row r="81" spans="1:6" x14ac:dyDescent="0.25">
      <c r="A81" s="41" t="str">
        <f>IF('Comparable Fixtures Table'!I60&lt;&gt;'Comparable Fixtures Table'!I59,'Comparable Fixtures Table'!I60,"")</f>
        <v/>
      </c>
      <c r="B81" s="41" t="str">
        <f>IF('Comparable Fixtures Table'!K60&lt;&gt;'Comparable Fixtures Table'!K59,'Comparable Fixtures Table'!K60,"")</f>
        <v/>
      </c>
      <c r="C81" s="33" t="str">
        <f>IF('Comparable Fixtures Table'!I60&lt;&gt;'Comparable Fixtures Table'!I59,'Comparable Fixtures Table'!T60,"")</f>
        <v/>
      </c>
      <c r="D81" s="42">
        <f>'Comparable Fixtures Table'!A60</f>
        <v>498</v>
      </c>
      <c r="E81" s="41" t="str">
        <f>'Comparable Fixtures Table'!B60</f>
        <v>RLS 498: UG HPS Contemporary 22000L Fix</v>
      </c>
      <c r="F81" s="33" t="str">
        <f>IF('Comparable Fixtures Table'!Q60="No",'Comparable Fixtures Table'!D60,"")</f>
        <v/>
      </c>
    </row>
    <row r="82" spans="1:6" x14ac:dyDescent="0.25">
      <c r="A82" s="41"/>
      <c r="C82" s="33"/>
      <c r="D82" s="42"/>
      <c r="F82" s="33"/>
    </row>
    <row r="83" spans="1:6" x14ac:dyDescent="0.25">
      <c r="A83" s="41" t="str">
        <f>IF('Comparable Fixtures Table'!I61&lt;&gt;'Comparable Fixtures Table'!I60,'Comparable Fixtures Table'!I61,"")</f>
        <v>KN4</v>
      </c>
      <c r="B83" s="41" t="str">
        <f>IF('Comparable Fixtures Table'!K61&lt;&gt;'Comparable Fixtures Table'!K60,'Comparable Fixtures Table'!K61,"")</f>
        <v>LS KN4 UG LED Contemporary 21000-28000</v>
      </c>
      <c r="C83" s="33">
        <f>IF('Comparable Fixtures Table'!I61&lt;&gt;'Comparable Fixtures Table'!I60,'Comparable Fixtures Table'!T61,"")</f>
        <v>30.219767019943024</v>
      </c>
      <c r="D83" s="42">
        <f>'Comparable Fixtures Table'!A61</f>
        <v>479</v>
      </c>
      <c r="E83" s="41" t="str">
        <f>'Comparable Fixtures Table'!B61</f>
        <v>RLS 479: UG HPS Contemporary 50000L Deco</v>
      </c>
      <c r="F83" s="33" t="str">
        <f>IF('Comparable Fixtures Table'!Q61="No",'Comparable Fixtures Table'!D61,"")</f>
        <v/>
      </c>
    </row>
    <row r="84" spans="1:6" x14ac:dyDescent="0.25">
      <c r="A84" s="41" t="str">
        <f>IF('Comparable Fixtures Table'!I62&lt;&gt;'Comparable Fixtures Table'!I61,'Comparable Fixtures Table'!I62,"")</f>
        <v/>
      </c>
      <c r="B84" s="41" t="str">
        <f>IF('Comparable Fixtures Table'!K62&lt;&gt;'Comparable Fixtures Table'!K61,'Comparable Fixtures Table'!K62,"")</f>
        <v/>
      </c>
      <c r="C84" s="33" t="str">
        <f>IF('Comparable Fixtures Table'!I62&lt;&gt;'Comparable Fixtures Table'!I61,'Comparable Fixtures Table'!T62,"")</f>
        <v/>
      </c>
      <c r="D84" s="42">
        <f>'Comparable Fixtures Table'!A62</f>
        <v>495</v>
      </c>
      <c r="E84" s="41" t="str">
        <f>'Comparable Fixtures Table'!B62</f>
        <v>RLS 495: UG MH Contemporary 32000L Deco</v>
      </c>
      <c r="F84" s="33" t="str">
        <f>IF('Comparable Fixtures Table'!Q62="No",'Comparable Fixtures Table'!D62,"")</f>
        <v/>
      </c>
    </row>
    <row r="85" spans="1:6" x14ac:dyDescent="0.25">
      <c r="A85" s="41" t="str">
        <f>IF('Comparable Fixtures Table'!I63&lt;&gt;'Comparable Fixtures Table'!I62,'Comparable Fixtures Table'!I63,"")</f>
        <v/>
      </c>
      <c r="B85" s="41" t="str">
        <f>IF('Comparable Fixtures Table'!K63&lt;&gt;'Comparable Fixtures Table'!K62,'Comparable Fixtures Table'!K63,"")</f>
        <v/>
      </c>
      <c r="C85" s="33" t="str">
        <f>IF('Comparable Fixtures Table'!I63&lt;&gt;'Comparable Fixtures Table'!I62,'Comparable Fixtures Table'!T63,"")</f>
        <v/>
      </c>
      <c r="D85" s="42">
        <f>'Comparable Fixtures Table'!A63</f>
        <v>491</v>
      </c>
      <c r="E85" s="41" t="str">
        <f>'Comparable Fixtures Table'!B63</f>
        <v>RLS 491: UG MH Contemporary 32000L Fix</v>
      </c>
      <c r="F85" s="33" t="str">
        <f>IF('Comparable Fixtures Table'!Q63="No",'Comparable Fixtures Table'!D63,"")</f>
        <v/>
      </c>
    </row>
    <row r="86" spans="1:6" x14ac:dyDescent="0.25">
      <c r="A86" s="41" t="str">
        <f>IF('Comparable Fixtures Table'!I64&lt;&gt;'Comparable Fixtures Table'!I63,'Comparable Fixtures Table'!I64,"")</f>
        <v/>
      </c>
      <c r="B86" s="41" t="str">
        <f>IF('Comparable Fixtures Table'!K64&lt;&gt;'Comparable Fixtures Table'!K63,'Comparable Fixtures Table'!K64,"")</f>
        <v/>
      </c>
      <c r="C86" s="33" t="str">
        <f>IF('Comparable Fixtures Table'!I64&lt;&gt;'Comparable Fixtures Table'!I63,'Comparable Fixtures Table'!T64,"")</f>
        <v/>
      </c>
      <c r="D86" s="42">
        <f>'Comparable Fixtures Table'!A64</f>
        <v>499</v>
      </c>
      <c r="E86" s="41" t="str">
        <f>'Comparable Fixtures Table'!B64</f>
        <v>RLS 499: UG HPS Contemporary 50000L Fix</v>
      </c>
      <c r="F86" s="33" t="str">
        <f>IF('Comparable Fixtures Table'!Q64="No",'Comparable Fixtures Table'!D64,"")</f>
        <v/>
      </c>
    </row>
    <row r="87" spans="1:6" x14ac:dyDescent="0.25">
      <c r="A87" s="41"/>
      <c r="C87" s="33"/>
      <c r="D87" s="42"/>
      <c r="F87" s="33"/>
    </row>
    <row r="88" spans="1:6" x14ac:dyDescent="0.25">
      <c r="A88" s="41" t="str">
        <f>IF('Comparable Fixtures Table'!I65&lt;&gt;'Comparable Fixtures Table'!I64,'Comparable Fixtures Table'!I65,"")</f>
        <v>KN5</v>
      </c>
      <c r="B88" s="41" t="str">
        <f>IF('Comparable Fixtures Table'!K65&lt;&gt;'Comparable Fixtures Table'!K64,'Comparable Fixtures Table'!K65,"")</f>
        <v>LS KN5 UG LED Contemporary 45000-50000</v>
      </c>
      <c r="C88" s="33">
        <f>IF('Comparable Fixtures Table'!I65&lt;&gt;'Comparable Fixtures Table'!I64,'Comparable Fixtures Table'!T65,"")</f>
        <v>51.509383510791359</v>
      </c>
      <c r="D88" s="42">
        <f>'Comparable Fixtures Table'!A65</f>
        <v>493</v>
      </c>
      <c r="E88" s="41" t="str">
        <f>'Comparable Fixtures Table'!B65</f>
        <v>RLS 493: UG MH Contemporary 107800L Fix</v>
      </c>
      <c r="F88" s="33" t="str">
        <f>IF('Comparable Fixtures Table'!Q65="No",'Comparable Fixtures Table'!D65,"")</f>
        <v/>
      </c>
    </row>
    <row r="89" spans="1:6" x14ac:dyDescent="0.25">
      <c r="A89" s="41" t="str">
        <f>IF('Comparable Fixtures Table'!I66&lt;&gt;'Comparable Fixtures Table'!I65,'Comparable Fixtures Table'!I66,"")</f>
        <v/>
      </c>
      <c r="B89" s="41" t="str">
        <f>IF('Comparable Fixtures Table'!K66&lt;&gt;'Comparable Fixtures Table'!K65,'Comparable Fixtures Table'!K66,"")</f>
        <v/>
      </c>
      <c r="C89" s="33" t="str">
        <f>IF('Comparable Fixtures Table'!I66&lt;&gt;'Comparable Fixtures Table'!I65,'Comparable Fixtures Table'!T66,"")</f>
        <v/>
      </c>
      <c r="D89" s="42">
        <f>'Comparable Fixtures Table'!A66</f>
        <v>496</v>
      </c>
      <c r="E89" s="41" t="str">
        <f>'Comparable Fixtures Table'!B66</f>
        <v>RLS 496: UG MH Contemporary 107800L Deco</v>
      </c>
      <c r="F89" s="33" t="str">
        <f>IF('Comparable Fixtures Table'!Q66="No",'Comparable Fixtures Table'!D66,"")</f>
        <v/>
      </c>
    </row>
    <row r="90" spans="1:6" x14ac:dyDescent="0.25">
      <c r="A90" s="41"/>
      <c r="C90" s="33"/>
      <c r="D90" s="42"/>
      <c r="F90" s="33"/>
    </row>
    <row r="91" spans="1:6" x14ac:dyDescent="0.25">
      <c r="A91" s="41" t="str">
        <f>IF('Comparable Fixtures Table'!I67&lt;&gt;'Comparable Fixtures Table'!I66,'Comparable Fixtures Table'!I67,"")</f>
        <v>KV1</v>
      </c>
      <c r="B91" s="41" t="str">
        <f>IF('Comparable Fixtures Table'!K67&lt;&gt;'Comparable Fixtures Table'!K66,'Comparable Fixtures Table'!K67,"")</f>
        <v>LS KV1 UG LED Victorian 4000-7000</v>
      </c>
      <c r="C91" s="33" t="e">
        <f>IF('Comparable Fixtures Table'!I67&lt;&gt;'Comparable Fixtures Table'!I66,'Comparable Fixtures Table'!T67,"")</f>
        <v>#REF!</v>
      </c>
      <c r="D91" s="42">
        <f>'Comparable Fixtures Table'!A67</f>
        <v>414</v>
      </c>
      <c r="E91" s="41" t="str">
        <f>'Comparable Fixtures Table'!B67</f>
        <v>RLS 414: UG HPS Victorian 5800L Historic</v>
      </c>
      <c r="F91" s="33" t="str">
        <f>IF('Comparable Fixtures Table'!Q67="No",'Comparable Fixtures Table'!D67,"")</f>
        <v/>
      </c>
    </row>
    <row r="92" spans="1:6" x14ac:dyDescent="0.25">
      <c r="A92" s="41" t="str">
        <f>IF('Comparable Fixtures Table'!I68&lt;&gt;'Comparable Fixtures Table'!I67,'Comparable Fixtures Table'!I68,"")</f>
        <v/>
      </c>
      <c r="B92" s="41" t="str">
        <f>IF('Comparable Fixtures Table'!K68&lt;&gt;'Comparable Fixtures Table'!K67,'Comparable Fixtures Table'!K68,"")</f>
        <v/>
      </c>
      <c r="C92" s="33" t="str">
        <f>IF('Comparable Fixtures Table'!I68&lt;&gt;'Comparable Fixtures Table'!I67,'Comparable Fixtures Table'!T68,"")</f>
        <v/>
      </c>
      <c r="D92" s="42">
        <f>'Comparable Fixtures Table'!A68</f>
        <v>415</v>
      </c>
      <c r="E92" s="41" t="str">
        <f>'Comparable Fixtures Table'!B68</f>
        <v>RLS 415: UG HPS Victorian 9500L Historic</v>
      </c>
      <c r="F92" s="33" t="str">
        <f>IF('Comparable Fixtures Table'!Q68="No",'Comparable Fixtures Table'!D68,"")</f>
        <v/>
      </c>
    </row>
    <row r="93" spans="1:6" x14ac:dyDescent="0.25">
      <c r="A93" s="40"/>
      <c r="D93" s="42"/>
      <c r="F93" s="33"/>
    </row>
    <row r="94" spans="1:6" x14ac:dyDescent="0.25">
      <c r="A94" s="40"/>
      <c r="D94" s="42"/>
      <c r="F94" s="33"/>
    </row>
    <row r="95" spans="1:6" x14ac:dyDescent="0.25">
      <c r="A95" s="40"/>
      <c r="D95" s="42"/>
      <c r="F95" s="33"/>
    </row>
    <row r="96" spans="1:6" x14ac:dyDescent="0.25">
      <c r="A96" s="40"/>
      <c r="D96" s="42"/>
      <c r="F96" s="33"/>
    </row>
    <row r="97" spans="1:6" x14ac:dyDescent="0.25">
      <c r="A97" s="40"/>
      <c r="D97" s="42"/>
      <c r="F97" s="33"/>
    </row>
    <row r="98" spans="1:6" x14ac:dyDescent="0.25">
      <c r="A98" s="40"/>
      <c r="D98" s="42"/>
      <c r="F98" s="33"/>
    </row>
    <row r="99" spans="1:6" x14ac:dyDescent="0.25">
      <c r="A99" s="40"/>
      <c r="D99" s="42"/>
      <c r="F99" s="33"/>
    </row>
    <row r="100" spans="1:6" x14ac:dyDescent="0.25">
      <c r="A100" s="40"/>
      <c r="D100" s="42"/>
      <c r="F100" s="33"/>
    </row>
    <row r="101" spans="1:6" x14ac:dyDescent="0.25">
      <c r="A101" s="40"/>
      <c r="D101" s="42"/>
    </row>
    <row r="102" spans="1:6" x14ac:dyDescent="0.25">
      <c r="A102" s="40"/>
      <c r="D102" s="42"/>
    </row>
    <row r="103" spans="1:6" x14ac:dyDescent="0.25">
      <c r="A103" s="40"/>
      <c r="D103" s="42"/>
    </row>
    <row r="104" spans="1:6" x14ac:dyDescent="0.25">
      <c r="A104" s="40"/>
      <c r="D104" s="42"/>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2.xml><?xml version="1.0" encoding="utf-8"?>
<?mso-contentType ?>
<FormTemplates xmlns="http://schemas.microsoft.com/sharepoint/v3/contenttype/forms">
  <Display>NFListDisplayForm</Display>
  <Edit>NFListEditForm</Edit>
  <New>NFListEditForm</New>
</FormTemplates>
</file>

<file path=customXml/item3.xml><?xml version="1.0" encoding="utf-8"?>
<?mso-contentType ?>
<FormTemplates>
  <Display>DocumentLibraryForm</Display>
  <Edit>DocumentLibraryForm</Edit>
  <New>DocumentLibraryForm</New>
  <MobileDisplayFormUrl/>
  <MobileEditFormUrl/>
  <MobileNewFormUrl/>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D0103853DF7894DB347713A7250CD66" ma:contentTypeVersion="53" ma:contentTypeDescription="Create a new document." ma:contentTypeScope="" ma:versionID="cacfa8175316c073b911f4e929358acd">
  <xsd:schema xmlns:xsd="http://www.w3.org/2001/XMLSchema" xmlns:xs="http://www.w3.org/2001/XMLSchema" xmlns:p="http://schemas.microsoft.com/office/2006/metadata/properties" xmlns:ns1="http://schemas.microsoft.com/sharepoint/v3" xmlns:ns2="54fcda00-7b58-44a7-b108-8bd10a8a08ba" targetNamespace="http://schemas.microsoft.com/office/2006/metadata/properties" ma:root="true" ma:fieldsID="3e7f21d9c579c12408c77b5d4d8fcc13" ns1:_="" ns2:_="">
    <xsd:import namespace="http://schemas.microsoft.com/sharepoint/v3"/>
    <xsd:import namespace="54fcda00-7b58-44a7-b108-8bd10a8a08ba"/>
    <xsd:element name="properties">
      <xsd:complexType>
        <xsd:sequence>
          <xsd:element name="documentManagement">
            <xsd:complexType>
              <xsd:all>
                <xsd:element ref="ns2:Company" minOccurs="0"/>
                <xsd:element ref="ns2:Year"/>
                <xsd:element ref="ns2:Document_x0020_Type"/>
                <xsd:element ref="ns2:Filing_x0020_Requirement" minOccurs="0"/>
                <xsd:element ref="ns2:Witness_x0020_Testimony" minOccurs="0"/>
                <xsd:element ref="ns2:Intervemprs" minOccurs="0"/>
                <xsd:element ref="ns2:Round" minOccurs="0"/>
                <xsd:element ref="ns2:Data_x0020_Request_x0020_Question_x0020_No_x002e_" minOccurs="0"/>
                <xsd:element ref="ns2:Tariff_x0020_Dev_x0020_Doc_x0020_Type" minOccurs="0"/>
                <xsd:element ref="ns2:Filed_x0020_Documents" minOccurs="0"/>
                <xsd:element ref="ns2:Department" minOccurs="0"/>
                <xsd:element ref="ns1:Form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19"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fcda00-7b58-44a7-b108-8bd10a8a08ba" elementFormDefault="qualified">
    <xsd:import namespace="http://schemas.microsoft.com/office/2006/documentManagement/types"/>
    <xsd:import namespace="http://schemas.microsoft.com/office/infopath/2007/PartnerControls"/>
    <xsd:element name="Company" ma:index="2" nillable="true" ma:displayName="Company" ma:internalName="Company" ma:readOnly="false" ma:requiredMultiChoice="true">
      <xsd:complexType>
        <xsd:complexContent>
          <xsd:extension base="dms:MultiChoice">
            <xsd:sequence>
              <xsd:element name="Value" maxOccurs="unbounded" minOccurs="0" nillable="true">
                <xsd:simpleType>
                  <xsd:restriction base="dms:Choice">
                    <xsd:enumeration value="KU"/>
                    <xsd:enumeration value="LGE"/>
                    <xsd:enumeration value="ODP"/>
                  </xsd:restriction>
                </xsd:simpleType>
              </xsd:element>
            </xsd:sequence>
          </xsd:extension>
        </xsd:complexContent>
      </xsd:complexType>
    </xsd:element>
    <xsd:element name="Year" ma:index="3" ma:displayName="Year" ma:default="2020" ma:format="Dropdown" ma:indexed="true" ma:internalName="Year" ma:readOnly="false">
      <xsd:simpleType>
        <xsd:restriction base="dms:Choice">
          <xsd:enumeration value="2020"/>
          <xsd:enumeration value="2019"/>
          <xsd:enumeration value="2018"/>
          <xsd:enumeration value="2017"/>
          <xsd:enumeration value="2016"/>
          <xsd:enumeration value="2015"/>
          <xsd:enumeration value="2014"/>
        </xsd:restriction>
      </xsd:simpleType>
    </xsd:element>
    <xsd:element name="Document_x0020_Type" ma:index="4" ma:displayName="Document Type" ma:format="Dropdown" ma:indexed="true" ma:internalName="Document_x0020_Type" ma:readOnly="false">
      <xsd:simpleType>
        <xsd:restriction base="dms:Choice">
          <xsd:enumeration value="General Information"/>
          <xsd:enumeration value="Application"/>
          <xsd:enumeration value="Development"/>
          <xsd:enumeration value="Orders"/>
          <xsd:enumeration value="Direct Testimony"/>
          <xsd:enumeration value="Rebuttal Testimony"/>
          <xsd:enumeration value="Stipulation Testimony"/>
          <xsd:enumeration value="Supplemental Rebuttal Testimony"/>
          <xsd:enumeration value="Superseded Testimony"/>
          <xsd:enumeration value="Intervenor Direct Testimony"/>
          <xsd:enumeration value="Intervenor Supplemental Testimony"/>
          <xsd:enumeration value="Intervenor Data Requests Issued"/>
          <xsd:enumeration value="Intervenor Data Requests Responses"/>
          <xsd:enumeration value="Data Requests"/>
          <xsd:enumeration value="Notices"/>
          <xsd:enumeration value="eFile/Filed Docs"/>
          <xsd:enumeration value="Filing Requirements"/>
          <xsd:enumeration value="Tariff Development"/>
          <xsd:enumeration value="Witness Prep"/>
          <xsd:enumeration value="Public Hearings"/>
          <xsd:enumeration value="Superseded"/>
        </xsd:restriction>
      </xsd:simpleType>
    </xsd:element>
    <xsd:element name="Filing_x0020_Requirement" ma:index="5" nillable="true" ma:displayName="Filing Requirement" ma:format="Dropdown" ma:internalName="Filing_x0020_Requirement" ma:readOnly="false">
      <xsd:simpleType>
        <xsd:restriction base="dms:Choice">
          <xsd:enumeration value="Filing Requirements - Draft Responses"/>
          <xsd:enumeration value="Tab 01-Sec 14(2) Attachment Only"/>
          <xsd:enumeration value="Tab 03-Sec 16(1)(b)(2) Attachment Only"/>
          <xsd:enumeration value="Tab 04-Sec 16(1)(b)(3) Attachment Only"/>
          <xsd:enumeration value="Tab 05-Sec 16(1)(b)(4) Attachment Only"/>
          <xsd:enumeration value="Tab 06-Sec 16(1)(b)(5) Attachment Only"/>
          <xsd:enumeration value="Tab 07-Sec 16(2) Attachment Only"/>
          <xsd:enumeration value="Tab 13-Sec 16(6)(f) Attachment Only"/>
          <xsd:enumeration value="Tab 15-Sec 16(7)(b) Attachment Only"/>
          <xsd:enumeration value="Tab 16-Sec 16(7)(c) Attachment Only"/>
          <xsd:enumeration value="Tab 17-Sec 16(7)(d) Attachment Only"/>
          <xsd:enumeration value="Tab 18-Sec 16(7)(e) Attachment Only"/>
          <xsd:enumeration value="Tab 19-Sec 16(7)(f) Attachment Only"/>
          <xsd:enumeration value="Tab 20-Sec 16(7)(g) Attachment Only"/>
          <xsd:enumeration value="Tab 22-Sec 16(7)(h)(1) Attachment Only"/>
          <xsd:enumeration value="Tab 23-Sec 16(7)(h)(2) Attachment Only"/>
          <xsd:enumeration value="Tab 24-Sec 16(7)(h)(3) Attachment Only"/>
          <xsd:enumeration value="Tab 25-Sec 16(7)(h)(4) Attachment Only"/>
          <xsd:enumeration value="Tab 28-Sec 16(7)(h)(7) Attachment Only"/>
          <xsd:enumeration value="Tab 29-Sec 16(7)(h)(8) Attachment Only"/>
          <xsd:enumeration value="Tab 30-Sec 16(7)(h)(9) Attachment Only"/>
          <xsd:enumeration value="Tab 31-Sec 16(7)(h)(10) Attachment Only"/>
          <xsd:enumeration value="Tab 32-Sec 16(7)(h)(11) Attachment Only"/>
          <xsd:enumeration value="Tab 33-Sec 16(7)(h)(12) Attachment Only"/>
          <xsd:enumeration value="Tab 39-Sec 16(7)(i) Attachment Only"/>
          <xsd:enumeration value="Tab 40-Sec 16(7)(j) Attachment Only"/>
          <xsd:enumeration value="Tab 41-Sec 16(7)(k) Attachment Only"/>
          <xsd:enumeration value="Tab 43-Sec 16(7)(m) Attachment Only"/>
          <xsd:enumeration value="Tab 44-Sec 16(7)(n) Attachment Only"/>
          <xsd:enumeration value="Tab 45-Sec 16(7)(o) Attachment Only"/>
          <xsd:enumeration value="Tab 46-Sec 16(7)(p) Attachment Only"/>
          <xsd:enumeration value="Tab 50-Sec 16(7)(t) Attachment Only"/>
          <xsd:enumeration value="Tab 51-Sec 16(7)(u) Attachment Only"/>
          <xsd:enumeration value="Tab 54-Sec 16(8)(a) Attachment Only"/>
          <xsd:enumeration value="Tab 55-Sec 16(8)(b Attachment Only"/>
          <xsd:enumeration value="Tab 56-Sec 16(8)(c) Attachment Only"/>
          <xsd:enumeration value="Tab 57-Sec 16(8)(d) Attachment Only"/>
          <xsd:enumeration value="Tab 58-Sec 16(8)(e) Attachment Only"/>
          <xsd:enumeration value="Tab 59-Sec 16(8)(f) Attachment Only"/>
          <xsd:enumeration value="Tab 60-Sec 16(8)(g) Attachment Only"/>
          <xsd:enumeration value="Tab 61-Sec 16(8)(h) Attachment Only"/>
          <xsd:enumeration value="Tab 62-Sec 16(8)(i) Attachment Only"/>
          <xsd:enumeration value="Tab 63-Sec 16(8)(j) Attachment Only"/>
          <xsd:enumeration value="Tab 64-Sec 16(8)(k) Attachment Only"/>
          <xsd:enumeration value="Tab 66-Sec 16(8)(m) Attachment Only"/>
          <xsd:enumeration value="Tab 67-Sec 16(8)(n) Attachment Only"/>
          <xsd:enumeration value="Filing Requirements - Guidance Sheets"/>
          <xsd:enumeration value="Filing Requirements - Witness/Preparer Assignments"/>
          <xsd:enumeration value="Filing Requirements - eFiled"/>
          <xsd:enumeration value="Exempt Schedules 10_13_20_23_33_44-49"/>
          <xsd:enumeration value="Schedule 01-5_8-29_40-Revenue Requirements"/>
          <xsd:enumeration value="Schedule 01-5-Financial Data"/>
          <xsd:enumeration value="Schedule 06-Annual Reports"/>
          <xsd:enumeration value="Schedule 07-Comparative Financial Statements"/>
          <xsd:enumeration value="Schedule 17-Lead/Lag Cash Working Capital Calc - ET"/>
          <xsd:enumeration value="Schedule 27-Lead/Lag Cash Working Capital Calc - Adj."/>
          <xsd:enumeration value="Schedule 29-Workpapers for Adjustments"/>
          <xsd:enumeration value="Schedule 30-Revenue and Expense Analysis"/>
          <xsd:enumeration value="Schedule 31-Advertising"/>
          <xsd:enumeration value="Schedule 32-Storm Damage"/>
          <xsd:enumeration value="Schedule 34-Misc Expenses"/>
          <xsd:enumeration value="Schedule 35-Affiliate Services"/>
          <xsd:enumeration value="Schedule 36-Income Taxes"/>
          <xsd:enumeration value="Schedule 37-Organization"/>
          <xsd:enumeration value="Schedule 38-Changes in Acctg Procedures"/>
          <xsd:enumeration value="Schedule 39-Out of Period"/>
          <xsd:enumeration value="Schedule 40-Cost of Service"/>
          <xsd:enumeration value="Schedule 41-Present and Proposed Tariffs"/>
          <xsd:enumeration value="Schedule 42-Present and Proposed Revenues"/>
          <xsd:enumeration value="Schedule 43-Sample Bills"/>
          <xsd:enumeration value="Schedule 50-Other"/>
        </xsd:restriction>
      </xsd:simpleType>
    </xsd:element>
    <xsd:element name="Witness_x0020_Testimony" ma:index="6" nillable="true" ma:displayName="Witness" ma:format="Dropdown" ma:internalName="Witness_x0020_Testimony" ma:readOnly="false">
      <xsd:simpleType>
        <xsd:restriction base="dms:Choice">
          <xsd:enumeration value="Arbough, Daniel K."/>
          <xsd:enumeration value="Bellar, Lonnie E."/>
          <xsd:enumeration value="Blake, Kent W."/>
          <xsd:enumeration value="Conroy, Robert M."/>
          <xsd:enumeration value="Garrett, Christopher M."/>
          <xsd:enumeration value="Hornung, Michael E."/>
          <xsd:enumeration value="Leichty, Douglas A."/>
          <xsd:enumeration value="Lovekamp, Rick E."/>
          <xsd:enumeration value="Malloy, John P."/>
          <xsd:enumeration value="McFarland, Elizabeth J."/>
          <xsd:enumeration value="McKenzie, Adrien M. (FINCAP, Inc.)"/>
          <xsd:enumeration value="Meiman, Greg J."/>
          <xsd:enumeration value="Metts, Heather D."/>
          <xsd:enumeration value="Murphy, J. Clay"/>
          <xsd:enumeration value="Rahn, Derek"/>
          <xsd:enumeration value="Saunders, Eileen L."/>
          <xsd:enumeration value="Seelye, Steve (The Prime Group)"/>
          <xsd:enumeration value="Sinclair, David S."/>
          <xsd:enumeration value="Spanos, John J. (Gannett Fleming)"/>
          <xsd:enumeration value="Straight, Scott"/>
          <xsd:enumeration value="Thompson, Paul W."/>
          <xsd:enumeration value="Wilson, Stuart"/>
          <xsd:enumeration value="Wolfe, John K."/>
          <xsd:enumeration value="z - eFiled/Filed"/>
        </xsd:restriction>
      </xsd:simpleType>
    </xsd:element>
    <xsd:element name="Intervemprs" ma:index="7" nillable="true" ma:displayName="Data Request Party" ma:format="Dropdown" ma:internalName="Intervemprs" ma:readOnly="false">
      <xsd:simpleType>
        <xsd:restriction base="dms:Choice">
          <xsd:enumeration value="0-Data Response Tracking Sheet"/>
          <xsd:enumeration value="KY Public Service Commission - PSC"/>
          <xsd:enumeration value="VA State Corporation Commission - VASCC"/>
          <xsd:enumeration value="Appalachian Voices"/>
          <xsd:enumeration value="Association of Community Ministries - ACM"/>
          <xsd:enumeration value="Attorney General/KY Industrial Utility Customers - AG/KIUC"/>
          <xsd:enumeration value="Attorney General - AG"/>
          <xsd:enumeration value="AT&amp;T"/>
          <xsd:enumeration value="Charter Communications - Charter"/>
          <xsd:enumeration value="Community Action Council - CAC"/>
          <xsd:enumeration value="East Kentucky Power Cooperative - EKPC"/>
          <xsd:enumeration value="JBS Swift &amp; Co - JBS"/>
          <xsd:enumeration value="KY Cable Telecomm. Assn - KCTA"/>
          <xsd:enumeration value="KY Industrial Utility Customers - KIUC"/>
          <xsd:enumeration value="Kentucky League of Cities - KLC"/>
          <xsd:enumeration value="Kroger"/>
          <xsd:enumeration value="Kroger/Wal-Mart"/>
          <xsd:enumeration value="KY School Boards Assn - KSBA"/>
          <xsd:enumeration value="KY Solar Industries Assn - KSIA"/>
          <xsd:enumeration value="Lexington-Fayette Urban County Govt - LFUCG"/>
          <xsd:enumeration value="Louisville Metro Government - METRO"/>
          <xsd:enumeration value="Metro. Housing Coalition - MHC"/>
          <xsd:enumeration value="Metro Housing Coalition/Kentuckians for the Commonwealth/Kentucky Solar Energy Society - MHC/KFTC/KSES"/>
          <xsd:enumeration value="Mountain Association/Kentuckians for the Commonwealth/Kentucky Solar Energy Society - MA/KFTC/KSES"/>
          <xsd:enumeration value="Sierra Club - SC"/>
          <xsd:enumeration value="U.S. Dept. of Defense/Federal Executive Agencies - DOD/FEA"/>
          <xsd:enumeration value="U.S. Dept. of Defense -  US DOD"/>
          <xsd:enumeration value="Wal-Mart"/>
        </xsd:restriction>
      </xsd:simpleType>
    </xsd:element>
    <xsd:element name="Round" ma:index="8" nillable="true" ma:displayName="Data Request Round" ma:format="Dropdown" ma:internalName="Round" ma:readOnly="false">
      <xsd:simpleType>
        <xsd:restriction base="dms:Choice">
          <xsd:enumeration value="On-Site Requests"/>
          <xsd:enumeration value="DR01"/>
          <xsd:enumeration value="DR01 Attachments"/>
          <xsd:enumeration value="DR01 eFiled/Filed"/>
          <xsd:enumeration value="DR02"/>
          <xsd:enumeration value="DR02 Attachments"/>
          <xsd:enumeration value="DR02 eFiled/Filed"/>
          <xsd:enumeration value="DR03"/>
          <xsd:enumeration value="DR03 Attachments"/>
          <xsd:enumeration value="DR03 eFiled/Filed"/>
          <xsd:enumeration value="DR04"/>
          <xsd:enumeration value="DR04 Attachments"/>
          <xsd:enumeration value="DR04 eFiled/Filed"/>
          <xsd:enumeration value="DR05"/>
          <xsd:enumeration value="DR05 Attachments"/>
          <xsd:enumeration value="DR05 eFiled/Filed"/>
          <xsd:enumeration value="DR06"/>
          <xsd:enumeration value="DR06 Attachments"/>
          <xsd:enumeration value="DR06 eFiled/Filed"/>
          <xsd:enumeration value="DR07"/>
          <xsd:enumeration value="DR07 Attachments"/>
          <xsd:enumeration value="DR07 eFiled/Filed"/>
          <xsd:enumeration value="DR08"/>
          <xsd:enumeration value="DR08 Attachments"/>
          <xsd:enumeration value="DR08 eFiled/Filed"/>
          <xsd:enumeration value="DR09"/>
          <xsd:enumeration value="DR09 Attachments"/>
          <xsd:enumeration value="DR09 eFiled/Filed"/>
          <xsd:enumeration value="DR10"/>
          <xsd:enumeration value="DR10 Attachments"/>
          <xsd:enumeration value="DR10 eFiled/Filed"/>
          <xsd:enumeration value="DR11"/>
          <xsd:enumeration value="DR11 Attachments"/>
          <xsd:enumeration value="DR11 eFiled/Filed"/>
          <xsd:enumeration value="DR12"/>
          <xsd:enumeration value="DR12 Attachments"/>
          <xsd:enumeration value="DR12 eFiled/Filed"/>
          <xsd:enumeration value="DR13"/>
          <xsd:enumeration value="DR13 Attachments"/>
          <xsd:enumeration value="DR13 eFiled/Filed"/>
          <xsd:enumeration value="DR14"/>
          <xsd:enumeration value="DR14 Attachments"/>
          <xsd:enumeration value="DR14 eFiled/Filed"/>
          <xsd:enumeration value="Post Hearing DR01"/>
          <xsd:enumeration value="Post Hearing DR01 Attachments"/>
          <xsd:enumeration value="Post Hearing DR01 eFiled/Filed"/>
          <xsd:enumeration value="Post Hearing DR02"/>
          <xsd:enumeration value="Post Hearing DR02 Attachments"/>
          <xsd:enumeration value="Post Hearing DR02 eFiled/Filed"/>
          <xsd:enumeration value="PSC DR02/Intervenors DR01"/>
          <xsd:enumeration value="PSC DR03/Intervenors DR02"/>
          <xsd:enumeration value="PSC DR04"/>
          <xsd:enumeration value="PSC DR05/Intervenors DR03"/>
          <xsd:enumeration value="PSC DR06"/>
        </xsd:restriction>
      </xsd:simpleType>
    </xsd:element>
    <xsd:element name="Data_x0020_Request_x0020_Question_x0020_No_x002e_" ma:index="9" nillable="true" ma:displayName="Data Request Question No." ma:format="Dropdown" ma:internalName="Data_x0020_Request_x0020_Question_x0020_No_x002e_" ma:readOnly="false">
      <xsd:simpleType>
        <xsd:restriction base="dms:Choice">
          <xsd:enumeration value="001"/>
          <xsd:enumeration value="002"/>
          <xsd:enumeration value="003"/>
          <xsd:enumeration value="004"/>
          <xsd:enumeration value="005"/>
          <xsd:enumeration value="006"/>
          <xsd:enumeration value="007"/>
          <xsd:enumeration value="008"/>
          <xsd:enumeration value="009"/>
          <xsd:enumeration value="010"/>
          <xsd:enumeration value="011"/>
          <xsd:enumeration value="012"/>
          <xsd:enumeration value="013"/>
          <xsd:enumeration value="014"/>
          <xsd:enumeration value="015"/>
          <xsd:enumeration value="016"/>
          <xsd:enumeration value="017"/>
          <xsd:enumeration value="018"/>
          <xsd:enumeration value="019"/>
          <xsd:enumeration value="020"/>
          <xsd:enumeration value="021"/>
          <xsd:enumeration value="022"/>
          <xsd:enumeration value="023"/>
          <xsd:enumeration value="024"/>
          <xsd:enumeration value="025"/>
          <xsd:enumeration value="026"/>
          <xsd:enumeration value="027"/>
          <xsd:enumeration value="028"/>
          <xsd:enumeration value="029"/>
          <xsd:enumeration value="030"/>
          <xsd:enumeration value="031"/>
          <xsd:enumeration value="032"/>
          <xsd:enumeration value="033"/>
          <xsd:enumeration value="034"/>
          <xsd:enumeration value="035"/>
          <xsd:enumeration value="036"/>
          <xsd:enumeration value="037"/>
          <xsd:enumeration value="038"/>
          <xsd:enumeration value="039"/>
          <xsd:enumeration value="040"/>
          <xsd:enumeration value="041"/>
          <xsd:enumeration value="042"/>
          <xsd:enumeration value="043"/>
          <xsd:enumeration value="044"/>
          <xsd:enumeration value="045"/>
          <xsd:enumeration value="046"/>
          <xsd:enumeration value="047"/>
          <xsd:enumeration value="048"/>
          <xsd:enumeration value="049"/>
          <xsd:enumeration value="050"/>
          <xsd:enumeration value="051"/>
          <xsd:enumeration value="052"/>
          <xsd:enumeration value="053"/>
          <xsd:enumeration value="054"/>
          <xsd:enumeration value="055"/>
          <xsd:enumeration value="056"/>
          <xsd:enumeration value="057"/>
          <xsd:enumeration value="058"/>
          <xsd:enumeration value="059"/>
          <xsd:enumeration value="060"/>
          <xsd:enumeration value="061"/>
          <xsd:enumeration value="062"/>
          <xsd:enumeration value="063"/>
          <xsd:enumeration value="064"/>
          <xsd:enumeration value="065"/>
          <xsd:enumeration value="066"/>
          <xsd:enumeration value="067"/>
          <xsd:enumeration value="068"/>
          <xsd:enumeration value="069"/>
          <xsd:enumeration value="070"/>
          <xsd:enumeration value="071"/>
          <xsd:enumeration value="072"/>
          <xsd:enumeration value="073"/>
          <xsd:enumeration value="074"/>
          <xsd:enumeration value="075"/>
          <xsd:enumeration value="076"/>
          <xsd:enumeration value="077"/>
          <xsd:enumeration value="078"/>
          <xsd:enumeration value="079"/>
          <xsd:enumeration value="080"/>
          <xsd:enumeration value="081"/>
          <xsd:enumeration value="082"/>
          <xsd:enumeration value="083"/>
          <xsd:enumeration value="084"/>
          <xsd:enumeration value="085"/>
          <xsd:enumeration value="086"/>
          <xsd:enumeration value="087"/>
          <xsd:enumeration value="088"/>
          <xsd:enumeration value="089"/>
          <xsd:enumeration value="090"/>
          <xsd:enumeration value="091"/>
          <xsd:enumeration value="092"/>
          <xsd:enumeration value="093"/>
          <xsd:enumeration value="094"/>
          <xsd:enumeration value="095"/>
          <xsd:enumeration value="096"/>
          <xsd:enumeration value="097"/>
          <xsd:enumeration value="098"/>
          <xsd:enumeration value="099"/>
          <xsd:enumeration value="100"/>
          <xsd:enumeration value="101"/>
          <xsd:enumeration value="102"/>
          <xsd:enumeration value="103"/>
          <xsd:enumeration value="104"/>
          <xsd:enumeration value="105"/>
          <xsd:enumeration value="106"/>
          <xsd:enumeration value="107"/>
          <xsd:enumeration value="108"/>
          <xsd:enumeration value="109"/>
          <xsd:enumeration value="110"/>
          <xsd:enumeration value="111"/>
          <xsd:enumeration value="112"/>
          <xsd:enumeration value="113"/>
          <xsd:enumeration value="114"/>
          <xsd:enumeration value="115"/>
          <xsd:enumeration value="116"/>
          <xsd:enumeration value="117"/>
          <xsd:enumeration value="118"/>
          <xsd:enumeration value="119"/>
          <xsd:enumeration value="120"/>
          <xsd:enumeration value="121"/>
          <xsd:enumeration value="122"/>
          <xsd:enumeration value="123"/>
          <xsd:enumeration value="124"/>
          <xsd:enumeration value="125"/>
          <xsd:enumeration value="126"/>
          <xsd:enumeration value="127"/>
          <xsd:enumeration value="128"/>
          <xsd:enumeration value="129"/>
          <xsd:enumeration value="130"/>
          <xsd:enumeration value="131"/>
          <xsd:enumeration value="132"/>
          <xsd:enumeration value="133"/>
          <xsd:enumeration value="134"/>
          <xsd:enumeration value="135"/>
          <xsd:enumeration value="136"/>
          <xsd:enumeration value="137"/>
          <xsd:enumeration value="138"/>
          <xsd:enumeration value="139"/>
          <xsd:enumeration value="140"/>
          <xsd:enumeration value="141"/>
          <xsd:enumeration value="142"/>
          <xsd:enumeration value="143"/>
          <xsd:enumeration value="144"/>
          <xsd:enumeration value="145"/>
          <xsd:enumeration value="146"/>
          <xsd:enumeration value="147"/>
          <xsd:enumeration value="148"/>
          <xsd:enumeration value="149"/>
          <xsd:enumeration value="150"/>
          <xsd:enumeration value="151"/>
          <xsd:enumeration value="152"/>
          <xsd:enumeration value="153"/>
          <xsd:enumeration value="154"/>
          <xsd:enumeration value="155"/>
          <xsd:enumeration value="156"/>
          <xsd:enumeration value="157"/>
          <xsd:enumeration value="158"/>
          <xsd:enumeration value="159"/>
          <xsd:enumeration value="160"/>
          <xsd:enumeration value="161"/>
          <xsd:enumeration value="162"/>
          <xsd:enumeration value="163"/>
          <xsd:enumeration value="164"/>
          <xsd:enumeration value="165"/>
          <xsd:enumeration value="166"/>
          <xsd:enumeration value="167"/>
          <xsd:enumeration value="168"/>
          <xsd:enumeration value="169"/>
          <xsd:enumeration value="170"/>
          <xsd:enumeration value="171"/>
          <xsd:enumeration value="172"/>
          <xsd:enumeration value="173"/>
          <xsd:enumeration value="174"/>
          <xsd:enumeration value="175"/>
          <xsd:enumeration value="176"/>
          <xsd:enumeration value="177"/>
          <xsd:enumeration value="178"/>
          <xsd:enumeration value="179"/>
          <xsd:enumeration value="180"/>
          <xsd:enumeration value="181"/>
          <xsd:enumeration value="182"/>
          <xsd:enumeration value="183"/>
          <xsd:enumeration value="184"/>
          <xsd:enumeration value="185"/>
          <xsd:enumeration value="186"/>
          <xsd:enumeration value="187"/>
          <xsd:enumeration value="188"/>
          <xsd:enumeration value="189"/>
          <xsd:enumeration value="190"/>
          <xsd:enumeration value="191"/>
          <xsd:enumeration value="192"/>
          <xsd:enumeration value="193"/>
          <xsd:enumeration value="194"/>
          <xsd:enumeration value="195"/>
          <xsd:enumeration value="196"/>
          <xsd:enumeration value="197"/>
          <xsd:enumeration value="198"/>
          <xsd:enumeration value="199"/>
          <xsd:enumeration value="200"/>
          <xsd:enumeration value="201"/>
          <xsd:enumeration value="202"/>
          <xsd:enumeration value="203"/>
          <xsd:enumeration value="204"/>
          <xsd:enumeration value="205"/>
          <xsd:enumeration value="206"/>
          <xsd:enumeration value="207"/>
          <xsd:enumeration value="208"/>
          <xsd:enumeration value="209"/>
          <xsd:enumeration value="210"/>
          <xsd:enumeration value="211"/>
          <xsd:enumeration value="212"/>
          <xsd:enumeration value="213"/>
          <xsd:enumeration value="214"/>
          <xsd:enumeration value="215"/>
          <xsd:enumeration value="216"/>
          <xsd:enumeration value="217"/>
          <xsd:enumeration value="218"/>
          <xsd:enumeration value="219"/>
          <xsd:enumeration value="220"/>
          <xsd:enumeration value="221"/>
          <xsd:enumeration value="222"/>
          <xsd:enumeration value="223"/>
          <xsd:enumeration value="224"/>
          <xsd:enumeration value="225"/>
          <xsd:enumeration value="226"/>
          <xsd:enumeration value="227"/>
          <xsd:enumeration value="228"/>
          <xsd:enumeration value="229"/>
          <xsd:enumeration value="230"/>
          <xsd:enumeration value="231"/>
          <xsd:enumeration value="232"/>
          <xsd:enumeration value="233"/>
          <xsd:enumeration value="234"/>
          <xsd:enumeration value="235"/>
          <xsd:enumeration value="236"/>
          <xsd:enumeration value="237"/>
          <xsd:enumeration value="238"/>
          <xsd:enumeration value="239"/>
          <xsd:enumeration value="240"/>
          <xsd:enumeration value="241"/>
          <xsd:enumeration value="242"/>
          <xsd:enumeration value="243"/>
          <xsd:enumeration value="244"/>
          <xsd:enumeration value="245"/>
          <xsd:enumeration value="246"/>
          <xsd:enumeration value="247"/>
          <xsd:enumeration value="248"/>
          <xsd:enumeration value="249"/>
          <xsd:enumeration value="250"/>
          <xsd:enumeration value="251"/>
          <xsd:enumeration value="252"/>
          <xsd:enumeration value="253"/>
          <xsd:enumeration value="254"/>
          <xsd:enumeration value="255"/>
          <xsd:enumeration value="256"/>
          <xsd:enumeration value="257"/>
          <xsd:enumeration value="258"/>
          <xsd:enumeration value="259"/>
          <xsd:enumeration value="260"/>
          <xsd:enumeration value="261"/>
          <xsd:enumeration value="262"/>
          <xsd:enumeration value="263"/>
          <xsd:enumeration value="264"/>
          <xsd:enumeration value="265"/>
          <xsd:enumeration value="266"/>
          <xsd:enumeration value="267"/>
          <xsd:enumeration value="268"/>
          <xsd:enumeration value="269"/>
          <xsd:enumeration value="270"/>
          <xsd:enumeration value="271"/>
          <xsd:enumeration value="272"/>
          <xsd:enumeration value="273"/>
          <xsd:enumeration value="274"/>
          <xsd:enumeration value="275"/>
          <xsd:enumeration value="276"/>
          <xsd:enumeration value="277"/>
          <xsd:enumeration value="278"/>
          <xsd:enumeration value="279"/>
          <xsd:enumeration value="280"/>
          <xsd:enumeration value="281"/>
          <xsd:enumeration value="282"/>
          <xsd:enumeration value="283"/>
          <xsd:enumeration value="284"/>
          <xsd:enumeration value="285"/>
          <xsd:enumeration value="286"/>
          <xsd:enumeration value="287"/>
          <xsd:enumeration value="288"/>
          <xsd:enumeration value="289"/>
          <xsd:enumeration value="290"/>
          <xsd:enumeration value="291"/>
          <xsd:enumeration value="292"/>
          <xsd:enumeration value="293"/>
          <xsd:enumeration value="294"/>
          <xsd:enumeration value="295"/>
          <xsd:enumeration value="296"/>
          <xsd:enumeration value="297"/>
          <xsd:enumeration value="298"/>
          <xsd:enumeration value="299"/>
          <xsd:enumeration value="300"/>
          <xsd:enumeration value="301"/>
          <xsd:enumeration value="302"/>
          <xsd:enumeration value="303"/>
          <xsd:enumeration value="304"/>
          <xsd:enumeration value="305"/>
          <xsd:enumeration value="306"/>
          <xsd:enumeration value="307"/>
          <xsd:enumeration value="308"/>
          <xsd:enumeration value="309"/>
          <xsd:enumeration value="310"/>
          <xsd:enumeration value="311"/>
          <xsd:enumeration value="312"/>
          <xsd:enumeration value="313"/>
          <xsd:enumeration value="314"/>
          <xsd:enumeration value="315"/>
          <xsd:enumeration value="316"/>
          <xsd:enumeration value="317"/>
          <xsd:enumeration value="318"/>
          <xsd:enumeration value="319"/>
          <xsd:enumeration value="320"/>
          <xsd:enumeration value="321"/>
          <xsd:enumeration value="322"/>
          <xsd:enumeration value="323"/>
          <xsd:enumeration value="324"/>
          <xsd:enumeration value="325"/>
          <xsd:enumeration value="326"/>
          <xsd:enumeration value="327"/>
          <xsd:enumeration value="328"/>
          <xsd:enumeration value="329"/>
          <xsd:enumeration value="330"/>
          <xsd:enumeration value="331"/>
          <xsd:enumeration value="332"/>
          <xsd:enumeration value="333"/>
          <xsd:enumeration value="334"/>
          <xsd:enumeration value="335"/>
          <xsd:enumeration value="336"/>
          <xsd:enumeration value="337"/>
          <xsd:enumeration value="338"/>
          <xsd:enumeration value="339"/>
          <xsd:enumeration value="340"/>
          <xsd:enumeration value="341"/>
          <xsd:enumeration value="342"/>
          <xsd:enumeration value="343"/>
          <xsd:enumeration value="344"/>
          <xsd:enumeration value="345"/>
          <xsd:enumeration value="346"/>
          <xsd:enumeration value="347"/>
          <xsd:enumeration value="348"/>
          <xsd:enumeration value="349"/>
          <xsd:enumeration value="350"/>
          <xsd:enumeration value="351"/>
          <xsd:enumeration value="352"/>
          <xsd:enumeration value="353"/>
          <xsd:enumeration value="354"/>
          <xsd:enumeration value="355"/>
          <xsd:enumeration value="356"/>
          <xsd:enumeration value="357"/>
          <xsd:enumeration value="358"/>
          <xsd:enumeration value="359"/>
          <xsd:enumeration value="360"/>
          <xsd:enumeration value="361"/>
          <xsd:enumeration value="362"/>
          <xsd:enumeration value="363"/>
          <xsd:enumeration value="364"/>
          <xsd:enumeration value="365"/>
          <xsd:enumeration value="366"/>
          <xsd:enumeration value="367"/>
          <xsd:enumeration value="368"/>
          <xsd:enumeration value="369"/>
          <xsd:enumeration value="370"/>
          <xsd:enumeration value="371"/>
          <xsd:enumeration value="372"/>
          <xsd:enumeration value="373"/>
          <xsd:enumeration value="374"/>
          <xsd:enumeration value="375"/>
          <xsd:enumeration value="376"/>
          <xsd:enumeration value="377"/>
          <xsd:enumeration value="378"/>
          <xsd:enumeration value="379"/>
          <xsd:enumeration value="380"/>
          <xsd:enumeration value="381"/>
          <xsd:enumeration value="382"/>
          <xsd:enumeration value="383"/>
          <xsd:enumeration value="384"/>
          <xsd:enumeration value="385"/>
          <xsd:enumeration value="386"/>
          <xsd:enumeration value="387"/>
          <xsd:enumeration value="388"/>
          <xsd:enumeration value="389"/>
          <xsd:enumeration value="390"/>
          <xsd:enumeration value="391"/>
          <xsd:enumeration value="392"/>
          <xsd:enumeration value="393"/>
          <xsd:enumeration value="394"/>
          <xsd:enumeration value="395"/>
          <xsd:enumeration value="396"/>
          <xsd:enumeration value="397"/>
          <xsd:enumeration value="398"/>
          <xsd:enumeration value="399"/>
          <xsd:enumeration value="400"/>
          <xsd:enumeration value="401"/>
          <xsd:enumeration value="402"/>
          <xsd:enumeration value="403"/>
          <xsd:enumeration value="404"/>
          <xsd:enumeration value="405"/>
          <xsd:enumeration value="406"/>
          <xsd:enumeration value="407"/>
          <xsd:enumeration value="408"/>
          <xsd:enumeration value="409"/>
          <xsd:enumeration value="410"/>
          <xsd:enumeration value="411"/>
          <xsd:enumeration value="412"/>
          <xsd:enumeration value="413"/>
          <xsd:enumeration value="414"/>
          <xsd:enumeration value="415"/>
          <xsd:enumeration value="416"/>
          <xsd:enumeration value="417"/>
          <xsd:enumeration value="418"/>
          <xsd:enumeration value="419"/>
          <xsd:enumeration value="420"/>
          <xsd:enumeration value="421"/>
          <xsd:enumeration value="422"/>
          <xsd:enumeration value="423"/>
          <xsd:enumeration value="424"/>
          <xsd:enumeration value="425"/>
          <xsd:enumeration value="426"/>
          <xsd:enumeration value="427"/>
          <xsd:enumeration value="428"/>
          <xsd:enumeration value="429"/>
          <xsd:enumeration value="430"/>
          <xsd:enumeration value="431"/>
          <xsd:enumeration value="432"/>
          <xsd:enumeration value="433"/>
          <xsd:enumeration value="434"/>
          <xsd:enumeration value="435"/>
          <xsd:enumeration value="436"/>
          <xsd:enumeration value="437"/>
          <xsd:enumeration value="438"/>
          <xsd:enumeration value="439"/>
          <xsd:enumeration value="440"/>
          <xsd:enumeration value="441"/>
        </xsd:restriction>
      </xsd:simpleType>
    </xsd:element>
    <xsd:element name="Tariff_x0020_Dev_x0020_Doc_x0020_Type" ma:index="10" nillable="true" ma:displayName="Tariff Dev Doc Type" ma:format="Dropdown" ma:internalName="Tariff_x0020_Dev_x0020_Doc_x0020_Type">
      <xsd:simpleType>
        <xsd:restriction base="dms:Choice">
          <xsd:enumeration value="Support"/>
          <xsd:enumeration value="Customer Communications"/>
          <xsd:enumeration value="Customer Service"/>
        </xsd:restriction>
      </xsd:simpleType>
    </xsd:element>
    <xsd:element name="Filed_x0020_Documents" ma:index="11" nillable="true" ma:displayName="Filed Documents (Internal Use Only)" ma:format="Dropdown" ma:internalName="Filed_x0020_Documents" ma:readOnly="false">
      <xsd:simpleType>
        <xsd:restriction base="dms:Choice">
          <xsd:enumeration value="Application/Filing Requirements/Testimony"/>
          <xsd:enumeration value="PSC DR 01"/>
          <xsd:enumeration value="PSC DR 02/Intervenor DR 01"/>
          <xsd:enumeration value="PSC DR 03/Intervenor DR 02"/>
          <xsd:enumeration value="PSC DR 04"/>
          <xsd:enumeration value="PSC DR 05"/>
          <xsd:enumeration value="PSC DR 06"/>
          <xsd:enumeration value="PSC Post Hearing DR01"/>
          <xsd:enumeration value="PSC Post Hearing DR02"/>
          <xsd:enumeration value="VSCC DR01"/>
          <xsd:enumeration value="VSCC DR02"/>
          <xsd:enumeration value="VSCC DR03"/>
          <xsd:enumeration value="VSCC DR04"/>
          <xsd:enumeration value="VSCC DR05"/>
          <xsd:enumeration value="VSCC DR06"/>
          <xsd:enumeration value="VSCC DR07"/>
          <xsd:enumeration value="VSCC DR08"/>
          <xsd:enumeration value="VSCC DR09"/>
          <xsd:enumeration value="VSCC DR10"/>
          <xsd:enumeration value="VSCC DR11"/>
          <xsd:enumeration value="VSCC DR12"/>
          <xsd:enumeration value="VSCC DR13"/>
          <xsd:enumeration value="Rebuttal Testimony"/>
          <xsd:enumeration value="Settlement Agreement"/>
          <xsd:enumeration value="Stipulation Testimony"/>
          <xsd:enumeration value="Post Hearing Briefs"/>
        </xsd:restriction>
      </xsd:simpleType>
    </xsd:element>
    <xsd:element name="Department" ma:index="18" nillable="true" ma:displayName="Department/Purpose" ma:format="Dropdown" ma:internalName="Department" ma:readOnly="false">
      <xsd:simpleType>
        <xsd:restriction base="dms:Choice">
          <xsd:enumeration value="Cost of Service"/>
          <xsd:enumeration value="Jurisdictional Separation Study"/>
          <xsd:enumeration value="Revenue Requirement"/>
          <xsd:enumeration value="Financial Planning &amp; Analysis"/>
          <xsd:enumeration value="Financial Reporting"/>
          <xsd:enumeration value="Sales Analysis &amp; Forecasting"/>
          <xsd:enumeration value="State Regulation &amp; Rates"/>
          <xsd:enumeration value="Tax Accounting &amp; Complianc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Company xmlns="54fcda00-7b58-44a7-b108-8bd10a8a08ba">
      <Value>KU</Value>
    </Company>
    <Tariff_x0020_Dev_x0020_Doc_x0020_Type xmlns="54fcda00-7b58-44a7-b108-8bd10a8a08ba" xsi:nil="true"/>
    <Filing_x0020_Requirement xmlns="54fcda00-7b58-44a7-b108-8bd10a8a08ba" xsi:nil="true"/>
    <Round xmlns="54fcda00-7b58-44a7-b108-8bd10a8a08ba">DR01 Attachments</Round>
    <FormData xmlns="http://schemas.microsoft.com/sharepoint/v3">&lt;?xml version="1.0" encoding="utf-8"?&gt;&lt;FormVariables&gt;&lt;Version /&gt;&lt;/FormVariables&gt;</FormData>
    <Data_x0020_Request_x0020_Question_x0020_No_x002e_ xmlns="54fcda00-7b58-44a7-b108-8bd10a8a08ba">012</Data_x0020_Request_x0020_Question_x0020_No_x002e_>
    <Year xmlns="54fcda00-7b58-44a7-b108-8bd10a8a08ba">2020</Year>
    <Document_x0020_Type xmlns="54fcda00-7b58-44a7-b108-8bd10a8a08ba">Data Requests</Document_x0020_Type>
    <Witness_x0020_Testimony xmlns="54fcda00-7b58-44a7-b108-8bd10a8a08ba" xsi:nil="true"/>
    <Intervemprs xmlns="54fcda00-7b58-44a7-b108-8bd10a8a08ba">Lexington-Fayette Urban County Govt - LFUCG</Intervemprs>
    <Filed_x0020_Documents xmlns="54fcda00-7b58-44a7-b108-8bd10a8a08ba" xsi:nil="true"/>
    <Department xmlns="54fcda00-7b58-44a7-b108-8bd10a8a08ba" xsi:nil="true"/>
  </documentManagement>
</p:properties>
</file>

<file path=customXml/itemProps1.xml><?xml version="1.0" encoding="utf-8"?>
<ds:datastoreItem xmlns:ds="http://schemas.openxmlformats.org/officeDocument/2006/customXml" ds:itemID="{65A1A1C1-C6CE-4462-A918-955207A1DE6A}">
  <ds:schemaRefs>
    <ds:schemaRef ds:uri="http://schemas.microsoft.com/sharepoint/v3/contenttype/forms/url"/>
  </ds:schemaRefs>
</ds:datastoreItem>
</file>

<file path=customXml/itemProps2.xml><?xml version="1.0" encoding="utf-8"?>
<ds:datastoreItem xmlns:ds="http://schemas.openxmlformats.org/officeDocument/2006/customXml" ds:itemID="{6609E32F-9BB9-4D83-AFFC-FBD46DBC3059}">
  <ds:schemaRefs>
    <ds:schemaRef ds:uri="http://schemas.microsoft.com/sharepoint/v3/contenttype/forms"/>
  </ds:schemaRefs>
</ds:datastoreItem>
</file>

<file path=customXml/itemProps3.xml><?xml version="1.0" encoding="utf-8"?>
<ds:datastoreItem xmlns:ds="http://schemas.openxmlformats.org/officeDocument/2006/customXml" ds:itemID="{60357BCC-99D8-48F4-9E4A-C01494C0DECA}">
  <ds:schemaRefs/>
</ds:datastoreItem>
</file>

<file path=customXml/itemProps4.xml><?xml version="1.0" encoding="utf-8"?>
<ds:datastoreItem xmlns:ds="http://schemas.openxmlformats.org/officeDocument/2006/customXml" ds:itemID="{09BE3E19-6956-4757-82FA-52CFE4C7B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fcda00-7b58-44a7-b108-8bd10a8a08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67DCA47-4AB4-4FD7-A643-E8EB47D74AFA}">
  <ds:schemaRefs>
    <ds:schemaRef ds:uri="http://schemas.microsoft.com/office/2006/metadata/properties"/>
    <ds:schemaRef ds:uri="http://schemas.microsoft.com/office/infopath/2007/PartnerControls"/>
    <ds:schemaRef ds:uri="54fcda00-7b58-44a7-b108-8bd10a8a08b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Comparable Fixtures Table</vt:lpstr>
      <vt:lpstr>Unified rate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2021-01-13T20:56:29Z</dcterms:created>
  <dcterms:modified xsi:type="dcterms:W3CDTF">2021-03-31T22:42:44Z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0x0101002D0103853DF7894DB347713A7250CD66</vt:lpwstr>
  </property>
</Properties>
</file>