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2479dbb7cce96c/5 Lakes/Case work/Kentucky/Exhibits/"/>
    </mc:Choice>
  </mc:AlternateContent>
  <xr:revisionPtr revIDLastSave="54" documentId="8_{24AB8612-B1DA-4149-9392-171BB863819E}" xr6:coauthVersionLast="46" xr6:coauthVersionMax="46" xr10:uidLastSave="{6C53451D-3F31-4496-BCEC-666FD790160E}"/>
  <bookViews>
    <workbookView xWindow="-120" yWindow="-120" windowWidth="19440" windowHeight="11640" xr2:uid="{98C7235E-F3FE-439E-B4BB-90BE3C092D9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4" i="1" l="1"/>
  <c r="M64" i="1"/>
  <c r="M65" i="1"/>
  <c r="M66" i="1"/>
  <c r="M63" i="1"/>
  <c r="M58" i="1"/>
  <c r="M69" i="1"/>
  <c r="N69" i="1" s="1"/>
  <c r="L69" i="1"/>
  <c r="L68" i="1"/>
  <c r="M68" i="1" s="1"/>
  <c r="N68" i="1" s="1"/>
  <c r="M67" i="1"/>
  <c r="N67" i="1" s="1"/>
  <c r="L67" i="1"/>
  <c r="K69" i="1"/>
  <c r="K68" i="1"/>
  <c r="K67" i="1"/>
  <c r="K46" i="1"/>
  <c r="L46" i="1"/>
  <c r="N44" i="1"/>
  <c r="N45" i="1"/>
  <c r="N43" i="1"/>
  <c r="M44" i="1"/>
  <c r="M45" i="1"/>
  <c r="M43" i="1"/>
  <c r="L44" i="1"/>
  <c r="L45" i="1"/>
  <c r="L43" i="1"/>
  <c r="I46" i="1" l="1"/>
  <c r="I45" i="1"/>
  <c r="I44" i="1"/>
  <c r="I43" i="1"/>
  <c r="I42" i="1"/>
  <c r="I41" i="1"/>
  <c r="I40" i="1"/>
  <c r="I39" i="1"/>
  <c r="I38" i="1"/>
  <c r="I37" i="1"/>
  <c r="I36" i="1"/>
  <c r="I49" i="1"/>
  <c r="I48" i="1"/>
  <c r="H50" i="1"/>
  <c r="H49" i="1"/>
  <c r="A49" i="1"/>
  <c r="H48" i="1"/>
  <c r="A48" i="1"/>
  <c r="H47" i="1"/>
  <c r="A47" i="1"/>
  <c r="H46" i="1"/>
  <c r="A46" i="1"/>
  <c r="H45" i="1"/>
  <c r="A45" i="1"/>
  <c r="H44" i="1"/>
  <c r="A44" i="1"/>
  <c r="H43" i="1"/>
  <c r="A43" i="1"/>
  <c r="H42" i="1"/>
  <c r="A42" i="1"/>
  <c r="H41" i="1"/>
  <c r="A41" i="1"/>
  <c r="H40" i="1"/>
  <c r="A40" i="1"/>
  <c r="H39" i="1"/>
  <c r="A39" i="1"/>
  <c r="H38" i="1"/>
  <c r="A38" i="1"/>
  <c r="H37" i="1"/>
  <c r="A37" i="1"/>
  <c r="H36" i="1"/>
  <c r="A36" i="1"/>
  <c r="H35" i="1"/>
  <c r="A35" i="1"/>
  <c r="F24" i="1"/>
  <c r="D24" i="1"/>
  <c r="C24" i="1"/>
  <c r="F23" i="1"/>
  <c r="D23" i="1"/>
  <c r="C23" i="1"/>
  <c r="F22" i="1"/>
  <c r="D22" i="1"/>
  <c r="C22" i="1"/>
  <c r="F21" i="1"/>
  <c r="D21" i="1"/>
  <c r="C21" i="1"/>
  <c r="F20" i="1"/>
  <c r="D20" i="1"/>
  <c r="C20" i="1"/>
  <c r="F19" i="1"/>
  <c r="D19" i="1"/>
  <c r="C19" i="1"/>
  <c r="F18" i="1"/>
  <c r="D18" i="1"/>
  <c r="C18" i="1"/>
  <c r="F17" i="1"/>
  <c r="D17" i="1"/>
  <c r="C17" i="1"/>
  <c r="F16" i="1"/>
  <c r="D16" i="1"/>
  <c r="C16" i="1"/>
  <c r="F15" i="1"/>
  <c r="D15" i="1"/>
  <c r="C15" i="1"/>
  <c r="F14" i="1"/>
  <c r="D14" i="1"/>
  <c r="C14" i="1"/>
  <c r="F13" i="1"/>
  <c r="D13" i="1"/>
  <c r="C13" i="1"/>
  <c r="F12" i="1"/>
  <c r="D12" i="1"/>
  <c r="C12" i="1"/>
  <c r="F11" i="1"/>
  <c r="D11" i="1"/>
  <c r="C11" i="1"/>
  <c r="F10" i="1"/>
  <c r="D10" i="1"/>
  <c r="C10" i="1"/>
  <c r="F25" i="1" l="1"/>
  <c r="C25" i="1"/>
  <c r="D25" i="1"/>
  <c r="E12" i="1"/>
  <c r="G12" i="1" s="1"/>
  <c r="E14" i="1"/>
  <c r="G14" i="1" s="1"/>
  <c r="E16" i="1"/>
  <c r="G16" i="1" s="1"/>
  <c r="E18" i="1"/>
  <c r="G18" i="1" s="1"/>
  <c r="E20" i="1"/>
  <c r="G20" i="1" s="1"/>
  <c r="E22" i="1"/>
  <c r="G22" i="1" s="1"/>
  <c r="E24" i="1"/>
  <c r="G24" i="1" s="1"/>
  <c r="E11" i="1"/>
  <c r="G11" i="1" s="1"/>
  <c r="E13" i="1"/>
  <c r="G13" i="1" s="1"/>
  <c r="E15" i="1"/>
  <c r="G15" i="1" s="1"/>
  <c r="E17" i="1"/>
  <c r="G17" i="1" s="1"/>
  <c r="E19" i="1"/>
  <c r="G19" i="1" s="1"/>
  <c r="E21" i="1"/>
  <c r="G21" i="1" s="1"/>
  <c r="E23" i="1"/>
  <c r="G23" i="1" s="1"/>
  <c r="E10" i="1"/>
  <c r="I35" i="1"/>
  <c r="I50" i="1"/>
  <c r="N46" i="1" l="1"/>
  <c r="I47" i="1"/>
  <c r="E25" i="1"/>
  <c r="G25" i="1" s="1"/>
  <c r="G10" i="1"/>
  <c r="M35" i="1" l="1"/>
  <c r="L35" i="1" s="1"/>
  <c r="N36" i="1"/>
  <c r="N38" i="1"/>
  <c r="L38" i="1"/>
  <c r="K38" i="1" s="1"/>
  <c r="N42" i="1"/>
  <c r="L42" i="1"/>
  <c r="K42" i="1" s="1"/>
  <c r="N48" i="1"/>
  <c r="L48" i="1"/>
  <c r="K48" i="1" s="1"/>
  <c r="N41" i="1"/>
  <c r="L41" i="1"/>
  <c r="K41" i="1" s="1"/>
  <c r="N49" i="1"/>
  <c r="L49" i="1"/>
  <c r="K49" i="1" s="1"/>
  <c r="N40" i="1"/>
  <c r="L40" i="1"/>
  <c r="K40" i="1" s="1"/>
  <c r="N37" i="1"/>
  <c r="L37" i="1"/>
  <c r="K37" i="1" s="1"/>
  <c r="N47" i="1"/>
  <c r="L47" i="1"/>
  <c r="K47" i="1" s="1"/>
  <c r="N35" i="1" l="1"/>
  <c r="L36" i="1"/>
  <c r="K36" i="1" s="1"/>
  <c r="N39" i="1"/>
  <c r="L39" i="1"/>
  <c r="K39" i="1" s="1"/>
  <c r="L65" i="1"/>
  <c r="K65" i="1" s="1"/>
  <c r="N65" i="1"/>
  <c r="L61" i="1"/>
  <c r="K61" i="1" s="1"/>
  <c r="N61" i="1"/>
  <c r="L73" i="1"/>
  <c r="K73" i="1" s="1"/>
  <c r="N73" i="1"/>
  <c r="L64" i="1"/>
  <c r="K64" i="1" s="1"/>
  <c r="N64" i="1"/>
  <c r="L60" i="1"/>
  <c r="K60" i="1" s="1"/>
  <c r="N60" i="1"/>
  <c r="N72" i="1"/>
  <c r="L72" i="1"/>
  <c r="K72" i="1" s="1"/>
  <c r="N58" i="1"/>
  <c r="M74" i="1"/>
  <c r="L58" i="1"/>
  <c r="L63" i="1"/>
  <c r="K63" i="1" s="1"/>
  <c r="N63" i="1"/>
  <c r="L59" i="1"/>
  <c r="K59" i="1" s="1"/>
  <c r="N59" i="1"/>
  <c r="L71" i="1"/>
  <c r="K71" i="1" s="1"/>
  <c r="N71" i="1"/>
  <c r="L66" i="1"/>
  <c r="K66" i="1" s="1"/>
  <c r="N66" i="1"/>
  <c r="L62" i="1"/>
  <c r="K62" i="1" s="1"/>
  <c r="N62" i="1"/>
  <c r="N70" i="1"/>
  <c r="L70" i="1"/>
  <c r="K70" i="1" s="1"/>
  <c r="K35" i="1"/>
  <c r="M50" i="1"/>
  <c r="L50" i="1" l="1"/>
  <c r="K50" i="1" s="1"/>
  <c r="K58" i="1"/>
  <c r="L74" i="1"/>
</calcChain>
</file>

<file path=xl/sharedStrings.xml><?xml version="1.0" encoding="utf-8"?>
<sst xmlns="http://schemas.openxmlformats.org/spreadsheetml/2006/main" count="88" uniqueCount="49">
  <si>
    <t>Louisville Gas and Electric Company</t>
  </si>
  <si>
    <t>Summary of Unadjusted Rates of Return by Class</t>
  </si>
  <si>
    <t xml:space="preserve">Operating </t>
  </si>
  <si>
    <t>Operating</t>
  </si>
  <si>
    <t>Revenue</t>
  </si>
  <si>
    <t>Expenses</t>
  </si>
  <si>
    <t>Margin</t>
  </si>
  <si>
    <t>Rate Base</t>
  </si>
  <si>
    <t>ROR</t>
  </si>
  <si>
    <t>Residential Rate RS</t>
  </si>
  <si>
    <t>General Service Rate GS</t>
  </si>
  <si>
    <t>Power Service Primary Rate PS</t>
  </si>
  <si>
    <t>Power Service Secondary Rate PS</t>
  </si>
  <si>
    <t>TOD Rate TOD Primary</t>
  </si>
  <si>
    <t>TOD Rate TOD Secondary</t>
  </si>
  <si>
    <t>Retail Transmission Service Rate RTS</t>
  </si>
  <si>
    <t>Special Contract Customer</t>
  </si>
  <si>
    <t>Lighting Rate RLS &amp; LS</t>
  </si>
  <si>
    <t>Lighting Rate LE</t>
  </si>
  <si>
    <t>Lighting Rate TE</t>
  </si>
  <si>
    <t>Outdoor Sports Lighting OSL</t>
  </si>
  <si>
    <t>Electric Vehicle Charging EVC</t>
  </si>
  <si>
    <t>Solar Share SS</t>
  </si>
  <si>
    <t>Business Solar BS</t>
  </si>
  <si>
    <t>Summary of Adjusted Rates of Return by Class</t>
  </si>
  <si>
    <t>Proposed</t>
  </si>
  <si>
    <t>Rate of Return</t>
  </si>
  <si>
    <t>on Rate Base</t>
  </si>
  <si>
    <t>Increase</t>
  </si>
  <si>
    <t xml:space="preserve">Adjusted </t>
  </si>
  <si>
    <t>Adjusted</t>
  </si>
  <si>
    <t>Change</t>
  </si>
  <si>
    <t>in</t>
  </si>
  <si>
    <t>% Change</t>
  </si>
  <si>
    <t>All Electric Schools Rate AES</t>
  </si>
  <si>
    <t>Power Service Secondary Rate PSS</t>
  </si>
  <si>
    <t>Power Service Primary Rate PSP</t>
  </si>
  <si>
    <t>Time of Day Secondary Rate TODS</t>
  </si>
  <si>
    <t>Time of Day Primary  Rate TODP</t>
  </si>
  <si>
    <t>Fluctuating Load Service Rate FLS</t>
  </si>
  <si>
    <t>Lighting Rate LS &amp; RLS</t>
  </si>
  <si>
    <t>Outdoor Sports Lighting Rate OSL</t>
  </si>
  <si>
    <t>Electric Vehicle Charging Rate EV</t>
  </si>
  <si>
    <t>Solar Share Rate SSP</t>
  </si>
  <si>
    <t>Business Solar Rate BS</t>
  </si>
  <si>
    <t>Overall</t>
  </si>
  <si>
    <t>Kentucky Utilities</t>
  </si>
  <si>
    <t>re-allocation weighted by % of total revenue</t>
  </si>
  <si>
    <t>PROPOSED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</si>
</sst>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00_);_(* \(#,##0.000000\);_(* &quot;-&quot;??_);_(@_)"/>
    <numFmt numFmtId="165" formatCode="_(* #,##0_);_(* \(#,##0\);_(* &quot;-&quot;??_);_(@_)"/>
    <numFmt numFmtId="166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/>
    <xf numFmtId="43" fontId="0" fillId="0" borderId="0" xfId="1" applyFont="1"/>
    <xf numFmtId="164" fontId="0" fillId="0" borderId="0" xfId="1" applyNumberFormat="1" applyFont="1"/>
    <xf numFmtId="165" fontId="0" fillId="0" borderId="0" xfId="1" applyNumberFormat="1" applyFont="1"/>
    <xf numFmtId="0" fontId="4" fillId="0" borderId="0" xfId="0" applyFont="1"/>
    <xf numFmtId="43" fontId="4" fillId="0" borderId="0" xfId="1" applyFont="1" applyBorder="1" applyAlignment="1"/>
    <xf numFmtId="43" fontId="4" fillId="0" borderId="0" xfId="1" applyFont="1" applyBorder="1" applyAlignment="1">
      <alignment horizontal="right"/>
    </xf>
    <xf numFmtId="164" fontId="4" fillId="0" borderId="0" xfId="1" applyNumberFormat="1" applyFont="1" applyBorder="1" applyAlignment="1">
      <alignment horizontal="right" wrapText="1"/>
    </xf>
    <xf numFmtId="165" fontId="4" fillId="0" borderId="0" xfId="1" applyNumberFormat="1" applyFont="1" applyBorder="1" applyAlignment="1">
      <alignment horizontal="right"/>
    </xf>
    <xf numFmtId="43" fontId="4" fillId="0" borderId="0" xfId="1" applyFont="1" applyBorder="1" applyAlignment="1">
      <alignment horizontal="right" wrapText="1"/>
    </xf>
    <xf numFmtId="0" fontId="4" fillId="0" borderId="0" xfId="0" applyFont="1" applyAlignment="1">
      <alignment horizontal="left"/>
    </xf>
    <xf numFmtId="43" fontId="4" fillId="0" borderId="0" xfId="1" applyFont="1" applyAlignment="1">
      <alignment horizontal="right"/>
    </xf>
    <xf numFmtId="164" fontId="0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left" wrapText="1"/>
    </xf>
    <xf numFmtId="43" fontId="4" fillId="0" borderId="1" xfId="1" applyFont="1" applyBorder="1" applyAlignment="1">
      <alignment horizontal="right"/>
    </xf>
    <xf numFmtId="164" fontId="4" fillId="0" borderId="1" xfId="1" applyNumberFormat="1" applyFont="1" applyBorder="1" applyAlignment="1">
      <alignment horizontal="right"/>
    </xf>
    <xf numFmtId="0" fontId="5" fillId="0" borderId="0" xfId="0" applyFont="1"/>
    <xf numFmtId="166" fontId="0" fillId="0" borderId="0" xfId="2" applyNumberFormat="1" applyFont="1"/>
    <xf numFmtId="10" fontId="0" fillId="0" borderId="0" xfId="3" applyNumberFormat="1" applyFont="1"/>
    <xf numFmtId="165" fontId="0" fillId="0" borderId="0" xfId="1" applyNumberFormat="1" applyFont="1" applyBorder="1"/>
    <xf numFmtId="10" fontId="0" fillId="0" borderId="0" xfId="3" applyNumberFormat="1" applyFont="1" applyBorder="1"/>
    <xf numFmtId="0" fontId="5" fillId="0" borderId="2" xfId="0" applyFont="1" applyBorder="1"/>
    <xf numFmtId="0" fontId="0" fillId="0" borderId="2" xfId="0" applyBorder="1"/>
    <xf numFmtId="165" fontId="0" fillId="0" borderId="2" xfId="1" applyNumberFormat="1" applyFont="1" applyBorder="1"/>
    <xf numFmtId="10" fontId="0" fillId="0" borderId="2" xfId="3" applyNumberFormat="1" applyFont="1" applyBorder="1"/>
    <xf numFmtId="43" fontId="0" fillId="0" borderId="0" xfId="1" applyFont="1" applyBorder="1"/>
    <xf numFmtId="166" fontId="0" fillId="0" borderId="0" xfId="2" applyNumberFormat="1" applyFont="1" applyBorder="1"/>
    <xf numFmtId="0" fontId="4" fillId="0" borderId="0" xfId="0" applyFont="1" applyAlignment="1">
      <alignment horizontal="right"/>
    </xf>
    <xf numFmtId="165" fontId="0" fillId="0" borderId="0" xfId="1" applyNumberFormat="1" applyFont="1" applyFill="1" applyBorder="1"/>
    <xf numFmtId="0" fontId="4" fillId="0" borderId="1" xfId="1" applyNumberFormat="1" applyFont="1" applyBorder="1" applyAlignment="1">
      <alignment horizontal="right"/>
    </xf>
    <xf numFmtId="10" fontId="0" fillId="0" borderId="0" xfId="3" applyNumberFormat="1" applyFont="1" applyFill="1" applyBorder="1"/>
    <xf numFmtId="44" fontId="0" fillId="0" borderId="0" xfId="2" applyFont="1" applyFill="1" applyBorder="1"/>
    <xf numFmtId="10" fontId="0" fillId="2" borderId="7" xfId="3" applyNumberFormat="1" applyFont="1" applyFill="1" applyBorder="1"/>
    <xf numFmtId="10" fontId="0" fillId="2" borderId="10" xfId="3" applyNumberFormat="1" applyFont="1" applyFill="1" applyBorder="1"/>
    <xf numFmtId="10" fontId="0" fillId="2" borderId="12" xfId="3" applyNumberFormat="1" applyFont="1" applyFill="1" applyBorder="1"/>
    <xf numFmtId="0" fontId="4" fillId="0" borderId="2" xfId="0" applyFont="1" applyBorder="1" applyAlignment="1">
      <alignment horizontal="left"/>
    </xf>
    <xf numFmtId="10" fontId="0" fillId="2" borderId="0" xfId="3" applyNumberFormat="1" applyFont="1" applyFill="1" applyBorder="1"/>
    <xf numFmtId="10" fontId="0" fillId="2" borderId="8" xfId="3" applyNumberFormat="1" applyFont="1" applyFill="1" applyBorder="1"/>
    <xf numFmtId="10" fontId="0" fillId="2" borderId="1" xfId="3" applyNumberFormat="1" applyFont="1" applyFill="1" applyBorder="1"/>
    <xf numFmtId="166" fontId="0" fillId="2" borderId="1" xfId="2" applyNumberFormat="1" applyFont="1" applyFill="1" applyBorder="1"/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6" fontId="0" fillId="2" borderId="0" xfId="2" applyNumberFormat="1" applyFont="1" applyFill="1" applyBorder="1"/>
    <xf numFmtId="166" fontId="0" fillId="2" borderId="8" xfId="2" applyNumberFormat="1" applyFont="1" applyFill="1" applyBorder="1"/>
    <xf numFmtId="9" fontId="0" fillId="2" borderId="9" xfId="3" applyFont="1" applyFill="1" applyBorder="1"/>
    <xf numFmtId="9" fontId="0" fillId="2" borderId="11" xfId="3" applyFont="1" applyFill="1" applyBorder="1"/>
    <xf numFmtId="9" fontId="0" fillId="2" borderId="13" xfId="3" applyFont="1" applyFill="1" applyBorder="1"/>
    <xf numFmtId="10" fontId="0" fillId="0" borderId="1" xfId="3" applyNumberFormat="1" applyFont="1" applyBorder="1"/>
    <xf numFmtId="166" fontId="0" fillId="0" borderId="1" xfId="2" applyNumberFormat="1" applyFont="1" applyBorder="1"/>
    <xf numFmtId="44" fontId="0" fillId="0" borderId="1" xfId="2" applyFont="1" applyFill="1" applyBorder="1"/>
    <xf numFmtId="44" fontId="0" fillId="0" borderId="0" xfId="0" applyNumberFormat="1"/>
    <xf numFmtId="165" fontId="4" fillId="0" borderId="0" xfId="1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5" fontId="6" fillId="0" borderId="1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165" fontId="6" fillId="0" borderId="2" xfId="1" applyNumberFormat="1" applyFont="1" applyBorder="1" applyAlignment="1">
      <alignment horizontal="center"/>
    </xf>
    <xf numFmtId="43" fontId="4" fillId="0" borderId="8" xfId="1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a2479dbb7cce96c/5%20Lakes/Case%20work/Kentucky/2020_Att_LGE_PSC_1-56_Exhibit_WSS-2%5eJWSS-30%5eJWSS-32_LGE_Electric_COSS_LOL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ctional Assignment"/>
      <sheetName val="Allocation Proforma"/>
      <sheetName val="Summary of Returns"/>
      <sheetName val="Billing Det"/>
      <sheetName val="RS"/>
      <sheetName val="GS"/>
      <sheetName val="Meters"/>
      <sheetName val="Services"/>
    </sheetNames>
    <sheetDataSet>
      <sheetData sheetId="0"/>
      <sheetData sheetId="1">
        <row r="709">
          <cell r="G709">
            <v>456215729.44786054</v>
          </cell>
          <cell r="H709">
            <v>153992543.1929298</v>
          </cell>
          <cell r="I709">
            <v>10496411.790004967</v>
          </cell>
          <cell r="J709">
            <v>154461344.1164076</v>
          </cell>
          <cell r="K709">
            <v>144324717.74573359</v>
          </cell>
          <cell r="L709">
            <v>107279046.26043318</v>
          </cell>
          <cell r="M709">
            <v>65899608.032550134</v>
          </cell>
          <cell r="N709">
            <v>3858361.6960765896</v>
          </cell>
          <cell r="O709">
            <v>22683471.482646659</v>
          </cell>
          <cell r="P709">
            <v>258268.06988452698</v>
          </cell>
          <cell r="Q709">
            <v>331014.48646404722</v>
          </cell>
          <cell r="R709">
            <v>15691.584113277844</v>
          </cell>
          <cell r="S709">
            <v>12695.342218772563</v>
          </cell>
          <cell r="T709">
            <v>237096</v>
          </cell>
          <cell r="U709">
            <v>9936</v>
          </cell>
        </row>
        <row r="725">
          <cell r="G725">
            <v>443989835.30628389</v>
          </cell>
          <cell r="H725">
            <v>111647695.06843868</v>
          </cell>
          <cell r="I725">
            <v>7379074.2222291995</v>
          </cell>
          <cell r="J725">
            <v>116106256.60419007</v>
          </cell>
          <cell r="K725">
            <v>122957944.41769107</v>
          </cell>
          <cell r="L725">
            <v>91931083.047126099</v>
          </cell>
          <cell r="M725">
            <v>58262037.01016973</v>
          </cell>
          <cell r="N725">
            <v>3365639.5154640041</v>
          </cell>
          <cell r="O725">
            <v>13471385.119759537</v>
          </cell>
          <cell r="P725">
            <v>169767.80748680714</v>
          </cell>
          <cell r="Q725">
            <v>240438.53317327399</v>
          </cell>
          <cell r="R725">
            <v>3884.4057475314885</v>
          </cell>
          <cell r="S725">
            <v>45319.218881580455</v>
          </cell>
          <cell r="T725">
            <v>153855.85858076424</v>
          </cell>
          <cell r="U725">
            <v>12591.246284675426</v>
          </cell>
        </row>
        <row r="729">
          <cell r="G729">
            <v>1830420620.8146839</v>
          </cell>
          <cell r="H729">
            <v>383935309.70985943</v>
          </cell>
          <cell r="I729">
            <v>21476776.613821827</v>
          </cell>
          <cell r="J729">
            <v>369390341.80452645</v>
          </cell>
          <cell r="K729">
            <v>328714070.64458293</v>
          </cell>
          <cell r="L729">
            <v>283566434.68231529</v>
          </cell>
          <cell r="M729">
            <v>135862169.44879556</v>
          </cell>
          <cell r="N729">
            <v>8795356.9937295783</v>
          </cell>
          <cell r="O729">
            <v>94529248.233881474</v>
          </cell>
          <cell r="P729">
            <v>277528.68282119447</v>
          </cell>
          <cell r="Q729">
            <v>600892.77152339718</v>
          </cell>
          <cell r="R729">
            <v>13250.785546233867</v>
          </cell>
          <cell r="S729">
            <v>120516.34405439686</v>
          </cell>
          <cell r="T729">
            <v>2314621.8400000003</v>
          </cell>
          <cell r="U729">
            <v>60676.790000000008</v>
          </cell>
        </row>
        <row r="917">
          <cell r="F917">
            <v>130962989</v>
          </cell>
          <cell r="G917">
            <v>53155992</v>
          </cell>
          <cell r="H917">
            <v>19105822</v>
          </cell>
          <cell r="I917">
            <v>1225601</v>
          </cell>
          <cell r="J917">
            <v>17917377</v>
          </cell>
          <cell r="K917">
            <v>16361581</v>
          </cell>
          <cell r="L917">
            <v>12216545</v>
          </cell>
          <cell r="M917">
            <v>7690372</v>
          </cell>
          <cell r="N917">
            <v>435109</v>
          </cell>
          <cell r="O917">
            <v>2856239</v>
          </cell>
          <cell r="P917">
            <v>3</v>
          </cell>
          <cell r="Q917">
            <v>-14</v>
          </cell>
          <cell r="R917">
            <v>-1638</v>
          </cell>
          <cell r="S917">
            <v>0</v>
          </cell>
          <cell r="T917">
            <v>0</v>
          </cell>
          <cell r="U917">
            <v>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D0441-4635-4214-A0BB-44A22186C952}">
  <dimension ref="A1:O87"/>
  <sheetViews>
    <sheetView tabSelected="1" topLeftCell="A27" workbookViewId="0">
      <selection activeCell="L43" sqref="L43:L45"/>
    </sheetView>
  </sheetViews>
  <sheetFormatPr defaultRowHeight="15" x14ac:dyDescent="0.25"/>
  <cols>
    <col min="1" max="1" width="36.7109375" customWidth="1"/>
    <col min="2" max="2" width="3.5703125" customWidth="1"/>
    <col min="3" max="3" width="15.28515625" style="2" customWidth="1"/>
    <col min="4" max="4" width="14.42578125" style="2" customWidth="1"/>
    <col min="5" max="5" width="15" style="2" customWidth="1"/>
    <col min="6" max="6" width="16.28515625" style="3" customWidth="1"/>
    <col min="7" max="7" width="10.42578125" customWidth="1"/>
    <col min="8" max="9" width="14.85546875" hidden="1" customWidth="1"/>
    <col min="10" max="10" width="5.140625" customWidth="1"/>
    <col min="11" max="13" width="15.7109375" style="4" customWidth="1"/>
    <col min="14" max="14" width="10.7109375" customWidth="1"/>
    <col min="15" max="15" width="14.28515625" bestFit="1" customWidth="1"/>
  </cols>
  <sheetData>
    <row r="1" spans="1:14" ht="18.75" hidden="1" x14ac:dyDescent="0.3">
      <c r="A1" s="1" t="s">
        <v>0</v>
      </c>
    </row>
    <row r="2" spans="1:14" hidden="1" x14ac:dyDescent="0.25">
      <c r="A2" s="5" t="s">
        <v>1</v>
      </c>
      <c r="C2" s="6"/>
      <c r="D2" s="6"/>
      <c r="E2" s="6"/>
      <c r="F2" s="6"/>
      <c r="K2" s="54"/>
      <c r="L2" s="54"/>
      <c r="M2" s="54"/>
      <c r="N2" s="54"/>
    </row>
    <row r="3" spans="1:14" hidden="1" x14ac:dyDescent="0.25">
      <c r="C3" s="5"/>
      <c r="D3" s="7"/>
      <c r="E3" s="7"/>
      <c r="F3" s="8"/>
      <c r="K3" s="9"/>
      <c r="L3" s="9"/>
      <c r="M3" s="9"/>
      <c r="N3" s="10"/>
    </row>
    <row r="4" spans="1:14" hidden="1" x14ac:dyDescent="0.25"/>
    <row r="5" spans="1:14" hidden="1" x14ac:dyDescent="0.25">
      <c r="A5" s="5"/>
      <c r="B5" s="11"/>
      <c r="N5" s="3"/>
    </row>
    <row r="6" spans="1:14" hidden="1" x14ac:dyDescent="0.25">
      <c r="A6" s="5"/>
      <c r="B6" s="11"/>
      <c r="N6" s="3"/>
    </row>
    <row r="7" spans="1:14" hidden="1" x14ac:dyDescent="0.25">
      <c r="A7" s="5"/>
      <c r="B7" s="11"/>
      <c r="D7" s="12" t="s">
        <v>2</v>
      </c>
      <c r="E7" s="12" t="s">
        <v>3</v>
      </c>
      <c r="F7" s="13"/>
      <c r="G7" s="14"/>
      <c r="H7" s="14"/>
      <c r="I7" s="14"/>
      <c r="J7" s="14"/>
      <c r="N7" s="3"/>
    </row>
    <row r="8" spans="1:14" ht="15.75" hidden="1" thickBot="1" x14ac:dyDescent="0.3">
      <c r="A8" s="15"/>
      <c r="B8" s="16"/>
      <c r="C8" s="17" t="s">
        <v>4</v>
      </c>
      <c r="D8" s="17" t="s">
        <v>5</v>
      </c>
      <c r="E8" s="17" t="s">
        <v>6</v>
      </c>
      <c r="F8" s="18" t="s">
        <v>7</v>
      </c>
      <c r="G8" s="17" t="s">
        <v>8</v>
      </c>
      <c r="H8" s="7"/>
      <c r="I8" s="7"/>
      <c r="J8" s="7"/>
      <c r="N8" s="3"/>
    </row>
    <row r="9" spans="1:14" hidden="1" x14ac:dyDescent="0.25">
      <c r="A9" s="5"/>
      <c r="B9" s="11"/>
      <c r="N9" s="3"/>
    </row>
    <row r="10" spans="1:14" hidden="1" x14ac:dyDescent="0.25">
      <c r="A10" s="19" t="s">
        <v>9</v>
      </c>
      <c r="B10" s="11"/>
      <c r="C10" s="20">
        <f>'[1]Allocation Proforma'!G709</f>
        <v>456215729.44786054</v>
      </c>
      <c r="D10" s="20">
        <f>'[1]Allocation Proforma'!G725</f>
        <v>443989835.30628389</v>
      </c>
      <c r="E10" s="20">
        <f>C10-D10</f>
        <v>12225894.141576648</v>
      </c>
      <c r="F10" s="20">
        <f>'[1]Allocation Proforma'!G729</f>
        <v>1830420620.8146839</v>
      </c>
      <c r="G10" s="21">
        <f>E10/F10</f>
        <v>6.6792812551112676E-3</v>
      </c>
      <c r="H10" s="21"/>
      <c r="I10" s="21"/>
      <c r="J10" s="21"/>
      <c r="N10" s="3"/>
    </row>
    <row r="11" spans="1:14" hidden="1" x14ac:dyDescent="0.25">
      <c r="A11" s="19" t="s">
        <v>10</v>
      </c>
      <c r="B11" s="11"/>
      <c r="C11" s="4">
        <f>'[1]Allocation Proforma'!H709</f>
        <v>153992543.1929298</v>
      </c>
      <c r="D11" s="4">
        <f>'[1]Allocation Proforma'!H725</f>
        <v>111647695.06843868</v>
      </c>
      <c r="E11" s="4">
        <f>C11-D11</f>
        <v>42344848.124491125</v>
      </c>
      <c r="F11" s="4">
        <f>'[1]Allocation Proforma'!H729</f>
        <v>383935309.70985943</v>
      </c>
      <c r="G11" s="21">
        <f>E11/F11</f>
        <v>0.11029162219148637</v>
      </c>
      <c r="H11" s="21"/>
      <c r="I11" s="21"/>
      <c r="J11" s="21"/>
      <c r="N11" s="3"/>
    </row>
    <row r="12" spans="1:14" hidden="1" x14ac:dyDescent="0.25">
      <c r="A12" s="19" t="s">
        <v>11</v>
      </c>
      <c r="C12" s="4">
        <f>'[1]Allocation Proforma'!I709</f>
        <v>10496411.790004967</v>
      </c>
      <c r="D12" s="4">
        <f>'[1]Allocation Proforma'!I725</f>
        <v>7379074.2222291995</v>
      </c>
      <c r="E12" s="22">
        <f>C12-D12</f>
        <v>3117337.5677757673</v>
      </c>
      <c r="F12" s="4">
        <f>'[1]Allocation Proforma'!I729</f>
        <v>21476776.613821827</v>
      </c>
      <c r="G12" s="21">
        <f>E12/F12</f>
        <v>0.14514922904070901</v>
      </c>
      <c r="H12" s="21"/>
      <c r="I12" s="21"/>
      <c r="J12" s="21"/>
    </row>
    <row r="13" spans="1:14" hidden="1" x14ac:dyDescent="0.25">
      <c r="A13" s="19" t="s">
        <v>12</v>
      </c>
      <c r="C13" s="4">
        <f>'[1]Allocation Proforma'!J709</f>
        <v>154461344.1164076</v>
      </c>
      <c r="D13" s="4">
        <f>'[1]Allocation Proforma'!J725</f>
        <v>116106256.60419007</v>
      </c>
      <c r="E13" s="4">
        <f>C13-D13</f>
        <v>38355087.512217537</v>
      </c>
      <c r="F13" s="4">
        <f>'[1]Allocation Proforma'!J729</f>
        <v>369390341.80452645</v>
      </c>
      <c r="G13" s="21">
        <f>E13/F13</f>
        <v>0.1038334876998875</v>
      </c>
      <c r="H13" s="21"/>
      <c r="I13" s="21"/>
      <c r="J13" s="21"/>
    </row>
    <row r="14" spans="1:14" hidden="1" x14ac:dyDescent="0.25">
      <c r="A14" s="19" t="s">
        <v>13</v>
      </c>
      <c r="B14" s="11"/>
      <c r="C14" s="4">
        <f>'[1]Allocation Proforma'!K709</f>
        <v>144324717.74573359</v>
      </c>
      <c r="D14" s="4">
        <f>'[1]Allocation Proforma'!K725</f>
        <v>122957944.41769107</v>
      </c>
      <c r="E14" s="4">
        <f t="shared" ref="E14:E24" si="0">C14-D14</f>
        <v>21366773.328042522</v>
      </c>
      <c r="F14" s="4">
        <f>'[1]Allocation Proforma'!K729</f>
        <v>328714070.64458293</v>
      </c>
      <c r="G14" s="21">
        <f t="shared" ref="G14:G25" si="1">E14/F14</f>
        <v>6.5001091331879798E-2</v>
      </c>
      <c r="H14" s="21"/>
      <c r="I14" s="21"/>
      <c r="J14" s="21"/>
    </row>
    <row r="15" spans="1:14" hidden="1" x14ac:dyDescent="0.25">
      <c r="A15" s="19" t="s">
        <v>14</v>
      </c>
      <c r="B15" s="11"/>
      <c r="C15" s="4">
        <f>'[1]Allocation Proforma'!L709</f>
        <v>107279046.26043318</v>
      </c>
      <c r="D15" s="4">
        <f>'[1]Allocation Proforma'!L725</f>
        <v>91931083.047126099</v>
      </c>
      <c r="E15" s="4">
        <f t="shared" si="0"/>
        <v>15347963.213307083</v>
      </c>
      <c r="F15" s="4">
        <f>'[1]Allocation Proforma'!L729</f>
        <v>283566434.68231529</v>
      </c>
      <c r="G15" s="21">
        <f t="shared" si="1"/>
        <v>5.4124752919017687E-2</v>
      </c>
      <c r="H15" s="21"/>
      <c r="I15" s="21"/>
      <c r="J15" s="21"/>
    </row>
    <row r="16" spans="1:14" hidden="1" x14ac:dyDescent="0.25">
      <c r="A16" s="19" t="s">
        <v>15</v>
      </c>
      <c r="B16" s="11"/>
      <c r="C16" s="4">
        <f>'[1]Allocation Proforma'!M709</f>
        <v>65899608.032550134</v>
      </c>
      <c r="D16" s="4">
        <f>'[1]Allocation Proforma'!M725</f>
        <v>58262037.01016973</v>
      </c>
      <c r="E16" s="4">
        <f t="shared" si="0"/>
        <v>7637571.0223804042</v>
      </c>
      <c r="F16" s="4">
        <f>'[1]Allocation Proforma'!M729</f>
        <v>135862169.44879556</v>
      </c>
      <c r="G16" s="21">
        <f t="shared" si="1"/>
        <v>5.621558269948642E-2</v>
      </c>
      <c r="H16" s="21"/>
      <c r="I16" s="21"/>
      <c r="J16" s="21"/>
    </row>
    <row r="17" spans="1:14" hidden="1" x14ac:dyDescent="0.25">
      <c r="A17" s="19" t="s">
        <v>16</v>
      </c>
      <c r="B17" s="11"/>
      <c r="C17" s="4">
        <f>'[1]Allocation Proforma'!N709</f>
        <v>3858361.6960765896</v>
      </c>
      <c r="D17" s="4">
        <f>'[1]Allocation Proforma'!N725</f>
        <v>3365639.5154640041</v>
      </c>
      <c r="E17" s="4">
        <f t="shared" si="0"/>
        <v>492722.18061258551</v>
      </c>
      <c r="F17" s="4">
        <f>'[1]Allocation Proforma'!N729</f>
        <v>8795356.9937295783</v>
      </c>
      <c r="G17" s="21">
        <f t="shared" si="1"/>
        <v>5.6020714220452794E-2</v>
      </c>
      <c r="H17" s="21"/>
      <c r="I17" s="21"/>
      <c r="J17" s="21"/>
    </row>
    <row r="18" spans="1:14" hidden="1" x14ac:dyDescent="0.25">
      <c r="A18" s="19" t="s">
        <v>17</v>
      </c>
      <c r="B18" s="11"/>
      <c r="C18" s="22">
        <f>'[1]Allocation Proforma'!O709</f>
        <v>22683471.482646659</v>
      </c>
      <c r="D18" s="22">
        <f>'[1]Allocation Proforma'!O725</f>
        <v>13471385.119759537</v>
      </c>
      <c r="E18" s="22">
        <f t="shared" si="0"/>
        <v>9212086.3628871217</v>
      </c>
      <c r="F18" s="22">
        <f>'[1]Allocation Proforma'!O729</f>
        <v>94529248.233881474</v>
      </c>
      <c r="G18" s="23">
        <f t="shared" si="1"/>
        <v>9.7452233409228539E-2</v>
      </c>
      <c r="H18" s="23"/>
      <c r="I18" s="23"/>
      <c r="J18" s="23"/>
    </row>
    <row r="19" spans="1:14" hidden="1" x14ac:dyDescent="0.25">
      <c r="A19" s="19" t="s">
        <v>18</v>
      </c>
      <c r="B19" s="11"/>
      <c r="C19" s="4">
        <f>'[1]Allocation Proforma'!P709</f>
        <v>258268.06988452698</v>
      </c>
      <c r="D19" s="4">
        <f>'[1]Allocation Proforma'!P725</f>
        <v>169767.80748680714</v>
      </c>
      <c r="E19" s="22">
        <f t="shared" si="0"/>
        <v>88500.262397719838</v>
      </c>
      <c r="F19" s="4">
        <f>'[1]Allocation Proforma'!P729</f>
        <v>277528.68282119447</v>
      </c>
      <c r="G19" s="21">
        <f t="shared" si="1"/>
        <v>0.31888690386189228</v>
      </c>
      <c r="H19" s="21"/>
      <c r="I19" s="21"/>
      <c r="J19" s="21"/>
    </row>
    <row r="20" spans="1:14" hidden="1" x14ac:dyDescent="0.25">
      <c r="A20" s="19" t="s">
        <v>19</v>
      </c>
      <c r="B20" s="11"/>
      <c r="C20" s="4">
        <f>'[1]Allocation Proforma'!Q709</f>
        <v>331014.48646404722</v>
      </c>
      <c r="D20" s="4">
        <f>'[1]Allocation Proforma'!Q725</f>
        <v>240438.53317327399</v>
      </c>
      <c r="E20" s="22">
        <f t="shared" si="0"/>
        <v>90575.953290773235</v>
      </c>
      <c r="F20" s="4">
        <f>'[1]Allocation Proforma'!Q729</f>
        <v>600892.77152339718</v>
      </c>
      <c r="G20" s="21">
        <f t="shared" si="1"/>
        <v>0.15073563468094814</v>
      </c>
      <c r="H20" s="21"/>
      <c r="I20" s="21"/>
      <c r="J20" s="21"/>
    </row>
    <row r="21" spans="1:14" hidden="1" x14ac:dyDescent="0.25">
      <c r="A21" s="19" t="s">
        <v>20</v>
      </c>
      <c r="B21" s="11"/>
      <c r="C21" s="4">
        <f>'[1]Allocation Proforma'!R709</f>
        <v>15691.584113277844</v>
      </c>
      <c r="D21" s="4">
        <f>'[1]Allocation Proforma'!R725</f>
        <v>3884.4057475314885</v>
      </c>
      <c r="E21" s="22">
        <f t="shared" si="0"/>
        <v>11807.178365746357</v>
      </c>
      <c r="F21" s="4">
        <f>'[1]Allocation Proforma'!R729</f>
        <v>13250.785546233867</v>
      </c>
      <c r="G21" s="21">
        <f t="shared" si="1"/>
        <v>0.89105497365038777</v>
      </c>
      <c r="H21" s="21"/>
      <c r="I21" s="21"/>
      <c r="J21" s="21"/>
    </row>
    <row r="22" spans="1:14" hidden="1" x14ac:dyDescent="0.25">
      <c r="A22" s="19" t="s">
        <v>21</v>
      </c>
      <c r="B22" s="11"/>
      <c r="C22" s="4">
        <f>'[1]Allocation Proforma'!S709</f>
        <v>12695.342218772563</v>
      </c>
      <c r="D22" s="4">
        <f>'[1]Allocation Proforma'!S725</f>
        <v>45319.218881580455</v>
      </c>
      <c r="E22" s="22">
        <f t="shared" si="0"/>
        <v>-32623.876662807892</v>
      </c>
      <c r="F22" s="4">
        <f>'[1]Allocation Proforma'!S729</f>
        <v>120516.34405439686</v>
      </c>
      <c r="G22" s="21">
        <f t="shared" si="1"/>
        <v>-0.27070084907390335</v>
      </c>
      <c r="H22" s="21"/>
      <c r="I22" s="21"/>
      <c r="J22" s="21"/>
    </row>
    <row r="23" spans="1:14" hidden="1" x14ac:dyDescent="0.25">
      <c r="A23" s="19" t="s">
        <v>22</v>
      </c>
      <c r="B23" s="11"/>
      <c r="C23" s="4">
        <f>'[1]Allocation Proforma'!T709</f>
        <v>237096</v>
      </c>
      <c r="D23" s="4">
        <f>'[1]Allocation Proforma'!T725</f>
        <v>153855.85858076424</v>
      </c>
      <c r="E23" s="22">
        <f t="shared" si="0"/>
        <v>83240.141419235762</v>
      </c>
      <c r="F23" s="4">
        <f>'[1]Allocation Proforma'!T729</f>
        <v>2314621.8400000003</v>
      </c>
      <c r="G23" s="21">
        <f t="shared" si="1"/>
        <v>3.5962739131173045E-2</v>
      </c>
      <c r="H23" s="21"/>
      <c r="I23" s="21"/>
      <c r="J23" s="21"/>
    </row>
    <row r="24" spans="1:14" hidden="1" x14ac:dyDescent="0.25">
      <c r="A24" s="24" t="s">
        <v>23</v>
      </c>
      <c r="B24" s="25"/>
      <c r="C24" s="26">
        <f>'[1]Allocation Proforma'!U709</f>
        <v>9936</v>
      </c>
      <c r="D24" s="26">
        <f>'[1]Allocation Proforma'!U725</f>
        <v>12591.246284675426</v>
      </c>
      <c r="E24" s="26">
        <f t="shared" si="0"/>
        <v>-2655.2462846754261</v>
      </c>
      <c r="F24" s="26">
        <f>'[1]Allocation Proforma'!U729</f>
        <v>60676.790000000008</v>
      </c>
      <c r="G24" s="27">
        <f t="shared" si="1"/>
        <v>-4.3760493669415042E-2</v>
      </c>
      <c r="H24" s="23"/>
      <c r="I24" s="23"/>
      <c r="J24" s="23"/>
    </row>
    <row r="25" spans="1:14" hidden="1" x14ac:dyDescent="0.25">
      <c r="C25" s="4">
        <f>SUM(C10:C24)</f>
        <v>1120075935.247324</v>
      </c>
      <c r="D25" s="4">
        <f>SUM(D10:D24)</f>
        <v>969736807.38150704</v>
      </c>
      <c r="E25" s="4">
        <f>SUM(E10:E24)</f>
        <v>150339127.86581674</v>
      </c>
      <c r="F25" s="4">
        <f>SUM(F10:F24)</f>
        <v>3460077816.1601415</v>
      </c>
      <c r="G25" s="21">
        <f t="shared" si="1"/>
        <v>4.3449637798220739E-2</v>
      </c>
      <c r="H25" s="21"/>
      <c r="I25" s="21"/>
      <c r="J25" s="21"/>
    </row>
    <row r="26" spans="1:14" hidden="1" x14ac:dyDescent="0.25">
      <c r="B26" s="11"/>
      <c r="C26" s="28"/>
      <c r="D26" s="28"/>
      <c r="E26" s="29"/>
      <c r="F26" s="22"/>
      <c r="G26" s="23"/>
      <c r="H26" s="23"/>
      <c r="I26" s="23"/>
      <c r="J26" s="23"/>
    </row>
    <row r="27" spans="1:14" x14ac:dyDescent="0.25">
      <c r="B27" s="11"/>
    </row>
    <row r="28" spans="1:14" x14ac:dyDescent="0.25">
      <c r="A28" s="5" t="s">
        <v>24</v>
      </c>
    </row>
    <row r="29" spans="1:14" ht="15.75" thickBot="1" x14ac:dyDescent="0.3"/>
    <row r="30" spans="1:14" ht="19.5" thickBot="1" x14ac:dyDescent="0.35">
      <c r="A30" s="55" t="s">
        <v>0</v>
      </c>
      <c r="B30" s="56"/>
      <c r="C30" s="56"/>
      <c r="D30" s="56"/>
      <c r="E30" s="56"/>
      <c r="F30" s="56"/>
      <c r="G30" s="56"/>
      <c r="H30" s="56"/>
      <c r="I30" s="57"/>
      <c r="J30" s="43"/>
      <c r="K30" s="60" t="s">
        <v>47</v>
      </c>
      <c r="L30" s="60"/>
      <c r="M30" s="60"/>
      <c r="N30" s="60"/>
    </row>
    <row r="31" spans="1:14" x14ac:dyDescent="0.25">
      <c r="C31" s="61" t="s">
        <v>48</v>
      </c>
      <c r="D31" s="61"/>
      <c r="E31" s="61"/>
      <c r="F31" s="61"/>
      <c r="G31" s="61"/>
      <c r="H31" s="30" t="s">
        <v>25</v>
      </c>
      <c r="I31" s="30" t="s">
        <v>25</v>
      </c>
      <c r="J31" s="30"/>
      <c r="M31" s="7" t="s">
        <v>31</v>
      </c>
      <c r="N31" s="7" t="s">
        <v>33</v>
      </c>
    </row>
    <row r="32" spans="1:14" x14ac:dyDescent="0.25">
      <c r="A32" s="5"/>
      <c r="B32" s="11"/>
      <c r="D32" s="12" t="s">
        <v>2</v>
      </c>
      <c r="E32" s="12" t="s">
        <v>3</v>
      </c>
      <c r="F32" s="13"/>
      <c r="G32" s="30"/>
      <c r="H32" s="30" t="s">
        <v>4</v>
      </c>
      <c r="I32" s="30" t="s">
        <v>26</v>
      </c>
      <c r="J32" s="30"/>
      <c r="K32" s="7" t="s">
        <v>29</v>
      </c>
      <c r="L32" s="7" t="s">
        <v>30</v>
      </c>
      <c r="M32" s="7" t="s">
        <v>32</v>
      </c>
      <c r="N32" s="7" t="s">
        <v>32</v>
      </c>
    </row>
    <row r="33" spans="1:14" ht="15.75" thickBot="1" x14ac:dyDescent="0.3">
      <c r="A33" s="15"/>
      <c r="B33" s="16"/>
      <c r="C33" s="17" t="s">
        <v>4</v>
      </c>
      <c r="D33" s="17" t="s">
        <v>5</v>
      </c>
      <c r="E33" s="17" t="s">
        <v>6</v>
      </c>
      <c r="F33" s="18" t="s">
        <v>7</v>
      </c>
      <c r="G33" s="17" t="s">
        <v>8</v>
      </c>
      <c r="H33" s="32" t="s">
        <v>28</v>
      </c>
      <c r="I33" s="17" t="s">
        <v>27</v>
      </c>
      <c r="J33" s="7"/>
      <c r="K33" s="17" t="s">
        <v>8</v>
      </c>
      <c r="L33" s="7" t="s">
        <v>4</v>
      </c>
      <c r="M33" s="17" t="s">
        <v>4</v>
      </c>
      <c r="N33" s="17" t="s">
        <v>4</v>
      </c>
    </row>
    <row r="34" spans="1:14" x14ac:dyDescent="0.25">
      <c r="A34" s="5"/>
      <c r="B34" s="11"/>
      <c r="H34" s="31"/>
      <c r="I34" s="31"/>
      <c r="J34" s="31"/>
      <c r="K34"/>
      <c r="L34" s="33"/>
      <c r="M34" s="31"/>
      <c r="N34" s="3"/>
    </row>
    <row r="35" spans="1:14" x14ac:dyDescent="0.25">
      <c r="A35" s="19" t="str">
        <f>A10</f>
        <v>Residential Rate RS</v>
      </c>
      <c r="B35" s="11"/>
      <c r="C35" s="20">
        <v>509459788.4654972</v>
      </c>
      <c r="D35" s="20">
        <v>458601788.9152652</v>
      </c>
      <c r="E35" s="20">
        <v>50857999.550231993</v>
      </c>
      <c r="F35" s="20">
        <v>1830420620.8146839</v>
      </c>
      <c r="G35" s="21">
        <v>2.7784870303524063E-2</v>
      </c>
      <c r="H35" s="21">
        <f>'[1]Allocation Proforma'!G917/(459793603+94531)</f>
        <v>0.1155846130180867</v>
      </c>
      <c r="I35" s="21">
        <f>G62</f>
        <v>0.21847885155553487</v>
      </c>
      <c r="J35" s="21"/>
      <c r="K35" s="23">
        <f t="shared" ref="K35:K42" si="2">(L35-D35)/F35</f>
        <v>3.0338925413216634E-2</v>
      </c>
      <c r="L35" s="20">
        <f t="shared" ref="L35:L42" si="3">C35+M35</f>
        <v>514134783.60497558</v>
      </c>
      <c r="M35" s="34">
        <f>-SUM(M43:M45)</f>
        <v>4674995.1394783594</v>
      </c>
      <c r="N35" s="21">
        <f t="shared" ref="N35:N43" si="4">M35/C35</f>
        <v>9.1763771063454007E-3</v>
      </c>
    </row>
    <row r="36" spans="1:14" x14ac:dyDescent="0.25">
      <c r="A36" s="19" t="str">
        <f t="shared" ref="A36:A49" si="5">A11</f>
        <v>General Service Rate GS</v>
      </c>
      <c r="B36" s="11"/>
      <c r="C36" s="4">
        <v>173102323.28428859</v>
      </c>
      <c r="D36" s="4">
        <v>116747321.63817663</v>
      </c>
      <c r="E36" s="4">
        <v>56355001.64611195</v>
      </c>
      <c r="F36" s="4">
        <v>383935309.70985943</v>
      </c>
      <c r="G36" s="21">
        <v>0.14678254440494029</v>
      </c>
      <c r="H36" s="21">
        <f>'[1]Allocation Proforma'!H917/165742608</f>
        <v>0.1152740519203125</v>
      </c>
      <c r="I36" s="21">
        <f t="shared" ref="I36:I49" si="6">G63</f>
        <v>6.5111783611545695E-2</v>
      </c>
      <c r="J36" s="21"/>
      <c r="K36" s="23">
        <f t="shared" si="2"/>
        <v>0.14678254440494029</v>
      </c>
      <c r="L36" s="20">
        <f t="shared" si="3"/>
        <v>173102323.28428859</v>
      </c>
      <c r="M36" s="34">
        <v>0</v>
      </c>
      <c r="N36" s="21">
        <f t="shared" si="4"/>
        <v>0</v>
      </c>
    </row>
    <row r="37" spans="1:14" x14ac:dyDescent="0.25">
      <c r="A37" s="19" t="str">
        <f t="shared" si="5"/>
        <v>Power Service Primary Rate PS</v>
      </c>
      <c r="C37" s="4">
        <v>11722058.691005271</v>
      </c>
      <c r="D37" s="4">
        <v>7707142.6652476396</v>
      </c>
      <c r="E37" s="22">
        <v>4014916.0257576313</v>
      </c>
      <c r="F37" s="4">
        <v>21476776.613821827</v>
      </c>
      <c r="G37" s="21">
        <v>0.18694220729444791</v>
      </c>
      <c r="H37" s="21">
        <f>'[1]Allocation Proforma'!I917/9223885</f>
        <v>0.13287253689741363</v>
      </c>
      <c r="I37" s="21">
        <f t="shared" si="6"/>
        <v>5.9214694827749381E-2</v>
      </c>
      <c r="J37" s="21"/>
      <c r="K37" s="23">
        <f t="shared" si="2"/>
        <v>0.18694220729444791</v>
      </c>
      <c r="L37" s="20">
        <f t="shared" si="3"/>
        <v>11722058.691005271</v>
      </c>
      <c r="M37" s="34">
        <v>0</v>
      </c>
      <c r="N37" s="21">
        <f t="shared" si="4"/>
        <v>0</v>
      </c>
    </row>
    <row r="38" spans="1:14" x14ac:dyDescent="0.25">
      <c r="A38" s="19" t="str">
        <f t="shared" si="5"/>
        <v>Power Service Secondary Rate PS</v>
      </c>
      <c r="C38" s="22">
        <v>172379829.61071068</v>
      </c>
      <c r="D38" s="22">
        <v>120938577.91031988</v>
      </c>
      <c r="E38" s="22">
        <v>51441251.700390801</v>
      </c>
      <c r="F38" s="22">
        <v>369390341.80452645</v>
      </c>
      <c r="G38" s="23">
        <v>0.13925987195304751</v>
      </c>
      <c r="H38" s="21">
        <f>'[1]Allocation Proforma'!J917/168770871</f>
        <v>0.10616391853544442</v>
      </c>
      <c r="I38" s="21">
        <f t="shared" si="6"/>
        <v>6.4406030322960661E-2</v>
      </c>
      <c r="J38" s="21"/>
      <c r="K38" s="23">
        <f t="shared" si="2"/>
        <v>0.13925987195304751</v>
      </c>
      <c r="L38" s="20">
        <f t="shared" si="3"/>
        <v>172379829.61071068</v>
      </c>
      <c r="M38" s="34">
        <v>0</v>
      </c>
      <c r="N38" s="21">
        <f t="shared" si="4"/>
        <v>0</v>
      </c>
    </row>
    <row r="39" spans="1:14" x14ac:dyDescent="0.25">
      <c r="A39" s="19" t="str">
        <f t="shared" si="5"/>
        <v>TOD Rate TOD Primary</v>
      </c>
      <c r="B39" s="11"/>
      <c r="C39" s="22">
        <v>160686811.34292358</v>
      </c>
      <c r="D39" s="22">
        <v>127239659.73723596</v>
      </c>
      <c r="E39" s="22">
        <v>33447151.605687618</v>
      </c>
      <c r="F39" s="22">
        <v>328714070.64458293</v>
      </c>
      <c r="G39" s="23">
        <v>0.10175150561732978</v>
      </c>
      <c r="H39" s="21">
        <f>'[1]Allocation Proforma'!K917/147536448</f>
        <v>0.11089856928099556</v>
      </c>
      <c r="I39" s="21">
        <f t="shared" si="6"/>
        <v>5.268787537279887E-2</v>
      </c>
      <c r="J39" s="21"/>
      <c r="K39" s="23">
        <f t="shared" si="2"/>
        <v>0.10175150561732978</v>
      </c>
      <c r="L39" s="20">
        <f t="shared" si="3"/>
        <v>160686811.34292358</v>
      </c>
      <c r="M39" s="34">
        <v>0</v>
      </c>
      <c r="N39" s="21">
        <f t="shared" si="4"/>
        <v>0</v>
      </c>
    </row>
    <row r="40" spans="1:14" x14ac:dyDescent="0.25">
      <c r="A40" s="19" t="str">
        <f t="shared" si="5"/>
        <v>TOD Rate TOD Secondary</v>
      </c>
      <c r="B40" s="11"/>
      <c r="C40" s="22">
        <v>119496112.57794084</v>
      </c>
      <c r="D40" s="22">
        <v>95256824.353032708</v>
      </c>
      <c r="E40" s="22">
        <v>24239288.224908128</v>
      </c>
      <c r="F40" s="22">
        <v>283566434.68231529</v>
      </c>
      <c r="G40" s="23">
        <v>8.5480103638019958E-2</v>
      </c>
      <c r="H40" s="21">
        <f>'[1]Allocation Proforma'!L917/97668170</f>
        <v>0.12508215317231808</v>
      </c>
      <c r="I40" s="21">
        <f t="shared" si="6"/>
        <v>0.12323919859794567</v>
      </c>
      <c r="J40" s="21"/>
      <c r="K40" s="23">
        <f t="shared" si="2"/>
        <v>8.5480103638019958E-2</v>
      </c>
      <c r="L40" s="20">
        <f t="shared" si="3"/>
        <v>119496112.57794084</v>
      </c>
      <c r="M40" s="34">
        <v>0</v>
      </c>
      <c r="N40" s="21">
        <f t="shared" si="4"/>
        <v>0</v>
      </c>
    </row>
    <row r="41" spans="1:14" x14ac:dyDescent="0.25">
      <c r="A41" s="19" t="str">
        <f t="shared" si="5"/>
        <v>Retail Transmission Service Rate RTS</v>
      </c>
      <c r="B41" s="11"/>
      <c r="C41" s="22">
        <v>73590183.530842006</v>
      </c>
      <c r="D41" s="22">
        <v>58011983.882347919</v>
      </c>
      <c r="E41" s="22">
        <v>15578199.648494087</v>
      </c>
      <c r="F41" s="22">
        <v>135862169.44879556</v>
      </c>
      <c r="G41" s="23">
        <v>0.11466179078176196</v>
      </c>
      <c r="H41" s="21">
        <f>'[1]Allocation Proforma'!M917/67522696</f>
        <v>0.1138931419444508</v>
      </c>
      <c r="I41" s="21">
        <f t="shared" si="6"/>
        <v>0.28052727843097591</v>
      </c>
      <c r="J41" s="21"/>
      <c r="K41" s="23">
        <f t="shared" si="2"/>
        <v>0.11466179078176196</v>
      </c>
      <c r="L41" s="20">
        <f t="shared" si="3"/>
        <v>73590183.530842006</v>
      </c>
      <c r="M41" s="34">
        <v>0</v>
      </c>
      <c r="N41" s="21">
        <f t="shared" si="4"/>
        <v>0</v>
      </c>
    </row>
    <row r="42" spans="1:14" ht="15.75" thickBot="1" x14ac:dyDescent="0.3">
      <c r="A42" s="19" t="str">
        <f t="shared" si="5"/>
        <v>Special Contract Customer</v>
      </c>
      <c r="B42" s="11"/>
      <c r="C42" s="22">
        <v>4293483.6999229006</v>
      </c>
      <c r="D42" s="22">
        <v>3482871.789743958</v>
      </c>
      <c r="E42" s="22">
        <v>810611.91017894261</v>
      </c>
      <c r="F42" s="22">
        <v>8795356.9937295783</v>
      </c>
      <c r="G42" s="23">
        <v>9.2163616639648324E-2</v>
      </c>
      <c r="H42" s="21">
        <f>'[1]Allocation Proforma'!N917/3705635</f>
        <v>0.11741820227842192</v>
      </c>
      <c r="I42" s="21">
        <f t="shared" si="6"/>
        <v>0.12393504208530214</v>
      </c>
      <c r="J42" s="21"/>
      <c r="K42" s="23">
        <f t="shared" si="2"/>
        <v>9.2163616639648324E-2</v>
      </c>
      <c r="L42" s="20">
        <f t="shared" si="3"/>
        <v>4293483.6999229006</v>
      </c>
      <c r="M42" s="34">
        <v>0</v>
      </c>
      <c r="N42" s="21">
        <f t="shared" si="4"/>
        <v>0</v>
      </c>
    </row>
    <row r="43" spans="1:14" x14ac:dyDescent="0.25">
      <c r="A43" s="19" t="str">
        <f t="shared" si="5"/>
        <v>Lighting Rate RLS &amp; LS</v>
      </c>
      <c r="B43" s="11"/>
      <c r="C43" s="22">
        <v>25539850.24318359</v>
      </c>
      <c r="D43" s="22">
        <v>14192504.168735707</v>
      </c>
      <c r="E43" s="22">
        <v>11347346.074447883</v>
      </c>
      <c r="F43" s="22">
        <v>94529248.233881474</v>
      </c>
      <c r="G43" s="35">
        <v>0.12004058306242545</v>
      </c>
      <c r="H43" s="40">
        <f>'[1]Allocation Proforma'!O917/23946130</f>
        <v>0.1192776870417057</v>
      </c>
      <c r="I43" s="40">
        <f t="shared" si="6"/>
        <v>0.28284741291004445</v>
      </c>
      <c r="J43" s="40"/>
      <c r="K43" s="40">
        <v>7.1800000000000003E-2</v>
      </c>
      <c r="L43" s="46">
        <f>$G$50*F43+D43</f>
        <v>20980431.273880359</v>
      </c>
      <c r="M43" s="46">
        <f>L43-C43</f>
        <v>-4559418.9693032317</v>
      </c>
      <c r="N43" s="47">
        <f t="shared" si="4"/>
        <v>-0.17852175818924815</v>
      </c>
    </row>
    <row r="44" spans="1:14" x14ac:dyDescent="0.25">
      <c r="A44" s="19" t="str">
        <f t="shared" si="5"/>
        <v>Lighting Rate LE</v>
      </c>
      <c r="B44" s="11"/>
      <c r="C44" s="22">
        <v>258271.4802078761</v>
      </c>
      <c r="D44" s="22">
        <v>169783.06018067198</v>
      </c>
      <c r="E44" s="22">
        <v>88488.42002720412</v>
      </c>
      <c r="F44" s="22">
        <v>277528.68282119447</v>
      </c>
      <c r="G44" s="36">
        <v>0.31884423306334514</v>
      </c>
      <c r="H44" s="39">
        <f>'[1]Allocation Proforma'!P917/303565</f>
        <v>9.8825622189646375E-6</v>
      </c>
      <c r="I44" s="39">
        <f t="shared" si="6"/>
        <v>7.2573667944722337E-2</v>
      </c>
      <c r="J44" s="39"/>
      <c r="K44" s="39">
        <v>7.1800000000000003E-2</v>
      </c>
      <c r="L44" s="45">
        <f t="shared" ref="L44:L45" si="7">$G$50*F44+D44</f>
        <v>189711.75424915887</v>
      </c>
      <c r="M44" s="45">
        <f t="shared" ref="M44:M45" si="8">L44-C44</f>
        <v>-68559.72595871723</v>
      </c>
      <c r="N44" s="48">
        <f t="shared" ref="N44:N45" si="9">M44/C44</f>
        <v>-0.26545604610906037</v>
      </c>
    </row>
    <row r="45" spans="1:14" ht="15.75" thickBot="1" x14ac:dyDescent="0.3">
      <c r="A45" s="19" t="str">
        <f t="shared" si="5"/>
        <v>Lighting Rate TE</v>
      </c>
      <c r="B45" s="11"/>
      <c r="C45" s="22">
        <v>331001.37487792922</v>
      </c>
      <c r="D45" s="22">
        <v>240836.2078342996</v>
      </c>
      <c r="E45" s="22">
        <v>90165.167043629626</v>
      </c>
      <c r="F45" s="22">
        <v>600892.77152339718</v>
      </c>
      <c r="G45" s="37">
        <v>0.15005200813955677</v>
      </c>
      <c r="H45" s="41">
        <f>'[1]Allocation Proforma'!Q917/331597</f>
        <v>-4.2219923581938315E-5</v>
      </c>
      <c r="I45" s="41">
        <f t="shared" si="6"/>
        <v>7.2593411212881889E-2</v>
      </c>
      <c r="J45" s="41"/>
      <c r="K45" s="41">
        <v>7.1800000000000003E-2</v>
      </c>
      <c r="L45" s="42">
        <f t="shared" si="7"/>
        <v>283984.93066151888</v>
      </c>
      <c r="M45" s="42">
        <f t="shared" si="8"/>
        <v>-47016.444216410338</v>
      </c>
      <c r="N45" s="49">
        <f t="shared" si="9"/>
        <v>-0.14204304811044863</v>
      </c>
    </row>
    <row r="46" spans="1:14" x14ac:dyDescent="0.25">
      <c r="A46" s="19" t="str">
        <f t="shared" si="5"/>
        <v>Outdoor Sports Lighting OSL</v>
      </c>
      <c r="C46" s="22">
        <v>14053.603704430185</v>
      </c>
      <c r="D46" s="22">
        <v>3472.0734104109451</v>
      </c>
      <c r="E46" s="22">
        <v>10581.53029401924</v>
      </c>
      <c r="F46" s="22">
        <v>13250.785546233867</v>
      </c>
      <c r="G46" s="23">
        <v>0.79855871616809304</v>
      </c>
      <c r="H46" s="21">
        <f>'[1]Allocation Proforma'!R917/10238</f>
        <v>-0.159992185973823</v>
      </c>
      <c r="I46" s="21">
        <f t="shared" si="6"/>
        <v>7.2598599663856622E-2</v>
      </c>
      <c r="J46" s="21"/>
      <c r="K46" s="23">
        <f>(L46-D46)/F46</f>
        <v>0.79855871616809304</v>
      </c>
      <c r="L46" s="20">
        <f>C46+M46</f>
        <v>14053.603704430185</v>
      </c>
      <c r="M46" s="34">
        <v>0</v>
      </c>
      <c r="N46" s="21">
        <f>M46/C46</f>
        <v>0</v>
      </c>
    </row>
    <row r="47" spans="1:14" x14ac:dyDescent="0.25">
      <c r="A47" s="19" t="str">
        <f t="shared" si="5"/>
        <v>Electric Vehicle Charging EVC</v>
      </c>
      <c r="B47" s="11"/>
      <c r="C47" s="22">
        <v>67901.342218772566</v>
      </c>
      <c r="D47" s="22">
        <v>59248.494272700453</v>
      </c>
      <c r="E47" s="22">
        <v>8652.8479460721137</v>
      </c>
      <c r="F47" s="22">
        <v>120516.34405439686</v>
      </c>
      <c r="G47" s="23">
        <v>7.1798128411251189E-2</v>
      </c>
      <c r="H47" s="21">
        <f>'[1]Allocation Proforma'!S917/2963</f>
        <v>0</v>
      </c>
      <c r="I47" s="21">
        <f t="shared" si="6"/>
        <v>7.257735659913761E-2</v>
      </c>
      <c r="J47" s="21"/>
      <c r="K47" s="23">
        <f>(L47-D47)/F47</f>
        <v>7.1798128411251189E-2</v>
      </c>
      <c r="L47" s="20">
        <f>C47+M47</f>
        <v>67901.342218772566</v>
      </c>
      <c r="M47" s="34">
        <v>0</v>
      </c>
      <c r="N47" s="21">
        <f>M47/C47</f>
        <v>0</v>
      </c>
    </row>
    <row r="48" spans="1:14" x14ac:dyDescent="0.25">
      <c r="A48" s="19" t="str">
        <f t="shared" si="5"/>
        <v>Solar Share SS</v>
      </c>
      <c r="B48" s="11"/>
      <c r="C48" s="22">
        <v>348038</v>
      </c>
      <c r="D48" s="22">
        <v>181848.13605860423</v>
      </c>
      <c r="E48" s="22">
        <v>166189.86394139577</v>
      </c>
      <c r="F48" s="22">
        <v>2314621.8400000003</v>
      </c>
      <c r="G48" s="23">
        <v>7.1800006838869085E-2</v>
      </c>
      <c r="H48" s="21">
        <f>'[1]Allocation Proforma'!T917/157356</f>
        <v>0</v>
      </c>
      <c r="I48" s="21">
        <f t="shared" si="6"/>
        <v>0</v>
      </c>
      <c r="J48" s="21"/>
      <c r="K48" s="23">
        <f>(L48-D48)/F48</f>
        <v>7.1800006838869085E-2</v>
      </c>
      <c r="L48" s="20">
        <f>C48+M48</f>
        <v>348038</v>
      </c>
      <c r="M48" s="34">
        <v>0</v>
      </c>
      <c r="N48" s="21">
        <f>M48/C48</f>
        <v>0</v>
      </c>
    </row>
    <row r="49" spans="1:14" ht="15.75" thickBot="1" x14ac:dyDescent="0.3">
      <c r="A49" s="24" t="str">
        <f t="shared" si="5"/>
        <v>Business Solar BS</v>
      </c>
      <c r="B49" s="25"/>
      <c r="C49" s="26">
        <v>19314</v>
      </c>
      <c r="D49" s="26">
        <v>14957.451853235427</v>
      </c>
      <c r="E49" s="26">
        <v>4356.5481467645732</v>
      </c>
      <c r="F49" s="26">
        <v>60676.790000000008</v>
      </c>
      <c r="G49" s="27">
        <v>7.1799252181345988E-2</v>
      </c>
      <c r="H49" s="27">
        <f>'[1]Allocation Proforma'!U917/9936</f>
        <v>0</v>
      </c>
      <c r="I49" s="27">
        <f t="shared" si="6"/>
        <v>0</v>
      </c>
      <c r="J49" s="23"/>
      <c r="K49" s="50">
        <f>(L49-D49)/F49</f>
        <v>7.1799252181345988E-2</v>
      </c>
      <c r="L49" s="51">
        <f>C49+M49</f>
        <v>19314</v>
      </c>
      <c r="M49" s="52">
        <v>0</v>
      </c>
      <c r="N49" s="21">
        <f>M49/C49</f>
        <v>0</v>
      </c>
    </row>
    <row r="50" spans="1:14" x14ac:dyDescent="0.25">
      <c r="C50" s="4">
        <v>1251309021.247324</v>
      </c>
      <c r="D50" s="4">
        <v>1002848820.4837157</v>
      </c>
      <c r="E50" s="4">
        <v>248460200.7636081</v>
      </c>
      <c r="F50" s="4">
        <v>3460077816.1601415</v>
      </c>
      <c r="G50" s="21">
        <v>7.1807691608317487E-2</v>
      </c>
      <c r="H50" s="21">
        <f>'[1]Allocation Proforma'!F917/1160259576</f>
        <v>0.11287387038984456</v>
      </c>
      <c r="I50" s="21">
        <f>G77</f>
        <v>0</v>
      </c>
      <c r="J50" s="21"/>
      <c r="K50" s="23">
        <f>(L50-D50)/F50</f>
        <v>7.1807691608317417E-2</v>
      </c>
      <c r="L50" s="20">
        <f>SUM(L35:L49)</f>
        <v>1251309021.2473235</v>
      </c>
      <c r="M50" s="34">
        <f>SUM(M35:M49)</f>
        <v>1.1641532182693481E-10</v>
      </c>
      <c r="N50" s="21"/>
    </row>
    <row r="52" spans="1:14" ht="15.75" thickBot="1" x14ac:dyDescent="0.3"/>
    <row r="53" spans="1:14" ht="19.5" thickBot="1" x14ac:dyDescent="0.35">
      <c r="A53" s="44" t="s">
        <v>46</v>
      </c>
      <c r="B53" s="43"/>
      <c r="C53" s="43"/>
      <c r="D53" s="43"/>
      <c r="E53" s="43"/>
      <c r="F53" s="43"/>
      <c r="G53" s="43"/>
      <c r="H53" s="43"/>
      <c r="I53" s="43"/>
      <c r="J53" s="43"/>
      <c r="K53" s="58" t="s">
        <v>47</v>
      </c>
      <c r="L53" s="59"/>
      <c r="M53" s="59"/>
      <c r="N53" s="59"/>
    </row>
    <row r="54" spans="1:14" x14ac:dyDescent="0.25">
      <c r="G54" s="30"/>
      <c r="K54" s="7" t="s">
        <v>29</v>
      </c>
      <c r="L54" s="7" t="s">
        <v>30</v>
      </c>
      <c r="M54" s="7" t="s">
        <v>31</v>
      </c>
      <c r="N54" s="7" t="s">
        <v>33</v>
      </c>
    </row>
    <row r="55" spans="1:14" x14ac:dyDescent="0.25">
      <c r="A55" s="5"/>
      <c r="B55" s="11"/>
      <c r="D55" s="12" t="s">
        <v>2</v>
      </c>
      <c r="E55" s="12" t="s">
        <v>3</v>
      </c>
      <c r="F55" s="13"/>
      <c r="G55" s="30"/>
      <c r="K55" s="7" t="s">
        <v>26</v>
      </c>
      <c r="L55" s="7" t="s">
        <v>4</v>
      </c>
      <c r="M55" s="7" t="s">
        <v>32</v>
      </c>
      <c r="N55" s="7" t="s">
        <v>32</v>
      </c>
    </row>
    <row r="56" spans="1:14" ht="15.75" thickBot="1" x14ac:dyDescent="0.3">
      <c r="A56" s="15"/>
      <c r="B56" s="16"/>
      <c r="C56" s="17" t="s">
        <v>4</v>
      </c>
      <c r="D56" s="17" t="s">
        <v>5</v>
      </c>
      <c r="E56" s="17" t="s">
        <v>6</v>
      </c>
      <c r="F56" s="18" t="s">
        <v>7</v>
      </c>
      <c r="G56" s="17" t="s">
        <v>8</v>
      </c>
      <c r="K56" s="17" t="s">
        <v>27</v>
      </c>
      <c r="L56" s="7"/>
      <c r="M56" s="7" t="s">
        <v>4</v>
      </c>
      <c r="N56" s="7" t="s">
        <v>4</v>
      </c>
    </row>
    <row r="57" spans="1:14" x14ac:dyDescent="0.25">
      <c r="A57" s="5"/>
      <c r="B57" s="11"/>
      <c r="K57"/>
      <c r="L57" s="33"/>
      <c r="M57" s="31"/>
      <c r="N57" s="3"/>
    </row>
    <row r="58" spans="1:14" x14ac:dyDescent="0.25">
      <c r="A58" s="19" t="s">
        <v>9</v>
      </c>
      <c r="B58" s="11"/>
      <c r="C58" s="20">
        <v>701635083.42097402</v>
      </c>
      <c r="D58" s="20">
        <v>585170223.57459867</v>
      </c>
      <c r="E58" s="20">
        <v>116464859.84637535</v>
      </c>
      <c r="F58" s="20">
        <v>2457262896.4775939</v>
      </c>
      <c r="G58" s="21">
        <v>4.7396174016758205E-2</v>
      </c>
      <c r="K58" s="23">
        <f t="shared" ref="K58:K66" si="10">(L58-D58)/F58</f>
        <v>4.8753591399362459E-2</v>
      </c>
      <c r="L58" s="20">
        <f t="shared" ref="L58:L66" si="11">C58+M58</f>
        <v>704970614.79028118</v>
      </c>
      <c r="M58" s="34">
        <f>-SUM($M$67:$M$69)*(C58/($C$58+$C$63+$C$64+$C$65+$C$66))</f>
        <v>3335531.369307132</v>
      </c>
      <c r="N58" s="21">
        <f t="shared" ref="N58:N67" si="12">M58/C58</f>
        <v>4.7539404002491228E-3</v>
      </c>
    </row>
    <row r="59" spans="1:14" x14ac:dyDescent="0.25">
      <c r="A59" s="19" t="s">
        <v>10</v>
      </c>
      <c r="B59" s="11"/>
      <c r="C59" s="4">
        <v>256756744.65367341</v>
      </c>
      <c r="D59" s="4">
        <v>169300184.70158842</v>
      </c>
      <c r="E59" s="4">
        <v>87456559.952084988</v>
      </c>
      <c r="F59" s="4">
        <v>610215074.31991637</v>
      </c>
      <c r="G59" s="21">
        <v>0.14332087756035061</v>
      </c>
      <c r="H59" s="14"/>
      <c r="I59" s="14"/>
      <c r="J59" s="14"/>
      <c r="K59" s="23">
        <f t="shared" si="10"/>
        <v>0.14332087756035061</v>
      </c>
      <c r="L59" s="20">
        <f t="shared" si="11"/>
        <v>256756744.65367341</v>
      </c>
      <c r="M59" s="34">
        <v>0</v>
      </c>
      <c r="N59" s="21">
        <f t="shared" si="12"/>
        <v>0</v>
      </c>
    </row>
    <row r="60" spans="1:14" x14ac:dyDescent="0.25">
      <c r="A60" s="19" t="s">
        <v>34</v>
      </c>
      <c r="B60" s="11"/>
      <c r="C60" s="4">
        <v>13813021.899378313</v>
      </c>
      <c r="D60" s="4">
        <v>10433570.515952609</v>
      </c>
      <c r="E60" s="4">
        <v>3379451.3834257033</v>
      </c>
      <c r="F60" s="4">
        <v>38745077.376713946</v>
      </c>
      <c r="G60" s="21">
        <v>8.722272898225715E-2</v>
      </c>
      <c r="H60" s="7"/>
      <c r="I60" s="7"/>
      <c r="J60" s="7"/>
      <c r="K60" s="23">
        <f t="shared" si="10"/>
        <v>8.722272898225715E-2</v>
      </c>
      <c r="L60" s="20">
        <f t="shared" si="11"/>
        <v>13813021.899378313</v>
      </c>
      <c r="M60" s="34">
        <v>0</v>
      </c>
      <c r="N60" s="21">
        <f t="shared" si="12"/>
        <v>0</v>
      </c>
    </row>
    <row r="61" spans="1:14" x14ac:dyDescent="0.25">
      <c r="A61" s="19" t="s">
        <v>35</v>
      </c>
      <c r="B61" s="11"/>
      <c r="C61" s="4">
        <v>192820940.52622485</v>
      </c>
      <c r="D61" s="4">
        <v>133183019.09104139</v>
      </c>
      <c r="E61" s="4">
        <v>59637921.435183465</v>
      </c>
      <c r="F61" s="4">
        <v>458917674.33772969</v>
      </c>
      <c r="G61" s="21">
        <v>0.12995342034112711</v>
      </c>
      <c r="K61" s="23">
        <f t="shared" si="10"/>
        <v>0.12995342034112711</v>
      </c>
      <c r="L61" s="20">
        <f t="shared" si="11"/>
        <v>192820940.52622485</v>
      </c>
      <c r="M61" s="34">
        <v>0</v>
      </c>
      <c r="N61" s="21">
        <f t="shared" si="12"/>
        <v>0</v>
      </c>
    </row>
    <row r="62" spans="1:14" x14ac:dyDescent="0.25">
      <c r="A62" s="19" t="s">
        <v>36</v>
      </c>
      <c r="C62" s="4">
        <v>10666942.049586283</v>
      </c>
      <c r="D62" s="4">
        <v>6321512.1194320787</v>
      </c>
      <c r="E62" s="4">
        <v>4345429.9301542044</v>
      </c>
      <c r="F62" s="4">
        <v>19889476.254637145</v>
      </c>
      <c r="G62" s="21">
        <v>0.21847885155553487</v>
      </c>
      <c r="H62" s="21"/>
      <c r="I62" s="21"/>
      <c r="J62" s="21"/>
      <c r="K62" s="23">
        <f t="shared" si="10"/>
        <v>0.21847885155553487</v>
      </c>
      <c r="L62" s="20">
        <f t="shared" si="11"/>
        <v>10666942.049586283</v>
      </c>
      <c r="M62" s="34">
        <v>0</v>
      </c>
      <c r="N62" s="21">
        <f t="shared" si="12"/>
        <v>0</v>
      </c>
    </row>
    <row r="63" spans="1:14" x14ac:dyDescent="0.25">
      <c r="A63" s="19" t="s">
        <v>37</v>
      </c>
      <c r="C63" s="4">
        <v>152482735.0924536</v>
      </c>
      <c r="D63" s="4">
        <v>124818257.27534233</v>
      </c>
      <c r="E63" s="4">
        <v>27664477.817111269</v>
      </c>
      <c r="F63" s="4">
        <v>424876670.28377599</v>
      </c>
      <c r="G63" s="21">
        <v>6.5111783611545695E-2</v>
      </c>
      <c r="H63" s="21"/>
      <c r="I63" s="21"/>
      <c r="J63" s="21"/>
      <c r="K63" s="23">
        <f t="shared" si="10"/>
        <v>6.6817911260805288E-2</v>
      </c>
      <c r="L63" s="20">
        <f t="shared" si="11"/>
        <v>153207628.9271501</v>
      </c>
      <c r="M63" s="34">
        <f>-SUM($M$67:$M$69)*(C63/($C$58+$C$63+$C$64+$C$65+$C$66))</f>
        <v>724893.83469649998</v>
      </c>
      <c r="N63" s="21">
        <f t="shared" si="12"/>
        <v>4.7539404002491237E-3</v>
      </c>
    </row>
    <row r="64" spans="1:14" x14ac:dyDescent="0.25">
      <c r="A64" s="19" t="s">
        <v>38</v>
      </c>
      <c r="B64" s="11"/>
      <c r="C64" s="4">
        <v>282915033.31763917</v>
      </c>
      <c r="D64" s="4">
        <v>239065194.4609547</v>
      </c>
      <c r="E64" s="4">
        <v>43849838.856684476</v>
      </c>
      <c r="F64" s="4">
        <v>740522922.29555535</v>
      </c>
      <c r="G64" s="21">
        <v>5.9214694827749381E-2</v>
      </c>
      <c r="H64" s="21"/>
      <c r="I64" s="21"/>
      <c r="J64" s="21"/>
      <c r="K64" s="23">
        <f t="shared" si="10"/>
        <v>6.103092652866323E-2</v>
      </c>
      <c r="L64" s="20">
        <f t="shared" si="11"/>
        <v>284259994.52436572</v>
      </c>
      <c r="M64" s="34">
        <f t="shared" ref="M64:M66" si="13">-SUM($M$67:$M$69)*(C64/($C$58+$C$63+$C$64+$C$65+$C$66))</f>
        <v>1344961.2067265518</v>
      </c>
      <c r="N64" s="21">
        <f t="shared" si="12"/>
        <v>4.7539404002491237E-3</v>
      </c>
    </row>
    <row r="65" spans="1:15" x14ac:dyDescent="0.25">
      <c r="A65" s="19" t="s">
        <v>15</v>
      </c>
      <c r="B65" s="11"/>
      <c r="C65" s="4">
        <v>89904600.49534823</v>
      </c>
      <c r="D65" s="4">
        <v>75377669.078051612</v>
      </c>
      <c r="E65" s="4">
        <v>14526931.417296618</v>
      </c>
      <c r="F65" s="4">
        <v>225552348.81659499</v>
      </c>
      <c r="G65" s="21">
        <v>6.4406030322960661E-2</v>
      </c>
      <c r="H65" s="21"/>
      <c r="I65" s="21"/>
      <c r="J65" s="21"/>
      <c r="K65" s="23">
        <f t="shared" si="10"/>
        <v>6.630093904240221E-2</v>
      </c>
      <c r="L65" s="20">
        <f t="shared" si="11"/>
        <v>90332001.607811317</v>
      </c>
      <c r="M65" s="34">
        <f t="shared" si="13"/>
        <v>427401.1124630933</v>
      </c>
      <c r="N65" s="21">
        <f t="shared" si="12"/>
        <v>4.7539404002491237E-3</v>
      </c>
    </row>
    <row r="66" spans="1:15" ht="15.75" thickBot="1" x14ac:dyDescent="0.3">
      <c r="A66" s="19" t="s">
        <v>39</v>
      </c>
      <c r="B66" s="11"/>
      <c r="C66" s="4">
        <v>23550780.444928538</v>
      </c>
      <c r="D66" s="4">
        <v>18053120.29720189</v>
      </c>
      <c r="E66" s="4">
        <v>5497660.1477266476</v>
      </c>
      <c r="F66" s="4">
        <v>104343933.18818319</v>
      </c>
      <c r="G66" s="21">
        <v>5.268787537279887E-2</v>
      </c>
      <c r="H66" s="21"/>
      <c r="I66" s="21"/>
      <c r="J66" s="21"/>
      <c r="K66" s="23">
        <f t="shared" si="10"/>
        <v>5.3760855882481466E-2</v>
      </c>
      <c r="L66" s="20">
        <f t="shared" si="11"/>
        <v>23662739.451543082</v>
      </c>
      <c r="M66" s="34">
        <f t="shared" si="13"/>
        <v>111959.0066145428</v>
      </c>
      <c r="N66" s="21">
        <f t="shared" si="12"/>
        <v>4.7539404002491237E-3</v>
      </c>
      <c r="O66" s="53"/>
    </row>
    <row r="67" spans="1:15" x14ac:dyDescent="0.25">
      <c r="A67" s="19" t="s">
        <v>40</v>
      </c>
      <c r="B67" s="11"/>
      <c r="C67" s="4">
        <v>30870842.546922229</v>
      </c>
      <c r="D67" s="4">
        <v>16902454.165112138</v>
      </c>
      <c r="E67" s="4">
        <v>13968388.381810091</v>
      </c>
      <c r="F67" s="4">
        <v>113343713.20751949</v>
      </c>
      <c r="G67" s="35">
        <v>0.12323919859794567</v>
      </c>
      <c r="H67" s="40"/>
      <c r="I67" s="40"/>
      <c r="J67" s="40"/>
      <c r="K67" s="40">
        <f>G74</f>
        <v>7.257735659913761E-2</v>
      </c>
      <c r="L67" s="46">
        <f>$G$50*F67+D67</f>
        <v>25041404.568859279</v>
      </c>
      <c r="M67" s="46">
        <f>L67-C67</f>
        <v>-5829437.9780629501</v>
      </c>
      <c r="N67" s="47">
        <f t="shared" si="12"/>
        <v>-0.18883313499469534</v>
      </c>
    </row>
    <row r="68" spans="1:15" x14ac:dyDescent="0.25">
      <c r="A68" s="19" t="s">
        <v>18</v>
      </c>
      <c r="B68" s="11"/>
      <c r="C68" s="4">
        <v>316368.95104675705</v>
      </c>
      <c r="D68" s="4">
        <v>204501.0568793334</v>
      </c>
      <c r="E68" s="4">
        <v>111867.89416742366</v>
      </c>
      <c r="F68" s="4">
        <v>398777.2411763831</v>
      </c>
      <c r="G68" s="36">
        <v>0.28052727843097591</v>
      </c>
      <c r="H68" s="39"/>
      <c r="I68" s="39"/>
      <c r="J68" s="39"/>
      <c r="K68" s="39">
        <f>G74</f>
        <v>7.257735659913761E-2</v>
      </c>
      <c r="L68" s="45">
        <f t="shared" ref="L68:L69" si="14">$G$50*F68+D68</f>
        <v>233136.33003414277</v>
      </c>
      <c r="M68" s="45">
        <f t="shared" ref="M68:M69" si="15">L68-C68</f>
        <v>-83232.621012614283</v>
      </c>
      <c r="N68" s="48">
        <f t="shared" ref="N68:N69" si="16">M68/C68</f>
        <v>-0.26308719846630302</v>
      </c>
    </row>
    <row r="69" spans="1:15" ht="15.75" thickBot="1" x14ac:dyDescent="0.3">
      <c r="A69" s="19" t="s">
        <v>19</v>
      </c>
      <c r="B69" s="11"/>
      <c r="C69" s="4">
        <v>274798.40865158051</v>
      </c>
      <c r="D69" s="4">
        <v>198536.48877935015</v>
      </c>
      <c r="E69" s="4">
        <v>76261.919872230355</v>
      </c>
      <c r="F69" s="4">
        <v>615337.83011701179</v>
      </c>
      <c r="G69" s="37">
        <v>0.12393504208530214</v>
      </c>
      <c r="H69" s="41"/>
      <c r="I69" s="41"/>
      <c r="J69" s="41"/>
      <c r="K69" s="41">
        <f>G74</f>
        <v>7.257735659913761E-2</v>
      </c>
      <c r="L69" s="42">
        <f t="shared" si="14"/>
        <v>242722.47791932378</v>
      </c>
      <c r="M69" s="42">
        <f t="shared" si="15"/>
        <v>-32075.930732256733</v>
      </c>
      <c r="N69" s="49">
        <f t="shared" si="16"/>
        <v>-0.1167253147121609</v>
      </c>
    </row>
    <row r="70" spans="1:15" x14ac:dyDescent="0.25">
      <c r="A70" s="19" t="s">
        <v>41</v>
      </c>
      <c r="B70" s="11"/>
      <c r="C70" s="4">
        <v>90347.026991814608</v>
      </c>
      <c r="D70" s="4">
        <v>40939.469925470337</v>
      </c>
      <c r="E70" s="4">
        <v>49407.55706634427</v>
      </c>
      <c r="F70" s="4">
        <v>174679.19030271503</v>
      </c>
      <c r="G70" s="21">
        <v>0.28284741291004445</v>
      </c>
      <c r="H70" s="23"/>
      <c r="I70" s="23"/>
      <c r="J70" s="23"/>
      <c r="K70" s="23">
        <f>(L70-D70)/F70</f>
        <v>0.28284741291004445</v>
      </c>
      <c r="L70" s="20">
        <f>C70+M70</f>
        <v>90347.026991814608</v>
      </c>
      <c r="M70" s="34">
        <v>0</v>
      </c>
      <c r="N70" s="21">
        <f>M70/C70</f>
        <v>0</v>
      </c>
    </row>
    <row r="71" spans="1:15" x14ac:dyDescent="0.25">
      <c r="A71" s="19" t="s">
        <v>42</v>
      </c>
      <c r="B71" s="11"/>
      <c r="C71" s="4">
        <v>55177.8682960847</v>
      </c>
      <c r="D71" s="4">
        <v>47518.536262195557</v>
      </c>
      <c r="E71" s="4">
        <v>7659.3320338891426</v>
      </c>
      <c r="F71" s="4">
        <v>105538.72018323612</v>
      </c>
      <c r="G71" s="21">
        <v>7.2573667944722337E-2</v>
      </c>
      <c r="H71" s="21"/>
      <c r="I71" s="21"/>
      <c r="J71" s="21"/>
      <c r="K71" s="23">
        <f>(L71-D71)/F71</f>
        <v>7.2573667944722337E-2</v>
      </c>
      <c r="L71" s="20">
        <f>C71+M71</f>
        <v>55177.8682960847</v>
      </c>
      <c r="M71" s="34">
        <v>0</v>
      </c>
      <c r="N71" s="21">
        <f>M71/C71</f>
        <v>0</v>
      </c>
    </row>
    <row r="72" spans="1:15" x14ac:dyDescent="0.25">
      <c r="A72" s="19" t="s">
        <v>43</v>
      </c>
      <c r="B72" s="11"/>
      <c r="C72" s="4">
        <v>458350.02000000025</v>
      </c>
      <c r="D72" s="4">
        <v>271279.02333687083</v>
      </c>
      <c r="E72" s="4">
        <v>187070.99666312942</v>
      </c>
      <c r="F72" s="4">
        <v>2576969.3631635425</v>
      </c>
      <c r="G72" s="21">
        <v>7.2593411212881889E-2</v>
      </c>
      <c r="H72" s="21"/>
      <c r="I72" s="21"/>
      <c r="J72" s="21"/>
      <c r="K72" s="23">
        <f>(L72-D72)/F72</f>
        <v>7.2593411212881889E-2</v>
      </c>
      <c r="L72" s="20">
        <f>C72+M72</f>
        <v>458350.02000000025</v>
      </c>
      <c r="M72" s="34">
        <v>0</v>
      </c>
      <c r="N72" s="21">
        <f>M72/C72</f>
        <v>0</v>
      </c>
    </row>
    <row r="73" spans="1:15" ht="15.75" thickBot="1" x14ac:dyDescent="0.3">
      <c r="A73" s="24" t="s">
        <v>44</v>
      </c>
      <c r="B73" s="38"/>
      <c r="C73" s="26">
        <v>47933.62</v>
      </c>
      <c r="D73" s="26">
        <v>26812.187291680402</v>
      </c>
      <c r="E73" s="26">
        <v>21121.4327083196</v>
      </c>
      <c r="F73" s="26">
        <v>290934.43683645804</v>
      </c>
      <c r="G73" s="27">
        <v>7.2598599663856622E-2</v>
      </c>
      <c r="H73" s="23"/>
      <c r="I73" s="23"/>
      <c r="J73" s="23"/>
      <c r="K73" s="50">
        <f>(L73-D73)/F73</f>
        <v>7.2598599663856622E-2</v>
      </c>
      <c r="L73" s="51">
        <f>C73+M73</f>
        <v>47933.62</v>
      </c>
      <c r="M73" s="52">
        <v>0</v>
      </c>
      <c r="N73" s="50">
        <f>M73/C73</f>
        <v>0</v>
      </c>
    </row>
    <row r="74" spans="1:15" x14ac:dyDescent="0.25">
      <c r="A74" s="19" t="s">
        <v>45</v>
      </c>
      <c r="C74" s="4">
        <v>1756659700.3421149</v>
      </c>
      <c r="D74" s="4">
        <v>1379414792.0417507</v>
      </c>
      <c r="E74" s="4">
        <v>377244908.30036408</v>
      </c>
      <c r="F74" s="4">
        <v>5197832023.3399992</v>
      </c>
      <c r="G74" s="21">
        <v>7.257735659913761E-2</v>
      </c>
      <c r="H74" s="23"/>
      <c r="I74" s="23"/>
      <c r="J74" s="23"/>
      <c r="K74" s="23">
        <f>(L74-D74)/F74</f>
        <v>7.2577356599137638E-2</v>
      </c>
      <c r="L74" s="4">
        <f>SUM(L58:L73)</f>
        <v>1756659700.3421149</v>
      </c>
      <c r="M74" s="4">
        <f>SUM(M58:M73)</f>
        <v>-1.1059455573558807E-9</v>
      </c>
      <c r="N74" s="4"/>
    </row>
    <row r="75" spans="1:15" x14ac:dyDescent="0.25">
      <c r="A75" s="19"/>
      <c r="C75" s="22"/>
      <c r="D75" s="22"/>
      <c r="E75" s="4"/>
      <c r="F75" s="4"/>
      <c r="G75" s="23"/>
      <c r="H75" s="23"/>
      <c r="I75" s="23"/>
      <c r="J75" s="23"/>
    </row>
    <row r="76" spans="1:15" x14ac:dyDescent="0.25">
      <c r="A76" s="24"/>
      <c r="B76" s="25"/>
      <c r="C76" s="26"/>
      <c r="D76" s="26"/>
      <c r="E76" s="26"/>
      <c r="F76" s="26"/>
      <c r="G76" s="27"/>
      <c r="H76" s="23"/>
      <c r="I76" s="23"/>
      <c r="J76" s="23"/>
    </row>
    <row r="77" spans="1:15" x14ac:dyDescent="0.25">
      <c r="A77" s="19"/>
      <c r="C77" s="4"/>
      <c r="D77" s="4"/>
      <c r="E77" s="4"/>
      <c r="F77" s="4"/>
      <c r="G77" s="21"/>
      <c r="H77" s="21"/>
      <c r="I77" s="21"/>
      <c r="J77" s="21"/>
    </row>
    <row r="78" spans="1:15" x14ac:dyDescent="0.25">
      <c r="A78" s="19"/>
    </row>
    <row r="79" spans="1:15" x14ac:dyDescent="0.25">
      <c r="A79" s="19"/>
    </row>
    <row r="80" spans="1:15" x14ac:dyDescent="0.25">
      <c r="A80" s="19"/>
    </row>
    <row r="81" spans="1:1" x14ac:dyDescent="0.25">
      <c r="A81" s="19"/>
    </row>
    <row r="82" spans="1:1" x14ac:dyDescent="0.25">
      <c r="A82" s="19"/>
    </row>
    <row r="83" spans="1:1" x14ac:dyDescent="0.25">
      <c r="A83" s="19"/>
    </row>
    <row r="84" spans="1:1" x14ac:dyDescent="0.25">
      <c r="A84" s="19"/>
    </row>
    <row r="85" spans="1:1" x14ac:dyDescent="0.25">
      <c r="A85" s="19"/>
    </row>
    <row r="86" spans="1:1" x14ac:dyDescent="0.25">
      <c r="A86" s="19"/>
    </row>
    <row r="87" spans="1:1" x14ac:dyDescent="0.25">
      <c r="A87" s="19"/>
    </row>
  </sheetData>
  <mergeCells count="5">
    <mergeCell ref="K2:N2"/>
    <mergeCell ref="A30:I30"/>
    <mergeCell ref="K53:N53"/>
    <mergeCell ref="K30:N30"/>
    <mergeCell ref="C31:G3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Bunch</dc:creator>
  <cp:lastModifiedBy>Rick Bunch</cp:lastModifiedBy>
  <dcterms:created xsi:type="dcterms:W3CDTF">2021-03-02T19:50:05Z</dcterms:created>
  <dcterms:modified xsi:type="dcterms:W3CDTF">2021-03-05T20:40:40Z</dcterms:modified>
</cp:coreProperties>
</file>