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4" documentId="8_{AAD02F5E-807A-4376-8FD0-EB7237FC3178}" xr6:coauthVersionLast="46" xr6:coauthVersionMax="46" xr10:uidLastSave="{33C96C75-25DF-4777-B031-8AA739F3DD4F}"/>
  <bookViews>
    <workbookView xWindow="-120" yWindow="-120" windowWidth="19440" windowHeight="11640" activeTab="1" xr2:uid="{00000000-000D-0000-FFFF-FFFF00000000}"/>
  </bookViews>
  <sheets>
    <sheet name="Comparable Fixtures Table" sheetId="2" r:id="rId1"/>
    <sheet name="Unified rate table" sheetId="4" r:id="rId2"/>
  </sheets>
  <definedNames>
    <definedName name="_xlnm._FilterDatabase" localSheetId="0" hidden="1">'Comparable Fixtures Table'!$A$5:$O$68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 i="2" l="1"/>
  <c r="O11" i="2"/>
  <c r="O13" i="2"/>
  <c r="O14" i="2"/>
  <c r="O15" i="2"/>
  <c r="O16" i="2"/>
  <c r="O17" i="2"/>
  <c r="O18" i="2"/>
  <c r="O20" i="2"/>
  <c r="O22" i="2"/>
  <c r="O25" i="2"/>
  <c r="O26" i="2"/>
  <c r="O27" i="2"/>
  <c r="O28" i="2"/>
  <c r="O30" i="2"/>
  <c r="O31" i="2"/>
  <c r="O32" i="2"/>
  <c r="O33" i="2"/>
  <c r="O34" i="2"/>
  <c r="O36" i="2"/>
  <c r="O37" i="2"/>
  <c r="O39" i="2"/>
  <c r="O40" i="2"/>
  <c r="O44" i="2"/>
  <c r="O45" i="2"/>
  <c r="O48" i="2"/>
  <c r="O50" i="2"/>
  <c r="O52" i="2"/>
  <c r="O54" i="2"/>
  <c r="O56" i="2"/>
  <c r="O57" i="2"/>
  <c r="O58" i="2"/>
  <c r="O60" i="2"/>
  <c r="O62" i="2"/>
  <c r="O63" i="2"/>
  <c r="O64" i="2"/>
  <c r="O66" i="2"/>
  <c r="O68" i="2"/>
  <c r="O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7" i="2"/>
  <c r="N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 i="2"/>
  <c r="K7" i="2"/>
  <c r="K8" i="2"/>
  <c r="K9" i="2"/>
  <c r="K10" i="2"/>
  <c r="K11" i="2"/>
  <c r="K12" i="2"/>
  <c r="K13" i="2"/>
  <c r="K14" i="2"/>
  <c r="K15" i="2"/>
  <c r="K16" i="2"/>
  <c r="K17" i="2"/>
  <c r="K18" i="2"/>
  <c r="K19" i="2"/>
  <c r="K20" i="2"/>
  <c r="K22" i="2"/>
  <c r="K21" i="2"/>
  <c r="K23" i="2"/>
  <c r="K24" i="2"/>
  <c r="K25" i="2"/>
  <c r="K26" i="2"/>
  <c r="K27" i="2"/>
  <c r="K28" i="2"/>
  <c r="K29" i="2"/>
  <c r="K33" i="2"/>
  <c r="K30" i="2"/>
  <c r="K31" i="2"/>
  <c r="K32"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 i="2"/>
  <c r="L7" i="2" l="1"/>
  <c r="L8" i="2"/>
  <c r="L9" i="2"/>
  <c r="L10" i="2"/>
  <c r="L11" i="2"/>
  <c r="L12" i="2"/>
  <c r="L13" i="2"/>
  <c r="L14" i="2"/>
  <c r="L15" i="2"/>
  <c r="L16" i="2"/>
  <c r="L17" i="2"/>
  <c r="L18" i="2"/>
  <c r="L19" i="2"/>
  <c r="L20" i="2"/>
  <c r="L22" i="2"/>
  <c r="L21" i="2"/>
  <c r="L23" i="2"/>
  <c r="L24" i="2"/>
  <c r="L25" i="2"/>
  <c r="L26" i="2"/>
  <c r="L27" i="2"/>
  <c r="L28" i="2"/>
  <c r="L29" i="2"/>
  <c r="L33" i="2"/>
  <c r="L30" i="2"/>
  <c r="L31" i="2"/>
  <c r="L32"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 i="2"/>
  <c r="C7" i="2"/>
  <c r="C8" i="2"/>
  <c r="C9" i="2"/>
  <c r="C10" i="2"/>
  <c r="C11" i="2"/>
  <c r="C12" i="2"/>
  <c r="C13" i="2"/>
  <c r="C14" i="2"/>
  <c r="C15" i="2"/>
  <c r="C16" i="2"/>
  <c r="C17" i="2"/>
  <c r="C18" i="2"/>
  <c r="C19" i="2"/>
  <c r="C20" i="2"/>
  <c r="C22" i="2"/>
  <c r="C21" i="2"/>
  <c r="C23" i="2"/>
  <c r="C24" i="2"/>
  <c r="C25" i="2"/>
  <c r="C26" i="2"/>
  <c r="C27" i="2"/>
  <c r="C28" i="2"/>
  <c r="C29" i="2"/>
  <c r="C33" i="2"/>
  <c r="C30" i="2"/>
  <c r="C31" i="2"/>
  <c r="C32"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 i="2"/>
  <c r="L69" i="2" l="1"/>
  <c r="L70" i="2" s="1"/>
  <c r="C69" i="2"/>
  <c r="C70" i="2" s="1"/>
  <c r="C71" i="2" s="1"/>
  <c r="R7" i="2" l="1"/>
  <c r="R9" i="2"/>
  <c r="R11" i="2"/>
  <c r="R13" i="2"/>
  <c r="R14" i="2"/>
  <c r="R15" i="2"/>
  <c r="R16" i="2"/>
  <c r="R17" i="2"/>
  <c r="R18" i="2"/>
  <c r="R20" i="2"/>
  <c r="R25" i="2"/>
  <c r="R26" i="2"/>
  <c r="R27" i="2"/>
  <c r="R28" i="2"/>
  <c r="R33" i="2"/>
  <c r="R30" i="2"/>
  <c r="R31" i="2"/>
  <c r="R32" i="2"/>
  <c r="R34" i="2"/>
  <c r="R36" i="2"/>
  <c r="R37" i="2"/>
  <c r="R39" i="2"/>
  <c r="R40" i="2"/>
  <c r="R44" i="2"/>
  <c r="R45" i="2"/>
  <c r="R48" i="2"/>
  <c r="R50" i="2"/>
  <c r="R52" i="2"/>
  <c r="R54" i="2"/>
  <c r="R56" i="2"/>
  <c r="R57" i="2"/>
  <c r="R58" i="2"/>
  <c r="R60" i="2"/>
  <c r="R62" i="2"/>
  <c r="R63" i="2"/>
  <c r="R64" i="2"/>
  <c r="R66" i="2"/>
  <c r="R68" i="2"/>
  <c r="A17" i="4" l="1"/>
  <c r="A18" i="4"/>
  <c r="A19" i="4"/>
  <c r="A20" i="4"/>
  <c r="A21" i="4"/>
  <c r="A22" i="4"/>
  <c r="A24" i="4"/>
  <c r="A25" i="4"/>
  <c r="A27" i="4"/>
  <c r="A28" i="4"/>
  <c r="A30" i="4"/>
  <c r="A32" i="4"/>
  <c r="A33" i="4"/>
  <c r="A34" i="4"/>
  <c r="A35" i="4"/>
  <c r="A36" i="4"/>
  <c r="A38" i="4"/>
  <c r="A39" i="4"/>
  <c r="A40" i="4"/>
  <c r="A41" i="4"/>
  <c r="A42" i="4"/>
  <c r="A43" i="4"/>
  <c r="A45" i="4"/>
  <c r="A46" i="4"/>
  <c r="A47" i="4"/>
  <c r="A49" i="4"/>
  <c r="A50" i="4"/>
  <c r="A51" i="4"/>
  <c r="A53" i="4"/>
  <c r="A55" i="4"/>
  <c r="A57" i="4"/>
  <c r="A58" i="4"/>
  <c r="A59" i="4"/>
  <c r="A61" i="4"/>
  <c r="A63" i="4"/>
  <c r="A64" i="4"/>
  <c r="A66" i="4"/>
  <c r="A67" i="4"/>
  <c r="A69" i="4"/>
  <c r="A70" i="4"/>
  <c r="A72" i="4"/>
  <c r="A73" i="4"/>
  <c r="A75" i="4"/>
  <c r="A76" i="4"/>
  <c r="A77" i="4"/>
  <c r="A78" i="4"/>
  <c r="A80" i="4"/>
  <c r="A81" i="4"/>
  <c r="A83" i="4"/>
  <c r="A84" i="4"/>
  <c r="A85" i="4"/>
  <c r="A86" i="4"/>
  <c r="A88" i="4"/>
  <c r="A89" i="4"/>
  <c r="A91" i="4"/>
  <c r="A92" i="4"/>
  <c r="A11" i="4"/>
  <c r="A13" i="4"/>
  <c r="A14" i="4"/>
  <c r="A16" i="4"/>
  <c r="A8" i="4"/>
  <c r="A10" i="4"/>
  <c r="C25" i="4"/>
  <c r="C28" i="4"/>
  <c r="C33" i="4"/>
  <c r="C34" i="4"/>
  <c r="C35" i="4"/>
  <c r="C36" i="4"/>
  <c r="C39" i="4"/>
  <c r="C40" i="4"/>
  <c r="C41" i="4"/>
  <c r="C42" i="4"/>
  <c r="C43" i="4"/>
  <c r="C46" i="4"/>
  <c r="C47" i="4"/>
  <c r="C50" i="4"/>
  <c r="C51" i="4"/>
  <c r="C58" i="4"/>
  <c r="C59" i="4"/>
  <c r="C64" i="4"/>
  <c r="C67" i="4"/>
  <c r="C70" i="4"/>
  <c r="C73" i="4"/>
  <c r="C76" i="4"/>
  <c r="C77" i="4"/>
  <c r="C78" i="4"/>
  <c r="C81" i="4"/>
  <c r="C84" i="4"/>
  <c r="C85" i="4"/>
  <c r="C86" i="4"/>
  <c r="C89" i="4"/>
  <c r="C92" i="4"/>
  <c r="D24" i="4"/>
  <c r="E24" i="4"/>
  <c r="D25" i="4"/>
  <c r="E25" i="4"/>
  <c r="D27" i="4"/>
  <c r="E27" i="4"/>
  <c r="D28" i="4"/>
  <c r="E28" i="4"/>
  <c r="D30" i="4"/>
  <c r="E30" i="4"/>
  <c r="D32" i="4"/>
  <c r="E32" i="4"/>
  <c r="D33" i="4"/>
  <c r="E33" i="4"/>
  <c r="D34" i="4"/>
  <c r="E34" i="4"/>
  <c r="D35" i="4"/>
  <c r="E35" i="4"/>
  <c r="D36" i="4"/>
  <c r="E36" i="4"/>
  <c r="D38" i="4"/>
  <c r="E38" i="4"/>
  <c r="D39" i="4"/>
  <c r="E39" i="4"/>
  <c r="D40" i="4"/>
  <c r="E40" i="4"/>
  <c r="D41" i="4"/>
  <c r="E41" i="4"/>
  <c r="D42" i="4"/>
  <c r="E42" i="4"/>
  <c r="D43" i="4"/>
  <c r="E43" i="4"/>
  <c r="D45" i="4"/>
  <c r="E45" i="4"/>
  <c r="D46" i="4"/>
  <c r="E46" i="4"/>
  <c r="D47" i="4"/>
  <c r="E47" i="4"/>
  <c r="D49" i="4"/>
  <c r="E49" i="4"/>
  <c r="D50" i="4"/>
  <c r="E50" i="4"/>
  <c r="D51" i="4"/>
  <c r="E51" i="4"/>
  <c r="D53" i="4"/>
  <c r="E53" i="4"/>
  <c r="D55" i="4"/>
  <c r="E55" i="4"/>
  <c r="D57" i="4"/>
  <c r="E57" i="4"/>
  <c r="D58" i="4"/>
  <c r="E58" i="4"/>
  <c r="D59" i="4"/>
  <c r="E59" i="4"/>
  <c r="D61" i="4"/>
  <c r="E61" i="4"/>
  <c r="D63" i="4"/>
  <c r="E63" i="4"/>
  <c r="D64" i="4"/>
  <c r="E64" i="4"/>
  <c r="D66" i="4"/>
  <c r="E66" i="4"/>
  <c r="D67" i="4"/>
  <c r="E67" i="4"/>
  <c r="D69" i="4"/>
  <c r="E69" i="4"/>
  <c r="D70" i="4"/>
  <c r="E70" i="4"/>
  <c r="D72" i="4"/>
  <c r="E72" i="4"/>
  <c r="D73" i="4"/>
  <c r="E73" i="4"/>
  <c r="D75" i="4"/>
  <c r="E75" i="4"/>
  <c r="D76" i="4"/>
  <c r="E76" i="4"/>
  <c r="D77" i="4"/>
  <c r="E77" i="4"/>
  <c r="D78" i="4"/>
  <c r="E78" i="4"/>
  <c r="D80" i="4"/>
  <c r="E80" i="4"/>
  <c r="D81" i="4"/>
  <c r="E81" i="4"/>
  <c r="D83" i="4"/>
  <c r="E83" i="4"/>
  <c r="D84" i="4"/>
  <c r="E84" i="4"/>
  <c r="D85" i="4"/>
  <c r="E85" i="4"/>
  <c r="D86" i="4"/>
  <c r="E86" i="4"/>
  <c r="D88" i="4"/>
  <c r="E88" i="4"/>
  <c r="D89" i="4"/>
  <c r="E89" i="4"/>
  <c r="D91" i="4"/>
  <c r="E91" i="4"/>
  <c r="D92" i="4"/>
  <c r="E92" i="4"/>
  <c r="D8" i="4"/>
  <c r="E8" i="4"/>
  <c r="C8" i="4"/>
  <c r="D10" i="4"/>
  <c r="E10" i="4"/>
  <c r="D11" i="4"/>
  <c r="E11" i="4"/>
  <c r="C11" i="4"/>
  <c r="D13" i="4"/>
  <c r="E13" i="4"/>
  <c r="D14" i="4"/>
  <c r="E14" i="4"/>
  <c r="C14" i="4"/>
  <c r="D16" i="4"/>
  <c r="E16" i="4"/>
  <c r="D17" i="4"/>
  <c r="E17" i="4"/>
  <c r="C17" i="4"/>
  <c r="D18" i="4"/>
  <c r="E18" i="4"/>
  <c r="C18" i="4"/>
  <c r="D19" i="4"/>
  <c r="E19" i="4"/>
  <c r="C19" i="4"/>
  <c r="D20" i="4"/>
  <c r="E20" i="4"/>
  <c r="C20" i="4"/>
  <c r="D21" i="4"/>
  <c r="E21" i="4"/>
  <c r="C21" i="4"/>
  <c r="D22" i="4"/>
  <c r="E22" i="4"/>
  <c r="C22" i="4"/>
  <c r="E7" i="4"/>
  <c r="A7" i="4" l="1"/>
  <c r="D7" i="4"/>
  <c r="S20" i="2"/>
  <c r="S25" i="2"/>
  <c r="S27" i="2"/>
  <c r="S28" i="2"/>
  <c r="S30" i="2"/>
  <c r="S31" i="2"/>
  <c r="S32" i="2"/>
  <c r="S34" i="2"/>
  <c r="S36" i="2"/>
  <c r="S37" i="2"/>
  <c r="S39" i="2"/>
  <c r="S40" i="2"/>
  <c r="S44" i="2"/>
  <c r="S45" i="2"/>
  <c r="S52" i="2"/>
  <c r="S54" i="2"/>
  <c r="S58" i="2"/>
  <c r="S62" i="2"/>
  <c r="S64" i="2"/>
  <c r="S66" i="2"/>
  <c r="S68" i="2"/>
  <c r="S18" i="2"/>
  <c r="S13" i="2"/>
  <c r="S14" i="2"/>
  <c r="S15" i="2"/>
  <c r="S16" i="2"/>
  <c r="S9" i="2"/>
  <c r="S11" i="2"/>
  <c r="S7" i="2"/>
  <c r="T18" i="2"/>
  <c r="T13" i="2"/>
  <c r="T14" i="2"/>
  <c r="T15" i="2"/>
  <c r="T16" i="2"/>
  <c r="T20" i="2"/>
  <c r="T25" i="2"/>
  <c r="T27" i="2"/>
  <c r="T28" i="2"/>
  <c r="T30" i="2"/>
  <c r="T31" i="2"/>
  <c r="T32" i="2"/>
  <c r="T34" i="2"/>
  <c r="T36" i="2"/>
  <c r="T37" i="2"/>
  <c r="T39" i="2"/>
  <c r="T40" i="2"/>
  <c r="T44" i="2"/>
  <c r="T45" i="2"/>
  <c r="T52" i="2"/>
  <c r="T54" i="2"/>
  <c r="T58" i="2"/>
  <c r="T62" i="2"/>
  <c r="T64" i="2"/>
  <c r="T66" i="2"/>
  <c r="T68" i="2"/>
  <c r="T9" i="2"/>
  <c r="T11" i="2"/>
  <c r="T7" i="2"/>
  <c r="M7" i="2"/>
  <c r="M8" i="2"/>
  <c r="O8" i="2" s="1"/>
  <c r="M9" i="2"/>
  <c r="M10" i="2"/>
  <c r="O10" i="2" s="1"/>
  <c r="M11" i="2"/>
  <c r="M12" i="2"/>
  <c r="O12" i="2" s="1"/>
  <c r="M17" i="2"/>
  <c r="M18" i="2"/>
  <c r="M13" i="2"/>
  <c r="M14" i="2"/>
  <c r="M15" i="2"/>
  <c r="M16" i="2"/>
  <c r="M19" i="2"/>
  <c r="O19" i="2" s="1"/>
  <c r="M20" i="2"/>
  <c r="M22" i="2"/>
  <c r="M21" i="2"/>
  <c r="O21" i="2" s="1"/>
  <c r="M23" i="2"/>
  <c r="O23" i="2" s="1"/>
  <c r="M24" i="2"/>
  <c r="O24" i="2" s="1"/>
  <c r="M25" i="2"/>
  <c r="M26" i="2"/>
  <c r="M27" i="2"/>
  <c r="M28" i="2"/>
  <c r="M33" i="2"/>
  <c r="M30" i="2"/>
  <c r="M31" i="2"/>
  <c r="M32" i="2"/>
  <c r="M29" i="2"/>
  <c r="O29" i="2" s="1"/>
  <c r="M34" i="2"/>
  <c r="M35" i="2"/>
  <c r="O35" i="2" s="1"/>
  <c r="M36" i="2"/>
  <c r="M37" i="2"/>
  <c r="M38" i="2"/>
  <c r="O38" i="2" s="1"/>
  <c r="M39" i="2"/>
  <c r="M40" i="2"/>
  <c r="M41" i="2"/>
  <c r="O41" i="2" s="1"/>
  <c r="M42" i="2"/>
  <c r="O42" i="2" s="1"/>
  <c r="M43" i="2"/>
  <c r="O43" i="2" s="1"/>
  <c r="M44" i="2"/>
  <c r="M45" i="2"/>
  <c r="M46" i="2"/>
  <c r="O46" i="2" s="1"/>
  <c r="M48" i="2"/>
  <c r="M47" i="2"/>
  <c r="O47" i="2" s="1"/>
  <c r="M50" i="2"/>
  <c r="M49" i="2"/>
  <c r="O49" i="2" s="1"/>
  <c r="M51" i="2"/>
  <c r="O51" i="2" s="1"/>
  <c r="M52" i="2"/>
  <c r="M53" i="2"/>
  <c r="O53" i="2" s="1"/>
  <c r="M54" i="2"/>
  <c r="M56" i="2"/>
  <c r="M57" i="2"/>
  <c r="M55" i="2"/>
  <c r="O55" i="2" s="1"/>
  <c r="M58" i="2"/>
  <c r="M59" i="2"/>
  <c r="O59" i="2" s="1"/>
  <c r="M60" i="2"/>
  <c r="M61" i="2"/>
  <c r="O61" i="2" s="1"/>
  <c r="M63" i="2"/>
  <c r="M62" i="2"/>
  <c r="M64" i="2"/>
  <c r="M65" i="2"/>
  <c r="O65" i="2" s="1"/>
  <c r="M66" i="2"/>
  <c r="M6" i="2"/>
  <c r="O6" i="2" s="1"/>
  <c r="D12" i="2" l="1"/>
  <c r="P12" i="2" s="1"/>
  <c r="D10" i="2"/>
  <c r="P10" i="2" s="1"/>
  <c r="D30" i="2"/>
  <c r="P30" i="2" s="1"/>
  <c r="D31" i="2"/>
  <c r="P31" i="2" s="1"/>
  <c r="D24" i="2"/>
  <c r="P24" i="2" s="1"/>
  <c r="D25" i="2"/>
  <c r="P25" i="2" s="1"/>
  <c r="D67" i="2"/>
  <c r="D68" i="2"/>
  <c r="D32" i="2"/>
  <c r="P32" i="2" s="1"/>
  <c r="D17" i="2"/>
  <c r="P17" i="2" s="1"/>
  <c r="D18" i="2"/>
  <c r="P18" i="2" s="1"/>
  <c r="D13" i="2"/>
  <c r="P13" i="2" s="1"/>
  <c r="D14" i="2"/>
  <c r="P14" i="2" s="1"/>
  <c r="D15" i="2"/>
  <c r="P15" i="2" s="1"/>
  <c r="D16" i="2"/>
  <c r="P16" i="2" s="1"/>
  <c r="D29" i="2"/>
  <c r="P29" i="2" s="1"/>
  <c r="D34" i="2"/>
  <c r="P34" i="2" s="1"/>
  <c r="D35" i="2"/>
  <c r="P35" i="2" s="1"/>
  <c r="D6" i="2"/>
  <c r="P6" i="2" s="1"/>
  <c r="D8" i="2"/>
  <c r="P8" i="2" s="1"/>
  <c r="D42" i="2"/>
  <c r="P42" i="2" s="1"/>
  <c r="D43" i="2"/>
  <c r="P43" i="2" s="1"/>
  <c r="D46" i="2"/>
  <c r="P46" i="2" s="1"/>
  <c r="D48" i="2"/>
  <c r="P48" i="2" s="1"/>
  <c r="D50" i="2"/>
  <c r="P50" i="2" s="1"/>
  <c r="D38" i="2"/>
  <c r="P38" i="2" s="1"/>
  <c r="D19" i="2"/>
  <c r="P19" i="2" s="1"/>
  <c r="D22" i="2"/>
  <c r="P22" i="2" s="1"/>
  <c r="D51" i="2"/>
  <c r="P51" i="2" s="1"/>
  <c r="D47" i="2"/>
  <c r="P47" i="2" s="1"/>
  <c r="D36" i="2"/>
  <c r="P36" i="2" s="1"/>
  <c r="D37" i="2"/>
  <c r="P37" i="2" s="1"/>
  <c r="D7" i="2"/>
  <c r="P7" i="2" s="1"/>
  <c r="D9" i="2"/>
  <c r="P9" i="2" s="1"/>
  <c r="D11" i="2"/>
  <c r="P11" i="2" s="1"/>
  <c r="D26" i="2"/>
  <c r="P26" i="2" s="1"/>
  <c r="D27" i="2"/>
  <c r="P27" i="2" s="1"/>
  <c r="D28" i="2"/>
  <c r="P28" i="2" s="1"/>
  <c r="D49" i="2"/>
  <c r="P49" i="2" s="1"/>
  <c r="D52" i="2"/>
  <c r="P52" i="2" s="1"/>
  <c r="D39" i="2"/>
  <c r="P39" i="2" s="1"/>
  <c r="D40" i="2"/>
  <c r="P40" i="2" s="1"/>
  <c r="D20" i="2"/>
  <c r="P20" i="2" s="1"/>
  <c r="D21" i="2"/>
  <c r="P21" i="2" s="1"/>
  <c r="D23" i="2"/>
  <c r="P23" i="2" s="1"/>
  <c r="D53" i="2"/>
  <c r="P53" i="2" s="1"/>
  <c r="D56" i="2"/>
  <c r="P56" i="2" s="1"/>
  <c r="D59" i="2"/>
  <c r="P59" i="2" s="1"/>
  <c r="D61" i="2"/>
  <c r="P61" i="2" s="1"/>
  <c r="D41" i="2"/>
  <c r="P41" i="2" s="1"/>
  <c r="D44" i="2"/>
  <c r="P44" i="2" s="1"/>
  <c r="D45" i="2"/>
  <c r="P45" i="2" s="1"/>
  <c r="D57" i="2"/>
  <c r="P57" i="2" s="1"/>
  <c r="D63" i="2"/>
  <c r="P63" i="2" s="1"/>
  <c r="D54" i="2"/>
  <c r="P54" i="2" s="1"/>
  <c r="D65" i="2"/>
  <c r="P65" i="2" s="1"/>
  <c r="D55" i="2"/>
  <c r="P55" i="2" s="1"/>
  <c r="D62" i="2"/>
  <c r="P62" i="2" s="1"/>
  <c r="D66" i="2"/>
  <c r="P66" i="2" s="1"/>
  <c r="D58" i="2"/>
  <c r="P58" i="2" s="1"/>
  <c r="D60" i="2"/>
  <c r="P60" i="2" s="1"/>
  <c r="D64" i="2"/>
  <c r="P64" i="2" s="1"/>
  <c r="D33" i="2"/>
  <c r="P33" i="2" s="1"/>
  <c r="T47" i="2" l="1"/>
  <c r="C63" i="4" s="1"/>
  <c r="F33" i="2"/>
  <c r="F60" i="2"/>
  <c r="F66" i="2"/>
  <c r="F55" i="2"/>
  <c r="F54" i="2"/>
  <c r="F57" i="2"/>
  <c r="F44" i="2"/>
  <c r="F61" i="2"/>
  <c r="F56" i="2"/>
  <c r="F23" i="2"/>
  <c r="F20" i="2"/>
  <c r="F39" i="2"/>
  <c r="F49" i="2"/>
  <c r="F27" i="2"/>
  <c r="F11" i="2"/>
  <c r="F7" i="2"/>
  <c r="F36" i="2"/>
  <c r="F51" i="2"/>
  <c r="F19" i="2"/>
  <c r="F50" i="2"/>
  <c r="F46" i="2"/>
  <c r="F42" i="2"/>
  <c r="F34" i="2"/>
  <c r="F16" i="2"/>
  <c r="F14" i="2"/>
  <c r="F18" i="2"/>
  <c r="F32" i="2"/>
  <c r="F67" i="2"/>
  <c r="F24" i="2"/>
  <c r="F30" i="2"/>
  <c r="F12" i="2"/>
  <c r="F64" i="2"/>
  <c r="F58" i="2"/>
  <c r="F62" i="2"/>
  <c r="F65" i="2"/>
  <c r="F63" i="2"/>
  <c r="F45" i="2"/>
  <c r="F41" i="2"/>
  <c r="F59" i="2"/>
  <c r="F53" i="2"/>
  <c r="F21" i="2"/>
  <c r="F40" i="2"/>
  <c r="F52" i="2"/>
  <c r="F28" i="2"/>
  <c r="F26" i="2"/>
  <c r="F9" i="2"/>
  <c r="F37" i="2"/>
  <c r="F47" i="2"/>
  <c r="F22" i="2"/>
  <c r="F38" i="2"/>
  <c r="F48" i="2"/>
  <c r="F43" i="2"/>
  <c r="F8" i="2"/>
  <c r="F35" i="2"/>
  <c r="F29" i="2"/>
  <c r="F15" i="2"/>
  <c r="F13" i="2"/>
  <c r="F17" i="2"/>
  <c r="F68" i="2"/>
  <c r="F25" i="2"/>
  <c r="F31" i="2"/>
  <c r="F10" i="2"/>
  <c r="F6" i="2"/>
  <c r="F69" i="2" l="1"/>
  <c r="F70" i="2" s="1"/>
  <c r="Q35" i="2"/>
  <c r="Q6" i="2"/>
  <c r="Q8" i="2"/>
  <c r="Q38" i="2"/>
  <c r="Q19" i="2"/>
  <c r="Q22" i="2"/>
  <c r="Q36" i="2"/>
  <c r="F46" i="4" s="1"/>
  <c r="Q37" i="2"/>
  <c r="F47" i="4" s="1"/>
  <c r="Q7" i="2"/>
  <c r="F8" i="4" s="1"/>
  <c r="Q9" i="2"/>
  <c r="F11" i="4" s="1"/>
  <c r="Q11" i="2"/>
  <c r="F14" i="4" s="1"/>
  <c r="Q39" i="2"/>
  <c r="F50" i="4" s="1"/>
  <c r="Q40" i="2"/>
  <c r="F51" i="4" s="1"/>
  <c r="Q20" i="2"/>
  <c r="F25" i="4" s="1"/>
  <c r="Q21" i="2"/>
  <c r="Q23" i="2"/>
  <c r="Q12" i="2"/>
  <c r="Q17" i="2"/>
  <c r="F21" i="4" s="1"/>
  <c r="Q18" i="2"/>
  <c r="F22" i="4" s="1"/>
  <c r="Q13" i="2"/>
  <c r="F17" i="4" s="1"/>
  <c r="Q14" i="2"/>
  <c r="F18" i="4" s="1"/>
  <c r="Q15" i="2"/>
  <c r="F19" i="4" s="1"/>
  <c r="Q16" i="2"/>
  <c r="F20" i="4" s="1"/>
  <c r="Q24" i="2"/>
  <c r="Q25" i="2"/>
  <c r="F33" i="4" s="1"/>
  <c r="Q26" i="2"/>
  <c r="F34" i="4" s="1"/>
  <c r="Q27" i="2"/>
  <c r="F35" i="4" s="1"/>
  <c r="Q28" i="2"/>
  <c r="F36" i="4" s="1"/>
  <c r="Q33" i="2"/>
  <c r="F39" i="4" s="1"/>
  <c r="Q30" i="2"/>
  <c r="Q31" i="2"/>
  <c r="F41" i="4" s="1"/>
  <c r="Q32" i="2"/>
  <c r="Q29" i="2"/>
  <c r="Q34" i="2"/>
  <c r="F43" i="4" s="1"/>
  <c r="Q42" i="2"/>
  <c r="Q43" i="2"/>
  <c r="Q46" i="2"/>
  <c r="Q48" i="2"/>
  <c r="F64" i="4" s="1"/>
  <c r="Q50" i="2"/>
  <c r="F67" i="4" s="1"/>
  <c r="Q51" i="2"/>
  <c r="Q47" i="2"/>
  <c r="Q49" i="2"/>
  <c r="Q52" i="2"/>
  <c r="F70" i="4" s="1"/>
  <c r="Q41" i="2"/>
  <c r="Q44" i="2"/>
  <c r="F58" i="4" s="1"/>
  <c r="Q45" i="2"/>
  <c r="F59" i="4" s="1"/>
  <c r="Q53" i="2"/>
  <c r="Q56" i="2"/>
  <c r="F76" i="4" s="1"/>
  <c r="Q59" i="2"/>
  <c r="Q61" i="2"/>
  <c r="Q57" i="2"/>
  <c r="F77" i="4" s="1"/>
  <c r="Q63" i="2"/>
  <c r="F85" i="4" s="1"/>
  <c r="Q54" i="2"/>
  <c r="F73" i="4" s="1"/>
  <c r="Q65" i="2"/>
  <c r="Q55" i="2"/>
  <c r="Q62" i="2"/>
  <c r="F84" i="4" s="1"/>
  <c r="Q66" i="2"/>
  <c r="F89" i="4" s="1"/>
  <c r="Q58" i="2"/>
  <c r="F78" i="4" s="1"/>
  <c r="Q60" i="2"/>
  <c r="F81" i="4" s="1"/>
  <c r="Q64" i="2"/>
  <c r="F86" i="4" s="1"/>
  <c r="M67" i="2"/>
  <c r="O67" i="2" s="1"/>
  <c r="M68" i="2"/>
  <c r="Q10" i="2"/>
  <c r="F28" i="4" l="1"/>
  <c r="S21" i="2"/>
  <c r="F42" i="4"/>
  <c r="F40" i="4"/>
  <c r="P67" i="2"/>
  <c r="P68" i="2"/>
  <c r="Q68" i="2" s="1"/>
  <c r="F92" i="4" s="1"/>
  <c r="F88" i="4"/>
  <c r="F83" i="4"/>
  <c r="F53" i="4"/>
  <c r="F66" i="4"/>
  <c r="F69" i="4"/>
  <c r="F57" i="4"/>
  <c r="F32" i="4"/>
  <c r="F30" i="4"/>
  <c r="F27" i="4"/>
  <c r="F49" i="4"/>
  <c r="F13" i="4"/>
  <c r="F75" i="4"/>
  <c r="F80" i="4"/>
  <c r="F72" i="4"/>
  <c r="F63" i="4"/>
  <c r="F61" i="4"/>
  <c r="F55" i="4"/>
  <c r="F38" i="4"/>
  <c r="F16" i="4"/>
  <c r="F24" i="4"/>
  <c r="F10" i="4"/>
  <c r="F45" i="4"/>
  <c r="S49" i="2"/>
  <c r="S55" i="2"/>
  <c r="S65" i="2"/>
  <c r="S41" i="2"/>
  <c r="S51" i="2"/>
  <c r="S48" i="2"/>
  <c r="S23" i="2"/>
  <c r="S10" i="2"/>
  <c r="S46" i="2"/>
  <c r="S42" i="2"/>
  <c r="F7" i="4"/>
  <c r="S61" i="2"/>
  <c r="S56" i="2"/>
  <c r="S24" i="2"/>
  <c r="S59" i="2"/>
  <c r="S47" i="2"/>
  <c r="S29" i="2"/>
  <c r="S12" i="2"/>
  <c r="S63" i="2"/>
  <c r="S43" i="2"/>
  <c r="S26" i="2"/>
  <c r="S17" i="2"/>
  <c r="S22" i="2"/>
  <c r="S38" i="2"/>
  <c r="S60" i="2"/>
  <c r="S57" i="2"/>
  <c r="S53" i="2"/>
  <c r="S50" i="2"/>
  <c r="S33" i="2"/>
  <c r="S19" i="2"/>
  <c r="S8" i="2"/>
  <c r="S35" i="2"/>
  <c r="T67" i="2"/>
  <c r="C91" i="4" s="1"/>
  <c r="B43" i="4"/>
  <c r="B7" i="4"/>
  <c r="B24" i="4"/>
  <c r="B69" i="4"/>
  <c r="B8" i="4"/>
  <c r="B11" i="4"/>
  <c r="B34" i="4"/>
  <c r="B25" i="4"/>
  <c r="B28" i="4"/>
  <c r="B72" i="4"/>
  <c r="B53" i="4"/>
  <c r="B77" i="4"/>
  <c r="B75" i="4"/>
  <c r="B86" i="4"/>
  <c r="B78" i="4" l="1"/>
  <c r="B84" i="4"/>
  <c r="B59" i="4"/>
  <c r="B51" i="4"/>
  <c r="B70" i="4"/>
  <c r="B63" i="4"/>
  <c r="B17" i="4"/>
  <c r="B36" i="4"/>
  <c r="B47" i="4"/>
  <c r="B27" i="4"/>
  <c r="B57" i="4"/>
  <c r="B10" i="4"/>
  <c r="B45" i="4"/>
  <c r="B19" i="4"/>
  <c r="B21" i="4"/>
  <c r="B92" i="4"/>
  <c r="B33" i="4"/>
  <c r="B41" i="4"/>
  <c r="B88" i="4"/>
  <c r="B85" i="4"/>
  <c r="B80" i="4"/>
  <c r="B49" i="4"/>
  <c r="B64" i="4"/>
  <c r="B38" i="4"/>
  <c r="B13" i="4"/>
  <c r="B39" i="4"/>
  <c r="B81" i="4"/>
  <c r="B89" i="4"/>
  <c r="B73" i="4"/>
  <c r="B58" i="4"/>
  <c r="B83" i="4"/>
  <c r="B76" i="4"/>
  <c r="B30" i="4"/>
  <c r="B50" i="4"/>
  <c r="B66" i="4"/>
  <c r="B35" i="4"/>
  <c r="B14" i="4"/>
  <c r="B46" i="4"/>
  <c r="B67" i="4"/>
  <c r="B61" i="4"/>
  <c r="B55" i="4"/>
  <c r="B20" i="4"/>
  <c r="B18" i="4"/>
  <c r="B22" i="4"/>
  <c r="B42" i="4"/>
  <c r="B91" i="4"/>
  <c r="B32" i="4"/>
  <c r="B40" i="4"/>
  <c r="B16" i="4"/>
  <c r="Q67" i="2"/>
  <c r="R21" i="2" s="1"/>
  <c r="T21" i="2" s="1"/>
  <c r="F91" i="4" l="1"/>
  <c r="R65" i="2"/>
  <c r="R61" i="2"/>
  <c r="R41" i="2"/>
  <c r="T41" i="2" s="1"/>
  <c r="C53" i="4" s="1"/>
  <c r="R49" i="2"/>
  <c r="R51" i="2"/>
  <c r="R43" i="2"/>
  <c r="R24" i="2"/>
  <c r="R23" i="2"/>
  <c r="R22" i="2"/>
  <c r="T22" i="2" s="1"/>
  <c r="C27" i="4" s="1"/>
  <c r="R38" i="2"/>
  <c r="T38" i="2" s="1"/>
  <c r="C49" i="4" s="1"/>
  <c r="R6" i="2"/>
  <c r="R10" i="2"/>
  <c r="R55" i="2"/>
  <c r="R59" i="2"/>
  <c r="T59" i="2" s="1"/>
  <c r="C80" i="4" s="1"/>
  <c r="R53" i="2"/>
  <c r="T53" i="2" s="1"/>
  <c r="C72" i="4" s="1"/>
  <c r="R47" i="2"/>
  <c r="R46" i="2"/>
  <c r="T46" i="2" s="1"/>
  <c r="C61" i="4" s="1"/>
  <c r="R42" i="2"/>
  <c r="R29" i="2"/>
  <c r="R12" i="2"/>
  <c r="T12" i="2" s="1"/>
  <c r="C16" i="4" s="1"/>
  <c r="R19" i="2"/>
  <c r="T19" i="2" s="1"/>
  <c r="C24" i="4" s="1"/>
  <c r="R8" i="2"/>
  <c r="T8" i="2" s="1"/>
  <c r="C10" i="4" s="1"/>
  <c r="R35" i="2"/>
  <c r="T35" i="2" s="1"/>
  <c r="C45" i="4" s="1"/>
  <c r="T49" i="2"/>
  <c r="C66" i="4" s="1"/>
  <c r="T55" i="2"/>
  <c r="C75" i="4" s="1"/>
  <c r="S67" i="2"/>
  <c r="T29" i="2"/>
  <c r="C38" i="4" s="1"/>
  <c r="T63" i="2"/>
  <c r="T26" i="2"/>
  <c r="T60" i="2"/>
  <c r="T17" i="2"/>
  <c r="T57" i="2"/>
  <c r="T65" i="2"/>
  <c r="C88" i="4" s="1"/>
  <c r="T56" i="2"/>
  <c r="T51" i="2"/>
  <c r="C69" i="4" s="1"/>
  <c r="T48" i="2"/>
  <c r="T24" i="2"/>
  <c r="C32" i="4" s="1"/>
  <c r="T10" i="2"/>
  <c r="C13" i="4" s="1"/>
  <c r="T50" i="2"/>
  <c r="T42" i="2"/>
  <c r="C55" i="4" s="1"/>
  <c r="T61" i="2"/>
  <c r="C83" i="4" s="1"/>
  <c r="T43" i="2"/>
  <c r="C57" i="4" s="1"/>
  <c r="T23" i="2"/>
  <c r="C30" i="4" s="1"/>
  <c r="T33" i="2"/>
  <c r="O69" i="2"/>
  <c r="O70" i="2" s="1"/>
  <c r="S6" i="2" l="1"/>
  <c r="T6" i="2" s="1"/>
  <c r="C7" i="4" s="1"/>
</calcChain>
</file>

<file path=xl/sharedStrings.xml><?xml version="1.0" encoding="utf-8"?>
<sst xmlns="http://schemas.openxmlformats.org/spreadsheetml/2006/main" count="387" uniqueCount="240">
  <si>
    <t>Comp LED code</t>
  </si>
  <si>
    <t>KA1</t>
  </si>
  <si>
    <t>KC1</t>
  </si>
  <si>
    <t>KF2</t>
  </si>
  <si>
    <t>KF3</t>
  </si>
  <si>
    <t>KF4</t>
  </si>
  <si>
    <t>KF6</t>
  </si>
  <si>
    <t>KF7</t>
  </si>
  <si>
    <t>KC2</t>
  </si>
  <si>
    <t>KF8</t>
  </si>
  <si>
    <t>KN1</t>
  </si>
  <si>
    <t>KN2</t>
  </si>
  <si>
    <t>KN3</t>
  </si>
  <si>
    <t>KN4</t>
  </si>
  <si>
    <t>KF1</t>
  </si>
  <si>
    <t>KN5</t>
  </si>
  <si>
    <t>KU HID Code</t>
  </si>
  <si>
    <t>RLS 404: OH MV Open Bottom 7000L Fixture</t>
  </si>
  <si>
    <t>RLS 409: OH HPS Cobra Head 50000L Fix</t>
  </si>
  <si>
    <t>RLS 410: UG HPS Acorn 4000L Historic</t>
  </si>
  <si>
    <t>RLS 412: UG HPS Coach 5800L Decorative</t>
  </si>
  <si>
    <t>RLS 413: UG HPS Coach 9500L Decorative</t>
  </si>
  <si>
    <t>RLS 421: OH Inc Tear Drop 1000L Fix Only</t>
  </si>
  <si>
    <t>RLS 422: OH Inc Tear Drop 2500L Fix Only</t>
  </si>
  <si>
    <t>RLS 424: OH Inc Tear Drop 4000L Fix Only</t>
  </si>
  <si>
    <t>RLS 425: OH Inc Tear Drop 6000L Fix Only</t>
  </si>
  <si>
    <t>RLS 426: OH HPS Open Bottom 5800L Fix</t>
  </si>
  <si>
    <t>RLS 440: UG HPS Acorn 4000L Decorative</t>
  </si>
  <si>
    <t>RLS 446: OH MV Cobra Head 7000L Fixture</t>
  </si>
  <si>
    <t>RLS 447: OH MV Cobra Head 10000L Fixture</t>
  </si>
  <si>
    <t>RLS 448: OH MV Cobra Head 20000L Fixture</t>
  </si>
  <si>
    <t>RLS 450: OH MH Directional 12000L Fix</t>
  </si>
  <si>
    <t>RLS 452: OH MH Directional 107800L Fix</t>
  </si>
  <si>
    <t>RLS 454: OH MH Directional 12000L Fix/Po</t>
  </si>
  <si>
    <t>RLS 455: OH MH Directional 32000L Fix/Po</t>
  </si>
  <si>
    <t>RLS 456: OH MV Cobra 7000L Fixture/Pole</t>
  </si>
  <si>
    <t>RLS 457: OH MV Cobra 10000L Fixture/Pole</t>
  </si>
  <si>
    <t>RLS 458: OH MV Cobra 20000L Fixture/Pole</t>
  </si>
  <si>
    <t>RLS 459: OH MH Directional 107800L Fix/P</t>
  </si>
  <si>
    <t>RLS 460: UG MH Directional 12000L Deco</t>
  </si>
  <si>
    <t>RLS 461: OH HPS Cobra Head 4000L Fixture</t>
  </si>
  <si>
    <t>RLS 466: UG HPS Colonial 4000L Deco</t>
  </si>
  <si>
    <t>RLS 469: UG MH Directional 32000L Deco</t>
  </si>
  <si>
    <t>RLS 470: UG MH Directional 107800L Deco</t>
  </si>
  <si>
    <t>RLS 471: OH HPS Cobra Hd 4000L Fix/Pole</t>
  </si>
  <si>
    <t>RLS 490: UG MH Contemporary 12000L Fix</t>
  </si>
  <si>
    <t>RLS 493: UG MH Contemporary 107800L Fix</t>
  </si>
  <si>
    <t>RLS 494: UG MH Contemporary 12000L Deco</t>
  </si>
  <si>
    <t>RLS 496: UG MH Contemporary 107800L Deco</t>
  </si>
  <si>
    <t>HID Description</t>
  </si>
  <si>
    <t>HID Wattage</t>
  </si>
  <si>
    <t>LS 390 OH LED Cobra 6000-8200</t>
  </si>
  <si>
    <t>LS 391 OH LED Cobra 13000-16500</t>
  </si>
  <si>
    <t>LS 392 OH LED Cobra 22000-29000</t>
  </si>
  <si>
    <t>LS 393 OH LED Open Bottom 4500-6000</t>
  </si>
  <si>
    <t>LS KC1 OH LED Cobra 2500-4000</t>
  </si>
  <si>
    <t>LS KF1 OH LED Flood  4500-6000</t>
  </si>
  <si>
    <t>LS KF2 OH LED Flood  14000-17500</t>
  </si>
  <si>
    <t>LS KF3 OH LED Flood  22000-28000</t>
  </si>
  <si>
    <t>LS KF4 OH LED Flood  35000-50000</t>
  </si>
  <si>
    <t>LS 396 UG LED Cobra 6000-8200</t>
  </si>
  <si>
    <t>LS 397 UG LED Cobra 13000-16500</t>
  </si>
  <si>
    <t>LS 398 UG LED Cobra 22000-29000</t>
  </si>
  <si>
    <t>LS 399 UG LED Colonial 4000-7000</t>
  </si>
  <si>
    <t>LS KA1 UG LED Acorn 4000-7000</t>
  </si>
  <si>
    <t>LS KN1 UG LED Contemporary 4000-7000</t>
  </si>
  <si>
    <t>LS KN2 UG LED Contemporary 8000-11000</t>
  </si>
  <si>
    <t>LS KN3 UG LED Contemporary 13500-16500</t>
  </si>
  <si>
    <t>LS KN4 UG LED Contemporary 21000-28000</t>
  </si>
  <si>
    <t>LS KN5 UG LED Contemporary 45000-50000</t>
  </si>
  <si>
    <t>LS KC2 UG LED Cobra 2500-4000</t>
  </si>
  <si>
    <t>KF5</t>
  </si>
  <si>
    <t>LS KF5 UG LED Flood  4500-6000</t>
  </si>
  <si>
    <t>LS KF6 UG LED Flood  14000-17500</t>
  </si>
  <si>
    <t>LS KF7 UG LED Flood  22000-28000</t>
  </si>
  <si>
    <t>LS KF8 UG LED Flood  35000-50000</t>
  </si>
  <si>
    <t>PK1</t>
  </si>
  <si>
    <t>Cobra - Ornamental</t>
  </si>
  <si>
    <t>PK3</t>
  </si>
  <si>
    <t>Decorative Smooth - Post Top</t>
  </si>
  <si>
    <t>PK2</t>
  </si>
  <si>
    <t>Contemporary</t>
  </si>
  <si>
    <t>PK4</t>
  </si>
  <si>
    <t>Historic Fluted - Post Top</t>
  </si>
  <si>
    <t>KCON</t>
  </si>
  <si>
    <t>LED Description</t>
  </si>
  <si>
    <t>Pole Rate</t>
  </si>
  <si>
    <t>RLS 463: OH HPS Cobra Head 9500L Fixture</t>
  </si>
  <si>
    <t>RLS 462: OH HPS Cobra Head 5800L Fixture</t>
  </si>
  <si>
    <t>RLS 464: OH HPS Cobra Head 22000L Fixture</t>
  </si>
  <si>
    <t>RLS 465: OH HPS Cobra Head 50000L Fixture</t>
  </si>
  <si>
    <t>RLS 472: OH HPS Cobra 5800L Ornamental</t>
  </si>
  <si>
    <t>RLS 473: OH HPS Cobra 9500L Ornamental</t>
  </si>
  <si>
    <t>RLS 474: OH HPS Cobra 22000L Ornamental</t>
  </si>
  <si>
    <t>RLS 475: OH HPS Cobra 50000L Ornamental</t>
  </si>
  <si>
    <t>RLS 428: OH HPS Open Bottom 9500L Fixture</t>
  </si>
  <si>
    <t>RLS 467: UG HPS Colonial 5800L Deco</t>
  </si>
  <si>
    <t>RLS 468: UG HPS Colonial 9500L Deco</t>
  </si>
  <si>
    <t>RLS 401: UG HPS Acorn 5800L Decorative</t>
  </si>
  <si>
    <t>RLS 411: UG HPS Acorn 5800L Historic</t>
  </si>
  <si>
    <t>RLS 420: UG HPS Acorn 9500L Decorative</t>
  </si>
  <si>
    <t>RLS 430: UG HPS Acorn 9500L Historic</t>
  </si>
  <si>
    <t>RLS 451: OH MH Directional 32000L Fixture</t>
  </si>
  <si>
    <t>RLS 487: OH HPS Directional 9500L Fixture</t>
  </si>
  <si>
    <t>RLS 488: OH HPS Directional 22000L Fix</t>
  </si>
  <si>
    <t>RLS 489: OH HPS Directional 50000L Fix</t>
  </si>
  <si>
    <t>RLS 476: UG HPS Contemporary 5800L Deco</t>
  </si>
  <si>
    <t>RLS 477: UG HPS Contemporary 9500L Deco</t>
  </si>
  <si>
    <t>RLS 478: UG HPS Contemporary 22000L Deco</t>
  </si>
  <si>
    <t>RLS 479: UG HPS Contemporary 50000L Deco</t>
  </si>
  <si>
    <t>RLS 491: UG MH Contemporary 32000L Fix</t>
  </si>
  <si>
    <t>RLS 492: UG HPS Contemporary 5800L Fix</t>
  </si>
  <si>
    <t>RLS 495: UG MH Contemporary 32000L Deco</t>
  </si>
  <si>
    <t>RLS 497: UG HPS Contemporary 9500L Fix</t>
  </si>
  <si>
    <t>RLS 498: UG HPS Contemporary 22000L Fix</t>
  </si>
  <si>
    <t>RLS 499: UG HPS Contemporary 50000L Fix</t>
  </si>
  <si>
    <t>RLS 414: UG HPS Victorian 5800L Historic</t>
  </si>
  <si>
    <t>RLS 415: UG HPS Victorian 9500L Historic</t>
  </si>
  <si>
    <t>PK5</t>
  </si>
  <si>
    <t>Wood Pole</t>
  </si>
  <si>
    <t>KV1</t>
  </si>
  <si>
    <t>LS KV1 UG LED Victorian 4000-7000</t>
  </si>
  <si>
    <t>Conversion Fee</t>
  </si>
  <si>
    <t>No Pole</t>
  </si>
  <si>
    <t>Price Difference</t>
  </si>
  <si>
    <t>convert?</t>
  </si>
  <si>
    <t>Inputs</t>
  </si>
  <si>
    <t>LFUCG Proposed RLS rate minus LS rate</t>
  </si>
  <si>
    <t>ROR-Adjusted LFUCG RLS Rate</t>
  </si>
  <si>
    <t>LED code</t>
  </si>
  <si>
    <t>LED description</t>
  </si>
  <si>
    <t>HID equivalents code</t>
  </si>
  <si>
    <t>HID description</t>
  </si>
  <si>
    <t>Unified rate</t>
  </si>
  <si>
    <t>HID rate</t>
  </si>
  <si>
    <r>
      <rPr>
        <sz val="11"/>
        <color theme="1"/>
        <rFont val="Calibri"/>
        <family val="2"/>
      </rPr>
      <t>Δ</t>
    </r>
    <r>
      <rPr>
        <sz val="11"/>
        <color theme="1"/>
        <rFont val="Calibri"/>
        <family val="2"/>
        <scheme val="minor"/>
      </rPr>
      <t>ROR for LS/RLS</t>
    </r>
  </si>
  <si>
    <r>
      <rPr>
        <sz val="11"/>
        <color theme="1"/>
        <rFont val="Calibri"/>
        <family val="2"/>
      </rPr>
      <t>Δ</t>
    </r>
    <r>
      <rPr>
        <sz val="11"/>
        <color theme="1"/>
        <rFont val="Calibri"/>
        <family val="2"/>
        <scheme val="minor"/>
      </rPr>
      <t>ROR for LE rate</t>
    </r>
  </si>
  <si>
    <t>Fixture monthly revenue</t>
  </si>
  <si>
    <t>ROR-adjusted Fixture monthly revenue</t>
  </si>
  <si>
    <t>KU Unified Unmetered Streetlight Rate</t>
  </si>
  <si>
    <t>Proposed RLS Rate</t>
  </si>
  <si>
    <t>RLS fixture count</t>
  </si>
  <si>
    <t>LS fixture count</t>
  </si>
  <si>
    <t>Proposed monthly revenue in LS bundle</t>
  </si>
  <si>
    <t>count of fixtures in LS bundle</t>
  </si>
  <si>
    <t>KU  Comparable Fixture Rates</t>
  </si>
  <si>
    <t>Proposed monthly Unified rate</t>
  </si>
  <si>
    <t>KU Fixture Code</t>
  </si>
  <si>
    <t>Fixture Description</t>
  </si>
  <si>
    <t>Proposed  Rate</t>
  </si>
  <si>
    <t>monthly total</t>
  </si>
  <si>
    <t>annual total</t>
  </si>
  <si>
    <t>ROR-adjusted LFUCG Fixture+Pole Rate</t>
  </si>
  <si>
    <t>KUUM_390</t>
  </si>
  <si>
    <t>KUUM_391</t>
  </si>
  <si>
    <t>KUUM_392</t>
  </si>
  <si>
    <t>KUUM_393</t>
  </si>
  <si>
    <t>KUUM_396</t>
  </si>
  <si>
    <t>KUUM_397</t>
  </si>
  <si>
    <t>KUUM_398</t>
  </si>
  <si>
    <t>KUUM_399</t>
  </si>
  <si>
    <t>KUUM_401</t>
  </si>
  <si>
    <t>KUUM_404</t>
  </si>
  <si>
    <t>KUUM_409</t>
  </si>
  <si>
    <t>KUUM_410</t>
  </si>
  <si>
    <t>KUUM_411</t>
  </si>
  <si>
    <t>KUUM_412</t>
  </si>
  <si>
    <t>KUUM_413</t>
  </si>
  <si>
    <t>KUUM_414</t>
  </si>
  <si>
    <t>KUUM_415</t>
  </si>
  <si>
    <t>KUUM_420</t>
  </si>
  <si>
    <t>KUUM_421</t>
  </si>
  <si>
    <t>KUUM_422</t>
  </si>
  <si>
    <t>KUUM_424</t>
  </si>
  <si>
    <t>KUUM_425</t>
  </si>
  <si>
    <t>KUUM_426</t>
  </si>
  <si>
    <t>KUUM_428</t>
  </si>
  <si>
    <t>KUUM_430</t>
  </si>
  <si>
    <t>KUUM_440</t>
  </si>
  <si>
    <t>KUUM_446</t>
  </si>
  <si>
    <t>KUUM_447</t>
  </si>
  <si>
    <t>KUUM_448</t>
  </si>
  <si>
    <t>KUUM_450</t>
  </si>
  <si>
    <t>KUUM_451</t>
  </si>
  <si>
    <t>KUUM_452</t>
  </si>
  <si>
    <t>KUUM_454</t>
  </si>
  <si>
    <t>KUUM_455</t>
  </si>
  <si>
    <t>KUUM_456</t>
  </si>
  <si>
    <t>KUUM_457</t>
  </si>
  <si>
    <t>KUUM_458</t>
  </si>
  <si>
    <t>KUUM_459</t>
  </si>
  <si>
    <t>KUUM_460</t>
  </si>
  <si>
    <t>KUUM_461</t>
  </si>
  <si>
    <t>KUUM_462</t>
  </si>
  <si>
    <t>KUUM_463</t>
  </si>
  <si>
    <t>KUUM_464</t>
  </si>
  <si>
    <t>KUUM_465</t>
  </si>
  <si>
    <t>KUUM_466</t>
  </si>
  <si>
    <t>KUUM_467</t>
  </si>
  <si>
    <t>KUUM_468</t>
  </si>
  <si>
    <t>KUUM_469</t>
  </si>
  <si>
    <t>KUUM_470</t>
  </si>
  <si>
    <t>KUUM_471</t>
  </si>
  <si>
    <t>KUUM_472</t>
  </si>
  <si>
    <t>KUUM_473</t>
  </si>
  <si>
    <t>KUUM_474</t>
  </si>
  <si>
    <t>KUUM_475</t>
  </si>
  <si>
    <t>KUUM_476</t>
  </si>
  <si>
    <t>KUUM_477</t>
  </si>
  <si>
    <t>KUUM_478</t>
  </si>
  <si>
    <t>KUUM_479</t>
  </si>
  <si>
    <t>KUUM_487</t>
  </si>
  <si>
    <t>KUUM_488</t>
  </si>
  <si>
    <t>KUUM_489</t>
  </si>
  <si>
    <t>KUUM_490</t>
  </si>
  <si>
    <t>KUUM_491</t>
  </si>
  <si>
    <t>KUUM_492</t>
  </si>
  <si>
    <t>KUUM_493</t>
  </si>
  <si>
    <t>KUUM_494</t>
  </si>
  <si>
    <t>KUUM_495</t>
  </si>
  <si>
    <t>KUUM_496</t>
  </si>
  <si>
    <t>KUUM_497</t>
  </si>
  <si>
    <t>KUUM_498</t>
  </si>
  <si>
    <t>KUUM_499</t>
  </si>
  <si>
    <t>KUUM_KA1</t>
  </si>
  <si>
    <t>KUUM_KC1</t>
  </si>
  <si>
    <t>KUUM_KC2</t>
  </si>
  <si>
    <t>KUUM_KF1</t>
  </si>
  <si>
    <t>KUUM_KF2</t>
  </si>
  <si>
    <t>KUUM_KF3</t>
  </si>
  <si>
    <t>KUUM_KF4</t>
  </si>
  <si>
    <t>KUUM_KF7</t>
  </si>
  <si>
    <t>KUUM_KF8</t>
  </si>
  <si>
    <t>KUUM_KN1</t>
  </si>
  <si>
    <t>KUUM_KN2</t>
  </si>
  <si>
    <t>KUUM_KN3</t>
  </si>
  <si>
    <t>KUUM_KN4</t>
  </si>
  <si>
    <t>KUUM_KN5</t>
  </si>
  <si>
    <t>source: 2020_LFUCG_DR1_KU_Attach_to_Q12b and "KU Current Lighting Rates" workbook</t>
  </si>
  <si>
    <t>Proposed Fixture+ pole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</si>
</sst>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4" formatCode="_(&quot;$&quot;* #,##0.00_);_(&quot;$&quot;* \(#,##0.00\);_(&quot;$&quot;* &quot;-&quot;??_);_(@_)"/>
    <numFmt numFmtId="43" formatCode="_(* #,##0.00_);_(* \(#,##0.00\);_(* &quot;-&quot;??_);_(@_)"/>
    <numFmt numFmtId="164" formatCode="&quot;$&quot;#,##0.00"/>
    <numFmt numFmtId="165" formatCode="General_)"/>
    <numFmt numFmtId="167" formatCode="&quot;$&quot;#,##0"/>
    <numFmt numFmtId="168" formatCode="_(&quot;$&quot;* #,##0_);_(&quot;$&quot;* \(#,##0\);_(&quot;$&quot;* &quot;-&quot;??_);_(@_)"/>
    <numFmt numFmtId="169" formatCode="_(* #,##0_);_(* \(#,##0\);_(* &quot;-&quot;??_);_(@_)"/>
  </numFmts>
  <fonts count="10" x14ac:knownFonts="1">
    <font>
      <sz val="11"/>
      <color theme="1"/>
      <name val="Calibri"/>
      <family val="2"/>
      <scheme val="minor"/>
    </font>
    <font>
      <sz val="11"/>
      <color theme="1"/>
      <name val="Calibri"/>
      <family val="2"/>
      <scheme val="minor"/>
    </font>
    <font>
      <sz val="8"/>
      <color theme="1"/>
      <name val="Calibri"/>
      <family val="2"/>
      <scheme val="minor"/>
    </font>
    <font>
      <sz val="12"/>
      <name val="Helv"/>
    </font>
    <font>
      <sz val="12"/>
      <name val="Times New Roman"/>
      <family val="1"/>
    </font>
    <font>
      <sz val="24"/>
      <color theme="1"/>
      <name val="Calibri"/>
      <family val="2"/>
      <scheme val="minor"/>
    </font>
    <font>
      <b/>
      <sz val="20"/>
      <color theme="1"/>
      <name val="Calibri"/>
      <family val="2"/>
      <scheme val="minor"/>
    </font>
    <font>
      <sz val="11"/>
      <color theme="1"/>
      <name val="Calibri"/>
      <family val="2"/>
    </font>
    <font>
      <sz val="8"/>
      <color rgb="FF000000"/>
      <name val="Arial"/>
      <family val="2"/>
    </font>
    <font>
      <sz val="9"/>
      <color rgb="FF0000FF"/>
      <name val="Times New Roman"/>
      <family val="2"/>
    </font>
  </fonts>
  <fills count="4">
    <fill>
      <patternFill patternType="none"/>
    </fill>
    <fill>
      <patternFill patternType="gray125"/>
    </fill>
    <fill>
      <patternFill patternType="solid">
        <fgColor rgb="FFC6C4C4"/>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AEAEAE"/>
      </left>
      <right style="medium">
        <color rgb="FFAEAEAE"/>
      </right>
      <top style="medium">
        <color rgb="FFAEAEAE"/>
      </top>
      <bottom style="medium">
        <color rgb="FFAEAEAE"/>
      </bottom>
      <diagonal/>
    </border>
  </borders>
  <cellStyleXfs count="13">
    <xf numFmtId="0" fontId="0" fillId="0" borderId="0"/>
    <xf numFmtId="44" fontId="1"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165" fontId="3" fillId="0" borderId="0"/>
    <xf numFmtId="41" fontId="4"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66">
    <xf numFmtId="0" fontId="0" fillId="0" borderId="0" xfId="0"/>
    <xf numFmtId="0" fontId="0" fillId="0" borderId="0" xfId="0"/>
    <xf numFmtId="0" fontId="0" fillId="0" borderId="0" xfId="0" applyAlignment="1">
      <alignment horizontal="left"/>
    </xf>
    <xf numFmtId="0" fontId="0" fillId="0" borderId="0" xfId="0" applyFill="1" applyAlignment="1">
      <alignment horizontal="left" indent="1"/>
    </xf>
    <xf numFmtId="164" fontId="0" fillId="0" borderId="0" xfId="0" applyNumberFormat="1" applyAlignment="1">
      <alignment horizontal="right"/>
    </xf>
    <xf numFmtId="0" fontId="0" fillId="0" borderId="0" xfId="0" applyAlignment="1">
      <alignment horizontal="right"/>
    </xf>
    <xf numFmtId="44" fontId="0" fillId="0" borderId="0" xfId="1" applyFont="1" applyAlignment="1">
      <alignment horizontal="right"/>
    </xf>
    <xf numFmtId="49" fontId="0" fillId="0" borderId="0" xfId="0" applyNumberFormat="1" applyAlignment="1">
      <alignment horizontal="right"/>
    </xf>
    <xf numFmtId="49" fontId="0" fillId="0" borderId="0" xfId="0" applyNumberFormat="1" applyAlignment="1">
      <alignment horizontal="left"/>
    </xf>
    <xf numFmtId="0" fontId="0" fillId="0" borderId="0" xfId="0" applyFill="1" applyAlignment="1">
      <alignment horizontal="right" indent="1"/>
    </xf>
    <xf numFmtId="0" fontId="0" fillId="0" borderId="0" xfId="0"/>
    <xf numFmtId="0" fontId="0" fillId="0" borderId="0" xfId="0" applyAlignment="1">
      <alignment horizontal="right"/>
    </xf>
    <xf numFmtId="0" fontId="0" fillId="0" borderId="0" xfId="0" applyFont="1"/>
    <xf numFmtId="0" fontId="0" fillId="0" borderId="0" xfId="0" applyFont="1" applyAlignment="1">
      <alignment horizontal="right"/>
    </xf>
    <xf numFmtId="49" fontId="0" fillId="0" borderId="0" xfId="0" applyNumberFormat="1" applyFont="1" applyAlignment="1">
      <alignment horizontal="left"/>
    </xf>
    <xf numFmtId="0" fontId="0" fillId="0" borderId="0" xfId="0" applyFont="1" applyAlignment="1">
      <alignment horizontal="left"/>
    </xf>
    <xf numFmtId="164" fontId="0" fillId="0" borderId="0" xfId="0" applyNumberFormat="1" applyFont="1" applyAlignment="1">
      <alignment horizontal="right"/>
    </xf>
    <xf numFmtId="0" fontId="0" fillId="0" borderId="0" xfId="0" applyFont="1" applyFill="1" applyAlignment="1">
      <alignment horizontal="left" indent="1"/>
    </xf>
    <xf numFmtId="0" fontId="0" fillId="0" borderId="0" xfId="0" applyNumberFormat="1" applyFont="1" applyFill="1" applyAlignment="1">
      <alignment horizontal="left"/>
    </xf>
    <xf numFmtId="164" fontId="0" fillId="0" borderId="0" xfId="0" applyNumberFormat="1" applyFont="1"/>
    <xf numFmtId="0" fontId="5" fillId="0" borderId="0" xfId="0" applyFont="1" applyAlignment="1">
      <alignment horizontal="center"/>
    </xf>
    <xf numFmtId="0" fontId="0" fillId="0" borderId="0" xfId="0" applyAlignment="1">
      <alignment horizontal="left"/>
    </xf>
    <xf numFmtId="0" fontId="5" fillId="0" borderId="0" xfId="0" applyFont="1" applyAlignment="1">
      <alignment horizontal="center"/>
    </xf>
    <xf numFmtId="3" fontId="0" fillId="0" borderId="0" xfId="0" applyNumberFormat="1" applyFont="1" applyAlignment="1">
      <alignment horizontal="right"/>
    </xf>
    <xf numFmtId="49" fontId="0" fillId="0" borderId="0" xfId="0" applyNumberFormat="1" applyFont="1" applyAlignment="1">
      <alignment horizontal="left" wrapText="1"/>
    </xf>
    <xf numFmtId="49" fontId="0" fillId="0" borderId="0" xfId="0" applyNumberFormat="1" applyFont="1" applyAlignment="1">
      <alignment horizontal="right" wrapText="1"/>
    </xf>
    <xf numFmtId="0" fontId="0" fillId="0" borderId="0" xfId="0" applyFont="1" applyAlignment="1">
      <alignment horizontal="left" wrapText="1"/>
    </xf>
    <xf numFmtId="164" fontId="0" fillId="0" borderId="0" xfId="0" applyNumberFormat="1" applyFont="1" applyAlignment="1">
      <alignment horizontal="right" wrapText="1"/>
    </xf>
    <xf numFmtId="0" fontId="0" fillId="0" borderId="0" xfId="0" applyFont="1" applyAlignment="1">
      <alignment horizontal="right" wrapText="1"/>
    </xf>
    <xf numFmtId="0" fontId="0" fillId="0" borderId="0" xfId="0" applyAlignment="1">
      <alignment wrapText="1"/>
    </xf>
    <xf numFmtId="164" fontId="0" fillId="0" borderId="0" xfId="0" applyNumberFormat="1"/>
    <xf numFmtId="10" fontId="0" fillId="0" borderId="3" xfId="9" applyNumberFormat="1" applyFont="1" applyFill="1" applyBorder="1" applyAlignment="1">
      <alignment horizontal="left" indent="1"/>
    </xf>
    <xf numFmtId="0" fontId="6" fillId="0" borderId="1" xfId="0" applyFont="1" applyFill="1" applyBorder="1" applyAlignment="1">
      <alignment horizontal="left" indent="1"/>
    </xf>
    <xf numFmtId="44" fontId="0" fillId="0" borderId="0" xfId="1" applyFont="1" applyBorder="1"/>
    <xf numFmtId="0" fontId="0" fillId="0" borderId="2" xfId="0" applyFont="1" applyFill="1" applyBorder="1" applyAlignment="1">
      <alignment horizontal="left" wrapText="1" indent="1"/>
    </xf>
    <xf numFmtId="168" fontId="0" fillId="0" borderId="0" xfId="1" applyNumberFormat="1" applyFont="1" applyAlignment="1">
      <alignment horizontal="right"/>
    </xf>
    <xf numFmtId="167" fontId="0" fillId="0" borderId="0" xfId="0" applyNumberFormat="1" applyAlignment="1">
      <alignment horizontal="right"/>
    </xf>
    <xf numFmtId="168" fontId="0" fillId="0" borderId="0" xfId="0" applyNumberFormat="1"/>
    <xf numFmtId="168" fontId="0" fillId="0" borderId="0" xfId="1" applyNumberFormat="1" applyFont="1"/>
    <xf numFmtId="44" fontId="0" fillId="0" borderId="0" xfId="0" applyNumberFormat="1"/>
    <xf numFmtId="49" fontId="0" fillId="0" borderId="0" xfId="0" applyNumberFormat="1" applyBorder="1" applyAlignment="1">
      <alignment horizontal="center"/>
    </xf>
    <xf numFmtId="0" fontId="0" fillId="0" borderId="0" xfId="0" applyBorder="1"/>
    <xf numFmtId="49" fontId="0" fillId="0" borderId="0" xfId="0" applyNumberFormat="1" applyBorder="1"/>
    <xf numFmtId="0" fontId="0" fillId="0" borderId="0" xfId="0" applyBorder="1" applyAlignment="1">
      <alignment horizontal="center"/>
    </xf>
    <xf numFmtId="44" fontId="0" fillId="0" borderId="0" xfId="1" applyFont="1" applyFill="1" applyAlignment="1">
      <alignment horizontal="left" indent="1"/>
    </xf>
    <xf numFmtId="0" fontId="0" fillId="0" borderId="0" xfId="0" applyBorder="1" applyAlignment="1">
      <alignment horizontal="left"/>
    </xf>
    <xf numFmtId="0" fontId="0" fillId="0" borderId="0" xfId="0" applyBorder="1" applyAlignment="1">
      <alignment horizontal="center" wrapText="1"/>
    </xf>
    <xf numFmtId="0" fontId="0" fillId="0" borderId="0" xfId="0" applyBorder="1" applyAlignment="1">
      <alignment wrapText="1"/>
    </xf>
    <xf numFmtId="0" fontId="0" fillId="0" borderId="0" xfId="0" applyAlignment="1">
      <alignment horizontal="left" indent="1"/>
    </xf>
    <xf numFmtId="49" fontId="0" fillId="0" borderId="0" xfId="0" applyNumberFormat="1" applyAlignment="1">
      <alignment horizontal="left" wrapText="1"/>
    </xf>
    <xf numFmtId="49" fontId="0" fillId="0" borderId="0" xfId="0" applyNumberFormat="1" applyAlignment="1">
      <alignment horizontal="right" wrapText="1"/>
    </xf>
    <xf numFmtId="169" fontId="0" fillId="0" borderId="0" xfId="10" applyNumberFormat="1" applyFont="1"/>
    <xf numFmtId="0" fontId="0" fillId="0" borderId="0" xfId="0" applyAlignment="1">
      <alignment horizontal="left"/>
    </xf>
    <xf numFmtId="0" fontId="5"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168" fontId="0" fillId="0" borderId="0" xfId="0" applyNumberFormat="1" applyFill="1" applyAlignment="1">
      <alignment horizontal="right" indent="1"/>
    </xf>
    <xf numFmtId="168" fontId="0" fillId="0" borderId="0" xfId="1" applyNumberFormat="1" applyFont="1" applyFill="1" applyAlignment="1">
      <alignment horizontal="left" indent="1"/>
    </xf>
    <xf numFmtId="168" fontId="0" fillId="0" borderId="0" xfId="1" applyNumberFormat="1" applyFont="1" applyAlignment="1">
      <alignment horizontal="left"/>
    </xf>
    <xf numFmtId="49" fontId="8" fillId="2" borderId="7" xfId="11" applyNumberFormat="1" applyFont="1" applyFill="1" applyBorder="1" applyAlignment="1">
      <alignment horizontal="left" vertical="center" wrapText="1"/>
    </xf>
    <xf numFmtId="169" fontId="9" fillId="3" borderId="0" xfId="12" applyNumberFormat="1" applyFont="1" applyFill="1"/>
    <xf numFmtId="49" fontId="8" fillId="2" borderId="0" xfId="11" applyNumberFormat="1" applyFont="1" applyFill="1" applyAlignment="1">
      <alignment horizontal="left" vertical="center" wrapText="1"/>
    </xf>
    <xf numFmtId="168" fontId="0" fillId="0" borderId="0" xfId="0" applyNumberFormat="1" applyFill="1" applyAlignment="1">
      <alignment horizontal="left" indent="1"/>
    </xf>
    <xf numFmtId="0" fontId="6" fillId="0" borderId="4" xfId="0" applyFont="1" applyFill="1" applyBorder="1" applyAlignment="1">
      <alignment horizontal="left" indent="1"/>
    </xf>
    <xf numFmtId="0" fontId="0" fillId="0" borderId="5" xfId="0" applyFont="1" applyFill="1" applyBorder="1" applyAlignment="1">
      <alignment horizontal="left" wrapText="1" indent="1"/>
    </xf>
    <xf numFmtId="10" fontId="0" fillId="0" borderId="6" xfId="9" applyNumberFormat="1" applyFont="1" applyFill="1" applyBorder="1" applyAlignment="1">
      <alignment horizontal="left" indent="1"/>
    </xf>
  </cellXfs>
  <cellStyles count="13">
    <cellStyle name="Comma" xfId="10" builtinId="3"/>
    <cellStyle name="Comma 2" xfId="4" xr:uid="{00000000-0005-0000-0000-000001000000}"/>
    <cellStyle name="Comma 92" xfId="12" xr:uid="{2503F293-5EA8-43AC-BDF5-FF1BE4F8DF00}"/>
    <cellStyle name="Currency" xfId="1" builtinId="4"/>
    <cellStyle name="Currency 2" xfId="6" xr:uid="{00000000-0005-0000-0000-000003000000}"/>
    <cellStyle name="Normal" xfId="0" builtinId="0"/>
    <cellStyle name="Normal 2" xfId="2" xr:uid="{00000000-0005-0000-0000-000005000000}"/>
    <cellStyle name="Normal 2 19" xfId="8" xr:uid="{00000000-0005-0000-0000-000006000000}"/>
    <cellStyle name="Normal 3" xfId="3" xr:uid="{00000000-0005-0000-0000-000007000000}"/>
    <cellStyle name="Normal 6" xfId="7" xr:uid="{00000000-0005-0000-0000-000008000000}"/>
    <cellStyle name="Normal 80" xfId="11" xr:uid="{589B2A67-7FB3-4B0D-8242-045C03BB7824}"/>
    <cellStyle name="Percent" xfId="9" builtinId="5"/>
    <cellStyle name="Percent 2" xfId="5" xr:uid="{00000000-0005-0000-0000-000009000000}"/>
  </cellStyles>
  <dxfs count="7">
    <dxf>
      <fill>
        <patternFill>
          <bgColor theme="4" tint="0.59996337778862885"/>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6" tint="0.79998168889431442"/>
        </patternFill>
      </fill>
    </dxf>
    <dxf>
      <fill>
        <patternFill>
          <bgColor rgb="FFCCCCFF"/>
        </patternFill>
      </fill>
    </dxf>
    <dxf>
      <fill>
        <patternFill>
          <bgColor theme="4" tint="0.59996337778862885"/>
        </patternFill>
      </fill>
    </dxf>
  </dxfs>
  <tableStyles count="1" defaultTableStyle="TableStyleMedium2" defaultPivotStyle="PivotStyleLight16">
    <tableStyle name="Table Style 1" pivot="0" count="0" xr9:uid="{00000000-0011-0000-FFFF-FFFF00000000}"/>
  </tableStyles>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57149</xdr:rowOff>
    </xdr:from>
    <xdr:to>
      <xdr:col>5</xdr:col>
      <xdr:colOff>19050</xdr:colOff>
      <xdr:row>5</xdr:row>
      <xdr:rowOff>85724</xdr:rowOff>
    </xdr:to>
    <xdr:sp macro="" textlink="">
      <xdr:nvSpPr>
        <xdr:cNvPr id="2" name="TextBox 1">
          <a:extLst>
            <a:ext uri="{FF2B5EF4-FFF2-40B4-BE49-F238E27FC236}">
              <a16:creationId xmlns:a16="http://schemas.microsoft.com/office/drawing/2014/main" id="{EE7F2AD5-B02C-48A1-B9F2-E3DED915E559}"/>
            </a:ext>
          </a:extLst>
        </xdr:cNvPr>
        <xdr:cNvSpPr txBox="1"/>
      </xdr:nvSpPr>
      <xdr:spPr>
        <a:xfrm>
          <a:off x="85725" y="247649"/>
          <a:ext cx="725805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HID fixtures that</a:t>
          </a:r>
          <a:r>
            <a:rPr lang="en-US" sz="1100" baseline="0"/>
            <a:t> have a cheaper LED equivalent are charged the "Unified Rate" and will be converted to LED at the Company's discretion. HID fixtures with an assigned "HID rate" do not have a cheaper LED equivalent, will be charged the HID rate and will not automatically be converted by the Company. Customers may request conversion of HID fixtures that are not under the Unified Rate but must pay conversion fees.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140"/>
  <sheetViews>
    <sheetView zoomScale="84" zoomScaleNormal="84" workbookViewId="0">
      <selection activeCell="I4" sqref="I4:O4"/>
    </sheetView>
  </sheetViews>
  <sheetFormatPr defaultRowHeight="15" x14ac:dyDescent="0.25"/>
  <cols>
    <col min="1" max="1" width="8.140625" style="2" customWidth="1"/>
    <col min="2" max="2" width="46" style="2" customWidth="1"/>
    <col min="3" max="3" width="14.42578125" style="21" customWidth="1"/>
    <col min="4" max="4" width="11.42578125" style="5" customWidth="1"/>
    <col min="5" max="5" width="8.42578125" style="11" customWidth="1"/>
    <col min="6" max="6" width="17" style="11" customWidth="1"/>
    <col min="7" max="7" width="9.28515625" style="5" customWidth="1"/>
    <col min="8" max="8" width="2.5703125" style="11" customWidth="1"/>
    <col min="9" max="9" width="8.85546875" style="2" customWidth="1"/>
    <col min="10" max="10" width="9.42578125" style="2" bestFit="1" customWidth="1"/>
    <col min="11" max="11" width="38.7109375" style="2" bestFit="1" customWidth="1"/>
    <col min="12" max="12" width="11.140625" style="4" customWidth="1"/>
    <col min="13" max="13" width="12.28515625" style="4" customWidth="1"/>
    <col min="14" max="14" width="7.28515625" style="4" customWidth="1"/>
    <col min="15" max="15" width="11.42578125" style="4" customWidth="1"/>
    <col min="16" max="16" width="14.42578125" customWidth="1"/>
    <col min="18" max="18" width="10.7109375" bestFit="1" customWidth="1"/>
    <col min="19" max="19" width="10" customWidth="1"/>
    <col min="20" max="20" width="9.7109375" customWidth="1"/>
    <col min="23" max="23" width="37.85546875" customWidth="1"/>
    <col min="24" max="24" width="10.7109375" customWidth="1"/>
  </cols>
  <sheetData>
    <row r="1" spans="1:26" s="10" customFormat="1" ht="32.25" thickBot="1" x14ac:dyDescent="0.55000000000000004">
      <c r="A1" s="53" t="s">
        <v>145</v>
      </c>
      <c r="B1" s="53"/>
      <c r="C1" s="53"/>
      <c r="D1" s="53"/>
      <c r="E1" s="53"/>
      <c r="F1" s="53"/>
      <c r="G1" s="53"/>
      <c r="H1" s="53"/>
      <c r="I1" s="53"/>
      <c r="J1" s="53"/>
      <c r="K1" s="53"/>
      <c r="L1" s="53"/>
      <c r="M1" s="53"/>
      <c r="N1" s="53"/>
      <c r="O1" s="53"/>
      <c r="P1" s="12"/>
    </row>
    <row r="2" spans="1:26" s="10" customFormat="1" ht="36.75" customHeight="1" x14ac:dyDescent="0.5">
      <c r="A2" s="20"/>
      <c r="B2" s="32" t="s">
        <v>126</v>
      </c>
      <c r="C2" s="34" t="s">
        <v>135</v>
      </c>
      <c r="D2" s="31">
        <v>-0.1888</v>
      </c>
      <c r="E2" s="20"/>
      <c r="F2" s="22"/>
      <c r="G2" s="20"/>
      <c r="H2" s="20"/>
      <c r="I2" s="20"/>
      <c r="J2" s="20"/>
      <c r="K2" s="20"/>
      <c r="L2" s="20"/>
      <c r="M2" s="20"/>
      <c r="N2" s="20"/>
      <c r="O2" s="22"/>
      <c r="P2" s="12"/>
    </row>
    <row r="3" spans="1:26" s="10" customFormat="1" ht="36.75" customHeight="1" thickBot="1" x14ac:dyDescent="0.55000000000000004">
      <c r="A3" s="20"/>
      <c r="B3" s="63"/>
      <c r="C3" s="64" t="s">
        <v>136</v>
      </c>
      <c r="D3" s="65">
        <v>-0.2631</v>
      </c>
      <c r="E3" s="20"/>
      <c r="F3" s="22"/>
      <c r="G3" s="20"/>
      <c r="H3" s="20"/>
      <c r="I3" s="20"/>
      <c r="J3" s="20"/>
      <c r="K3" s="20"/>
      <c r="L3" s="20"/>
      <c r="M3" s="20"/>
      <c r="N3" s="20"/>
      <c r="O3" s="22"/>
      <c r="P3" s="12"/>
    </row>
    <row r="4" spans="1:26" x14ac:dyDescent="0.25">
      <c r="A4" s="54"/>
      <c r="B4" s="54"/>
      <c r="C4" s="54"/>
      <c r="D4" s="54"/>
      <c r="E4" s="54"/>
      <c r="F4" s="54"/>
      <c r="G4" s="54"/>
      <c r="H4" s="13"/>
      <c r="I4" s="54"/>
      <c r="J4" s="54"/>
      <c r="K4" s="54"/>
      <c r="L4" s="54"/>
      <c r="M4" s="54"/>
      <c r="N4" s="54"/>
      <c r="O4" s="54"/>
      <c r="P4" s="15" t="s">
        <v>124</v>
      </c>
      <c r="V4" s="55" t="s">
        <v>238</v>
      </c>
      <c r="W4" s="55"/>
      <c r="X4" s="55"/>
    </row>
    <row r="5" spans="1:26" s="29" customFormat="1" ht="76.5" customHeight="1" thickBot="1" x14ac:dyDescent="0.3">
      <c r="A5" s="24" t="s">
        <v>16</v>
      </c>
      <c r="B5" s="24" t="s">
        <v>49</v>
      </c>
      <c r="C5" s="24" t="s">
        <v>140</v>
      </c>
      <c r="D5" s="25" t="s">
        <v>128</v>
      </c>
      <c r="E5" s="25" t="s">
        <v>141</v>
      </c>
      <c r="F5" s="25" t="s">
        <v>138</v>
      </c>
      <c r="G5" s="25" t="s">
        <v>50</v>
      </c>
      <c r="H5" s="25"/>
      <c r="I5" s="24" t="s">
        <v>0</v>
      </c>
      <c r="J5" s="24" t="s">
        <v>86</v>
      </c>
      <c r="K5" s="26" t="s">
        <v>85</v>
      </c>
      <c r="L5" s="27" t="s">
        <v>239</v>
      </c>
      <c r="M5" s="27" t="s">
        <v>152</v>
      </c>
      <c r="N5" s="27" t="s">
        <v>142</v>
      </c>
      <c r="O5" s="27" t="s">
        <v>137</v>
      </c>
      <c r="P5" s="28" t="s">
        <v>127</v>
      </c>
      <c r="Q5" s="29" t="s">
        <v>125</v>
      </c>
      <c r="R5" s="29" t="s">
        <v>144</v>
      </c>
      <c r="S5" s="29" t="s">
        <v>143</v>
      </c>
      <c r="T5" s="29" t="s">
        <v>146</v>
      </c>
      <c r="V5" s="49" t="s">
        <v>147</v>
      </c>
      <c r="W5" s="49" t="s">
        <v>148</v>
      </c>
      <c r="X5" s="50" t="s">
        <v>149</v>
      </c>
    </row>
    <row r="6" spans="1:26" ht="15.75" thickBot="1" x14ac:dyDescent="0.3">
      <c r="A6" s="14">
        <v>447</v>
      </c>
      <c r="B6" s="17" t="s">
        <v>29</v>
      </c>
      <c r="C6" s="44">
        <f>VLOOKUP(A6,$V$6:$X$94,3)</f>
        <v>13.93</v>
      </c>
      <c r="D6" s="16">
        <f>C6*(1+$D$2)</f>
        <v>11.300015999999999</v>
      </c>
      <c r="E6" s="23">
        <f>VLOOKUP(A6,$V$6:$Z$94,5)/12</f>
        <v>451.33333333333331</v>
      </c>
      <c r="F6" s="35">
        <f>D6*E6</f>
        <v>5100.0738879999999</v>
      </c>
      <c r="G6" s="13">
        <v>294</v>
      </c>
      <c r="H6" s="13"/>
      <c r="I6" s="14">
        <v>390</v>
      </c>
      <c r="J6" s="18">
        <v>0</v>
      </c>
      <c r="K6" s="15" t="str">
        <f>VLOOKUP(I6,$V$6:$W$94,2)</f>
        <v>LS 390 OH LED Cobra 6000-8200</v>
      </c>
      <c r="L6" s="16">
        <f>VLOOKUP(I6,$V$6:$X$94,3)+VLOOKUP(J6,$V$95:$X$100,3)</f>
        <v>9.58</v>
      </c>
      <c r="M6" s="16">
        <f>L6*(1+$D$3)</f>
        <v>7.0595020000000002</v>
      </c>
      <c r="N6" s="23">
        <f>IF(I6&lt;&gt;I5,VLOOKUP(I6,$V$6:$Z$94,5)/12,"")</f>
        <v>334.66666666666669</v>
      </c>
      <c r="O6" s="35">
        <f>IF(I6&lt;&gt;I5,M6*N6,"")</f>
        <v>2362.580002666667</v>
      </c>
      <c r="P6" s="19">
        <f>D6-M6</f>
        <v>4.2405139999999992</v>
      </c>
      <c r="Q6" t="str">
        <f>IF(P6&gt;0,"Yes","No")</f>
        <v>Yes</v>
      </c>
      <c r="R6" s="51">
        <f>N6+SUMIFS(E6:E$68,Q6:Q$68,"Yes",I6:I$68,I6)</f>
        <v>21859</v>
      </c>
      <c r="S6" s="37">
        <f>O6+SUMIF(I6:I$68,I6,F6:F$68)</f>
        <v>196526.91254666669</v>
      </c>
      <c r="T6" s="39">
        <f>IF(R6&lt;&gt;"",S6/R6,"")</f>
        <v>8.9906634588346535</v>
      </c>
      <c r="V6" s="52">
        <v>390</v>
      </c>
      <c r="W6" s="11" t="s">
        <v>51</v>
      </c>
      <c r="X6" s="6">
        <v>9.58</v>
      </c>
      <c r="Y6" s="59" t="s">
        <v>153</v>
      </c>
      <c r="Z6" s="60">
        <v>4016</v>
      </c>
    </row>
    <row r="7" spans="1:26" ht="15.75" thickBot="1" x14ac:dyDescent="0.3">
      <c r="A7" s="14">
        <v>463</v>
      </c>
      <c r="B7" s="17" t="s">
        <v>87</v>
      </c>
      <c r="C7" s="44">
        <f>VLOOKUP(A7,$V$6:$X$94,3)</f>
        <v>11.06</v>
      </c>
      <c r="D7" s="16">
        <f>C7*(1+$D$2)</f>
        <v>8.9718720000000012</v>
      </c>
      <c r="E7" s="23">
        <f t="shared" ref="E7:E68" si="0">VLOOKUP(A7,$V$6:$Z$94,5)/12</f>
        <v>21073</v>
      </c>
      <c r="F7" s="35">
        <f>D7*E7</f>
        <v>189064.25865600002</v>
      </c>
      <c r="G7" s="13">
        <v>117</v>
      </c>
      <c r="H7" s="13"/>
      <c r="I7" s="14">
        <v>390</v>
      </c>
      <c r="J7" s="18">
        <v>0</v>
      </c>
      <c r="K7" s="15" t="str">
        <f>VLOOKUP(I7,$V$6:$W$94,2)</f>
        <v>LS 390 OH LED Cobra 6000-8200</v>
      </c>
      <c r="L7" s="16">
        <f>VLOOKUP(I7,$V$6:$X$94,3)+VLOOKUP(J7,$V$95:$X$100,3)</f>
        <v>9.58</v>
      </c>
      <c r="M7" s="16">
        <f>L7*(1+$D$3)</f>
        <v>7.0595020000000002</v>
      </c>
      <c r="N7" s="23" t="str">
        <f>IF(I7&lt;&gt;I6,VLOOKUP(I7,$V$6:$Z$94,5)/12,"")</f>
        <v/>
      </c>
      <c r="O7" s="35" t="str">
        <f>IF(I7&lt;&gt;I6,M7*N7,"")</f>
        <v/>
      </c>
      <c r="P7" s="19">
        <f>D7-M7</f>
        <v>1.912370000000001</v>
      </c>
      <c r="Q7" s="10" t="str">
        <f>IF(P7&gt;0,"Yes","No")</f>
        <v>Yes</v>
      </c>
      <c r="R7" s="51" t="str">
        <f>IF(I7&lt;&gt;I6,N7+SUMIFS(E7:E$68,Q7:Q$68,"Yes",I7:I$68,I7),"")</f>
        <v/>
      </c>
      <c r="S7" s="38" t="str">
        <f>IF(I7&lt;&gt;I6,O7+SUMIFS(F7:F$68,I7:I$68,I7,Q7:Q$68,"Yes"),"")</f>
        <v/>
      </c>
      <c r="T7" s="39" t="str">
        <f>IF(R7&lt;&gt;"",S7/R7,"")</f>
        <v/>
      </c>
      <c r="V7" s="52">
        <v>391</v>
      </c>
      <c r="W7" s="11" t="s">
        <v>52</v>
      </c>
      <c r="X7" s="6">
        <v>11.55</v>
      </c>
      <c r="Y7" s="59" t="s">
        <v>154</v>
      </c>
      <c r="Z7" s="60">
        <v>3756</v>
      </c>
    </row>
    <row r="8" spans="1:26" ht="15.75" thickBot="1" x14ac:dyDescent="0.3">
      <c r="A8" s="14">
        <v>448</v>
      </c>
      <c r="B8" s="17" t="s">
        <v>30</v>
      </c>
      <c r="C8" s="44">
        <f>VLOOKUP(A8,$V$6:$X$94,3)</f>
        <v>15.14</v>
      </c>
      <c r="D8" s="16">
        <f>C8*(1+$D$2)</f>
        <v>12.281568000000002</v>
      </c>
      <c r="E8" s="23">
        <f t="shared" si="0"/>
        <v>971</v>
      </c>
      <c r="F8" s="35">
        <f>D8*E8</f>
        <v>11925.402528000002</v>
      </c>
      <c r="G8" s="13">
        <v>453</v>
      </c>
      <c r="H8" s="13"/>
      <c r="I8" s="14">
        <v>391</v>
      </c>
      <c r="J8" s="18">
        <v>0</v>
      </c>
      <c r="K8" s="15" t="str">
        <f>VLOOKUP(I8,$V$6:$W$94,2)</f>
        <v>LS 391 OH LED Cobra 13000-16500</v>
      </c>
      <c r="L8" s="16">
        <f>VLOOKUP(I8,$V$6:$X$94,3)+VLOOKUP(J8,$V$95:$X$100,3)</f>
        <v>11.55</v>
      </c>
      <c r="M8" s="16">
        <f>L8*(1+$D$3)</f>
        <v>8.5111950000000007</v>
      </c>
      <c r="N8" s="23">
        <f t="shared" ref="N8:N68" si="1">IF(I8&lt;&gt;I7,VLOOKUP(I8,$V$6:$Z$94,5)/12,"")</f>
        <v>313</v>
      </c>
      <c r="O8" s="35">
        <f t="shared" ref="O8:O68" si="2">IF(I8&lt;&gt;I7,M8*N8,"")</f>
        <v>2664.0040350000004</v>
      </c>
      <c r="P8" s="19">
        <f>D8-M8</f>
        <v>3.7703730000000011</v>
      </c>
      <c r="Q8" s="10" t="str">
        <f>IF(P8&gt;0,"Yes","No")</f>
        <v>Yes</v>
      </c>
      <c r="R8" s="51">
        <f>IF(I8&lt;&gt;I7,N8+SUMIFS(E8:E$68,Q8:Q$68,"Yes",I8:I$68,I8),"")</f>
        <v>9069</v>
      </c>
      <c r="S8" s="38">
        <f>IF(I8&lt;&gt;I7,O8+SUMIFS(F8:F$68,I8:I$68,I8,Q8:Q$68,"Yes"),"")</f>
        <v>122894.94936300001</v>
      </c>
      <c r="T8" s="39">
        <f>IF(R8&lt;&gt;"",S8/R8,"")</f>
        <v>13.551102587165069</v>
      </c>
      <c r="V8" s="52">
        <v>392</v>
      </c>
      <c r="W8" s="11" t="s">
        <v>53</v>
      </c>
      <c r="X8" s="6">
        <v>14.86</v>
      </c>
      <c r="Y8" s="59" t="s">
        <v>155</v>
      </c>
      <c r="Z8" s="60">
        <v>3778</v>
      </c>
    </row>
    <row r="9" spans="1:26" ht="15.75" thickBot="1" x14ac:dyDescent="0.3">
      <c r="A9" s="14">
        <v>464</v>
      </c>
      <c r="B9" s="17" t="s">
        <v>89</v>
      </c>
      <c r="C9" s="44">
        <f>VLOOKUP(A9,$V$6:$X$94,3)</f>
        <v>17.149999999999999</v>
      </c>
      <c r="D9" s="16">
        <f>C9*(1+$D$2)</f>
        <v>13.91208</v>
      </c>
      <c r="E9" s="23">
        <f t="shared" si="0"/>
        <v>7785</v>
      </c>
      <c r="F9" s="35">
        <f>D9*E9</f>
        <v>108305.5428</v>
      </c>
      <c r="G9" s="13">
        <v>242</v>
      </c>
      <c r="H9" s="13"/>
      <c r="I9" s="14">
        <v>391</v>
      </c>
      <c r="J9" s="18">
        <v>0</v>
      </c>
      <c r="K9" s="15" t="str">
        <f>VLOOKUP(I9,$V$6:$W$94,2)</f>
        <v>LS 391 OH LED Cobra 13000-16500</v>
      </c>
      <c r="L9" s="16">
        <f>VLOOKUP(I9,$V$6:$X$94,3)+VLOOKUP(J9,$V$95:$X$100,3)</f>
        <v>11.55</v>
      </c>
      <c r="M9" s="16">
        <f>L9*(1+$D$3)</f>
        <v>8.5111950000000007</v>
      </c>
      <c r="N9" s="23" t="str">
        <f t="shared" si="1"/>
        <v/>
      </c>
      <c r="O9" s="35" t="str">
        <f t="shared" si="2"/>
        <v/>
      </c>
      <c r="P9" s="19">
        <f>D9-M9</f>
        <v>5.4008849999999988</v>
      </c>
      <c r="Q9" s="10" t="str">
        <f>IF(P9&gt;0,"Yes","No")</f>
        <v>Yes</v>
      </c>
      <c r="R9" s="51" t="str">
        <f>IF(I9&lt;&gt;I8,N9+SUMIFS(E9:E$68,Q9:Q$68,"Yes",I9:I$68,I9),"")</f>
        <v/>
      </c>
      <c r="S9" s="38" t="str">
        <f>IF(I9&lt;&gt;I8,O9+SUMIFS(F9:F$68,I9:I$68,I9,Q9:Q$68,"Yes"),"")</f>
        <v/>
      </c>
      <c r="T9" s="39" t="str">
        <f>IF(R9&lt;&gt;"",S9/R9,"")</f>
        <v/>
      </c>
      <c r="V9" s="52">
        <v>393</v>
      </c>
      <c r="W9" s="11" t="s">
        <v>54</v>
      </c>
      <c r="X9" s="6">
        <v>7.84</v>
      </c>
      <c r="Y9" s="59" t="s">
        <v>156</v>
      </c>
      <c r="Z9" s="60">
        <v>16956</v>
      </c>
    </row>
    <row r="10" spans="1:26" ht="15.75" thickBot="1" x14ac:dyDescent="0.3">
      <c r="A10" s="14">
        <v>409</v>
      </c>
      <c r="B10" s="17" t="s">
        <v>18</v>
      </c>
      <c r="C10" s="44">
        <f>VLOOKUP(A10,$V$6:$X$94,3)</f>
        <v>14.84</v>
      </c>
      <c r="D10" s="16">
        <f>C10*(1+$D$2)</f>
        <v>12.038208000000001</v>
      </c>
      <c r="E10" s="23">
        <f t="shared" si="0"/>
        <v>107</v>
      </c>
      <c r="F10" s="35">
        <f>D10*E10</f>
        <v>1288.088256</v>
      </c>
      <c r="G10" s="13">
        <v>471</v>
      </c>
      <c r="H10" s="13"/>
      <c r="I10" s="14">
        <v>392</v>
      </c>
      <c r="J10" s="18">
        <v>0</v>
      </c>
      <c r="K10" s="15" t="str">
        <f>VLOOKUP(I10,$V$6:$W$94,2)</f>
        <v>LS 392 OH LED Cobra 22000-29000</v>
      </c>
      <c r="L10" s="16">
        <f>VLOOKUP(I10,$V$6:$X$94,3)+VLOOKUP(J10,$V$95:$X$100,3)</f>
        <v>14.86</v>
      </c>
      <c r="M10" s="16">
        <f>L10*(1+$D$3)</f>
        <v>10.950334</v>
      </c>
      <c r="N10" s="23">
        <f t="shared" si="1"/>
        <v>314.83333333333331</v>
      </c>
      <c r="O10" s="35">
        <f t="shared" si="2"/>
        <v>3447.530154333333</v>
      </c>
      <c r="P10" s="19">
        <f>D10-M10</f>
        <v>1.0878740000000011</v>
      </c>
      <c r="Q10" s="10" t="str">
        <f>IF(P10&gt;0,"Yes","No")</f>
        <v>Yes</v>
      </c>
      <c r="R10" s="51">
        <f>IF(I10&lt;&gt;I9,N10+SUMIFS(E10:E$68,Q10:Q$68,"Yes",I10:I$68,I10),"")</f>
        <v>3107</v>
      </c>
      <c r="S10" s="38">
        <f>IF(I10&lt;&gt;I9,O10+SUMIFS(F10:F$68,I10:I$68,I10,Q10:Q$68,"Yes"),"")</f>
        <v>63612.559026333336</v>
      </c>
      <c r="T10" s="39">
        <f>IF(R10&lt;&gt;"",S10/R10,"")</f>
        <v>20.473948833708832</v>
      </c>
      <c r="V10" s="52">
        <v>396</v>
      </c>
      <c r="W10" s="11" t="s">
        <v>60</v>
      </c>
      <c r="X10" s="6">
        <v>5.35</v>
      </c>
      <c r="Y10" s="59" t="s">
        <v>157</v>
      </c>
      <c r="Z10" s="60">
        <v>1482</v>
      </c>
    </row>
    <row r="11" spans="1:26" ht="15.75" thickBot="1" x14ac:dyDescent="0.3">
      <c r="A11" s="14">
        <v>465</v>
      </c>
      <c r="B11" s="17" t="s">
        <v>90</v>
      </c>
      <c r="C11" s="44">
        <f>VLOOKUP(A11,$V$6:$X$94,3)</f>
        <v>27.03</v>
      </c>
      <c r="D11" s="16">
        <f>C11*(1+$D$2)</f>
        <v>21.926736000000002</v>
      </c>
      <c r="E11" s="23">
        <f t="shared" si="0"/>
        <v>2685.1666666666665</v>
      </c>
      <c r="F11" s="35">
        <f>D11*E11</f>
        <v>58876.940616</v>
      </c>
      <c r="G11" s="13">
        <v>471</v>
      </c>
      <c r="H11" s="13"/>
      <c r="I11" s="14">
        <v>392</v>
      </c>
      <c r="J11" s="18">
        <v>0</v>
      </c>
      <c r="K11" s="15" t="str">
        <f>VLOOKUP(I11,$V$6:$W$94,2)</f>
        <v>LS 392 OH LED Cobra 22000-29000</v>
      </c>
      <c r="L11" s="16">
        <f>VLOOKUP(I11,$V$6:$X$94,3)+VLOOKUP(J11,$V$95:$X$100,3)</f>
        <v>14.86</v>
      </c>
      <c r="M11" s="16">
        <f>L11*(1+$D$3)</f>
        <v>10.950334</v>
      </c>
      <c r="N11" s="23" t="str">
        <f t="shared" si="1"/>
        <v/>
      </c>
      <c r="O11" s="35" t="str">
        <f t="shared" si="2"/>
        <v/>
      </c>
      <c r="P11" s="19">
        <f>D11-M11</f>
        <v>10.976402000000002</v>
      </c>
      <c r="Q11" s="10" t="str">
        <f>IF(P11&gt;0,"Yes","No")</f>
        <v>Yes</v>
      </c>
      <c r="R11" s="51" t="str">
        <f>IF(I11&lt;&gt;I10,N11+SUMIFS(E11:E$68,Q11:Q$68,"Yes",I11:I$68,I11),"")</f>
        <v/>
      </c>
      <c r="S11" s="38" t="str">
        <f>IF(I11&lt;&gt;I10,O11+SUMIFS(F11:F$68,I11:I$68,I11,Q11:Q$68,"Yes"),"")</f>
        <v/>
      </c>
      <c r="T11" s="39" t="str">
        <f>IF(R11&lt;&gt;"",S11/R11,"")</f>
        <v/>
      </c>
      <c r="V11" s="52">
        <v>397</v>
      </c>
      <c r="W11" s="11" t="s">
        <v>61</v>
      </c>
      <c r="X11" s="6">
        <v>7.33</v>
      </c>
      <c r="Y11" s="59" t="s">
        <v>158</v>
      </c>
      <c r="Z11" s="60">
        <v>9118</v>
      </c>
    </row>
    <row r="12" spans="1:26" ht="15.75" thickBot="1" x14ac:dyDescent="0.3">
      <c r="A12" s="14">
        <v>404</v>
      </c>
      <c r="B12" s="17" t="s">
        <v>17</v>
      </c>
      <c r="C12" s="44">
        <f>VLOOKUP(A12,$V$6:$X$94,3)</f>
        <v>12.42</v>
      </c>
      <c r="D12" s="16">
        <f>C12*(1+$D$2)</f>
        <v>10.075104</v>
      </c>
      <c r="E12" s="23">
        <f t="shared" si="0"/>
        <v>4968</v>
      </c>
      <c r="F12" s="35">
        <f>D12*E12</f>
        <v>50053.116671999996</v>
      </c>
      <c r="G12" s="13">
        <v>207</v>
      </c>
      <c r="H12" s="13"/>
      <c r="I12" s="14">
        <v>393</v>
      </c>
      <c r="J12" s="18">
        <v>0</v>
      </c>
      <c r="K12" s="15" t="str">
        <f>VLOOKUP(I12,$V$6:$W$94,2)</f>
        <v>LS 393 OH LED Open Bottom 4500-6000</v>
      </c>
      <c r="L12" s="16">
        <f>VLOOKUP(I12,$V$6:$X$94,3)+VLOOKUP(J12,$V$95:$X$100,3)</f>
        <v>7.84</v>
      </c>
      <c r="M12" s="16">
        <f>L12*(1+$D$3)</f>
        <v>5.7772959999999998</v>
      </c>
      <c r="N12" s="23">
        <f t="shared" si="1"/>
        <v>1413</v>
      </c>
      <c r="O12" s="35">
        <f t="shared" si="2"/>
        <v>8163.3192479999998</v>
      </c>
      <c r="P12" s="19">
        <f>D12-M12</f>
        <v>4.2978079999999999</v>
      </c>
      <c r="Q12" s="10" t="str">
        <f>IF(P12&gt;0,"Yes","No")</f>
        <v>Yes</v>
      </c>
      <c r="R12" s="51">
        <f>IF(I12&lt;&gt;I11,N12+SUMIFS(E12:E$68,Q12:Q$68,"Yes",I12:I$68,I12),"")</f>
        <v>42515</v>
      </c>
      <c r="S12" s="38">
        <f>IF(I12&lt;&gt;I11,O12+SUMIFS(F12:F$68,I12:I$68,I12,Q12:Q$68,"Yes"),"")</f>
        <v>336651.36110400001</v>
      </c>
      <c r="T12" s="39">
        <f>IF(R12&lt;&gt;"",S12/R12,"")</f>
        <v>7.9184137622956605</v>
      </c>
      <c r="V12" s="52">
        <v>398</v>
      </c>
      <c r="W12" s="11" t="s">
        <v>62</v>
      </c>
      <c r="X12" s="6">
        <v>10.64</v>
      </c>
      <c r="Y12" s="59" t="s">
        <v>159</v>
      </c>
      <c r="Z12" s="60">
        <v>508</v>
      </c>
    </row>
    <row r="13" spans="1:26" ht="15.75" thickBot="1" x14ac:dyDescent="0.3">
      <c r="A13" s="14">
        <v>424</v>
      </c>
      <c r="B13" s="17" t="s">
        <v>24</v>
      </c>
      <c r="C13" s="44">
        <f>VLOOKUP(A13,$V$6:$X$94,3)</f>
        <v>7.96</v>
      </c>
      <c r="D13" s="16">
        <f>C13*(1+$D$2)</f>
        <v>6.4571520000000007</v>
      </c>
      <c r="E13" s="23">
        <f t="shared" si="0"/>
        <v>8</v>
      </c>
      <c r="F13" s="35">
        <f>D13*E13</f>
        <v>51.657216000000005</v>
      </c>
      <c r="G13" s="13">
        <v>100</v>
      </c>
      <c r="H13" s="13"/>
      <c r="I13" s="14">
        <v>393</v>
      </c>
      <c r="J13" s="18">
        <v>0</v>
      </c>
      <c r="K13" s="15" t="str">
        <f>VLOOKUP(I13,$V$6:$W$94,2)</f>
        <v>LS 393 OH LED Open Bottom 4500-6000</v>
      </c>
      <c r="L13" s="16">
        <f>VLOOKUP(I13,$V$6:$X$94,3)+VLOOKUP(J13,$V$95:$X$100,3)</f>
        <v>7.84</v>
      </c>
      <c r="M13" s="16">
        <f>L13*(1+$D$3)</f>
        <v>5.7772959999999998</v>
      </c>
      <c r="N13" s="23" t="str">
        <f t="shared" si="1"/>
        <v/>
      </c>
      <c r="O13" s="35" t="str">
        <f t="shared" si="2"/>
        <v/>
      </c>
      <c r="P13" s="19">
        <f>D13-M13</f>
        <v>0.6798560000000009</v>
      </c>
      <c r="Q13" s="10" t="str">
        <f>IF(P13&gt;0,"Yes","No")</f>
        <v>Yes</v>
      </c>
      <c r="R13" s="51" t="str">
        <f>IF(I13&lt;&gt;I12,N13+SUMIFS(E13:E$68,Q13:Q$68,"Yes",I13:I$68,I13),"")</f>
        <v/>
      </c>
      <c r="S13" s="38" t="str">
        <f>IF(I13&lt;&gt;I12,O13+SUMIFS(F13:F$68,I13:I$68,I13,Q13:Q$68,"Yes"),"")</f>
        <v/>
      </c>
      <c r="T13" s="39" t="str">
        <f>IF(R13&lt;&gt;"",S13/R13,"")</f>
        <v/>
      </c>
      <c r="V13" s="52">
        <v>399</v>
      </c>
      <c r="W13" s="11" t="s">
        <v>63</v>
      </c>
      <c r="X13" s="6">
        <v>7.14</v>
      </c>
      <c r="Y13" s="59" t="s">
        <v>160</v>
      </c>
      <c r="Z13" s="60">
        <v>3788</v>
      </c>
    </row>
    <row r="14" spans="1:26" ht="15.75" thickBot="1" x14ac:dyDescent="0.3">
      <c r="A14" s="14">
        <v>425</v>
      </c>
      <c r="B14" s="17" t="s">
        <v>25</v>
      </c>
      <c r="C14" s="44">
        <f>VLOOKUP(A14,$V$6:$X$94,3)</f>
        <v>10.36</v>
      </c>
      <c r="D14" s="16">
        <f>C14*(1+$D$2)</f>
        <v>8.4040319999999991</v>
      </c>
      <c r="E14" s="23">
        <f t="shared" si="0"/>
        <v>1</v>
      </c>
      <c r="F14" s="35">
        <f>D14*E14</f>
        <v>8.4040319999999991</v>
      </c>
      <c r="G14" s="13">
        <v>100</v>
      </c>
      <c r="H14" s="13"/>
      <c r="I14" s="14">
        <v>393</v>
      </c>
      <c r="J14" s="18">
        <v>0</v>
      </c>
      <c r="K14" s="15" t="str">
        <f>VLOOKUP(I14,$V$6:$W$94,2)</f>
        <v>LS 393 OH LED Open Bottom 4500-6000</v>
      </c>
      <c r="L14" s="16">
        <f>VLOOKUP(I14,$V$6:$X$94,3)+VLOOKUP(J14,$V$95:$X$100,3)</f>
        <v>7.84</v>
      </c>
      <c r="M14" s="16">
        <f>L14*(1+$D$3)</f>
        <v>5.7772959999999998</v>
      </c>
      <c r="N14" s="23" t="str">
        <f t="shared" si="1"/>
        <v/>
      </c>
      <c r="O14" s="35" t="str">
        <f t="shared" si="2"/>
        <v/>
      </c>
      <c r="P14" s="19">
        <f>D14-M14</f>
        <v>2.6267359999999993</v>
      </c>
      <c r="Q14" s="10" t="str">
        <f>IF(P14&gt;0,"Yes","No")</f>
        <v>Yes</v>
      </c>
      <c r="R14" s="51" t="str">
        <f>IF(I14&lt;&gt;I13,N14+SUMIFS(E14:E$68,Q14:Q$68,"Yes",I14:I$68,I14),"")</f>
        <v/>
      </c>
      <c r="S14" s="38" t="str">
        <f>IF(I14&lt;&gt;I13,O14+SUMIFS(F14:F$68,I14:I$68,I14,Q14:Q$68,"Yes"),"")</f>
        <v/>
      </c>
      <c r="T14" s="39" t="str">
        <f>IF(R14&lt;&gt;"",S14/R14,"")</f>
        <v/>
      </c>
      <c r="V14" s="8">
        <v>401</v>
      </c>
      <c r="W14" s="48" t="s">
        <v>98</v>
      </c>
      <c r="X14" s="4">
        <v>18.45</v>
      </c>
      <c r="Y14" s="59" t="s">
        <v>161</v>
      </c>
      <c r="Z14" s="60">
        <v>768</v>
      </c>
    </row>
    <row r="15" spans="1:26" ht="15.75" thickBot="1" x14ac:dyDescent="0.3">
      <c r="A15" s="14">
        <v>426</v>
      </c>
      <c r="B15" s="17" t="s">
        <v>26</v>
      </c>
      <c r="C15" s="44">
        <f>VLOOKUP(A15,$V$6:$X$94,3)</f>
        <v>9.32</v>
      </c>
      <c r="D15" s="16">
        <f>C15*(1+$D$2)</f>
        <v>7.5603840000000009</v>
      </c>
      <c r="E15" s="23">
        <f t="shared" si="0"/>
        <v>129</v>
      </c>
      <c r="F15" s="35">
        <f>D15*E15</f>
        <v>975.28953600000011</v>
      </c>
      <c r="G15" s="13">
        <v>83</v>
      </c>
      <c r="H15" s="13"/>
      <c r="I15" s="14">
        <v>393</v>
      </c>
      <c r="J15" s="18">
        <v>0</v>
      </c>
      <c r="K15" s="15" t="str">
        <f>VLOOKUP(I15,$V$6:$W$94,2)</f>
        <v>LS 393 OH LED Open Bottom 4500-6000</v>
      </c>
      <c r="L15" s="16">
        <f>VLOOKUP(I15,$V$6:$X$94,3)+VLOOKUP(J15,$V$95:$X$100,3)</f>
        <v>7.84</v>
      </c>
      <c r="M15" s="16">
        <f>L15*(1+$D$3)</f>
        <v>5.7772959999999998</v>
      </c>
      <c r="N15" s="23" t="str">
        <f t="shared" si="1"/>
        <v/>
      </c>
      <c r="O15" s="35" t="str">
        <f t="shared" si="2"/>
        <v/>
      </c>
      <c r="P15" s="19">
        <f>D15-M15</f>
        <v>1.7830880000000011</v>
      </c>
      <c r="Q15" s="10" t="str">
        <f>IF(P15&gt;0,"Yes","No")</f>
        <v>Yes</v>
      </c>
      <c r="R15" s="51" t="str">
        <f>IF(I15&lt;&gt;I14,N15+SUMIFS(E15:E$68,Q15:Q$68,"Yes",I15:I$68,I15),"")</f>
        <v/>
      </c>
      <c r="S15" s="38" t="str">
        <f>IF(I15&lt;&gt;I14,O15+SUMIFS(F15:F$68,I15:I$68,I15,Q15:Q$68,"Yes"),"")</f>
        <v/>
      </c>
      <c r="T15" s="39" t="str">
        <f>IF(R15&lt;&gt;"",S15/R15,"")</f>
        <v/>
      </c>
      <c r="V15" s="8">
        <v>404</v>
      </c>
      <c r="W15" s="48" t="s">
        <v>17</v>
      </c>
      <c r="X15" s="4">
        <v>12.42</v>
      </c>
      <c r="Y15" s="59" t="s">
        <v>162</v>
      </c>
      <c r="Z15" s="60">
        <v>59616</v>
      </c>
    </row>
    <row r="16" spans="1:26" ht="15.75" thickBot="1" x14ac:dyDescent="0.3">
      <c r="A16" s="14">
        <v>428</v>
      </c>
      <c r="B16" s="17" t="s">
        <v>95</v>
      </c>
      <c r="C16" s="44">
        <f>VLOOKUP(A16,$V$6:$X$94,3)</f>
        <v>9.5</v>
      </c>
      <c r="D16" s="16">
        <f>C16*(1+$D$2)</f>
        <v>7.7064000000000004</v>
      </c>
      <c r="E16" s="23">
        <f t="shared" si="0"/>
        <v>35996</v>
      </c>
      <c r="F16" s="35">
        <f>D16*E16</f>
        <v>277399.57440000004</v>
      </c>
      <c r="G16" s="13">
        <v>117</v>
      </c>
      <c r="H16" s="13"/>
      <c r="I16" s="14">
        <v>393</v>
      </c>
      <c r="J16" s="18">
        <v>0</v>
      </c>
      <c r="K16" s="15" t="str">
        <f>VLOOKUP(I16,$V$6:$W$94,2)</f>
        <v>LS 393 OH LED Open Bottom 4500-6000</v>
      </c>
      <c r="L16" s="16">
        <f>VLOOKUP(I16,$V$6:$X$94,3)+VLOOKUP(J16,$V$95:$X$100,3)</f>
        <v>7.84</v>
      </c>
      <c r="M16" s="16">
        <f>L16*(1+$D$3)</f>
        <v>5.7772959999999998</v>
      </c>
      <c r="N16" s="23" t="str">
        <f t="shared" si="1"/>
        <v/>
      </c>
      <c r="O16" s="35" t="str">
        <f t="shared" si="2"/>
        <v/>
      </c>
      <c r="P16" s="19">
        <f>D16-M16</f>
        <v>1.9291040000000006</v>
      </c>
      <c r="Q16" s="10" t="str">
        <f>IF(P16&gt;0,"Yes","No")</f>
        <v>Yes</v>
      </c>
      <c r="R16" s="51" t="str">
        <f>IF(I16&lt;&gt;I15,N16+SUMIFS(E16:E$68,Q16:Q$68,"Yes",I16:I$68,I16),"")</f>
        <v/>
      </c>
      <c r="S16" s="38" t="str">
        <f>IF(I16&lt;&gt;I15,O16+SUMIFS(F16:F$68,I16:I$68,I16,Q16:Q$68,"Yes"),"")</f>
        <v/>
      </c>
      <c r="T16" s="39" t="str">
        <f>IF(R16&lt;&gt;"",S16/R16,"")</f>
        <v/>
      </c>
      <c r="V16" s="8">
        <v>409</v>
      </c>
      <c r="W16" s="48" t="s">
        <v>18</v>
      </c>
      <c r="X16" s="4">
        <v>14.84</v>
      </c>
      <c r="Y16" s="59" t="s">
        <v>163</v>
      </c>
      <c r="Z16" s="60">
        <v>1284</v>
      </c>
    </row>
    <row r="17" spans="1:26" ht="15.75" thickBot="1" x14ac:dyDescent="0.3">
      <c r="A17" s="14">
        <v>421</v>
      </c>
      <c r="B17" s="17" t="s">
        <v>22</v>
      </c>
      <c r="C17" s="44">
        <f>VLOOKUP(A17,$V$6:$X$94,3)</f>
        <v>4.03</v>
      </c>
      <c r="D17" s="16">
        <f>C17*(1+$D$2)</f>
        <v>3.2691360000000005</v>
      </c>
      <c r="E17" s="23">
        <f t="shared" si="0"/>
        <v>9</v>
      </c>
      <c r="F17" s="35">
        <f>D17*E17</f>
        <v>29.422224000000003</v>
      </c>
      <c r="G17" s="13">
        <v>100</v>
      </c>
      <c r="H17" s="13"/>
      <c r="I17" s="14">
        <v>393</v>
      </c>
      <c r="J17" s="18">
        <v>0</v>
      </c>
      <c r="K17" s="15" t="str">
        <f>VLOOKUP(I17,$V$6:$W$94,2)</f>
        <v>LS 393 OH LED Open Bottom 4500-6000</v>
      </c>
      <c r="L17" s="16">
        <f>VLOOKUP(I17,$V$6:$X$94,3)+VLOOKUP(J17,$V$95:$X$100,3)</f>
        <v>7.84</v>
      </c>
      <c r="M17" s="16">
        <f>L17*(1+$D$3)</f>
        <v>5.7772959999999998</v>
      </c>
      <c r="N17" s="23" t="str">
        <f t="shared" si="1"/>
        <v/>
      </c>
      <c r="O17" s="35" t="str">
        <f t="shared" si="2"/>
        <v/>
      </c>
      <c r="P17" s="19">
        <f>D17-M17</f>
        <v>-2.5081599999999993</v>
      </c>
      <c r="Q17" s="10" t="str">
        <f>IF(P17&gt;0,"Yes","No")</f>
        <v>No</v>
      </c>
      <c r="R17" s="51" t="str">
        <f>IF(I17&lt;&gt;I16,N17+SUMIFS(E17:E$68,Q17:Q$68,"Yes",I17:I$68,I17),"")</f>
        <v/>
      </c>
      <c r="S17" s="38" t="str">
        <f>IF(I17&lt;&gt;I16,O17+SUMIFS(F17:F$68,I17:I$68,I17,Q17:Q$68,"Yes"),"")</f>
        <v/>
      </c>
      <c r="T17" s="39" t="str">
        <f>IF(R17&lt;&gt;"",S17/R17,"")</f>
        <v/>
      </c>
      <c r="V17" s="8">
        <v>410</v>
      </c>
      <c r="W17" s="48" t="s">
        <v>19</v>
      </c>
      <c r="X17" s="4">
        <v>24.69</v>
      </c>
      <c r="Y17" s="59" t="s">
        <v>164</v>
      </c>
      <c r="Z17" s="60">
        <v>2856</v>
      </c>
    </row>
    <row r="18" spans="1:26" ht="15.75" thickBot="1" x14ac:dyDescent="0.3">
      <c r="A18" s="14">
        <v>422</v>
      </c>
      <c r="B18" s="17" t="s">
        <v>23</v>
      </c>
      <c r="C18" s="44">
        <f>VLOOKUP(A18,$V$6:$X$94,3)</f>
        <v>5.22</v>
      </c>
      <c r="D18" s="16">
        <f>C18*(1+$D$2)</f>
        <v>4.234464</v>
      </c>
      <c r="E18" s="23">
        <f t="shared" si="0"/>
        <v>75</v>
      </c>
      <c r="F18" s="35">
        <f>D18*E18</f>
        <v>317.58479999999997</v>
      </c>
      <c r="G18" s="13">
        <v>100</v>
      </c>
      <c r="H18" s="13"/>
      <c r="I18" s="14">
        <v>393</v>
      </c>
      <c r="J18" s="18">
        <v>0</v>
      </c>
      <c r="K18" s="15" t="str">
        <f>VLOOKUP(I18,$V$6:$W$94,2)</f>
        <v>LS 393 OH LED Open Bottom 4500-6000</v>
      </c>
      <c r="L18" s="16">
        <f>VLOOKUP(I18,$V$6:$X$94,3)+VLOOKUP(J18,$V$95:$X$100,3)</f>
        <v>7.84</v>
      </c>
      <c r="M18" s="16">
        <f>L18*(1+$D$3)</f>
        <v>5.7772959999999998</v>
      </c>
      <c r="N18" s="23" t="str">
        <f t="shared" si="1"/>
        <v/>
      </c>
      <c r="O18" s="35" t="str">
        <f t="shared" si="2"/>
        <v/>
      </c>
      <c r="P18" s="19">
        <f>D18-M18</f>
        <v>-1.5428319999999998</v>
      </c>
      <c r="Q18" s="10" t="str">
        <f>IF(P18&gt;0,"Yes","No")</f>
        <v>No</v>
      </c>
      <c r="R18" s="51" t="str">
        <f>IF(I18&lt;&gt;I17,N18+SUMIFS(E18:E$68,Q18:Q$68,"Yes",I18:I$68,I18),"")</f>
        <v/>
      </c>
      <c r="S18" s="38" t="str">
        <f>IF(I18&lt;&gt;I17,O18+SUMIFS(F18:F$68,I18:I$68,I18,Q18:Q$68,"Yes"),"")</f>
        <v/>
      </c>
      <c r="T18" s="39" t="str">
        <f>IF(R18&lt;&gt;"",S18/R18,"")</f>
        <v/>
      </c>
      <c r="V18" s="8">
        <v>411</v>
      </c>
      <c r="W18" s="48" t="s">
        <v>99</v>
      </c>
      <c r="X18" s="4">
        <v>26.21</v>
      </c>
      <c r="Y18" s="59" t="s">
        <v>165</v>
      </c>
      <c r="Z18" s="60">
        <v>1368</v>
      </c>
    </row>
    <row r="19" spans="1:26" ht="15.75" thickBot="1" x14ac:dyDescent="0.3">
      <c r="A19" s="14">
        <v>457</v>
      </c>
      <c r="B19" s="17" t="s">
        <v>36</v>
      </c>
      <c r="C19" s="44">
        <f>VLOOKUP(A19,$V$6:$X$94,3)</f>
        <v>15.87</v>
      </c>
      <c r="D19" s="16">
        <f>C19*(1+$D$2)</f>
        <v>12.873744</v>
      </c>
      <c r="E19" s="23">
        <f t="shared" si="0"/>
        <v>309</v>
      </c>
      <c r="F19" s="35">
        <f>D19*E19</f>
        <v>3977.9868959999999</v>
      </c>
      <c r="G19" s="13">
        <v>294</v>
      </c>
      <c r="H19" s="13"/>
      <c r="I19" s="14">
        <v>396</v>
      </c>
      <c r="J19" s="18" t="s">
        <v>76</v>
      </c>
      <c r="K19" s="15" t="str">
        <f>VLOOKUP(I19,$V$6:$W$94,2)</f>
        <v>LS 396 UG LED Cobra 6000-8200</v>
      </c>
      <c r="L19" s="16">
        <f>VLOOKUP(I19,$V$6:$X$94,3)+VLOOKUP(J19,$V$95:$X$100,3)</f>
        <v>18.119999999999997</v>
      </c>
      <c r="M19" s="16">
        <f>L19*(1+$D$3)</f>
        <v>13.352627999999997</v>
      </c>
      <c r="N19" s="23">
        <f t="shared" si="1"/>
        <v>123.5</v>
      </c>
      <c r="O19" s="35">
        <f t="shared" si="2"/>
        <v>1649.0495579999997</v>
      </c>
      <c r="P19" s="19">
        <f>D19-M19</f>
        <v>-0.4788839999999972</v>
      </c>
      <c r="Q19" s="10" t="str">
        <f>IF(P19&gt;0,"Yes","No")</f>
        <v>No</v>
      </c>
      <c r="R19" s="51">
        <f>IF(I19&lt;&gt;I18,N19+SUMIFS(E19:E$68,Q19:Q$68,"Yes",I19:I$68,I19),"")</f>
        <v>123.5</v>
      </c>
      <c r="S19" s="38">
        <f>IF(I19&lt;&gt;I18,O19+SUMIFS(F19:F$68,I19:I$68,I19,Q19:Q$68,"Yes"),"")</f>
        <v>1649.0495579999997</v>
      </c>
      <c r="T19" s="39">
        <f>IF(R19&lt;&gt;"",S19/R19,"")</f>
        <v>13.352627999999997</v>
      </c>
      <c r="V19" s="8">
        <v>412</v>
      </c>
      <c r="W19" s="48" t="s">
        <v>20</v>
      </c>
      <c r="X19" s="4">
        <v>36.299999999999997</v>
      </c>
      <c r="Y19" s="59" t="s">
        <v>166</v>
      </c>
      <c r="Z19" s="60">
        <v>348</v>
      </c>
    </row>
    <row r="20" spans="1:26" ht="15.75" thickBot="1" x14ac:dyDescent="0.3">
      <c r="A20" s="14">
        <v>473</v>
      </c>
      <c r="B20" s="17" t="s">
        <v>92</v>
      </c>
      <c r="C20" s="44">
        <f>VLOOKUP(A20,$V$6:$X$94,3)</f>
        <v>15.16</v>
      </c>
      <c r="D20" s="16">
        <f>C20*(1+$D$2)</f>
        <v>12.297792000000001</v>
      </c>
      <c r="E20" s="23">
        <f t="shared" si="0"/>
        <v>3471.5</v>
      </c>
      <c r="F20" s="35">
        <f>D20*E20</f>
        <v>42691.784928000001</v>
      </c>
      <c r="G20" s="13">
        <v>117</v>
      </c>
      <c r="H20" s="13"/>
      <c r="I20" s="14">
        <v>396</v>
      </c>
      <c r="J20" s="18" t="s">
        <v>76</v>
      </c>
      <c r="K20" s="15" t="str">
        <f>VLOOKUP(I20,$V$6:$W$94,2)</f>
        <v>LS 396 UG LED Cobra 6000-8200</v>
      </c>
      <c r="L20" s="16">
        <f>VLOOKUP(I20,$V$6:$X$94,3)+VLOOKUP(J20,$V$95:$X$100,3)</f>
        <v>18.119999999999997</v>
      </c>
      <c r="M20" s="16">
        <f>L20*(1+$D$3)</f>
        <v>13.352627999999997</v>
      </c>
      <c r="N20" s="23" t="str">
        <f t="shared" si="1"/>
        <v/>
      </c>
      <c r="O20" s="35" t="str">
        <f t="shared" si="2"/>
        <v/>
      </c>
      <c r="P20" s="19">
        <f>D20-M20</f>
        <v>-1.0548359999999963</v>
      </c>
      <c r="Q20" s="10" t="str">
        <f>IF(P20&gt;0,"Yes","No")</f>
        <v>No</v>
      </c>
      <c r="R20" s="51" t="str">
        <f>IF(I20&lt;&gt;I19,N20+SUMIFS(E20:E$68,Q20:Q$68,"Yes",I20:I$68,I20),"")</f>
        <v/>
      </c>
      <c r="S20" s="38" t="str">
        <f>IF(I20&lt;&gt;I19,O20+SUMIFS(F20:F$68,I20:I$68,I20,Q20:Q$68,"Yes"),"")</f>
        <v/>
      </c>
      <c r="T20" s="39" t="str">
        <f>IF(R20&lt;&gt;"",S20/R20,"")</f>
        <v/>
      </c>
      <c r="V20" s="8">
        <v>413</v>
      </c>
      <c r="W20" s="48" t="s">
        <v>21</v>
      </c>
      <c r="X20" s="4">
        <v>36.49</v>
      </c>
      <c r="Y20" s="59" t="s">
        <v>167</v>
      </c>
      <c r="Z20" s="60">
        <v>1176</v>
      </c>
    </row>
    <row r="21" spans="1:26" ht="15.75" thickBot="1" x14ac:dyDescent="0.3">
      <c r="A21" s="14">
        <v>474</v>
      </c>
      <c r="B21" s="17" t="s">
        <v>93</v>
      </c>
      <c r="C21" s="44">
        <f>VLOOKUP(A21,$V$6:$X$94,3)</f>
        <v>21.55</v>
      </c>
      <c r="D21" s="16">
        <f>C21*(1+$D$2)</f>
        <v>17.481360000000002</v>
      </c>
      <c r="E21" s="23">
        <f t="shared" si="0"/>
        <v>5196.166666666667</v>
      </c>
      <c r="F21" s="35">
        <f>D21*E21</f>
        <v>90836.060120000024</v>
      </c>
      <c r="G21" s="13">
        <v>242</v>
      </c>
      <c r="H21" s="13"/>
      <c r="I21" s="14">
        <v>397</v>
      </c>
      <c r="J21" s="18" t="s">
        <v>76</v>
      </c>
      <c r="K21" s="15" t="str">
        <f>VLOOKUP(I21,$V$6:$W$94,2)</f>
        <v>LS 397 UG LED Cobra 13000-16500</v>
      </c>
      <c r="L21" s="16">
        <f>VLOOKUP(I21,$V$6:$X$94,3)+VLOOKUP(J21,$V$95:$X$100,3)</f>
        <v>20.100000000000001</v>
      </c>
      <c r="M21" s="16">
        <f>L21*(1+$D$3)</f>
        <v>14.81169</v>
      </c>
      <c r="N21" s="23">
        <f t="shared" si="1"/>
        <v>759.83333333333337</v>
      </c>
      <c r="O21" s="35">
        <f t="shared" si="2"/>
        <v>11254.415785000001</v>
      </c>
      <c r="P21" s="19">
        <f>D21-M21</f>
        <v>2.6696700000000018</v>
      </c>
      <c r="Q21" s="10" t="str">
        <f>IF(P21&gt;0,"Yes","No")</f>
        <v>Yes</v>
      </c>
      <c r="R21" s="51">
        <f>IF(I21&lt;&gt;I20,N21+SUMIFS(E21:E$68,Q21:Q$68,"Yes",I21:I$68,I21),"")</f>
        <v>5956</v>
      </c>
      <c r="S21" s="38">
        <f>IF(I21&lt;&gt;I20,O21+SUMIFS(F21:F$68,I21:I$68,I21,Q21:Q$68,"Yes"),"")</f>
        <v>102090.47590500003</v>
      </c>
      <c r="T21" s="39">
        <f>IF(R21&lt;&gt;"",S21/R21,"")</f>
        <v>17.140778358797856</v>
      </c>
      <c r="V21" s="8">
        <v>414</v>
      </c>
      <c r="W21" s="48" t="s">
        <v>116</v>
      </c>
      <c r="X21" s="4">
        <v>36.31</v>
      </c>
      <c r="Y21" s="59" t="s">
        <v>168</v>
      </c>
      <c r="Z21" s="60">
        <v>156</v>
      </c>
    </row>
    <row r="22" spans="1:26" ht="15.75" thickBot="1" x14ac:dyDescent="0.3">
      <c r="A22" s="14">
        <v>458</v>
      </c>
      <c r="B22" s="17" t="s">
        <v>37</v>
      </c>
      <c r="C22" s="44">
        <f>VLOOKUP(A22,$V$6:$X$94,3)</f>
        <v>17.760000000000002</v>
      </c>
      <c r="D22" s="16">
        <f>C22*(1+$D$2)</f>
        <v>14.406912000000002</v>
      </c>
      <c r="E22" s="23">
        <f t="shared" si="0"/>
        <v>911</v>
      </c>
      <c r="F22" s="35">
        <f>D22*E22</f>
        <v>13124.696832000001</v>
      </c>
      <c r="G22" s="13">
        <v>453</v>
      </c>
      <c r="H22" s="13"/>
      <c r="I22" s="14">
        <v>397</v>
      </c>
      <c r="J22" s="18" t="s">
        <v>76</v>
      </c>
      <c r="K22" s="15" t="str">
        <f>VLOOKUP(I22,$V$6:$W$94,2)</f>
        <v>LS 397 UG LED Cobra 13000-16500</v>
      </c>
      <c r="L22" s="16">
        <f>VLOOKUP(I22,$V$6:$X$94,3)+VLOOKUP(J22,$V$95:$X$100,3)</f>
        <v>20.100000000000001</v>
      </c>
      <c r="M22" s="16">
        <f>L22*(1+$D$3)</f>
        <v>14.81169</v>
      </c>
      <c r="N22" s="23" t="str">
        <f t="shared" si="1"/>
        <v/>
      </c>
      <c r="O22" s="35" t="str">
        <f t="shared" si="2"/>
        <v/>
      </c>
      <c r="P22" s="19">
        <f>D22-M22</f>
        <v>-0.40477799999999853</v>
      </c>
      <c r="Q22" s="10" t="str">
        <f>IF(P22&gt;0,"Yes","No")</f>
        <v>No</v>
      </c>
      <c r="R22" s="51" t="str">
        <f>IF(I22&lt;&gt;I21,N22+SUMIFS(E22:E$68,Q22:Q$68,"Yes",I22:I$68,I22),"")</f>
        <v/>
      </c>
      <c r="S22" s="38" t="str">
        <f>IF(I22&lt;&gt;I21,O22+SUMIFS(F22:F$68,I22:I$68,I22,Q22:Q$68,"Yes"),"")</f>
        <v/>
      </c>
      <c r="T22" s="39" t="str">
        <f>IF(R22&lt;&gt;"",S22/R22,"")</f>
        <v/>
      </c>
      <c r="V22" s="8">
        <v>415</v>
      </c>
      <c r="W22" s="48" t="s">
        <v>117</v>
      </c>
      <c r="X22" s="4">
        <v>36.479999999999997</v>
      </c>
      <c r="Y22" s="59" t="s">
        <v>169</v>
      </c>
      <c r="Z22" s="60">
        <v>288</v>
      </c>
    </row>
    <row r="23" spans="1:26" ht="15.75" thickBot="1" x14ac:dyDescent="0.3">
      <c r="A23" s="14">
        <v>475</v>
      </c>
      <c r="B23" s="17" t="s">
        <v>94</v>
      </c>
      <c r="C23" s="44">
        <f>VLOOKUP(A23,$V$6:$X$94,3)</f>
        <v>29.97</v>
      </c>
      <c r="D23" s="16">
        <f>C23*(1+$D$2)</f>
        <v>24.311664</v>
      </c>
      <c r="E23" s="23">
        <f t="shared" si="0"/>
        <v>577.66666666666663</v>
      </c>
      <c r="F23" s="35">
        <f>D23*E23</f>
        <v>14044.037903999999</v>
      </c>
      <c r="G23" s="13">
        <v>471</v>
      </c>
      <c r="H23" s="13"/>
      <c r="I23" s="14">
        <v>398</v>
      </c>
      <c r="J23" s="18" t="s">
        <v>76</v>
      </c>
      <c r="K23" s="15" t="str">
        <f>VLOOKUP(I23,$V$6:$W$94,2)</f>
        <v>LS 398 UG LED Cobra 22000-29000</v>
      </c>
      <c r="L23" s="16">
        <f>VLOOKUP(I23,$V$6:$X$94,3)+VLOOKUP(J23,$V$95:$X$100,3)</f>
        <v>23.41</v>
      </c>
      <c r="M23" s="16">
        <f>L23*(1+$D$3)</f>
        <v>17.250829</v>
      </c>
      <c r="N23" s="23">
        <f t="shared" si="1"/>
        <v>42.333333333333336</v>
      </c>
      <c r="O23" s="35">
        <f t="shared" si="2"/>
        <v>730.2850943333334</v>
      </c>
      <c r="P23" s="19">
        <f>D23-M23</f>
        <v>7.0608350000000009</v>
      </c>
      <c r="Q23" s="10" t="str">
        <f>IF(P23&gt;0,"Yes","No")</f>
        <v>Yes</v>
      </c>
      <c r="R23" s="51">
        <f>IF(I23&lt;&gt;I22,N23+SUMIFS(E23:E$68,Q23:Q$68,"Yes",I23:I$68,I23),"")</f>
        <v>620</v>
      </c>
      <c r="S23" s="38">
        <f>IF(I23&lt;&gt;I22,O23+SUMIFS(F23:F$68,I23:I$68,I23,Q23:Q$68,"Yes"),"")</f>
        <v>14774.322998333333</v>
      </c>
      <c r="T23" s="39">
        <f>IF(R23&lt;&gt;"",S23/R23,"")</f>
        <v>23.829553223118278</v>
      </c>
      <c r="V23" s="8">
        <v>420</v>
      </c>
      <c r="W23" s="48" t="s">
        <v>100</v>
      </c>
      <c r="X23" s="4">
        <v>18.78</v>
      </c>
      <c r="Y23" s="59" t="s">
        <v>170</v>
      </c>
      <c r="Z23" s="60">
        <v>6312</v>
      </c>
    </row>
    <row r="24" spans="1:26" ht="15.75" thickBot="1" x14ac:dyDescent="0.3">
      <c r="A24" s="14">
        <v>412</v>
      </c>
      <c r="B24" s="17" t="s">
        <v>20</v>
      </c>
      <c r="C24" s="44">
        <f>VLOOKUP(A24,$V$6:$X$94,3)</f>
        <v>36.299999999999997</v>
      </c>
      <c r="D24" s="16">
        <f>C24*(1+$D$2)</f>
        <v>29.446559999999998</v>
      </c>
      <c r="E24" s="23">
        <f t="shared" si="0"/>
        <v>29</v>
      </c>
      <c r="F24" s="35">
        <f>D24*E24</f>
        <v>853.95023999999989</v>
      </c>
      <c r="G24" s="13">
        <v>83</v>
      </c>
      <c r="H24" s="13"/>
      <c r="I24" s="14">
        <v>399</v>
      </c>
      <c r="J24" s="18" t="s">
        <v>78</v>
      </c>
      <c r="K24" s="15" t="str">
        <f>VLOOKUP(I24,$V$6:$W$94,2)</f>
        <v>LS 399 UG LED Colonial 4000-7000</v>
      </c>
      <c r="L24" s="16">
        <f>VLOOKUP(I24,$V$6:$X$94,3)+VLOOKUP(J24,$V$95:$X$100,3)</f>
        <v>18.95</v>
      </c>
      <c r="M24" s="16">
        <f>L24*(1+$D$3)</f>
        <v>13.964255</v>
      </c>
      <c r="N24" s="23">
        <f t="shared" si="1"/>
        <v>315.66666666666669</v>
      </c>
      <c r="O24" s="35">
        <f t="shared" si="2"/>
        <v>4408.0498283333336</v>
      </c>
      <c r="P24" s="19">
        <f>D24-M24</f>
        <v>15.482304999999998</v>
      </c>
      <c r="Q24" s="10" t="str">
        <f>IF(P24&gt;0,"Yes","No")</f>
        <v>Yes</v>
      </c>
      <c r="R24" s="51">
        <f>IF(I24&lt;&gt;I23,N24+SUMIFS(E24:E$68,Q24:Q$68,"Yes",I24:I$68,I24),"")</f>
        <v>442.66666666666669</v>
      </c>
      <c r="S24" s="38">
        <f>IF(I24&lt;&gt;I23,O24+SUMIFS(F24:F$68,I24:I$68,I24,Q24:Q$68,"Yes"),"")</f>
        <v>8162.8674923333338</v>
      </c>
      <c r="T24" s="39">
        <f>IF(R24&lt;&gt;"",S24/R24,"")</f>
        <v>18.440212708584337</v>
      </c>
      <c r="V24" s="8">
        <v>421</v>
      </c>
      <c r="W24" s="48" t="s">
        <v>22</v>
      </c>
      <c r="X24" s="4">
        <v>4.03</v>
      </c>
      <c r="Y24" s="59" t="s">
        <v>171</v>
      </c>
      <c r="Z24" s="60">
        <v>108</v>
      </c>
    </row>
    <row r="25" spans="1:26" ht="15.75" thickBot="1" x14ac:dyDescent="0.3">
      <c r="A25" s="14">
        <v>413</v>
      </c>
      <c r="B25" s="17" t="s">
        <v>21</v>
      </c>
      <c r="C25" s="44">
        <f>VLOOKUP(A25,$V$6:$X$94,3)</f>
        <v>36.49</v>
      </c>
      <c r="D25" s="16">
        <f>C25*(1+$D$2)</f>
        <v>29.600688000000002</v>
      </c>
      <c r="E25" s="23">
        <f t="shared" si="0"/>
        <v>98</v>
      </c>
      <c r="F25" s="35">
        <f>D25*E25</f>
        <v>2900.867424</v>
      </c>
      <c r="G25" s="13">
        <v>117</v>
      </c>
      <c r="H25" s="13"/>
      <c r="I25" s="14">
        <v>399</v>
      </c>
      <c r="J25" s="18" t="s">
        <v>78</v>
      </c>
      <c r="K25" s="15" t="str">
        <f>VLOOKUP(I25,$V$6:$W$94,2)</f>
        <v>LS 399 UG LED Colonial 4000-7000</v>
      </c>
      <c r="L25" s="16">
        <f>VLOOKUP(I25,$V$6:$X$94,3)+VLOOKUP(J25,$V$95:$X$100,3)</f>
        <v>18.95</v>
      </c>
      <c r="M25" s="16">
        <f>L25*(1+$D$3)</f>
        <v>13.964255</v>
      </c>
      <c r="N25" s="23" t="str">
        <f t="shared" si="1"/>
        <v/>
      </c>
      <c r="O25" s="35" t="str">
        <f t="shared" si="2"/>
        <v/>
      </c>
      <c r="P25" s="19">
        <f>D25-M25</f>
        <v>15.636433000000002</v>
      </c>
      <c r="Q25" s="10" t="str">
        <f>IF(P25&gt;0,"Yes","No")</f>
        <v>Yes</v>
      </c>
      <c r="R25" s="51" t="str">
        <f>IF(I25&lt;&gt;I24,N25+SUMIFS(E25:E$68,Q25:Q$68,"Yes",I25:I$68,I25),"")</f>
        <v/>
      </c>
      <c r="S25" s="38" t="str">
        <f>IF(I25&lt;&gt;I24,O25+SUMIFS(F25:F$68,I25:I$68,I25,Q25:Q$68,"Yes"),"")</f>
        <v/>
      </c>
      <c r="T25" s="39" t="str">
        <f>IF(R25&lt;&gt;"",S25/R25,"")</f>
        <v/>
      </c>
      <c r="V25" s="8">
        <v>422</v>
      </c>
      <c r="W25" s="48" t="s">
        <v>23</v>
      </c>
      <c r="X25" s="4">
        <v>5.22</v>
      </c>
      <c r="Y25" s="59" t="s">
        <v>172</v>
      </c>
      <c r="Z25" s="60">
        <v>900</v>
      </c>
    </row>
    <row r="26" spans="1:26" ht="15.75" thickBot="1" x14ac:dyDescent="0.3">
      <c r="A26" s="14">
        <v>466</v>
      </c>
      <c r="B26" s="17" t="s">
        <v>41</v>
      </c>
      <c r="C26" s="44">
        <f>VLOOKUP(A26,$V$6:$X$94,3)</f>
        <v>12.06</v>
      </c>
      <c r="D26" s="16">
        <f>C26*(1+$D$2)</f>
        <v>9.7830720000000007</v>
      </c>
      <c r="E26" s="23">
        <f t="shared" si="0"/>
        <v>787</v>
      </c>
      <c r="F26" s="35">
        <f>D26*E26</f>
        <v>7699.2776640000002</v>
      </c>
      <c r="G26" s="13">
        <v>60</v>
      </c>
      <c r="H26" s="13"/>
      <c r="I26" s="14">
        <v>399</v>
      </c>
      <c r="J26" s="18" t="s">
        <v>78</v>
      </c>
      <c r="K26" s="15" t="str">
        <f>VLOOKUP(I26,$V$6:$W$94,2)</f>
        <v>LS 399 UG LED Colonial 4000-7000</v>
      </c>
      <c r="L26" s="16">
        <f>VLOOKUP(I26,$V$6:$X$94,3)+VLOOKUP(J26,$V$95:$X$100,3)</f>
        <v>18.95</v>
      </c>
      <c r="M26" s="16">
        <f>L26*(1+$D$3)</f>
        <v>13.964255</v>
      </c>
      <c r="N26" s="23" t="str">
        <f t="shared" si="1"/>
        <v/>
      </c>
      <c r="O26" s="35" t="str">
        <f t="shared" si="2"/>
        <v/>
      </c>
      <c r="P26" s="19">
        <f>D26-M26</f>
        <v>-4.181182999999999</v>
      </c>
      <c r="Q26" s="10" t="str">
        <f>IF(P26&gt;0,"Yes","No")</f>
        <v>No</v>
      </c>
      <c r="R26" s="51" t="str">
        <f>IF(I26&lt;&gt;I25,N26+SUMIFS(E26:E$68,Q26:Q$68,"Yes",I26:I$68,I26),"")</f>
        <v/>
      </c>
      <c r="S26" s="38" t="str">
        <f>IF(I26&lt;&gt;I25,O26+SUMIFS(F26:F$68,I26:I$68,I26,Q26:Q$68,"Yes"),"")</f>
        <v/>
      </c>
      <c r="T26" s="39" t="str">
        <f>IF(R26&lt;&gt;"",S26/R26,"")</f>
        <v/>
      </c>
      <c r="V26" s="8">
        <v>424</v>
      </c>
      <c r="W26" s="48" t="s">
        <v>24</v>
      </c>
      <c r="X26" s="4">
        <v>7.96</v>
      </c>
      <c r="Y26" s="59" t="s">
        <v>173</v>
      </c>
      <c r="Z26" s="60">
        <v>96</v>
      </c>
    </row>
    <row r="27" spans="1:26" ht="15.75" thickBot="1" x14ac:dyDescent="0.3">
      <c r="A27" s="14">
        <v>467</v>
      </c>
      <c r="B27" s="17" t="s">
        <v>96</v>
      </c>
      <c r="C27" s="44">
        <f>VLOOKUP(A27,$V$6:$X$94,3)</f>
        <v>13.61</v>
      </c>
      <c r="D27" s="16">
        <f>C27*(1+$D$2)</f>
        <v>11.040431999999999</v>
      </c>
      <c r="E27" s="23">
        <f t="shared" si="0"/>
        <v>1555.3333333333333</v>
      </c>
      <c r="F27" s="35">
        <f>D27*E27</f>
        <v>17171.551903999996</v>
      </c>
      <c r="G27" s="13">
        <v>83</v>
      </c>
      <c r="H27" s="13"/>
      <c r="I27" s="14">
        <v>399</v>
      </c>
      <c r="J27" s="18" t="s">
        <v>78</v>
      </c>
      <c r="K27" s="15" t="str">
        <f>VLOOKUP(I27,$V$6:$W$94,2)</f>
        <v>LS 399 UG LED Colonial 4000-7000</v>
      </c>
      <c r="L27" s="16">
        <f>VLOOKUP(I27,$V$6:$X$94,3)+VLOOKUP(J27,$V$95:$X$100,3)</f>
        <v>18.95</v>
      </c>
      <c r="M27" s="16">
        <f>L27*(1+$D$3)</f>
        <v>13.964255</v>
      </c>
      <c r="N27" s="23" t="str">
        <f t="shared" si="1"/>
        <v/>
      </c>
      <c r="O27" s="35" t="str">
        <f t="shared" si="2"/>
        <v/>
      </c>
      <c r="P27" s="19">
        <f>D27-M27</f>
        <v>-2.9238230000000005</v>
      </c>
      <c r="Q27" s="10" t="str">
        <f>IF(P27&gt;0,"Yes","No")</f>
        <v>No</v>
      </c>
      <c r="R27" s="51" t="str">
        <f>IF(I27&lt;&gt;I26,N27+SUMIFS(E27:E$68,Q27:Q$68,"Yes",I27:I$68,I27),"")</f>
        <v/>
      </c>
      <c r="S27" s="38" t="str">
        <f>IF(I27&lt;&gt;I26,O27+SUMIFS(F27:F$68,I27:I$68,I27,Q27:Q$68,"Yes"),"")</f>
        <v/>
      </c>
      <c r="T27" s="39" t="str">
        <f>IF(R27&lt;&gt;"",S27/R27,"")</f>
        <v/>
      </c>
      <c r="V27" s="8">
        <v>425</v>
      </c>
      <c r="W27" s="48" t="s">
        <v>25</v>
      </c>
      <c r="X27" s="4">
        <v>10.36</v>
      </c>
      <c r="Y27" s="59" t="s">
        <v>174</v>
      </c>
      <c r="Z27" s="60">
        <v>12</v>
      </c>
    </row>
    <row r="28" spans="1:26" ht="15.75" thickBot="1" x14ac:dyDescent="0.3">
      <c r="A28" s="14">
        <v>468</v>
      </c>
      <c r="B28" s="17" t="s">
        <v>97</v>
      </c>
      <c r="C28" s="44">
        <f>VLOOKUP(A28,$V$6:$X$94,3)</f>
        <v>13.8</v>
      </c>
      <c r="D28" s="16">
        <f>C28*(1+$D$2)</f>
        <v>11.194560000000001</v>
      </c>
      <c r="E28" s="23">
        <f t="shared" si="0"/>
        <v>4577</v>
      </c>
      <c r="F28" s="35">
        <f>D28*E28</f>
        <v>51237.501120000001</v>
      </c>
      <c r="G28" s="13">
        <v>117</v>
      </c>
      <c r="H28" s="13"/>
      <c r="I28" s="14">
        <v>399</v>
      </c>
      <c r="J28" s="18" t="s">
        <v>78</v>
      </c>
      <c r="K28" s="15" t="str">
        <f>VLOOKUP(I28,$V$6:$W$94,2)</f>
        <v>LS 399 UG LED Colonial 4000-7000</v>
      </c>
      <c r="L28" s="16">
        <f>VLOOKUP(I28,$V$6:$X$94,3)+VLOOKUP(J28,$V$95:$X$100,3)</f>
        <v>18.95</v>
      </c>
      <c r="M28" s="16">
        <f>L28*(1+$D$3)</f>
        <v>13.964255</v>
      </c>
      <c r="N28" s="23" t="str">
        <f t="shared" si="1"/>
        <v/>
      </c>
      <c r="O28" s="35" t="str">
        <f t="shared" si="2"/>
        <v/>
      </c>
      <c r="P28" s="19">
        <f>D28-M28</f>
        <v>-2.7696949999999987</v>
      </c>
      <c r="Q28" s="10" t="str">
        <f>IF(P28&gt;0,"Yes","No")</f>
        <v>No</v>
      </c>
      <c r="R28" s="51" t="str">
        <f>IF(I28&lt;&gt;I27,N28+SUMIFS(E28:E$68,Q28:Q$68,"Yes",I28:I$68,I28),"")</f>
        <v/>
      </c>
      <c r="S28" s="38" t="str">
        <f>IF(I28&lt;&gt;I27,O28+SUMIFS(F28:F$68,I28:I$68,I28,Q28:Q$68,"Yes"),"")</f>
        <v/>
      </c>
      <c r="T28" s="39" t="str">
        <f>IF(R28&lt;&gt;"",S28/R28,"")</f>
        <v/>
      </c>
      <c r="V28" s="8">
        <v>426</v>
      </c>
      <c r="W28" s="48" t="s">
        <v>26</v>
      </c>
      <c r="X28" s="4">
        <v>9.32</v>
      </c>
      <c r="Y28" s="59" t="s">
        <v>175</v>
      </c>
      <c r="Z28" s="60">
        <v>1548</v>
      </c>
    </row>
    <row r="29" spans="1:26" ht="15.75" thickBot="1" x14ac:dyDescent="0.3">
      <c r="A29" s="14">
        <v>430</v>
      </c>
      <c r="B29" s="17" t="s">
        <v>101</v>
      </c>
      <c r="C29" s="44">
        <f>VLOOKUP(A29,$V$6:$X$94,3)</f>
        <v>26.67</v>
      </c>
      <c r="D29" s="16">
        <f>C29*(1+$D$2)</f>
        <v>21.634704000000003</v>
      </c>
      <c r="E29" s="23">
        <f t="shared" si="0"/>
        <v>1212</v>
      </c>
      <c r="F29" s="35">
        <f>D29*E29</f>
        <v>26221.261248000003</v>
      </c>
      <c r="G29" s="13">
        <v>117</v>
      </c>
      <c r="H29" s="13"/>
      <c r="I29" s="14" t="s">
        <v>1</v>
      </c>
      <c r="J29" s="18" t="s">
        <v>82</v>
      </c>
      <c r="K29" s="15" t="str">
        <f>VLOOKUP(I29,$V$6:$W$94,2)</f>
        <v>LS KA1 UG LED Acorn 4000-7000</v>
      </c>
      <c r="L29" s="16">
        <f>VLOOKUP(I29,$V$6:$X$94,3)+VLOOKUP(J29,$V$95:$X$100,3)</f>
        <v>23.36</v>
      </c>
      <c r="M29" s="16">
        <f>L29*(1+$D$3)</f>
        <v>17.213984</v>
      </c>
      <c r="N29" s="23">
        <f t="shared" si="1"/>
        <v>14</v>
      </c>
      <c r="O29" s="35">
        <f t="shared" si="2"/>
        <v>240.99577600000001</v>
      </c>
      <c r="P29" s="19">
        <f>D29-M29</f>
        <v>4.4207200000000029</v>
      </c>
      <c r="Q29" s="10" t="str">
        <f>IF(P29&gt;0,"Yes","No")</f>
        <v>Yes</v>
      </c>
      <c r="R29" s="51">
        <f>IF(I29&lt;&gt;I28,N29+SUMIFS(E29:E$68,Q29:Q$68,"Yes",I29:I$68,I29),"")</f>
        <v>2104</v>
      </c>
      <c r="S29" s="38">
        <f>IF(I29&lt;&gt;I28,O29+SUMIFS(F29:F$68,I29:I$68,I29,Q29:Q$68,"Yes"),"")</f>
        <v>41666.124352000006</v>
      </c>
      <c r="T29" s="39">
        <f>IF(R29&lt;&gt;"",S29/R29,"")</f>
        <v>19.803291041825098</v>
      </c>
      <c r="V29" s="8">
        <v>428</v>
      </c>
      <c r="W29" s="48" t="s">
        <v>95</v>
      </c>
      <c r="X29" s="4">
        <v>9.5</v>
      </c>
      <c r="Y29" s="59" t="s">
        <v>176</v>
      </c>
      <c r="Z29" s="60">
        <v>431952</v>
      </c>
    </row>
    <row r="30" spans="1:26" ht="15.75" thickBot="1" x14ac:dyDescent="0.3">
      <c r="A30" s="14">
        <v>410</v>
      </c>
      <c r="B30" s="17" t="s">
        <v>19</v>
      </c>
      <c r="C30" s="44">
        <f>VLOOKUP(A30,$V$6:$X$94,3)</f>
        <v>24.69</v>
      </c>
      <c r="D30" s="16">
        <f>C30*(1+$D$2)</f>
        <v>20.028528000000001</v>
      </c>
      <c r="E30" s="23">
        <f t="shared" si="0"/>
        <v>238</v>
      </c>
      <c r="F30" s="35">
        <f>D30*E30</f>
        <v>4766.7896639999999</v>
      </c>
      <c r="G30" s="13">
        <v>60</v>
      </c>
      <c r="H30" s="13"/>
      <c r="I30" s="14" t="s">
        <v>1</v>
      </c>
      <c r="J30" s="18" t="s">
        <v>82</v>
      </c>
      <c r="K30" s="15" t="str">
        <f>VLOOKUP(I30,$V$6:$W$94,2)</f>
        <v>LS KA1 UG LED Acorn 4000-7000</v>
      </c>
      <c r="L30" s="16">
        <f>VLOOKUP(I30,$V$6:$X$94,3)+VLOOKUP(J30,$V$95:$X$100,3)</f>
        <v>23.36</v>
      </c>
      <c r="M30" s="16">
        <f>L30*(1+$D$3)</f>
        <v>17.213984</v>
      </c>
      <c r="N30" s="23" t="str">
        <f t="shared" si="1"/>
        <v/>
      </c>
      <c r="O30" s="35" t="str">
        <f t="shared" si="2"/>
        <v/>
      </c>
      <c r="P30" s="19">
        <f>D30-M30</f>
        <v>2.8145440000000015</v>
      </c>
      <c r="Q30" s="10" t="str">
        <f>IF(P30&gt;0,"Yes","No")</f>
        <v>Yes</v>
      </c>
      <c r="R30" s="51" t="str">
        <f>IF(I30&lt;&gt;I29,N30+SUMIFS(E30:E$68,Q30:Q$68,"Yes",I30:I$68,I30),"")</f>
        <v/>
      </c>
      <c r="S30" s="38" t="str">
        <f>IF(I30&lt;&gt;I29,O30+SUMIFS(F30:F$68,I30:I$68,I30,Q30:Q$68,"Yes"),"")</f>
        <v/>
      </c>
      <c r="T30" s="39" t="str">
        <f>IF(R30&lt;&gt;"",S30/R30,"")</f>
        <v/>
      </c>
      <c r="V30" s="8">
        <v>430</v>
      </c>
      <c r="W30" s="48" t="s">
        <v>101</v>
      </c>
      <c r="X30" s="4">
        <v>26.67</v>
      </c>
      <c r="Y30" s="59" t="s">
        <v>177</v>
      </c>
      <c r="Z30" s="60">
        <v>14544</v>
      </c>
    </row>
    <row r="31" spans="1:26" ht="15.75" thickBot="1" x14ac:dyDescent="0.3">
      <c r="A31" s="14">
        <v>411</v>
      </c>
      <c r="B31" s="17" t="s">
        <v>99</v>
      </c>
      <c r="C31" s="44">
        <f>VLOOKUP(A31,$V$6:$X$94,3)</f>
        <v>26.21</v>
      </c>
      <c r="D31" s="16">
        <f>C31*(1+$D$2)</f>
        <v>21.261552000000002</v>
      </c>
      <c r="E31" s="23">
        <f t="shared" si="0"/>
        <v>114</v>
      </c>
      <c r="F31" s="35">
        <f>D31*E31</f>
        <v>2423.8169280000002</v>
      </c>
      <c r="G31" s="13">
        <v>83</v>
      </c>
      <c r="H31" s="13"/>
      <c r="I31" s="14" t="s">
        <v>1</v>
      </c>
      <c r="J31" s="18" t="s">
        <v>82</v>
      </c>
      <c r="K31" s="15" t="str">
        <f>VLOOKUP(I31,$V$6:$W$94,2)</f>
        <v>LS KA1 UG LED Acorn 4000-7000</v>
      </c>
      <c r="L31" s="16">
        <f>VLOOKUP(I31,$V$6:$X$94,3)+VLOOKUP(J31,$V$95:$X$100,3)</f>
        <v>23.36</v>
      </c>
      <c r="M31" s="16">
        <f>L31*(1+$D$3)</f>
        <v>17.213984</v>
      </c>
      <c r="N31" s="23" t="str">
        <f t="shared" si="1"/>
        <v/>
      </c>
      <c r="O31" s="35" t="str">
        <f t="shared" si="2"/>
        <v/>
      </c>
      <c r="P31" s="19">
        <f>D31-M31</f>
        <v>4.0475680000000018</v>
      </c>
      <c r="Q31" s="10" t="str">
        <f>IF(P31&gt;0,"Yes","No")</f>
        <v>Yes</v>
      </c>
      <c r="R31" s="51" t="str">
        <f>IF(I31&lt;&gt;I30,N31+SUMIFS(E31:E$68,Q31:Q$68,"Yes",I31:I$68,I31),"")</f>
        <v/>
      </c>
      <c r="S31" s="38" t="str">
        <f>IF(I31&lt;&gt;I30,O31+SUMIFS(F31:F$68,I31:I$68,I31,Q31:Q$68,"Yes"),"")</f>
        <v/>
      </c>
      <c r="T31" s="39" t="str">
        <f>IF(R31&lt;&gt;"",S31/R31,"")</f>
        <v/>
      </c>
      <c r="V31" s="8">
        <v>440</v>
      </c>
      <c r="W31" s="48" t="s">
        <v>27</v>
      </c>
      <c r="X31" s="4">
        <v>17.329999999999998</v>
      </c>
      <c r="Y31" s="59" t="s">
        <v>178</v>
      </c>
      <c r="Z31" s="60">
        <v>24</v>
      </c>
    </row>
    <row r="32" spans="1:26" ht="15.75" thickBot="1" x14ac:dyDescent="0.3">
      <c r="A32" s="14">
        <v>420</v>
      </c>
      <c r="B32" s="17" t="s">
        <v>100</v>
      </c>
      <c r="C32" s="44">
        <f>VLOOKUP(A32,$V$6:$X$94,3)</f>
        <v>18.78</v>
      </c>
      <c r="D32" s="16">
        <f>C32*(1+$D$2)</f>
        <v>15.234336000000001</v>
      </c>
      <c r="E32" s="23">
        <f t="shared" si="0"/>
        <v>526</v>
      </c>
      <c r="F32" s="35">
        <f>D32*E32</f>
        <v>8013.2607360000002</v>
      </c>
      <c r="G32" s="13">
        <v>117</v>
      </c>
      <c r="H32" s="13"/>
      <c r="I32" s="14" t="s">
        <v>1</v>
      </c>
      <c r="J32" s="18" t="s">
        <v>78</v>
      </c>
      <c r="K32" s="15" t="str">
        <f>VLOOKUP(I32,$V$6:$W$94,2)</f>
        <v>LS KA1 UG LED Acorn 4000-7000</v>
      </c>
      <c r="L32" s="16">
        <f>VLOOKUP(I32,$V$6:$X$94,3)+VLOOKUP(J32,$V$95:$X$100,3)</f>
        <v>20.5</v>
      </c>
      <c r="M32" s="16">
        <f>L32*(1+$D$3)</f>
        <v>15.106450000000001</v>
      </c>
      <c r="N32" s="23" t="str">
        <f t="shared" si="1"/>
        <v/>
      </c>
      <c r="O32" s="35" t="str">
        <f t="shared" si="2"/>
        <v/>
      </c>
      <c r="P32" s="19">
        <f>D32-M32</f>
        <v>0.12788600000000017</v>
      </c>
      <c r="Q32" s="10" t="str">
        <f>IF(P32&gt;0,"Yes","No")</f>
        <v>Yes</v>
      </c>
      <c r="R32" s="51" t="str">
        <f>IF(I32&lt;&gt;I31,N32+SUMIFS(E32:E$68,Q32:Q$68,"Yes",I32:I$68,I32),"")</f>
        <v/>
      </c>
      <c r="S32" s="38" t="str">
        <f>IF(I32&lt;&gt;I31,O32+SUMIFS(F32:F$68,I32:I$68,I32,Q32:Q$68,"Yes"),"")</f>
        <v/>
      </c>
      <c r="T32" s="39" t="str">
        <f>IF(R32&lt;&gt;"",S32/R32,"")</f>
        <v/>
      </c>
      <c r="V32" s="8">
        <v>446</v>
      </c>
      <c r="W32" s="48" t="s">
        <v>28</v>
      </c>
      <c r="X32" s="4">
        <v>11.81</v>
      </c>
      <c r="Y32" s="59" t="s">
        <v>179</v>
      </c>
      <c r="Z32" s="60">
        <v>8388</v>
      </c>
    </row>
    <row r="33" spans="1:26" ht="15.75" thickBot="1" x14ac:dyDescent="0.3">
      <c r="A33" s="14">
        <v>401</v>
      </c>
      <c r="B33" s="17" t="s">
        <v>98</v>
      </c>
      <c r="C33" s="44">
        <f>VLOOKUP(A33,$V$6:$X$94,3)</f>
        <v>18.45</v>
      </c>
      <c r="D33" s="16">
        <f>C33*(1+$D$2)</f>
        <v>14.96664</v>
      </c>
      <c r="E33" s="23">
        <f t="shared" si="0"/>
        <v>64</v>
      </c>
      <c r="F33" s="35">
        <f>D33*E33</f>
        <v>957.86496</v>
      </c>
      <c r="G33" s="13">
        <v>83</v>
      </c>
      <c r="H33" s="13"/>
      <c r="I33" s="14" t="s">
        <v>1</v>
      </c>
      <c r="J33" s="18" t="s">
        <v>78</v>
      </c>
      <c r="K33" s="15" t="str">
        <f>VLOOKUP(I33,$V$6:$W$94,2)</f>
        <v>LS KA1 UG LED Acorn 4000-7000</v>
      </c>
      <c r="L33" s="16">
        <f>VLOOKUP(I33,$V$6:$X$94,3)+VLOOKUP(J33,$V$95:$X$100,3)</f>
        <v>20.5</v>
      </c>
      <c r="M33" s="16">
        <f>L33*(1+$D$3)</f>
        <v>15.106450000000001</v>
      </c>
      <c r="N33" s="23" t="str">
        <f t="shared" si="1"/>
        <v/>
      </c>
      <c r="O33" s="35" t="str">
        <f t="shared" si="2"/>
        <v/>
      </c>
      <c r="P33" s="19">
        <f>D33-M33</f>
        <v>-0.13981000000000066</v>
      </c>
      <c r="Q33" s="10" t="str">
        <f>IF(P33&gt;0,"Yes","No")</f>
        <v>No</v>
      </c>
      <c r="R33" s="51" t="str">
        <f>IF(I33&lt;&gt;I32,N33+SUMIFS(E33:E$68,Q33:Q$68,"Yes",I33:I$68,I33),"")</f>
        <v/>
      </c>
      <c r="S33" s="38" t="str">
        <f>IF(I33&lt;&gt;I32,O33+SUMIFS(F33:F$68,I33:I$68,I33,Q33:Q$68,"Yes"),"")</f>
        <v/>
      </c>
      <c r="T33" s="39" t="str">
        <f>IF(R33&lt;&gt;"",S33/R33,"")</f>
        <v/>
      </c>
      <c r="V33" s="8">
        <v>447</v>
      </c>
      <c r="W33" s="48" t="s">
        <v>29</v>
      </c>
      <c r="X33" s="4">
        <v>13.93</v>
      </c>
      <c r="Y33" s="59" t="s">
        <v>180</v>
      </c>
      <c r="Z33" s="60">
        <v>5416</v>
      </c>
    </row>
    <row r="34" spans="1:26" ht="15.75" thickBot="1" x14ac:dyDescent="0.3">
      <c r="A34" s="14">
        <v>440</v>
      </c>
      <c r="B34" s="17" t="s">
        <v>27</v>
      </c>
      <c r="C34" s="44">
        <f>VLOOKUP(A34,$V$6:$X$94,3)</f>
        <v>17.329999999999998</v>
      </c>
      <c r="D34" s="16">
        <f>C34*(1+$D$2)</f>
        <v>14.058095999999999</v>
      </c>
      <c r="E34" s="23">
        <f t="shared" si="0"/>
        <v>2</v>
      </c>
      <c r="F34" s="35">
        <f>D34*E34</f>
        <v>28.116191999999998</v>
      </c>
      <c r="G34" s="13">
        <v>60</v>
      </c>
      <c r="H34" s="13"/>
      <c r="I34" s="14" t="s">
        <v>1</v>
      </c>
      <c r="J34" s="18" t="s">
        <v>78</v>
      </c>
      <c r="K34" s="15" t="str">
        <f>VLOOKUP(I34,$V$6:$W$94,2)</f>
        <v>LS KA1 UG LED Acorn 4000-7000</v>
      </c>
      <c r="L34" s="16">
        <f>VLOOKUP(I34,$V$6:$X$94,3)+VLOOKUP(J34,$V$95:$X$100,3)</f>
        <v>20.5</v>
      </c>
      <c r="M34" s="16">
        <f>L34*(1+$D$3)</f>
        <v>15.106450000000001</v>
      </c>
      <c r="N34" s="23" t="str">
        <f t="shared" si="1"/>
        <v/>
      </c>
      <c r="O34" s="35" t="str">
        <f t="shared" si="2"/>
        <v/>
      </c>
      <c r="P34" s="19">
        <f>D34-M34</f>
        <v>-1.0483540000000016</v>
      </c>
      <c r="Q34" s="10" t="str">
        <f>IF(P34&gt;0,"Yes","No")</f>
        <v>No</v>
      </c>
      <c r="R34" s="51" t="str">
        <f>IF(I34&lt;&gt;I33,N34+SUMIFS(E34:E$68,Q34:Q$68,"Yes",I34:I$68,I34),"")</f>
        <v/>
      </c>
      <c r="S34" s="38" t="str">
        <f>IF(I34&lt;&gt;I33,O34+SUMIFS(F34:F$68,I34:I$68,I34,Q34:Q$68,"Yes"),"")</f>
        <v/>
      </c>
      <c r="T34" s="39" t="str">
        <f>IF(R34&lt;&gt;"",S34/R34,"")</f>
        <v/>
      </c>
      <c r="V34" s="8">
        <v>448</v>
      </c>
      <c r="W34" s="48" t="s">
        <v>30</v>
      </c>
      <c r="X34" s="4">
        <v>15.14</v>
      </c>
      <c r="Y34" s="59" t="s">
        <v>181</v>
      </c>
      <c r="Z34" s="60">
        <v>11652</v>
      </c>
    </row>
    <row r="35" spans="1:26" ht="15.75" thickBot="1" x14ac:dyDescent="0.3">
      <c r="A35" s="14">
        <v>446</v>
      </c>
      <c r="B35" s="17" t="s">
        <v>28</v>
      </c>
      <c r="C35" s="44">
        <f>VLOOKUP(A35,$V$6:$X$94,3)</f>
        <v>11.81</v>
      </c>
      <c r="D35" s="16">
        <f>C35*(1+$D$2)</f>
        <v>9.5802720000000008</v>
      </c>
      <c r="E35" s="23">
        <f t="shared" si="0"/>
        <v>699</v>
      </c>
      <c r="F35" s="35">
        <f>D35*E35</f>
        <v>6696.6101280000003</v>
      </c>
      <c r="G35" s="13">
        <v>207</v>
      </c>
      <c r="H35" s="13"/>
      <c r="I35" s="14" t="s">
        <v>2</v>
      </c>
      <c r="J35" s="18">
        <v>0</v>
      </c>
      <c r="K35" s="15" t="str">
        <f>VLOOKUP(I35,$V$6:$W$94,2)</f>
        <v>LS KC1 OH LED Cobra 2500-4000</v>
      </c>
      <c r="L35" s="16">
        <f>VLOOKUP(I35,$V$6:$X$94,3)+VLOOKUP(J35,$V$95:$X$100,3)</f>
        <v>8.25</v>
      </c>
      <c r="M35" s="16">
        <f>L35*(1+$D$3)</f>
        <v>6.0794249999999996</v>
      </c>
      <c r="N35" s="23">
        <f t="shared" si="1"/>
        <v>400.33333333333331</v>
      </c>
      <c r="O35" s="35">
        <f t="shared" si="2"/>
        <v>2433.7964749999996</v>
      </c>
      <c r="P35" s="19">
        <f>D35-M35</f>
        <v>3.5008470000000012</v>
      </c>
      <c r="Q35" s="10" t="str">
        <f>IF(P35&gt;0,"Yes","No")</f>
        <v>Yes</v>
      </c>
      <c r="R35" s="51">
        <f>IF(I35&lt;&gt;I34,N35+SUMIFS(E35:E$68,Q35:Q$68,"Yes",I35:I$68,I35),"")</f>
        <v>16427</v>
      </c>
      <c r="S35" s="38">
        <f>IF(I35&lt;&gt;I34,O35+SUMIFS(F35:F$68,I35:I$68,I35,Q35:Q$68,"Yes"),"")</f>
        <v>136236.88438700003</v>
      </c>
      <c r="T35" s="39">
        <f>IF(R35&lt;&gt;"",S35/R35,"")</f>
        <v>8.2934732079503277</v>
      </c>
      <c r="V35" s="8">
        <v>450</v>
      </c>
      <c r="W35" s="48" t="s">
        <v>31</v>
      </c>
      <c r="X35" s="4">
        <v>17.399999999999999</v>
      </c>
      <c r="Y35" s="59" t="s">
        <v>182</v>
      </c>
      <c r="Z35" s="60">
        <v>7896</v>
      </c>
    </row>
    <row r="36" spans="1:26" ht="15.75" thickBot="1" x14ac:dyDescent="0.3">
      <c r="A36" s="14">
        <v>461</v>
      </c>
      <c r="B36" s="17" t="s">
        <v>40</v>
      </c>
      <c r="C36" s="44">
        <f>VLOOKUP(A36,$V$6:$X$94,3)</f>
        <v>9.58</v>
      </c>
      <c r="D36" s="16">
        <f>C36*(1+$D$2)</f>
        <v>7.7712960000000004</v>
      </c>
      <c r="E36" s="23">
        <f t="shared" si="0"/>
        <v>6610.5</v>
      </c>
      <c r="F36" s="35">
        <f>D36*E36</f>
        <v>51372.152208</v>
      </c>
      <c r="G36" s="13">
        <v>60</v>
      </c>
      <c r="H36" s="13"/>
      <c r="I36" s="14" t="s">
        <v>2</v>
      </c>
      <c r="J36" s="18">
        <v>0</v>
      </c>
      <c r="K36" s="15" t="str">
        <f>VLOOKUP(I36,$V$6:$W$94,2)</f>
        <v>LS KC1 OH LED Cobra 2500-4000</v>
      </c>
      <c r="L36" s="16">
        <f>VLOOKUP(I36,$V$6:$X$94,3)+VLOOKUP(J36,$V$95:$X$100,3)</f>
        <v>8.25</v>
      </c>
      <c r="M36" s="16">
        <f>L36*(1+$D$3)</f>
        <v>6.0794249999999996</v>
      </c>
      <c r="N36" s="23" t="str">
        <f t="shared" si="1"/>
        <v/>
      </c>
      <c r="O36" s="35" t="str">
        <f t="shared" si="2"/>
        <v/>
      </c>
      <c r="P36" s="19">
        <f>D36-M36</f>
        <v>1.6918710000000008</v>
      </c>
      <c r="Q36" s="10" t="str">
        <f>IF(P36&gt;0,"Yes","No")</f>
        <v>Yes</v>
      </c>
      <c r="R36" s="51" t="str">
        <f>IF(I36&lt;&gt;I35,N36+SUMIFS(E36:E$68,Q36:Q$68,"Yes",I36:I$68,I36),"")</f>
        <v/>
      </c>
      <c r="S36" s="38" t="str">
        <f>IF(I36&lt;&gt;I35,O36+SUMIFS(F36:F$68,I36:I$68,I36,Q36:Q$68,"Yes"),"")</f>
        <v/>
      </c>
      <c r="T36" s="39" t="str">
        <f>IF(R36&lt;&gt;"",S36/R36,"")</f>
        <v/>
      </c>
      <c r="V36" s="8">
        <v>451</v>
      </c>
      <c r="W36" s="48" t="s">
        <v>102</v>
      </c>
      <c r="X36" s="4">
        <v>24.28</v>
      </c>
      <c r="Y36" s="59" t="s">
        <v>183</v>
      </c>
      <c r="Z36" s="60">
        <v>69948</v>
      </c>
    </row>
    <row r="37" spans="1:26" ht="15.75" thickBot="1" x14ac:dyDescent="0.3">
      <c r="A37" s="14">
        <v>462</v>
      </c>
      <c r="B37" s="17" t="s">
        <v>88</v>
      </c>
      <c r="C37" s="44">
        <f>VLOOKUP(A37,$V$6:$X$94,3)</f>
        <v>10.71</v>
      </c>
      <c r="D37" s="16">
        <f>C37*(1+$D$2)</f>
        <v>8.687952000000001</v>
      </c>
      <c r="E37" s="23">
        <f t="shared" si="0"/>
        <v>8717.1666666666661</v>
      </c>
      <c r="F37" s="35">
        <f>D37*E37</f>
        <v>75734.325576000003</v>
      </c>
      <c r="G37" s="13">
        <v>83</v>
      </c>
      <c r="H37" s="13"/>
      <c r="I37" s="14" t="s">
        <v>2</v>
      </c>
      <c r="J37" s="18">
        <v>0</v>
      </c>
      <c r="K37" s="15" t="str">
        <f>VLOOKUP(I37,$V$6:$W$94,2)</f>
        <v>LS KC1 OH LED Cobra 2500-4000</v>
      </c>
      <c r="L37" s="16">
        <f>VLOOKUP(I37,$V$6:$X$94,3)+VLOOKUP(J37,$V$95:$X$100,3)</f>
        <v>8.25</v>
      </c>
      <c r="M37" s="16">
        <f>L37*(1+$D$3)</f>
        <v>6.0794249999999996</v>
      </c>
      <c r="N37" s="23" t="str">
        <f t="shared" si="1"/>
        <v/>
      </c>
      <c r="O37" s="35" t="str">
        <f t="shared" si="2"/>
        <v/>
      </c>
      <c r="P37" s="19">
        <f>D37-M37</f>
        <v>2.6085270000000014</v>
      </c>
      <c r="Q37" s="10" t="str">
        <f>IF(P37&gt;0,"Yes","No")</f>
        <v>Yes</v>
      </c>
      <c r="R37" s="51" t="str">
        <f>IF(I37&lt;&gt;I36,N37+SUMIFS(E37:E$68,Q37:Q$68,"Yes",I37:I$68,I37),"")</f>
        <v/>
      </c>
      <c r="S37" s="38" t="str">
        <f>IF(I37&lt;&gt;I36,O37+SUMIFS(F37:F$68,I37:I$68,I37,Q37:Q$68,"Yes"),"")</f>
        <v/>
      </c>
      <c r="T37" s="39" t="str">
        <f>IF(R37&lt;&gt;"",S37/R37,"")</f>
        <v/>
      </c>
      <c r="V37" s="8">
        <v>452</v>
      </c>
      <c r="W37" s="48" t="s">
        <v>32</v>
      </c>
      <c r="X37" s="4">
        <v>50.12</v>
      </c>
      <c r="Y37" s="59" t="s">
        <v>184</v>
      </c>
      <c r="Z37" s="60">
        <v>8604</v>
      </c>
    </row>
    <row r="38" spans="1:26" ht="15.75" thickBot="1" x14ac:dyDescent="0.3">
      <c r="A38" s="14">
        <v>456</v>
      </c>
      <c r="B38" s="17" t="s">
        <v>35</v>
      </c>
      <c r="C38" s="44">
        <f>VLOOKUP(A38,$V$6:$X$94,3)</f>
        <v>14.11</v>
      </c>
      <c r="D38" s="16">
        <f>C38*(1+$D$2)</f>
        <v>11.446032000000001</v>
      </c>
      <c r="E38" s="23">
        <f t="shared" si="0"/>
        <v>89</v>
      </c>
      <c r="F38" s="35">
        <f>D38*E38</f>
        <v>1018.696848</v>
      </c>
      <c r="G38" s="13">
        <v>207</v>
      </c>
      <c r="H38" s="13"/>
      <c r="I38" s="14" t="s">
        <v>8</v>
      </c>
      <c r="J38" s="18" t="s">
        <v>76</v>
      </c>
      <c r="K38" s="15" t="str">
        <f>VLOOKUP(I38,$V$6:$W$94,2)</f>
        <v>LS KC2 UG LED Cobra 2500-4000</v>
      </c>
      <c r="L38" s="16">
        <f>VLOOKUP(I38,$V$6:$X$94,3)+VLOOKUP(J38,$V$95:$X$100,3)</f>
        <v>16.8</v>
      </c>
      <c r="M38" s="16">
        <f>L38*(1+$D$3)</f>
        <v>12.37992</v>
      </c>
      <c r="N38" s="23">
        <f t="shared" si="1"/>
        <v>57</v>
      </c>
      <c r="O38" s="35">
        <f t="shared" si="2"/>
        <v>705.65544</v>
      </c>
      <c r="P38" s="19">
        <f>D38-M38</f>
        <v>-0.93388799999999961</v>
      </c>
      <c r="Q38" s="10" t="str">
        <f>IF(P38&gt;0,"Yes","No")</f>
        <v>No</v>
      </c>
      <c r="R38" s="51">
        <f>IF(I38&lt;&gt;I37,N38+SUMIFS(E38:E$68,Q38:Q$68,"Yes",I38:I$68,I38),"")</f>
        <v>57</v>
      </c>
      <c r="S38" s="38">
        <f>IF(I38&lt;&gt;I37,O38+SUMIFS(F38:F$68,I38:I$68,I38,Q38:Q$68,"Yes"),"")</f>
        <v>705.65544</v>
      </c>
      <c r="T38" s="39">
        <f>IF(R38&lt;&gt;"",S38/R38,"")</f>
        <v>12.37992</v>
      </c>
      <c r="V38" s="8">
        <v>454</v>
      </c>
      <c r="W38" s="48" t="s">
        <v>33</v>
      </c>
      <c r="X38" s="4">
        <v>22.44</v>
      </c>
      <c r="Y38" s="59" t="s">
        <v>185</v>
      </c>
      <c r="Z38" s="60">
        <v>1740</v>
      </c>
    </row>
    <row r="39" spans="1:26" ht="15.75" thickBot="1" x14ac:dyDescent="0.3">
      <c r="A39" s="14">
        <v>471</v>
      </c>
      <c r="B39" s="17" t="s">
        <v>44</v>
      </c>
      <c r="C39" s="44">
        <f>VLOOKUP(A39,$V$6:$X$94,3)</f>
        <v>13.1</v>
      </c>
      <c r="D39" s="16">
        <f>C39*(1+$D$2)</f>
        <v>10.626720000000001</v>
      </c>
      <c r="E39" s="23">
        <f t="shared" si="0"/>
        <v>3267</v>
      </c>
      <c r="F39" s="35">
        <f>D39*E39</f>
        <v>34717.49424</v>
      </c>
      <c r="G39" s="13">
        <v>60</v>
      </c>
      <c r="H39" s="13"/>
      <c r="I39" s="14" t="s">
        <v>8</v>
      </c>
      <c r="J39" s="18" t="s">
        <v>76</v>
      </c>
      <c r="K39" s="15" t="str">
        <f>VLOOKUP(I39,$V$6:$W$94,2)</f>
        <v>LS KC2 UG LED Cobra 2500-4000</v>
      </c>
      <c r="L39" s="16">
        <f>VLOOKUP(I39,$V$6:$X$94,3)+VLOOKUP(J39,$V$95:$X$100,3)</f>
        <v>16.8</v>
      </c>
      <c r="M39" s="16">
        <f>L39*(1+$D$3)</f>
        <v>12.37992</v>
      </c>
      <c r="N39" s="23" t="str">
        <f t="shared" si="1"/>
        <v/>
      </c>
      <c r="O39" s="35" t="str">
        <f t="shared" si="2"/>
        <v/>
      </c>
      <c r="P39" s="19">
        <f>D39-M39</f>
        <v>-1.7531999999999996</v>
      </c>
      <c r="Q39" s="10" t="str">
        <f>IF(P39&gt;0,"Yes","No")</f>
        <v>No</v>
      </c>
      <c r="R39" s="51" t="str">
        <f>IF(I39&lt;&gt;I38,N39+SUMIFS(E39:E$68,Q39:Q$68,"Yes",I39:I$68,I39),"")</f>
        <v/>
      </c>
      <c r="S39" s="38" t="str">
        <f>IF(I39&lt;&gt;I38,O39+SUMIFS(F39:F$68,I39:I$68,I39,Q39:Q$68,"Yes"),"")</f>
        <v/>
      </c>
      <c r="T39" s="39" t="str">
        <f>IF(R39&lt;&gt;"",S39/R39,"")</f>
        <v/>
      </c>
      <c r="V39" s="8">
        <v>455</v>
      </c>
      <c r="W39" s="48" t="s">
        <v>34</v>
      </c>
      <c r="X39" s="4">
        <v>29.31</v>
      </c>
      <c r="Y39" s="59" t="s">
        <v>186</v>
      </c>
      <c r="Z39" s="60">
        <v>10452</v>
      </c>
    </row>
    <row r="40" spans="1:26" ht="15.75" thickBot="1" x14ac:dyDescent="0.3">
      <c r="A40" s="14">
        <v>472</v>
      </c>
      <c r="B40" s="17" t="s">
        <v>91</v>
      </c>
      <c r="C40" s="44">
        <f>VLOOKUP(A40,$V$6:$X$94,3)</f>
        <v>14.59</v>
      </c>
      <c r="D40" s="16">
        <f>C40*(1+$D$2)</f>
        <v>11.835408000000001</v>
      </c>
      <c r="E40" s="23">
        <f t="shared" si="0"/>
        <v>9460</v>
      </c>
      <c r="F40" s="35">
        <f>D40*E40</f>
        <v>111962.95968000001</v>
      </c>
      <c r="G40" s="13">
        <v>83</v>
      </c>
      <c r="H40" s="13"/>
      <c r="I40" s="14" t="s">
        <v>8</v>
      </c>
      <c r="J40" s="18" t="s">
        <v>76</v>
      </c>
      <c r="K40" s="15" t="str">
        <f>VLOOKUP(I40,$V$6:$W$94,2)</f>
        <v>LS KC2 UG LED Cobra 2500-4000</v>
      </c>
      <c r="L40" s="16">
        <f>VLOOKUP(I40,$V$6:$X$94,3)+VLOOKUP(J40,$V$95:$X$100,3)</f>
        <v>16.8</v>
      </c>
      <c r="M40" s="16">
        <f>L40*(1+$D$3)</f>
        <v>12.37992</v>
      </c>
      <c r="N40" s="23" t="str">
        <f t="shared" si="1"/>
        <v/>
      </c>
      <c r="O40" s="35" t="str">
        <f t="shared" si="2"/>
        <v/>
      </c>
      <c r="P40" s="19">
        <f>D40-M40</f>
        <v>-0.54451199999999922</v>
      </c>
      <c r="Q40" s="10" t="str">
        <f>IF(P40&gt;0,"Yes","No")</f>
        <v>No</v>
      </c>
      <c r="R40" s="51" t="str">
        <f>IF(I40&lt;&gt;I39,N40+SUMIFS(E40:E$68,Q40:Q$68,"Yes",I40:I$68,I40),"")</f>
        <v/>
      </c>
      <c r="S40" s="38" t="str">
        <f>IF(I40&lt;&gt;I39,O40+SUMIFS(F40:F$68,I40:I$68,I40,Q40:Q$68,"Yes"),"")</f>
        <v/>
      </c>
      <c r="T40" s="39" t="str">
        <f>IF(R40&lt;&gt;"",S40/R40,"")</f>
        <v/>
      </c>
      <c r="V40" s="8">
        <v>456</v>
      </c>
      <c r="W40" s="48" t="s">
        <v>35</v>
      </c>
      <c r="X40" s="4">
        <v>14.11</v>
      </c>
      <c r="Y40" s="59" t="s">
        <v>187</v>
      </c>
      <c r="Z40" s="60">
        <v>1068</v>
      </c>
    </row>
    <row r="41" spans="1:26" ht="15.75" thickBot="1" x14ac:dyDescent="0.3">
      <c r="A41" s="14">
        <v>487</v>
      </c>
      <c r="B41" s="17" t="s">
        <v>103</v>
      </c>
      <c r="C41" s="44">
        <f>VLOOKUP(A41,$V$6:$X$94,3)</f>
        <v>10.9</v>
      </c>
      <c r="D41" s="16">
        <f>C41*(1+$D$2)</f>
        <v>8.842080000000001</v>
      </c>
      <c r="E41" s="23">
        <f t="shared" si="0"/>
        <v>11064</v>
      </c>
      <c r="F41" s="35">
        <f>D41*E41</f>
        <v>97828.773120000013</v>
      </c>
      <c r="G41" s="13">
        <v>117</v>
      </c>
      <c r="H41" s="13"/>
      <c r="I41" s="14" t="s">
        <v>14</v>
      </c>
      <c r="J41" s="18">
        <v>0</v>
      </c>
      <c r="K41" s="15" t="str">
        <f>VLOOKUP(I41,$V$6:$W$94,2)</f>
        <v>LS KF1 OH LED Flood  4500-6000</v>
      </c>
      <c r="L41" s="16">
        <f>VLOOKUP(I41,$V$6:$X$94,3)+VLOOKUP(J41,$V$95:$X$100,3)</f>
        <v>10.8</v>
      </c>
      <c r="M41" s="16">
        <f>L41*(1+$D$3)</f>
        <v>7.9585200000000009</v>
      </c>
      <c r="N41" s="23">
        <f t="shared" si="1"/>
        <v>221</v>
      </c>
      <c r="O41" s="35">
        <f t="shared" si="2"/>
        <v>1758.8329200000003</v>
      </c>
      <c r="P41" s="19">
        <f>D41-M41</f>
        <v>0.88356000000000012</v>
      </c>
      <c r="Q41" s="10" t="str">
        <f>IF(P41&gt;0,"Yes","No")</f>
        <v>Yes</v>
      </c>
      <c r="R41" s="51">
        <f>IF(I41&lt;&gt;I40,N41+SUMIFS(E41:E$68,Q41:Q$68,"Yes",I41:I$68,I41),"")</f>
        <v>11285</v>
      </c>
      <c r="S41" s="38">
        <f>IF(I41&lt;&gt;I40,O41+SUMIFS(F41:F$68,I41:I$68,I41,Q41:Q$68,"Yes"),"")</f>
        <v>99587.606040000013</v>
      </c>
      <c r="T41" s="39">
        <f>IF(R41&lt;&gt;"",S41/R41,"")</f>
        <v>8.8247767868852467</v>
      </c>
      <c r="V41" s="8">
        <v>457</v>
      </c>
      <c r="W41" s="48" t="s">
        <v>36</v>
      </c>
      <c r="X41" s="4">
        <v>15.87</v>
      </c>
      <c r="Y41" s="59" t="s">
        <v>188</v>
      </c>
      <c r="Z41" s="60">
        <v>3708</v>
      </c>
    </row>
    <row r="42" spans="1:26" ht="15.75" thickBot="1" x14ac:dyDescent="0.3">
      <c r="A42" s="14">
        <v>450</v>
      </c>
      <c r="B42" s="17" t="s">
        <v>31</v>
      </c>
      <c r="C42" s="44">
        <f>VLOOKUP(A42,$V$6:$X$94,3)</f>
        <v>17.399999999999999</v>
      </c>
      <c r="D42" s="16">
        <f>C42*(1+$D$2)</f>
        <v>14.114879999999999</v>
      </c>
      <c r="E42" s="23">
        <f t="shared" si="0"/>
        <v>658</v>
      </c>
      <c r="F42" s="35">
        <f>D42*E42</f>
        <v>9287.5910399999993</v>
      </c>
      <c r="G42" s="13">
        <v>150</v>
      </c>
      <c r="H42" s="13"/>
      <c r="I42" s="14" t="s">
        <v>3</v>
      </c>
      <c r="J42" s="18">
        <v>0</v>
      </c>
      <c r="K42" s="15" t="str">
        <f>VLOOKUP(I42,$V$6:$W$94,2)</f>
        <v>LS KF2 OH LED Flood  14000-17500</v>
      </c>
      <c r="L42" s="16">
        <f>VLOOKUP(I42,$V$6:$X$94,3)+VLOOKUP(J42,$V$95:$X$100,3)</f>
        <v>12.7</v>
      </c>
      <c r="M42" s="16">
        <f>L42*(1+$D$3)</f>
        <v>9.3586299999999998</v>
      </c>
      <c r="N42" s="23">
        <f t="shared" si="1"/>
        <v>128</v>
      </c>
      <c r="O42" s="35">
        <f t="shared" si="2"/>
        <v>1197.90464</v>
      </c>
      <c r="P42" s="19">
        <f>D42-M42</f>
        <v>4.7562499999999996</v>
      </c>
      <c r="Q42" s="10" t="str">
        <f>IF(P42&gt;0,"Yes","No")</f>
        <v>Yes</v>
      </c>
      <c r="R42" s="51">
        <f>IF(I42&lt;&gt;I41,N42+SUMIFS(E42:E$68,Q42:Q$68,"Yes",I42:I$68,I42),"")</f>
        <v>786</v>
      </c>
      <c r="S42" s="38">
        <f>IF(I42&lt;&gt;I41,O42+SUMIFS(F42:F$68,I42:I$68,I42,Q42:Q$68,"Yes"),"")</f>
        <v>10485.49568</v>
      </c>
      <c r="T42" s="39">
        <f>IF(R42&lt;&gt;"",S42/R42,"")</f>
        <v>13.340325292620864</v>
      </c>
      <c r="V42" s="8">
        <v>458</v>
      </c>
      <c r="W42" s="48" t="s">
        <v>37</v>
      </c>
      <c r="X42" s="4">
        <v>17.760000000000002</v>
      </c>
      <c r="Y42" s="59" t="s">
        <v>189</v>
      </c>
      <c r="Z42" s="60">
        <v>10932</v>
      </c>
    </row>
    <row r="43" spans="1:26" ht="15.75" thickBot="1" x14ac:dyDescent="0.3">
      <c r="A43" s="14">
        <v>451</v>
      </c>
      <c r="B43" s="17" t="s">
        <v>102</v>
      </c>
      <c r="C43" s="44">
        <f>VLOOKUP(A43,$V$6:$X$94,3)</f>
        <v>24.28</v>
      </c>
      <c r="D43" s="16">
        <f>C43*(1+$D$2)</f>
        <v>19.695936000000003</v>
      </c>
      <c r="E43" s="23">
        <f t="shared" si="0"/>
        <v>5829</v>
      </c>
      <c r="F43" s="35">
        <f>D43*E43</f>
        <v>114807.61094400001</v>
      </c>
      <c r="G43" s="13">
        <v>350</v>
      </c>
      <c r="H43" s="13"/>
      <c r="I43" s="14" t="s">
        <v>4</v>
      </c>
      <c r="J43" s="18">
        <v>0</v>
      </c>
      <c r="K43" s="15" t="str">
        <f>VLOOKUP(I43,$V$6:$W$94,2)</f>
        <v>LS KF3 OH LED Flood  22000-28000</v>
      </c>
      <c r="L43" s="16">
        <f>VLOOKUP(I43,$V$6:$X$94,3)+VLOOKUP(J43,$V$95:$X$100,3)</f>
        <v>15.06</v>
      </c>
      <c r="M43" s="16">
        <f>L43*(1+$D$3)</f>
        <v>11.097714</v>
      </c>
      <c r="N43" s="23">
        <f t="shared" si="1"/>
        <v>545</v>
      </c>
      <c r="O43" s="35">
        <f t="shared" si="2"/>
        <v>6048.2541300000003</v>
      </c>
      <c r="P43" s="19">
        <f>D43-M43</f>
        <v>8.5982220000000034</v>
      </c>
      <c r="Q43" s="10" t="str">
        <f>IF(P43&gt;0,"Yes","No")</f>
        <v>Yes</v>
      </c>
      <c r="R43" s="51">
        <f>IF(I43&lt;&gt;I42,N43+SUMIFS(E43:E$68,Q43:Q$68,"Yes",I43:I$68,I43),"")</f>
        <v>21400</v>
      </c>
      <c r="S43" s="38">
        <f>IF(I43&lt;&gt;I42,O43+SUMIFS(F43:F$68,I43:I$68,I43,Q43:Q$68,"Yes"),"")</f>
        <v>367408.04253000004</v>
      </c>
      <c r="T43" s="39">
        <f>IF(R43&lt;&gt;"",S43/R43,"")</f>
        <v>17.168600118224301</v>
      </c>
      <c r="V43" s="8">
        <v>459</v>
      </c>
      <c r="W43" s="48" t="s">
        <v>38</v>
      </c>
      <c r="X43" s="4">
        <v>55.15</v>
      </c>
      <c r="Y43" s="59" t="s">
        <v>190</v>
      </c>
      <c r="Z43" s="60">
        <v>1548</v>
      </c>
    </row>
    <row r="44" spans="1:26" ht="15.75" thickBot="1" x14ac:dyDescent="0.3">
      <c r="A44" s="14">
        <v>488</v>
      </c>
      <c r="B44" s="17" t="s">
        <v>104</v>
      </c>
      <c r="C44" s="44">
        <f>VLOOKUP(A44,$V$6:$X$94,3)</f>
        <v>16.47</v>
      </c>
      <c r="D44" s="16">
        <f>C44*(1+$D$2)</f>
        <v>13.360464</v>
      </c>
      <c r="E44" s="23">
        <f t="shared" si="0"/>
        <v>6587</v>
      </c>
      <c r="F44" s="35">
        <f>D44*E44</f>
        <v>88005.376367999997</v>
      </c>
      <c r="G44" s="13">
        <v>242</v>
      </c>
      <c r="H44" s="13"/>
      <c r="I44" s="14" t="s">
        <v>4</v>
      </c>
      <c r="J44" s="18">
        <v>0</v>
      </c>
      <c r="K44" s="15" t="str">
        <f>VLOOKUP(I44,$V$6:$W$94,2)</f>
        <v>LS KF3 OH LED Flood  22000-28000</v>
      </c>
      <c r="L44" s="16">
        <f>VLOOKUP(I44,$V$6:$X$94,3)+VLOOKUP(J44,$V$95:$X$100,3)</f>
        <v>15.06</v>
      </c>
      <c r="M44" s="16">
        <f>L44*(1+$D$3)</f>
        <v>11.097714</v>
      </c>
      <c r="N44" s="23" t="str">
        <f t="shared" si="1"/>
        <v/>
      </c>
      <c r="O44" s="35" t="str">
        <f t="shared" si="2"/>
        <v/>
      </c>
      <c r="P44" s="19">
        <f>D44-M44</f>
        <v>2.2627500000000005</v>
      </c>
      <c r="Q44" s="10" t="str">
        <f>IF(P44&gt;0,"Yes","No")</f>
        <v>Yes</v>
      </c>
      <c r="R44" s="51" t="str">
        <f>IF(I44&lt;&gt;I43,N44+SUMIFS(E44:E$68,Q44:Q$68,"Yes",I44:I$68,I44),"")</f>
        <v/>
      </c>
      <c r="S44" s="38" t="str">
        <f>IF(I44&lt;&gt;I43,O44+SUMIFS(F44:F$68,I44:I$68,I44,Q44:Q$68,"Yes"),"")</f>
        <v/>
      </c>
      <c r="T44" s="39" t="str">
        <f>IF(R44&lt;&gt;"",S44/R44,"")</f>
        <v/>
      </c>
      <c r="V44" s="8">
        <v>460</v>
      </c>
      <c r="W44" s="48" t="s">
        <v>39</v>
      </c>
      <c r="X44" s="4">
        <v>33.36</v>
      </c>
      <c r="Y44" s="59" t="s">
        <v>191</v>
      </c>
      <c r="Z44" s="60">
        <v>228</v>
      </c>
    </row>
    <row r="45" spans="1:26" ht="15.75" thickBot="1" x14ac:dyDescent="0.3">
      <c r="A45" s="14">
        <v>489</v>
      </c>
      <c r="B45" s="17" t="s">
        <v>105</v>
      </c>
      <c r="C45" s="44">
        <f>VLOOKUP(A45,$V$6:$X$94,3)</f>
        <v>23.16</v>
      </c>
      <c r="D45" s="16">
        <f>C45*(1+$D$2)</f>
        <v>18.787392000000001</v>
      </c>
      <c r="E45" s="23">
        <f t="shared" si="0"/>
        <v>8439</v>
      </c>
      <c r="F45" s="35">
        <f>D45*E45</f>
        <v>158546.80108800001</v>
      </c>
      <c r="G45" s="13">
        <v>471</v>
      </c>
      <c r="H45" s="13"/>
      <c r="I45" s="14" t="s">
        <v>4</v>
      </c>
      <c r="J45" s="18">
        <v>0</v>
      </c>
      <c r="K45" s="15" t="str">
        <f>VLOOKUP(I45,$V$6:$W$94,2)</f>
        <v>LS KF3 OH LED Flood  22000-28000</v>
      </c>
      <c r="L45" s="16">
        <f>VLOOKUP(I45,$V$6:$X$94,3)+VLOOKUP(J45,$V$95:$X$100,3)</f>
        <v>15.06</v>
      </c>
      <c r="M45" s="16">
        <f>L45*(1+$D$3)</f>
        <v>11.097714</v>
      </c>
      <c r="N45" s="23" t="str">
        <f t="shared" si="1"/>
        <v/>
      </c>
      <c r="O45" s="35" t="str">
        <f t="shared" si="2"/>
        <v/>
      </c>
      <c r="P45" s="19">
        <f>D45-M45</f>
        <v>7.6896780000000007</v>
      </c>
      <c r="Q45" s="10" t="str">
        <f>IF(P45&gt;0,"Yes","No")</f>
        <v>Yes</v>
      </c>
      <c r="R45" s="51" t="str">
        <f>IF(I45&lt;&gt;I44,N45+SUMIFS(E45:E$68,Q45:Q$68,"Yes",I45:I$68,I45),"")</f>
        <v/>
      </c>
      <c r="S45" s="38" t="str">
        <f>IF(I45&lt;&gt;I44,O45+SUMIFS(F45:F$68,I45:I$68,I45,Q45:Q$68,"Yes"),"")</f>
        <v/>
      </c>
      <c r="T45" s="39" t="str">
        <f>IF(R45&lt;&gt;"",S45/R45,"")</f>
        <v/>
      </c>
      <c r="V45" s="8">
        <v>461</v>
      </c>
      <c r="W45" s="48" t="s">
        <v>40</v>
      </c>
      <c r="X45" s="4">
        <v>9.58</v>
      </c>
      <c r="Y45" s="59" t="s">
        <v>192</v>
      </c>
      <c r="Z45" s="60">
        <v>79326</v>
      </c>
    </row>
    <row r="46" spans="1:26" ht="15.75" thickBot="1" x14ac:dyDescent="0.3">
      <c r="A46" s="14">
        <v>452</v>
      </c>
      <c r="B46" s="17" t="s">
        <v>32</v>
      </c>
      <c r="C46" s="44">
        <f>VLOOKUP(A46,$V$6:$X$94,3)</f>
        <v>50.12</v>
      </c>
      <c r="D46" s="16">
        <f>C46*(1+$D$2)</f>
        <v>40.657344000000002</v>
      </c>
      <c r="E46" s="23">
        <f t="shared" si="0"/>
        <v>717</v>
      </c>
      <c r="F46" s="35">
        <f>D46*E46</f>
        <v>29151.315648</v>
      </c>
      <c r="G46" s="13">
        <v>1080</v>
      </c>
      <c r="H46" s="13"/>
      <c r="I46" s="14" t="s">
        <v>5</v>
      </c>
      <c r="J46" s="18">
        <v>0</v>
      </c>
      <c r="K46" s="15" t="str">
        <f>VLOOKUP(I46,$V$6:$W$94,2)</f>
        <v>LS KF4 OH LED Flood  35000-50000</v>
      </c>
      <c r="L46" s="16">
        <f>VLOOKUP(I46,$V$6:$X$94,3)+VLOOKUP(J46,$V$95:$X$100,3)</f>
        <v>21.83</v>
      </c>
      <c r="M46" s="16">
        <f>L46*(1+$D$3)</f>
        <v>16.086527</v>
      </c>
      <c r="N46" s="23">
        <f t="shared" si="1"/>
        <v>468</v>
      </c>
      <c r="O46" s="35">
        <f t="shared" si="2"/>
        <v>7528.4946360000004</v>
      </c>
      <c r="P46" s="19">
        <f>D46-M46</f>
        <v>24.570817000000002</v>
      </c>
      <c r="Q46" s="10" t="str">
        <f>IF(P46&gt;0,"Yes","No")</f>
        <v>Yes</v>
      </c>
      <c r="R46" s="51">
        <f>IF(I46&lt;&gt;I45,N46+SUMIFS(E46:E$68,Q46:Q$68,"Yes",I46:I$68,I46),"")</f>
        <v>1185</v>
      </c>
      <c r="S46" s="38">
        <f>IF(I46&lt;&gt;I45,O46+SUMIFS(F46:F$68,I46:I$68,I46,Q46:Q$68,"Yes"),"")</f>
        <v>36679.810283999999</v>
      </c>
      <c r="T46" s="39">
        <f>IF(R46&lt;&gt;"",S46/R46,"")</f>
        <v>30.953426399999998</v>
      </c>
      <c r="V46" s="8">
        <v>462</v>
      </c>
      <c r="W46" s="48" t="s">
        <v>88</v>
      </c>
      <c r="X46" s="4">
        <v>10.71</v>
      </c>
      <c r="Y46" s="59" t="s">
        <v>193</v>
      </c>
      <c r="Z46" s="60">
        <v>104606</v>
      </c>
    </row>
    <row r="47" spans="1:26" ht="15.75" thickBot="1" x14ac:dyDescent="0.3">
      <c r="A47" s="14">
        <v>460</v>
      </c>
      <c r="B47" s="17" t="s">
        <v>39</v>
      </c>
      <c r="C47" s="44">
        <f>VLOOKUP(A47,$V$6:$X$94,3)</f>
        <v>33.36</v>
      </c>
      <c r="D47" s="16">
        <f>C47*(1+$D$2)</f>
        <v>27.061631999999999</v>
      </c>
      <c r="E47" s="23">
        <f t="shared" si="0"/>
        <v>19</v>
      </c>
      <c r="F47" s="35">
        <f>D47*E47</f>
        <v>514.17100800000003</v>
      </c>
      <c r="G47" s="13">
        <v>150</v>
      </c>
      <c r="H47" s="13"/>
      <c r="I47" s="14" t="s">
        <v>6</v>
      </c>
      <c r="J47" s="18" t="s">
        <v>76</v>
      </c>
      <c r="K47" s="15" t="str">
        <f>VLOOKUP(I47,$V$6:$W$94,2)</f>
        <v>LS KF6 UG LED Flood  14000-17500</v>
      </c>
      <c r="L47" s="16">
        <f>VLOOKUP(I47,$V$6:$X$94,3)+VLOOKUP(J47,$V$95:$X$100,3)</f>
        <v>22.86</v>
      </c>
      <c r="M47" s="16">
        <f>L47*(1+$D$3)</f>
        <v>16.845534000000001</v>
      </c>
      <c r="N47" s="23">
        <f t="shared" si="1"/>
        <v>0</v>
      </c>
      <c r="O47" s="35">
        <f t="shared" si="2"/>
        <v>0</v>
      </c>
      <c r="P47" s="19">
        <f>D47-M47</f>
        <v>10.216097999999999</v>
      </c>
      <c r="Q47" s="10" t="str">
        <f>IF(P47&gt;0,"Yes","No")</f>
        <v>Yes</v>
      </c>
      <c r="R47" s="51">
        <f>IF(I47&lt;&gt;I46,N47+SUMIFS(E47:E$68,Q47:Q$68,"Yes",I47:I$68,I47),"")</f>
        <v>164</v>
      </c>
      <c r="S47" s="38">
        <f>IF(I47&lt;&gt;I46,O47+SUMIFS(F47:F$68,I47:I$68,I47,Q47:Q$68,"Yes"),"")</f>
        <v>3153.6535680000006</v>
      </c>
      <c r="T47" s="30" t="e">
        <f>#REF!</f>
        <v>#REF!</v>
      </c>
      <c r="V47" s="8">
        <v>463</v>
      </c>
      <c r="W47" s="48" t="s">
        <v>87</v>
      </c>
      <c r="X47" s="4">
        <v>11.06</v>
      </c>
      <c r="Y47" s="59" t="s">
        <v>194</v>
      </c>
      <c r="Z47" s="60">
        <v>252876</v>
      </c>
    </row>
    <row r="48" spans="1:26" ht="15.75" thickBot="1" x14ac:dyDescent="0.3">
      <c r="A48" s="14">
        <v>454</v>
      </c>
      <c r="B48" s="17" t="s">
        <v>33</v>
      </c>
      <c r="C48" s="44">
        <f>VLOOKUP(A48,$V$6:$X$94,3)</f>
        <v>22.44</v>
      </c>
      <c r="D48" s="16">
        <f>C48*(1+$D$2)</f>
        <v>18.203328000000003</v>
      </c>
      <c r="E48" s="23">
        <f t="shared" si="0"/>
        <v>145</v>
      </c>
      <c r="F48" s="35">
        <f>D48*E48</f>
        <v>2639.4825600000004</v>
      </c>
      <c r="G48" s="13">
        <v>150</v>
      </c>
      <c r="H48" s="13"/>
      <c r="I48" s="14" t="s">
        <v>6</v>
      </c>
      <c r="J48" s="18" t="s">
        <v>76</v>
      </c>
      <c r="K48" s="15" t="str">
        <f>VLOOKUP(I48,$V$6:$W$94,2)</f>
        <v>LS KF6 UG LED Flood  14000-17500</v>
      </c>
      <c r="L48" s="16">
        <f>VLOOKUP(I48,$V$6:$X$94,3)+VLOOKUP(J48,$V$95:$X$100,3)</f>
        <v>22.86</v>
      </c>
      <c r="M48" s="16">
        <f>L48*(1+$D$3)</f>
        <v>16.845534000000001</v>
      </c>
      <c r="N48" s="23" t="str">
        <f t="shared" si="1"/>
        <v/>
      </c>
      <c r="O48" s="35" t="str">
        <f t="shared" si="2"/>
        <v/>
      </c>
      <c r="P48" s="19">
        <f>D48-M48</f>
        <v>1.3577940000000019</v>
      </c>
      <c r="Q48" s="10" t="str">
        <f>IF(P48&gt;0,"Yes","No")</f>
        <v>Yes</v>
      </c>
      <c r="R48" s="51" t="str">
        <f>IF(I48&lt;&gt;I47,N48+SUMIFS(E48:E$68,Q48:Q$68,"Yes",I48:I$68,I48),"")</f>
        <v/>
      </c>
      <c r="S48" s="38" t="str">
        <f>IF(I48&lt;&gt;I47,O48+SUMIFS(F48:F$68,I48:I$68,I48,Q48:Q$68,"Yes"),"")</f>
        <v/>
      </c>
      <c r="T48" s="39" t="str">
        <f>IF(R48&lt;&gt;"",S48/R48,"")</f>
        <v/>
      </c>
      <c r="V48" s="8">
        <v>464</v>
      </c>
      <c r="W48" s="48" t="s">
        <v>89</v>
      </c>
      <c r="X48" s="4">
        <v>17.149999999999999</v>
      </c>
      <c r="Y48" s="59" t="s">
        <v>195</v>
      </c>
      <c r="Z48" s="60">
        <v>93420</v>
      </c>
    </row>
    <row r="49" spans="1:26" ht="15.75" thickBot="1" x14ac:dyDescent="0.3">
      <c r="A49" s="14">
        <v>469</v>
      </c>
      <c r="B49" s="17" t="s">
        <v>42</v>
      </c>
      <c r="C49" s="44">
        <f>VLOOKUP(A49,$V$6:$X$94,3)</f>
        <v>39.29</v>
      </c>
      <c r="D49" s="16">
        <f>C49*(1+$D$2)</f>
        <v>31.872047999999999</v>
      </c>
      <c r="E49" s="23">
        <f t="shared" si="0"/>
        <v>260</v>
      </c>
      <c r="F49" s="35">
        <f>D49*E49</f>
        <v>8286.7324800000006</v>
      </c>
      <c r="G49" s="13">
        <v>350</v>
      </c>
      <c r="H49" s="13"/>
      <c r="I49" s="14" t="s">
        <v>7</v>
      </c>
      <c r="J49" s="18" t="s">
        <v>76</v>
      </c>
      <c r="K49" s="15" t="str">
        <f>VLOOKUP(I49,$V$6:$W$94,2)</f>
        <v>LS KF7 UG LED Flood  22000-28000</v>
      </c>
      <c r="L49" s="16">
        <f>VLOOKUP(I49,$V$6:$X$94,3)+VLOOKUP(J49,$V$95:$X$100,3)</f>
        <v>25.21</v>
      </c>
      <c r="M49" s="16">
        <f>L49*(1+$D$3)</f>
        <v>18.577249000000002</v>
      </c>
      <c r="N49" s="23">
        <f t="shared" si="1"/>
        <v>4</v>
      </c>
      <c r="O49" s="35">
        <f t="shared" si="2"/>
        <v>74.308996000000008</v>
      </c>
      <c r="P49" s="19">
        <f>D49-M49</f>
        <v>13.294798999999998</v>
      </c>
      <c r="Q49" s="10" t="str">
        <f>IF(P49&gt;0,"Yes","No")</f>
        <v>Yes</v>
      </c>
      <c r="R49" s="51">
        <f>IF(I49&lt;&gt;I48,N49+SUMIFS(E49:E$68,Q49:Q$68,"Yes",I49:I$68,I49),"")</f>
        <v>1135</v>
      </c>
      <c r="S49" s="38">
        <f>IF(I49&lt;&gt;I48,O49+SUMIFS(F49:F$68,I49:I$68,I49,Q49:Q$68,"Yes"),"")</f>
        <v>29070.174387999999</v>
      </c>
      <c r="T49" s="39">
        <f>IF(R49&lt;&gt;"",S49/R49,"")</f>
        <v>25.612488447577093</v>
      </c>
      <c r="V49" s="8">
        <v>465</v>
      </c>
      <c r="W49" s="48" t="s">
        <v>90</v>
      </c>
      <c r="X49" s="4">
        <v>27.03</v>
      </c>
      <c r="Y49" s="59" t="s">
        <v>196</v>
      </c>
      <c r="Z49" s="60">
        <v>32222</v>
      </c>
    </row>
    <row r="50" spans="1:26" ht="15.75" thickBot="1" x14ac:dyDescent="0.3">
      <c r="A50" s="14">
        <v>455</v>
      </c>
      <c r="B50" s="17" t="s">
        <v>34</v>
      </c>
      <c r="C50" s="44">
        <f>VLOOKUP(A50,$V$6:$X$94,3)</f>
        <v>29.31</v>
      </c>
      <c r="D50" s="16">
        <f>C50*(1+$D$2)</f>
        <v>23.776271999999999</v>
      </c>
      <c r="E50" s="23">
        <f t="shared" si="0"/>
        <v>871</v>
      </c>
      <c r="F50" s="35">
        <f>D50*E50</f>
        <v>20709.132911999997</v>
      </c>
      <c r="G50" s="13">
        <v>350</v>
      </c>
      <c r="H50" s="13"/>
      <c r="I50" s="14" t="s">
        <v>7</v>
      </c>
      <c r="J50" s="18" t="s">
        <v>76</v>
      </c>
      <c r="K50" s="15" t="str">
        <f>VLOOKUP(I50,$V$6:$W$94,2)</f>
        <v>LS KF7 UG LED Flood  22000-28000</v>
      </c>
      <c r="L50" s="16">
        <f>VLOOKUP(I50,$V$6:$X$94,3)+VLOOKUP(J50,$V$95:$X$100,3)</f>
        <v>25.21</v>
      </c>
      <c r="M50" s="16">
        <f>L50*(1+$D$3)</f>
        <v>18.577249000000002</v>
      </c>
      <c r="N50" s="23" t="str">
        <f t="shared" si="1"/>
        <v/>
      </c>
      <c r="O50" s="35" t="str">
        <f t="shared" si="2"/>
        <v/>
      </c>
      <c r="P50" s="19">
        <f>D50-M50</f>
        <v>5.1990229999999968</v>
      </c>
      <c r="Q50" s="10" t="str">
        <f>IF(P50&gt;0,"Yes","No")</f>
        <v>Yes</v>
      </c>
      <c r="R50" s="51" t="str">
        <f>IF(I50&lt;&gt;I49,N50+SUMIFS(E50:E$68,Q50:Q$68,"Yes",I50:I$68,I50),"")</f>
        <v/>
      </c>
      <c r="S50" s="38" t="str">
        <f>IF(I50&lt;&gt;I49,O50+SUMIFS(F50:F$68,I50:I$68,I50,Q50:Q$68,"Yes"),"")</f>
        <v/>
      </c>
      <c r="T50" s="39" t="str">
        <f>IF(R50&lt;&gt;"",S50/R50,"")</f>
        <v/>
      </c>
      <c r="V50" s="8">
        <v>466</v>
      </c>
      <c r="W50" s="48" t="s">
        <v>41</v>
      </c>
      <c r="X50" s="4">
        <v>12.06</v>
      </c>
      <c r="Y50" s="59" t="s">
        <v>197</v>
      </c>
      <c r="Z50" s="60">
        <v>9444</v>
      </c>
    </row>
    <row r="51" spans="1:26" ht="15.75" thickBot="1" x14ac:dyDescent="0.3">
      <c r="A51" s="14">
        <v>459</v>
      </c>
      <c r="B51" s="17" t="s">
        <v>38</v>
      </c>
      <c r="C51" s="44">
        <f>VLOOKUP(A51,$V$6:$X$94,3)</f>
        <v>55.15</v>
      </c>
      <c r="D51" s="16">
        <f>C51*(1+$D$2)</f>
        <v>44.737679999999997</v>
      </c>
      <c r="E51" s="23">
        <f t="shared" si="0"/>
        <v>129</v>
      </c>
      <c r="F51" s="35">
        <f>D51*E51</f>
        <v>5771.1607199999999</v>
      </c>
      <c r="G51" s="13">
        <v>1080</v>
      </c>
      <c r="H51" s="13"/>
      <c r="I51" s="14" t="s">
        <v>9</v>
      </c>
      <c r="J51" s="18" t="s">
        <v>76</v>
      </c>
      <c r="K51" s="15" t="str">
        <f>VLOOKUP(I51,$V$6:$W$94,2)</f>
        <v>LS KF8 UG LED Flood  35000-50000</v>
      </c>
      <c r="L51" s="16">
        <f>VLOOKUP(I51,$V$6:$X$94,3)+VLOOKUP(J51,$V$95:$X$100,3)</f>
        <v>31.99</v>
      </c>
      <c r="M51" s="16">
        <f>L51*(1+$D$3)</f>
        <v>23.573430999999999</v>
      </c>
      <c r="N51" s="23">
        <f t="shared" si="1"/>
        <v>25</v>
      </c>
      <c r="O51" s="35">
        <f t="shared" si="2"/>
        <v>589.33577500000001</v>
      </c>
      <c r="P51" s="19">
        <f>D51-M51</f>
        <v>21.164248999999998</v>
      </c>
      <c r="Q51" s="10" t="str">
        <f>IF(P51&gt;0,"Yes","No")</f>
        <v>Yes</v>
      </c>
      <c r="R51" s="51">
        <f>IF(I51&lt;&gt;I50,N51+SUMIFS(E51:E$68,Q51:Q$68,"Yes",I51:I$68,I51),"")</f>
        <v>192</v>
      </c>
      <c r="S51" s="38">
        <f>IF(I51&lt;&gt;I50,O51+SUMIFS(F51:F$68,I51:I$68,I51,Q51:Q$68,"Yes"),"")</f>
        <v>8360.4614230000007</v>
      </c>
      <c r="T51" s="39">
        <f>IF(R51&lt;&gt;"",S51/R51,"")</f>
        <v>43.544069911458337</v>
      </c>
      <c r="V51" s="8">
        <v>467</v>
      </c>
      <c r="W51" s="48" t="s">
        <v>96</v>
      </c>
      <c r="X51" s="4">
        <v>13.61</v>
      </c>
      <c r="Y51" s="59" t="s">
        <v>198</v>
      </c>
      <c r="Z51" s="60">
        <v>18664</v>
      </c>
    </row>
    <row r="52" spans="1:26" ht="15.75" thickBot="1" x14ac:dyDescent="0.3">
      <c r="A52" s="14">
        <v>470</v>
      </c>
      <c r="B52" s="17" t="s">
        <v>43</v>
      </c>
      <c r="C52" s="44">
        <f>VLOOKUP(A52,$V$6:$X$94,3)</f>
        <v>64.88</v>
      </c>
      <c r="D52" s="16">
        <f>C52*(1+$D$2)</f>
        <v>52.630656000000002</v>
      </c>
      <c r="E52" s="23">
        <f t="shared" si="0"/>
        <v>38</v>
      </c>
      <c r="F52" s="35">
        <f>D52*E52</f>
        <v>1999.9649280000001</v>
      </c>
      <c r="G52" s="13">
        <v>1080</v>
      </c>
      <c r="H52" s="13"/>
      <c r="I52" s="14" t="s">
        <v>9</v>
      </c>
      <c r="J52" s="18" t="s">
        <v>76</v>
      </c>
      <c r="K52" s="15" t="str">
        <f>VLOOKUP(I52,$V$6:$W$94,2)</f>
        <v>LS KF8 UG LED Flood  35000-50000</v>
      </c>
      <c r="L52" s="16">
        <f>VLOOKUP(I52,$V$6:$X$94,3)+VLOOKUP(J52,$V$95:$X$100,3)</f>
        <v>31.99</v>
      </c>
      <c r="M52" s="16">
        <f>L52*(1+$D$3)</f>
        <v>23.573430999999999</v>
      </c>
      <c r="N52" s="23" t="str">
        <f t="shared" si="1"/>
        <v/>
      </c>
      <c r="O52" s="35" t="str">
        <f t="shared" si="2"/>
        <v/>
      </c>
      <c r="P52" s="19">
        <f>D52-M52</f>
        <v>29.057225000000003</v>
      </c>
      <c r="Q52" s="10" t="str">
        <f>IF(P52&gt;0,"Yes","No")</f>
        <v>Yes</v>
      </c>
      <c r="R52" s="51" t="str">
        <f>IF(I52&lt;&gt;I51,N52+SUMIFS(E52:E$68,Q52:Q$68,"Yes",I52:I$68,I52),"")</f>
        <v/>
      </c>
      <c r="S52" s="38" t="str">
        <f>IF(I52&lt;&gt;I51,O52+SUMIFS(F52:F$68,I52:I$68,I52,Q52:Q$68,"Yes"),"")</f>
        <v/>
      </c>
      <c r="T52" s="39" t="str">
        <f>IF(R52&lt;&gt;"",S52/R52,"")</f>
        <v/>
      </c>
      <c r="V52" s="8">
        <v>468</v>
      </c>
      <c r="W52" s="48" t="s">
        <v>97</v>
      </c>
      <c r="X52" s="4">
        <v>13.8</v>
      </c>
      <c r="Y52" s="59" t="s">
        <v>199</v>
      </c>
      <c r="Z52" s="60">
        <v>54924</v>
      </c>
    </row>
    <row r="53" spans="1:26" ht="15.75" thickBot="1" x14ac:dyDescent="0.3">
      <c r="A53" s="14">
        <v>476</v>
      </c>
      <c r="B53" s="17" t="s">
        <v>106</v>
      </c>
      <c r="C53" s="44">
        <f>VLOOKUP(A53,$V$6:$X$94,3)</f>
        <v>20.76</v>
      </c>
      <c r="D53" s="16">
        <f>C53*(1+$D$2)</f>
        <v>16.840512</v>
      </c>
      <c r="E53" s="23">
        <f t="shared" si="0"/>
        <v>4778.5</v>
      </c>
      <c r="F53" s="35">
        <f>D53*E53</f>
        <v>80472.386591999995</v>
      </c>
      <c r="G53" s="13">
        <v>83</v>
      </c>
      <c r="H53" s="13"/>
      <c r="I53" s="14" t="s">
        <v>10</v>
      </c>
      <c r="J53" s="18" t="s">
        <v>80</v>
      </c>
      <c r="K53" s="15" t="str">
        <f>VLOOKUP(I53,$V$6:$W$94,2)</f>
        <v>LS KN1 UG LED Contemporary 4000-7000</v>
      </c>
      <c r="L53" s="16">
        <f>VLOOKUP(I53,$V$6:$X$94,3)+VLOOKUP(J53,$V$95:$X$100,3)</f>
        <v>18.62</v>
      </c>
      <c r="M53" s="16">
        <f>L53*(1+$D$3)</f>
        <v>13.721078</v>
      </c>
      <c r="N53" s="23">
        <f t="shared" si="1"/>
        <v>202.5</v>
      </c>
      <c r="O53" s="35">
        <f t="shared" si="2"/>
        <v>2778.5182949999999</v>
      </c>
      <c r="P53" s="19">
        <f>D53-M53</f>
        <v>3.119434</v>
      </c>
      <c r="Q53" s="10" t="str">
        <f>IF(P53&gt;0,"Yes","No")</f>
        <v>Yes</v>
      </c>
      <c r="R53" s="51">
        <f>IF(I53&lt;&gt;I52,N53+SUMIFS(E53:E$68,Q53:Q$68,"Yes",I53:I$68,I53),"")</f>
        <v>4985</v>
      </c>
      <c r="S53" s="38">
        <f>IF(I53&lt;&gt;I52,O53+SUMIFS(F53:F$68,I53:I$68,I53,Q53:Q$68,"Yes"),"")</f>
        <v>83310.576759000003</v>
      </c>
      <c r="T53" s="39">
        <f>IF(R53&lt;&gt;"",S53/R53,"")</f>
        <v>16.712252108124375</v>
      </c>
      <c r="V53" s="8">
        <v>469</v>
      </c>
      <c r="W53" s="48" t="s">
        <v>42</v>
      </c>
      <c r="X53" s="4">
        <v>39.29</v>
      </c>
      <c r="Y53" s="59" t="s">
        <v>200</v>
      </c>
      <c r="Z53" s="60">
        <v>3120</v>
      </c>
    </row>
    <row r="54" spans="1:26" ht="15.75" thickBot="1" x14ac:dyDescent="0.3">
      <c r="A54" s="14">
        <v>492</v>
      </c>
      <c r="B54" s="17" t="s">
        <v>111</v>
      </c>
      <c r="C54" s="44">
        <f>VLOOKUP(A54,$V$6:$X$94,3)</f>
        <v>18.39</v>
      </c>
      <c r="D54" s="16">
        <f>C54*(1+$D$2)</f>
        <v>14.917968000000002</v>
      </c>
      <c r="E54" s="23">
        <f t="shared" si="0"/>
        <v>4</v>
      </c>
      <c r="F54" s="35">
        <f>D54*E54</f>
        <v>59.671872000000008</v>
      </c>
      <c r="G54" s="13">
        <v>83</v>
      </c>
      <c r="H54" s="13"/>
      <c r="I54" s="14" t="s">
        <v>10</v>
      </c>
      <c r="J54" s="18" t="s">
        <v>80</v>
      </c>
      <c r="K54" s="15" t="str">
        <f>VLOOKUP(I54,$V$6:$W$94,2)</f>
        <v>LS KN1 UG LED Contemporary 4000-7000</v>
      </c>
      <c r="L54" s="16">
        <f>VLOOKUP(I54,$V$6:$X$94,3)+VLOOKUP(J54,$V$95:$X$100,3)</f>
        <v>18.62</v>
      </c>
      <c r="M54" s="16">
        <f>L54*(1+$D$3)</f>
        <v>13.721078</v>
      </c>
      <c r="N54" s="23" t="str">
        <f t="shared" si="1"/>
        <v/>
      </c>
      <c r="O54" s="35" t="str">
        <f t="shared" si="2"/>
        <v/>
      </c>
      <c r="P54" s="19">
        <f>D54-M54</f>
        <v>1.1968900000000016</v>
      </c>
      <c r="Q54" s="10" t="str">
        <f>IF(P54&gt;0,"Yes","No")</f>
        <v>Yes</v>
      </c>
      <c r="R54" s="51" t="str">
        <f>IF(I54&lt;&gt;I53,N54+SUMIFS(E54:E$68,Q54:Q$68,"Yes",I54:I$68,I54),"")</f>
        <v/>
      </c>
      <c r="S54" s="38" t="str">
        <f>IF(I54&lt;&gt;I53,O54+SUMIFS(F54:F$68,I54:I$68,I54,Q54:Q$68,"Yes"),"")</f>
        <v/>
      </c>
      <c r="T54" s="39" t="str">
        <f>IF(R54&lt;&gt;"",S54/R54,"")</f>
        <v/>
      </c>
      <c r="V54" s="8">
        <v>470</v>
      </c>
      <c r="W54" s="48" t="s">
        <v>43</v>
      </c>
      <c r="X54" s="4">
        <v>64.88</v>
      </c>
      <c r="Y54" s="59" t="s">
        <v>201</v>
      </c>
      <c r="Z54" s="60">
        <v>456</v>
      </c>
    </row>
    <row r="55" spans="1:26" ht="15.75" thickBot="1" x14ac:dyDescent="0.3">
      <c r="A55" s="14">
        <v>494</v>
      </c>
      <c r="B55" s="17" t="s">
        <v>47</v>
      </c>
      <c r="C55" s="44">
        <f>VLOOKUP(A55,$V$6:$X$94,3)</f>
        <v>33.57</v>
      </c>
      <c r="D55" s="16">
        <f>C55*(1+$D$2)</f>
        <v>27.231984000000001</v>
      </c>
      <c r="E55" s="23">
        <f t="shared" si="0"/>
        <v>190</v>
      </c>
      <c r="F55" s="35">
        <f>D55*E55</f>
        <v>5174.0769600000003</v>
      </c>
      <c r="G55" s="13">
        <v>150</v>
      </c>
      <c r="H55" s="13"/>
      <c r="I55" s="14" t="s">
        <v>11</v>
      </c>
      <c r="J55" s="18" t="s">
        <v>80</v>
      </c>
      <c r="K55" s="15" t="str">
        <f>VLOOKUP(I55,$V$6:$W$94,2)</f>
        <v>LS KN2 UG LED Contemporary 8000-11000</v>
      </c>
      <c r="L55" s="16">
        <f>VLOOKUP(I55,$V$6:$X$94,3)+VLOOKUP(J55,$V$95:$X$100,3)</f>
        <v>19.97</v>
      </c>
      <c r="M55" s="16">
        <f>L55*(1+$D$3)</f>
        <v>14.715892999999999</v>
      </c>
      <c r="N55" s="23">
        <f t="shared" si="1"/>
        <v>3</v>
      </c>
      <c r="O55" s="35">
        <f t="shared" si="2"/>
        <v>44.147678999999997</v>
      </c>
      <c r="P55" s="19">
        <f>D55-M55</f>
        <v>12.516091000000001</v>
      </c>
      <c r="Q55" s="10" t="str">
        <f>IF(P55&gt;0,"Yes","No")</f>
        <v>Yes</v>
      </c>
      <c r="R55" s="51">
        <f>IF(I55&lt;&gt;I54,N55+SUMIFS(E55:E$68,Q55:Q$68,"Yes",I55:I$68,I55),"")</f>
        <v>1359</v>
      </c>
      <c r="S55" s="38">
        <f>IF(I55&lt;&gt;I54,O55+SUMIFS(F55:F$68,I55:I$68,I55,Q55:Q$68,"Yes"),"")</f>
        <v>28968.473343000005</v>
      </c>
      <c r="T55" s="39">
        <f>IF(R55&lt;&gt;"",S55/R55,"")</f>
        <v>21.316021591611484</v>
      </c>
      <c r="V55" s="8">
        <v>471</v>
      </c>
      <c r="W55" s="48" t="s">
        <v>44</v>
      </c>
      <c r="X55" s="4">
        <v>13.1</v>
      </c>
      <c r="Y55" s="59" t="s">
        <v>202</v>
      </c>
      <c r="Z55" s="60">
        <v>39204</v>
      </c>
    </row>
    <row r="56" spans="1:26" ht="15.75" thickBot="1" x14ac:dyDescent="0.3">
      <c r="A56" s="14">
        <v>477</v>
      </c>
      <c r="B56" s="17" t="s">
        <v>107</v>
      </c>
      <c r="C56" s="44">
        <f>VLOOKUP(A56,$V$6:$X$94,3)</f>
        <v>25.44</v>
      </c>
      <c r="D56" s="16">
        <f>C56*(1+$D$2)</f>
        <v>20.636928000000001</v>
      </c>
      <c r="E56" s="23">
        <f t="shared" si="0"/>
        <v>1108</v>
      </c>
      <c r="F56" s="35">
        <f>D56*E56</f>
        <v>22865.716224</v>
      </c>
      <c r="G56" s="13">
        <v>117</v>
      </c>
      <c r="H56" s="13"/>
      <c r="I56" s="14" t="s">
        <v>11</v>
      </c>
      <c r="J56" s="18" t="s">
        <v>80</v>
      </c>
      <c r="K56" s="15" t="str">
        <f>VLOOKUP(I56,$V$6:$W$94,2)</f>
        <v>LS KN2 UG LED Contemporary 8000-11000</v>
      </c>
      <c r="L56" s="16">
        <f>VLOOKUP(I56,$V$6:$X$94,3)+VLOOKUP(J56,$V$95:$X$100,3)</f>
        <v>19.97</v>
      </c>
      <c r="M56" s="16">
        <f>L56*(1+$D$3)</f>
        <v>14.715892999999999</v>
      </c>
      <c r="N56" s="23" t="str">
        <f t="shared" si="1"/>
        <v/>
      </c>
      <c r="O56" s="35" t="str">
        <f t="shared" si="2"/>
        <v/>
      </c>
      <c r="P56" s="19">
        <f>D56-M56</f>
        <v>5.9210350000000016</v>
      </c>
      <c r="Q56" s="10" t="str">
        <f>IF(P56&gt;0,"Yes","No")</f>
        <v>Yes</v>
      </c>
      <c r="R56" s="51" t="str">
        <f>IF(I56&lt;&gt;I55,N56+SUMIFS(E56:E$68,Q56:Q$68,"Yes",I56:I$68,I56),"")</f>
        <v/>
      </c>
      <c r="S56" s="38" t="str">
        <f>IF(I56&lt;&gt;I55,O56+SUMIFS(F56:F$68,I56:I$68,I56,Q56:Q$68,"Yes"),"")</f>
        <v/>
      </c>
      <c r="T56" s="39" t="str">
        <f>IF(R56&lt;&gt;"",S56/R56,"")</f>
        <v/>
      </c>
      <c r="V56" s="8">
        <v>472</v>
      </c>
      <c r="W56" s="48" t="s">
        <v>91</v>
      </c>
      <c r="X56" s="4">
        <v>14.59</v>
      </c>
      <c r="Y56" s="59" t="s">
        <v>203</v>
      </c>
      <c r="Z56" s="60">
        <v>113520</v>
      </c>
    </row>
    <row r="57" spans="1:26" ht="15.75" thickBot="1" x14ac:dyDescent="0.3">
      <c r="A57" s="14">
        <v>490</v>
      </c>
      <c r="B57" s="17" t="s">
        <v>45</v>
      </c>
      <c r="C57" s="44">
        <f>VLOOKUP(A57,$V$6:$X$94,3)</f>
        <v>18.8</v>
      </c>
      <c r="D57" s="16">
        <f>C57*(1+$D$2)</f>
        <v>15.250560000000002</v>
      </c>
      <c r="E57" s="23">
        <f t="shared" si="0"/>
        <v>58</v>
      </c>
      <c r="F57" s="35">
        <f>D57*E57</f>
        <v>884.53248000000008</v>
      </c>
      <c r="G57" s="13">
        <v>150</v>
      </c>
      <c r="H57" s="13"/>
      <c r="I57" s="14" t="s">
        <v>11</v>
      </c>
      <c r="J57" s="18" t="s">
        <v>80</v>
      </c>
      <c r="K57" s="15" t="str">
        <f>VLOOKUP(I57,$V$6:$W$94,2)</f>
        <v>LS KN2 UG LED Contemporary 8000-11000</v>
      </c>
      <c r="L57" s="16">
        <f>VLOOKUP(I57,$V$6:$X$94,3)+VLOOKUP(J57,$V$95:$X$100,3)</f>
        <v>19.97</v>
      </c>
      <c r="M57" s="16">
        <f>L57*(1+$D$3)</f>
        <v>14.715892999999999</v>
      </c>
      <c r="N57" s="23" t="str">
        <f t="shared" si="1"/>
        <v/>
      </c>
      <c r="O57" s="35" t="str">
        <f t="shared" si="2"/>
        <v/>
      </c>
      <c r="P57" s="19">
        <f>D57-M57</f>
        <v>0.53466700000000245</v>
      </c>
      <c r="Q57" s="10" t="str">
        <f>IF(P57&gt;0,"Yes","No")</f>
        <v>Yes</v>
      </c>
      <c r="R57" s="51" t="str">
        <f>IF(I57&lt;&gt;I56,N57+SUMIFS(E57:E$68,Q57:Q$68,"Yes",I57:I$68,I57),"")</f>
        <v/>
      </c>
      <c r="S57" s="38" t="str">
        <f>IF(I57&lt;&gt;I56,O57+SUMIFS(F57:F$68,I57:I$68,I57,Q57:Q$68,"Yes"),"")</f>
        <v/>
      </c>
      <c r="T57" s="39" t="str">
        <f>IF(R57&lt;&gt;"",S57/R57,"")</f>
        <v/>
      </c>
      <c r="V57" s="8">
        <v>473</v>
      </c>
      <c r="W57" s="48" t="s">
        <v>92</v>
      </c>
      <c r="X57" s="4">
        <v>15.16</v>
      </c>
      <c r="Y57" s="59" t="s">
        <v>204</v>
      </c>
      <c r="Z57" s="60">
        <v>41658</v>
      </c>
    </row>
    <row r="58" spans="1:26" ht="15.75" thickBot="1" x14ac:dyDescent="0.3">
      <c r="A58" s="14">
        <v>497</v>
      </c>
      <c r="B58" s="17" t="s">
        <v>113</v>
      </c>
      <c r="C58" s="44">
        <f>VLOOKUP(A58,$V$6:$X$94,3)</f>
        <v>18.09</v>
      </c>
      <c r="D58" s="16">
        <f>C58*(1+$D$2)</f>
        <v>14.674608000000001</v>
      </c>
      <c r="E58" s="23">
        <f t="shared" si="0"/>
        <v>30</v>
      </c>
      <c r="F58" s="35">
        <f>D58*E58</f>
        <v>440.23824000000002</v>
      </c>
      <c r="G58" s="13">
        <v>117</v>
      </c>
      <c r="H58" s="13"/>
      <c r="I58" s="14" t="s">
        <v>11</v>
      </c>
      <c r="J58" s="18" t="s">
        <v>80</v>
      </c>
      <c r="K58" s="15" t="str">
        <f>VLOOKUP(I58,$V$6:$W$94,2)</f>
        <v>LS KN2 UG LED Contemporary 8000-11000</v>
      </c>
      <c r="L58" s="16">
        <f>VLOOKUP(I58,$V$6:$X$94,3)+VLOOKUP(J58,$V$95:$X$100,3)</f>
        <v>19.97</v>
      </c>
      <c r="M58" s="16">
        <f>L58*(1+$D$3)</f>
        <v>14.715892999999999</v>
      </c>
      <c r="N58" s="23" t="str">
        <f t="shared" si="1"/>
        <v/>
      </c>
      <c r="O58" s="35" t="str">
        <f t="shared" si="2"/>
        <v/>
      </c>
      <c r="P58" s="19">
        <f>D58-M58</f>
        <v>-4.1284999999998462E-2</v>
      </c>
      <c r="Q58" s="10" t="str">
        <f>IF(P58&gt;0,"Yes","No")</f>
        <v>No</v>
      </c>
      <c r="R58" s="51" t="str">
        <f>IF(I58&lt;&gt;I57,N58+SUMIFS(E58:E$68,Q58:Q$68,"Yes",I58:I$68,I58),"")</f>
        <v/>
      </c>
      <c r="S58" s="38" t="str">
        <f>IF(I58&lt;&gt;I57,O58+SUMIFS(F58:F$68,I58:I$68,I58,Q58:Q$68,"Yes"),"")</f>
        <v/>
      </c>
      <c r="T58" s="39" t="str">
        <f>IF(R58&lt;&gt;"",S58/R58,"")</f>
        <v/>
      </c>
      <c r="V58" s="8">
        <v>474</v>
      </c>
      <c r="W58" s="48" t="s">
        <v>93</v>
      </c>
      <c r="X58" s="4">
        <v>21.55</v>
      </c>
      <c r="Y58" s="59" t="s">
        <v>205</v>
      </c>
      <c r="Z58" s="60">
        <v>62354</v>
      </c>
    </row>
    <row r="59" spans="1:26" ht="15.75" thickBot="1" x14ac:dyDescent="0.3">
      <c r="A59" s="14">
        <v>478</v>
      </c>
      <c r="B59" s="17" t="s">
        <v>108</v>
      </c>
      <c r="C59" s="44">
        <f>VLOOKUP(A59,$V$6:$X$94,3)</f>
        <v>32.770000000000003</v>
      </c>
      <c r="D59" s="16">
        <f>C59*(1+$D$2)</f>
        <v>26.583024000000005</v>
      </c>
      <c r="E59" s="23">
        <f t="shared" si="0"/>
        <v>1469</v>
      </c>
      <c r="F59" s="35">
        <f>D59*E59</f>
        <v>39050.462256000006</v>
      </c>
      <c r="G59" s="13">
        <v>242</v>
      </c>
      <c r="H59" s="13"/>
      <c r="I59" s="14" t="s">
        <v>12</v>
      </c>
      <c r="J59" s="18" t="s">
        <v>80</v>
      </c>
      <c r="K59" s="15" t="str">
        <f>VLOOKUP(I59,$V$6:$W$94,2)</f>
        <v>LS KN3 UG LED Contemporary 13500-16500</v>
      </c>
      <c r="L59" s="16">
        <f>VLOOKUP(I59,$V$6:$X$94,3)+VLOOKUP(J59,$V$95:$X$100,3)</f>
        <v>21.86</v>
      </c>
      <c r="M59" s="16">
        <f>L59*(1+$D$3)</f>
        <v>16.108633999999999</v>
      </c>
      <c r="N59" s="23">
        <f t="shared" si="1"/>
        <v>63</v>
      </c>
      <c r="O59" s="35">
        <f t="shared" si="2"/>
        <v>1014.8439419999999</v>
      </c>
      <c r="P59" s="19">
        <f>D59-M59</f>
        <v>10.474390000000007</v>
      </c>
      <c r="Q59" s="10" t="str">
        <f>IF(P59&gt;0,"Yes","No")</f>
        <v>Yes</v>
      </c>
      <c r="R59" s="51">
        <f>IF(I59&lt;&gt;I58,N59+SUMIFS(E59:E$68,Q59:Q$68,"Yes",I59:I$68,I59),"")</f>
        <v>1568</v>
      </c>
      <c r="S59" s="38">
        <f>IF(I59&lt;&gt;I58,O59+SUMIFS(F59:F$68,I59:I$68,I59,Q59:Q$68,"Yes"),"")</f>
        <v>40682.661846000003</v>
      </c>
      <c r="T59" s="39">
        <f>IF(R59&lt;&gt;"",S59/R59,"")</f>
        <v>25.945575156887756</v>
      </c>
      <c r="V59" s="8">
        <v>475</v>
      </c>
      <c r="W59" s="48" t="s">
        <v>94</v>
      </c>
      <c r="X59" s="4">
        <v>29.97</v>
      </c>
      <c r="Y59" s="59" t="s">
        <v>206</v>
      </c>
      <c r="Z59" s="60">
        <v>6932</v>
      </c>
    </row>
    <row r="60" spans="1:26" ht="15.75" thickBot="1" x14ac:dyDescent="0.3">
      <c r="A60" s="14">
        <v>498</v>
      </c>
      <c r="B60" s="17" t="s">
        <v>114</v>
      </c>
      <c r="C60" s="44">
        <f>VLOOKUP(A60,$V$6:$X$94,3)</f>
        <v>21.14</v>
      </c>
      <c r="D60" s="16">
        <f>C60*(1+$D$2)</f>
        <v>17.148768</v>
      </c>
      <c r="E60" s="23">
        <f t="shared" si="0"/>
        <v>36</v>
      </c>
      <c r="F60" s="35">
        <f>D60*E60</f>
        <v>617.35564799999997</v>
      </c>
      <c r="G60" s="13">
        <v>242</v>
      </c>
      <c r="H60" s="13"/>
      <c r="I60" s="14" t="s">
        <v>12</v>
      </c>
      <c r="J60" s="18" t="s">
        <v>80</v>
      </c>
      <c r="K60" s="15" t="str">
        <f>VLOOKUP(I60,$V$6:$W$94,2)</f>
        <v>LS KN3 UG LED Contemporary 13500-16500</v>
      </c>
      <c r="L60" s="16">
        <f>VLOOKUP(I60,$V$6:$X$94,3)+VLOOKUP(J60,$V$95:$X$100,3)</f>
        <v>21.86</v>
      </c>
      <c r="M60" s="16">
        <f>L60*(1+$D$3)</f>
        <v>16.108633999999999</v>
      </c>
      <c r="N60" s="23" t="str">
        <f t="shared" si="1"/>
        <v/>
      </c>
      <c r="O60" s="35" t="str">
        <f t="shared" si="2"/>
        <v/>
      </c>
      <c r="P60" s="19">
        <f>D60-M60</f>
        <v>1.0401340000000019</v>
      </c>
      <c r="Q60" s="10" t="str">
        <f>IF(P60&gt;0,"Yes","No")</f>
        <v>Yes</v>
      </c>
      <c r="R60" s="51" t="str">
        <f>IF(I60&lt;&gt;I59,N60+SUMIFS(E60:E$68,Q60:Q$68,"Yes",I60:I$68,I60),"")</f>
        <v/>
      </c>
      <c r="S60" s="38" t="str">
        <f>IF(I60&lt;&gt;I59,O60+SUMIFS(F60:F$68,I60:I$68,I60,Q60:Q$68,"Yes"),"")</f>
        <v/>
      </c>
      <c r="T60" s="39" t="str">
        <f>IF(R60&lt;&gt;"",S60/R60,"")</f>
        <v/>
      </c>
      <c r="V60" s="8">
        <v>476</v>
      </c>
      <c r="W60" s="48" t="s">
        <v>106</v>
      </c>
      <c r="X60" s="4">
        <v>20.76</v>
      </c>
      <c r="Y60" s="59" t="s">
        <v>207</v>
      </c>
      <c r="Z60" s="60">
        <v>57342</v>
      </c>
    </row>
    <row r="61" spans="1:26" ht="15.75" thickBot="1" x14ac:dyDescent="0.3">
      <c r="A61" s="14">
        <v>479</v>
      </c>
      <c r="B61" s="17" t="s">
        <v>109</v>
      </c>
      <c r="C61" s="44">
        <f>VLOOKUP(A61,$V$6:$X$94,3)</f>
        <v>40.25</v>
      </c>
      <c r="D61" s="16">
        <f>C61*(1+$D$2)</f>
        <v>32.650800000000004</v>
      </c>
      <c r="E61" s="23">
        <f t="shared" si="0"/>
        <v>863</v>
      </c>
      <c r="F61" s="35">
        <f>D61*E61</f>
        <v>28177.640400000004</v>
      </c>
      <c r="G61" s="13">
        <v>471</v>
      </c>
      <c r="H61" s="13"/>
      <c r="I61" s="14" t="s">
        <v>13</v>
      </c>
      <c r="J61" s="18" t="s">
        <v>80</v>
      </c>
      <c r="K61" s="15" t="str">
        <f>VLOOKUP(I61,$V$6:$W$94,2)</f>
        <v>LS KN4 UG LED Contemporary 21000-28000</v>
      </c>
      <c r="L61" s="16">
        <f>VLOOKUP(I61,$V$6:$X$94,3)+VLOOKUP(J61,$V$95:$X$100,3)</f>
        <v>26.4</v>
      </c>
      <c r="M61" s="16">
        <f>L61*(1+$D$3)</f>
        <v>19.454159999999998</v>
      </c>
      <c r="N61" s="23">
        <f t="shared" si="1"/>
        <v>161</v>
      </c>
      <c r="O61" s="35">
        <f t="shared" si="2"/>
        <v>3132.1197599999996</v>
      </c>
      <c r="P61" s="19">
        <f>D61-M61</f>
        <v>13.196640000000006</v>
      </c>
      <c r="Q61" s="10" t="str">
        <f>IF(P61&gt;0,"Yes","No")</f>
        <v>Yes</v>
      </c>
      <c r="R61" s="51">
        <f>IF(I61&lt;&gt;I60,N61+SUMIFS(E61:E$68,Q61:Q$68,"Yes",I61:I$68,I61),"")</f>
        <v>2106</v>
      </c>
      <c r="S61" s="38">
        <f>IF(I61&lt;&gt;I60,O61+SUMIFS(F61:F$68,I61:I$68,I61,Q61:Q$68,"Yes"),"")</f>
        <v>63642.829344000005</v>
      </c>
      <c r="T61" s="39">
        <f>IF(R61&lt;&gt;"",S61/R61,"")</f>
        <v>30.219767019943024</v>
      </c>
      <c r="V61" s="8">
        <v>477</v>
      </c>
      <c r="W61" s="48" t="s">
        <v>107</v>
      </c>
      <c r="X61" s="4">
        <v>25.44</v>
      </c>
      <c r="Y61" s="59" t="s">
        <v>208</v>
      </c>
      <c r="Z61" s="60">
        <v>13296</v>
      </c>
    </row>
    <row r="62" spans="1:26" ht="15.75" thickBot="1" x14ac:dyDescent="0.3">
      <c r="A62" s="14">
        <v>495</v>
      </c>
      <c r="B62" s="17" t="s">
        <v>112</v>
      </c>
      <c r="C62" s="44">
        <f>VLOOKUP(A62,$V$6:$X$94,3)</f>
        <v>41.26</v>
      </c>
      <c r="D62" s="16">
        <f>C62*(1+$D$2)</f>
        <v>33.470112</v>
      </c>
      <c r="E62" s="23">
        <f t="shared" si="0"/>
        <v>763</v>
      </c>
      <c r="F62" s="35">
        <f>D62*E62</f>
        <v>25537.695456000001</v>
      </c>
      <c r="G62" s="13">
        <v>350</v>
      </c>
      <c r="H62" s="13"/>
      <c r="I62" s="14" t="s">
        <v>13</v>
      </c>
      <c r="J62" s="18" t="s">
        <v>80</v>
      </c>
      <c r="K62" s="15" t="str">
        <f>VLOOKUP(I62,$V$6:$W$94,2)</f>
        <v>LS KN4 UG LED Contemporary 21000-28000</v>
      </c>
      <c r="L62" s="16">
        <f>VLOOKUP(I62,$V$6:$X$94,3)+VLOOKUP(J62,$V$95:$X$100,3)</f>
        <v>26.4</v>
      </c>
      <c r="M62" s="16">
        <f>L62*(1+$D$3)</f>
        <v>19.454159999999998</v>
      </c>
      <c r="N62" s="23" t="str">
        <f t="shared" si="1"/>
        <v/>
      </c>
      <c r="O62" s="35" t="str">
        <f t="shared" si="2"/>
        <v/>
      </c>
      <c r="P62" s="19">
        <f>D62-M62</f>
        <v>14.015952000000002</v>
      </c>
      <c r="Q62" s="10" t="str">
        <f>IF(P62&gt;0,"Yes","No")</f>
        <v>Yes</v>
      </c>
      <c r="R62" s="51" t="str">
        <f>IF(I62&lt;&gt;I61,N62+SUMIFS(E62:E$68,Q62:Q$68,"Yes",I62:I$68,I62),"")</f>
        <v/>
      </c>
      <c r="S62" s="38" t="str">
        <f>IF(I62&lt;&gt;I61,O62+SUMIFS(F62:F$68,I62:I$68,I62,Q62:Q$68,"Yes"),"")</f>
        <v/>
      </c>
      <c r="T62" s="39" t="str">
        <f>IF(R62&lt;&gt;"",S62/R62,"")</f>
        <v/>
      </c>
      <c r="V62" s="8">
        <v>478</v>
      </c>
      <c r="W62" s="48" t="s">
        <v>108</v>
      </c>
      <c r="X62" s="4">
        <v>32.770000000000003</v>
      </c>
      <c r="Y62" s="59" t="s">
        <v>209</v>
      </c>
      <c r="Z62" s="60">
        <v>17628</v>
      </c>
    </row>
    <row r="63" spans="1:26" ht="15.75" thickBot="1" x14ac:dyDescent="0.3">
      <c r="A63" s="14">
        <v>491</v>
      </c>
      <c r="B63" s="17" t="s">
        <v>110</v>
      </c>
      <c r="C63" s="44">
        <f>VLOOKUP(A63,$V$6:$X$94,3)</f>
        <v>26.26</v>
      </c>
      <c r="D63" s="16">
        <f>C63*(1+$D$2)</f>
        <v>21.302112000000001</v>
      </c>
      <c r="E63" s="23">
        <f t="shared" si="0"/>
        <v>319</v>
      </c>
      <c r="F63" s="35">
        <f>D63*E63</f>
        <v>6795.3737280000005</v>
      </c>
      <c r="G63" s="13">
        <v>350</v>
      </c>
      <c r="H63" s="13"/>
      <c r="I63" s="14" t="s">
        <v>13</v>
      </c>
      <c r="J63" s="18" t="s">
        <v>80</v>
      </c>
      <c r="K63" s="15" t="str">
        <f>VLOOKUP(I63,$V$6:$W$94,2)</f>
        <v>LS KN4 UG LED Contemporary 21000-28000</v>
      </c>
      <c r="L63" s="16">
        <f>VLOOKUP(I63,$V$6:$X$94,3)+VLOOKUP(J63,$V$95:$X$100,3)</f>
        <v>26.4</v>
      </c>
      <c r="M63" s="16">
        <f>L63*(1+$D$3)</f>
        <v>19.454159999999998</v>
      </c>
      <c r="N63" s="23" t="str">
        <f t="shared" si="1"/>
        <v/>
      </c>
      <c r="O63" s="35" t="str">
        <f t="shared" si="2"/>
        <v/>
      </c>
      <c r="P63" s="19">
        <f>D63-M63</f>
        <v>1.8479520000000029</v>
      </c>
      <c r="Q63" s="10" t="str">
        <f>IF(P63&gt;0,"Yes","No")</f>
        <v>Yes</v>
      </c>
      <c r="R63" s="51" t="str">
        <f>IF(I63&lt;&gt;I62,N63+SUMIFS(E63:E$68,Q63:Q$68,"Yes",I63:I$68,I63),"")</f>
        <v/>
      </c>
      <c r="S63" s="38" t="str">
        <f>IF(I63&lt;&gt;I62,O63+SUMIFS(F63:F$68,I63:I$68,I63,Q63:Q$68,"Yes"),"")</f>
        <v/>
      </c>
      <c r="T63" s="39" t="str">
        <f>IF(R63&lt;&gt;"",S63/R63,"")</f>
        <v/>
      </c>
      <c r="V63" s="8">
        <v>479</v>
      </c>
      <c r="W63" s="48" t="s">
        <v>109</v>
      </c>
      <c r="X63" s="4">
        <v>40.25</v>
      </c>
      <c r="Y63" s="59" t="s">
        <v>210</v>
      </c>
      <c r="Z63" s="60">
        <v>10356</v>
      </c>
    </row>
    <row r="64" spans="1:26" ht="15.75" thickBot="1" x14ac:dyDescent="0.3">
      <c r="A64" s="14">
        <v>499</v>
      </c>
      <c r="B64" s="17" t="s">
        <v>115</v>
      </c>
      <c r="C64" s="44">
        <f>VLOOKUP(A64,$V$6:$X$94,3)</f>
        <v>25.49</v>
      </c>
      <c r="D64" s="16">
        <f>C64*(1+$D$2)</f>
        <v>20.677488</v>
      </c>
      <c r="E64" s="23">
        <f t="shared" si="0"/>
        <v>0</v>
      </c>
      <c r="F64" s="35">
        <f>D64*E64</f>
        <v>0</v>
      </c>
      <c r="G64" s="13">
        <v>471</v>
      </c>
      <c r="H64" s="13"/>
      <c r="I64" s="14" t="s">
        <v>13</v>
      </c>
      <c r="J64" s="18" t="s">
        <v>80</v>
      </c>
      <c r="K64" s="15" t="str">
        <f>VLOOKUP(I64,$V$6:$W$94,2)</f>
        <v>LS KN4 UG LED Contemporary 21000-28000</v>
      </c>
      <c r="L64" s="16">
        <f>VLOOKUP(I64,$V$6:$X$94,3)+VLOOKUP(J64,$V$95:$X$100,3)</f>
        <v>26.4</v>
      </c>
      <c r="M64" s="16">
        <f>L64*(1+$D$3)</f>
        <v>19.454159999999998</v>
      </c>
      <c r="N64" s="23" t="str">
        <f t="shared" si="1"/>
        <v/>
      </c>
      <c r="O64" s="35" t="str">
        <f t="shared" si="2"/>
        <v/>
      </c>
      <c r="P64" s="19">
        <f>D64-M64</f>
        <v>1.2233280000000022</v>
      </c>
      <c r="Q64" s="10" t="str">
        <f>IF(P64&gt;0,"Yes","No")</f>
        <v>Yes</v>
      </c>
      <c r="R64" s="51" t="str">
        <f>IF(I64&lt;&gt;I63,N64+SUMIFS(E64:E$68,Q64:Q$68,"Yes",I64:I$68,I64),"")</f>
        <v/>
      </c>
      <c r="S64" s="38" t="str">
        <f>IF(I64&lt;&gt;I63,O64+SUMIFS(F64:F$68,I64:I$68,I64,Q64:Q$68,"Yes"),"")</f>
        <v/>
      </c>
      <c r="T64" s="39" t="str">
        <f>IF(R64&lt;&gt;"",S64/R64,"")</f>
        <v/>
      </c>
      <c r="V64" s="8">
        <v>487</v>
      </c>
      <c r="W64" s="48" t="s">
        <v>103</v>
      </c>
      <c r="X64" s="4">
        <v>10.9</v>
      </c>
      <c r="Y64" s="59" t="s">
        <v>211</v>
      </c>
      <c r="Z64" s="60">
        <v>132768</v>
      </c>
    </row>
    <row r="65" spans="1:26" ht="15.75" thickBot="1" x14ac:dyDescent="0.3">
      <c r="A65" s="14">
        <v>493</v>
      </c>
      <c r="B65" s="17" t="s">
        <v>46</v>
      </c>
      <c r="C65" s="44">
        <f>VLOOKUP(A65,$V$6:$X$94,3)</f>
        <v>56.96</v>
      </c>
      <c r="D65" s="16">
        <f>C65*(1+$D$2)</f>
        <v>46.205952000000003</v>
      </c>
      <c r="E65" s="23">
        <f t="shared" si="0"/>
        <v>28</v>
      </c>
      <c r="F65" s="35">
        <f>D65*E65</f>
        <v>1293.766656</v>
      </c>
      <c r="G65" s="13">
        <v>1080</v>
      </c>
      <c r="H65" s="13"/>
      <c r="I65" s="14" t="s">
        <v>15</v>
      </c>
      <c r="J65" s="18" t="s">
        <v>80</v>
      </c>
      <c r="K65" s="15" t="str">
        <f>VLOOKUP(I65,$V$6:$W$94,2)</f>
        <v>LS KN5 UG LED Contemporary 45000-50000</v>
      </c>
      <c r="L65" s="16">
        <f>VLOOKUP(I65,$V$6:$X$94,3)+VLOOKUP(J65,$V$95:$X$100,3)</f>
        <v>32.1</v>
      </c>
      <c r="M65" s="16">
        <f>L65*(1+$D$3)</f>
        <v>23.654490000000003</v>
      </c>
      <c r="N65" s="23">
        <f t="shared" si="1"/>
        <v>10</v>
      </c>
      <c r="O65" s="35">
        <f t="shared" si="2"/>
        <v>236.54490000000004</v>
      </c>
      <c r="P65" s="19">
        <f>D65-M65</f>
        <v>22.551462000000001</v>
      </c>
      <c r="Q65" s="10" t="str">
        <f>IF(P65&gt;0,"Yes","No")</f>
        <v>Yes</v>
      </c>
      <c r="R65" s="51">
        <f>IF(I65&lt;&gt;I64,N65+SUMIFS(E65:E$68,Q65:Q$68,"Yes",I65:I$68,I65),"")</f>
        <v>139</v>
      </c>
      <c r="S65" s="38">
        <f>IF(I65&lt;&gt;I64,O65+SUMIFS(F65:F$68,I65:I$68,I65,Q65:Q$68,"Yes"),"")</f>
        <v>7159.8043079999989</v>
      </c>
      <c r="T65" s="39">
        <f>IF(R65&lt;&gt;"",S65/R65,"")</f>
        <v>51.509383510791359</v>
      </c>
      <c r="V65" s="8">
        <v>488</v>
      </c>
      <c r="W65" s="48" t="s">
        <v>104</v>
      </c>
      <c r="X65" s="4">
        <v>16.47</v>
      </c>
      <c r="Y65" s="59" t="s">
        <v>212</v>
      </c>
      <c r="Z65" s="60">
        <v>79044</v>
      </c>
    </row>
    <row r="66" spans="1:26" ht="15.75" thickBot="1" x14ac:dyDescent="0.3">
      <c r="A66" s="14">
        <v>496</v>
      </c>
      <c r="B66" s="17" t="s">
        <v>48</v>
      </c>
      <c r="C66" s="44">
        <f>VLOOKUP(A66,$V$6:$X$94,3)</f>
        <v>68.709999999999994</v>
      </c>
      <c r="D66" s="16">
        <f>C66*(1+$D$2)</f>
        <v>55.737551999999994</v>
      </c>
      <c r="E66" s="23">
        <f t="shared" si="0"/>
        <v>101</v>
      </c>
      <c r="F66" s="35">
        <f>D66*E66</f>
        <v>5629.4927519999992</v>
      </c>
      <c r="G66" s="13">
        <v>1080</v>
      </c>
      <c r="H66" s="13"/>
      <c r="I66" s="14" t="s">
        <v>15</v>
      </c>
      <c r="J66" s="18" t="s">
        <v>80</v>
      </c>
      <c r="K66" s="15" t="str">
        <f>VLOOKUP(I66,$V$6:$W$94,2)</f>
        <v>LS KN5 UG LED Contemporary 45000-50000</v>
      </c>
      <c r="L66" s="16">
        <f>VLOOKUP(I66,$V$6:$X$94,3)+VLOOKUP(J66,$V$95:$X$100,3)</f>
        <v>32.1</v>
      </c>
      <c r="M66" s="16">
        <f>L66*(1+$D$3)</f>
        <v>23.654490000000003</v>
      </c>
      <c r="N66" s="23" t="str">
        <f t="shared" si="1"/>
        <v/>
      </c>
      <c r="O66" s="35" t="str">
        <f t="shared" si="2"/>
        <v/>
      </c>
      <c r="P66" s="19">
        <f>D66-M66</f>
        <v>32.083061999999991</v>
      </c>
      <c r="Q66" s="10" t="str">
        <f>IF(P66&gt;0,"Yes","No")</f>
        <v>Yes</v>
      </c>
      <c r="R66" s="51" t="str">
        <f>IF(I66&lt;&gt;I65,N66+SUMIFS(E66:E$68,Q66:Q$68,"Yes",I66:I$68,I66),"")</f>
        <v/>
      </c>
      <c r="S66" s="38" t="str">
        <f>IF(I66&lt;&gt;I65,O66+SUMIFS(F66:F$68,I66:I$68,I66,Q66:Q$68,"Yes"),"")</f>
        <v/>
      </c>
      <c r="T66" s="39" t="str">
        <f>IF(R66&lt;&gt;"",S66/R66,"")</f>
        <v/>
      </c>
      <c r="V66" s="8">
        <v>489</v>
      </c>
      <c r="W66" s="48" t="s">
        <v>105</v>
      </c>
      <c r="X66" s="4">
        <v>23.16</v>
      </c>
      <c r="Y66" s="59" t="s">
        <v>213</v>
      </c>
      <c r="Z66" s="60">
        <v>101268</v>
      </c>
    </row>
    <row r="67" spans="1:26" ht="15.75" thickBot="1" x14ac:dyDescent="0.3">
      <c r="A67" s="14">
        <v>414</v>
      </c>
      <c r="B67" s="17" t="s">
        <v>116</v>
      </c>
      <c r="C67" s="44">
        <f>VLOOKUP(A67,$V$6:$X$94,3)</f>
        <v>36.31</v>
      </c>
      <c r="D67" s="16">
        <f>C67*(1+$D$2)</f>
        <v>29.454672000000002</v>
      </c>
      <c r="E67" s="23">
        <f t="shared" si="0"/>
        <v>13</v>
      </c>
      <c r="F67" s="35">
        <f>D67*E67</f>
        <v>382.91073600000004</v>
      </c>
      <c r="G67" s="13">
        <v>83</v>
      </c>
      <c r="H67" s="13"/>
      <c r="I67" s="14" t="s">
        <v>120</v>
      </c>
      <c r="J67" s="18" t="s">
        <v>82</v>
      </c>
      <c r="K67" s="15" t="str">
        <f>VLOOKUP(I67,$V$6:$W$94,2)</f>
        <v>LS KV1 UG LED Victorian 4000-7000</v>
      </c>
      <c r="L67" s="16">
        <f>VLOOKUP(I67,$V$6:$X$94,3)+VLOOKUP(J67,$V$95:$X$100,3)</f>
        <v>36.369999999999997</v>
      </c>
      <c r="M67" s="16">
        <f>L67*(1+$D$3)</f>
        <v>26.801053</v>
      </c>
      <c r="N67" s="23">
        <f t="shared" si="1"/>
        <v>0</v>
      </c>
      <c r="O67" s="35">
        <f t="shared" si="2"/>
        <v>0</v>
      </c>
      <c r="P67" s="19">
        <f>D67-M67</f>
        <v>2.6536190000000026</v>
      </c>
      <c r="Q67" s="10" t="str">
        <f>IF(P67&gt;0,"Yes","No")</f>
        <v>Yes</v>
      </c>
      <c r="R67" s="51"/>
      <c r="S67" s="38">
        <f>IF(I67&lt;&gt;I66,O67+SUMIFS(F67:F$68,I67:I$68,I67,Q67:Q$68,"Yes"),"")</f>
        <v>1093.13256</v>
      </c>
      <c r="T67" s="30" t="e">
        <f>#REF!</f>
        <v>#REF!</v>
      </c>
      <c r="V67" s="8">
        <v>490</v>
      </c>
      <c r="W67" s="48" t="s">
        <v>45</v>
      </c>
      <c r="X67" s="4">
        <v>18.8</v>
      </c>
      <c r="Y67" s="59" t="s">
        <v>214</v>
      </c>
      <c r="Z67" s="60">
        <v>696</v>
      </c>
    </row>
    <row r="68" spans="1:26" ht="15.75" thickBot="1" x14ac:dyDescent="0.3">
      <c r="A68" s="14">
        <v>415</v>
      </c>
      <c r="B68" s="17" t="s">
        <v>117</v>
      </c>
      <c r="C68" s="44">
        <f>VLOOKUP(A68,$V$6:$X$94,3)</f>
        <v>36.479999999999997</v>
      </c>
      <c r="D68" s="16">
        <f>C68*(1+$D$2)</f>
        <v>29.592575999999998</v>
      </c>
      <c r="E68" s="23">
        <f t="shared" si="0"/>
        <v>24</v>
      </c>
      <c r="F68" s="35">
        <f>D68*E68</f>
        <v>710.22182399999997</v>
      </c>
      <c r="G68" s="13">
        <v>117</v>
      </c>
      <c r="H68" s="13"/>
      <c r="I68" s="14" t="s">
        <v>120</v>
      </c>
      <c r="J68" s="18" t="s">
        <v>82</v>
      </c>
      <c r="K68" s="15" t="str">
        <f>VLOOKUP(I68,$V$6:$W$94,2)</f>
        <v>LS KV1 UG LED Victorian 4000-7000</v>
      </c>
      <c r="L68" s="16">
        <f>VLOOKUP(I68,$V$6:$X$94,3)+VLOOKUP(J68,$V$95:$X$100,3)</f>
        <v>36.369999999999997</v>
      </c>
      <c r="M68" s="16">
        <f>L68*(1+$D$3)</f>
        <v>26.801053</v>
      </c>
      <c r="N68" s="23" t="str">
        <f t="shared" si="1"/>
        <v/>
      </c>
      <c r="O68" s="35" t="str">
        <f t="shared" si="2"/>
        <v/>
      </c>
      <c r="P68" s="19">
        <f>D68-M68</f>
        <v>2.791522999999998</v>
      </c>
      <c r="Q68" s="10" t="str">
        <f>IF(P68&gt;0,"Yes","No")</f>
        <v>Yes</v>
      </c>
      <c r="R68" s="51" t="str">
        <f>IF(I68&lt;&gt;I67,N68+SUMIFS(E68:E$68,Q68:Q$68,"Yes",I68:I$68,I68),"")</f>
        <v/>
      </c>
      <c r="S68" s="38" t="str">
        <f>IF(I68&lt;&gt;I67,O68+SUMIFS(F68:F$68,I68:I$68,I68,Q68:Q$68,"Yes"),"")</f>
        <v/>
      </c>
      <c r="T68" s="39" t="str">
        <f>IF(R68&lt;&gt;"",S68/R68,"")</f>
        <v/>
      </c>
      <c r="V68" s="8">
        <v>491</v>
      </c>
      <c r="W68" s="48" t="s">
        <v>110</v>
      </c>
      <c r="X68" s="4">
        <v>26.26</v>
      </c>
      <c r="Y68" s="59" t="s">
        <v>215</v>
      </c>
      <c r="Z68" s="60">
        <v>3828</v>
      </c>
    </row>
    <row r="69" spans="1:26" s="1" customFormat="1" ht="15.75" thickBot="1" x14ac:dyDescent="0.3">
      <c r="A69" s="8"/>
      <c r="B69" s="3"/>
      <c r="C69" s="57">
        <f>SUMPRODUCT(C6:C68,E6:E68)</f>
        <v>2499366.4616666655</v>
      </c>
      <c r="D69" s="9"/>
      <c r="E69" s="9" t="s">
        <v>150</v>
      </c>
      <c r="F69" s="56">
        <f>SUM(F6:F68)</f>
        <v>2027486.0737039999</v>
      </c>
      <c r="G69" s="9"/>
      <c r="H69" s="9"/>
      <c r="I69" s="8"/>
      <c r="J69" s="8"/>
      <c r="K69" s="2" t="s">
        <v>150</v>
      </c>
      <c r="L69" s="36">
        <f>SUMPRODUCT(L6:L68,N6:N68)</f>
        <v>84764.536666666652</v>
      </c>
      <c r="M69" s="4"/>
      <c r="N69" s="4"/>
      <c r="O69" s="36">
        <f>SUM(O6:O68)</f>
        <v>62462.987069666684</v>
      </c>
      <c r="V69" s="8">
        <v>492</v>
      </c>
      <c r="W69" s="48" t="s">
        <v>111</v>
      </c>
      <c r="X69" s="4">
        <v>18.39</v>
      </c>
      <c r="Y69" s="59" t="s">
        <v>216</v>
      </c>
      <c r="Z69" s="60">
        <v>48</v>
      </c>
    </row>
    <row r="70" spans="1:26" ht="15.75" thickBot="1" x14ac:dyDescent="0.3">
      <c r="A70" s="8"/>
      <c r="B70" s="8"/>
      <c r="C70" s="58">
        <f>12*C69</f>
        <v>29992397.539999984</v>
      </c>
      <c r="D70" s="7"/>
      <c r="E70" s="7" t="s">
        <v>151</v>
      </c>
      <c r="F70" s="56">
        <f>12*F69</f>
        <v>24329832.884447999</v>
      </c>
      <c r="G70" s="7"/>
      <c r="H70" s="7"/>
      <c r="I70" s="8"/>
      <c r="J70" s="8"/>
      <c r="K70" s="2" t="s">
        <v>151</v>
      </c>
      <c r="L70" s="36">
        <f>12*L69</f>
        <v>1017174.4399999998</v>
      </c>
      <c r="O70" s="36">
        <f>12*O69</f>
        <v>749555.84483600024</v>
      </c>
      <c r="V70" s="8">
        <v>493</v>
      </c>
      <c r="W70" s="48" t="s">
        <v>46</v>
      </c>
      <c r="X70" s="4">
        <v>56.96</v>
      </c>
      <c r="Y70" s="59" t="s">
        <v>217</v>
      </c>
      <c r="Z70" s="60">
        <v>336</v>
      </c>
    </row>
    <row r="71" spans="1:26" ht="15.75" thickBot="1" x14ac:dyDescent="0.3">
      <c r="A71" s="8"/>
      <c r="B71" s="3"/>
      <c r="C71" s="62">
        <f>C70+L70</f>
        <v>31009571.979999986</v>
      </c>
      <c r="D71" s="9"/>
      <c r="E71" s="9"/>
      <c r="F71" s="9"/>
      <c r="G71" s="9"/>
      <c r="H71" s="9"/>
      <c r="I71" s="8"/>
      <c r="J71" s="8"/>
      <c r="V71" s="8">
        <v>494</v>
      </c>
      <c r="W71" s="48" t="s">
        <v>47</v>
      </c>
      <c r="X71" s="4">
        <v>33.57</v>
      </c>
      <c r="Y71" s="59" t="s">
        <v>218</v>
      </c>
      <c r="Z71" s="60">
        <v>2280</v>
      </c>
    </row>
    <row r="72" spans="1:26" ht="15.75" thickBot="1" x14ac:dyDescent="0.3">
      <c r="A72" s="8"/>
      <c r="B72" s="3"/>
      <c r="C72" s="3"/>
      <c r="D72" s="9"/>
      <c r="E72" s="9"/>
      <c r="F72" s="9"/>
      <c r="G72" s="9"/>
      <c r="H72" s="9"/>
      <c r="I72" s="8"/>
      <c r="J72" s="8"/>
      <c r="V72" s="8">
        <v>495</v>
      </c>
      <c r="W72" s="48" t="s">
        <v>112</v>
      </c>
      <c r="X72" s="4">
        <v>41.26</v>
      </c>
      <c r="Y72" s="59" t="s">
        <v>219</v>
      </c>
      <c r="Z72" s="60">
        <v>9156</v>
      </c>
    </row>
    <row r="73" spans="1:26" x14ac:dyDescent="0.25">
      <c r="A73" s="8"/>
      <c r="B73" s="3"/>
      <c r="C73" s="3"/>
      <c r="D73" s="9"/>
      <c r="E73" s="9"/>
      <c r="F73" s="9"/>
      <c r="G73" s="9"/>
      <c r="H73" s="9"/>
      <c r="I73" s="8"/>
      <c r="J73" s="8"/>
      <c r="V73" s="8">
        <v>496</v>
      </c>
      <c r="W73" s="48" t="s">
        <v>48</v>
      </c>
      <c r="X73" s="4">
        <v>68.709999999999994</v>
      </c>
      <c r="Y73" s="61" t="s">
        <v>220</v>
      </c>
      <c r="Z73" s="60">
        <v>1212</v>
      </c>
    </row>
    <row r="74" spans="1:26" x14ac:dyDescent="0.25">
      <c r="A74" s="8"/>
      <c r="B74" s="3"/>
      <c r="C74" s="3"/>
      <c r="D74" s="9"/>
      <c r="E74" s="9"/>
      <c r="F74" s="9"/>
      <c r="G74" s="9"/>
      <c r="H74" s="9"/>
      <c r="I74" s="8"/>
      <c r="J74" s="8"/>
      <c r="V74" s="8">
        <v>497</v>
      </c>
      <c r="W74" s="48" t="s">
        <v>113</v>
      </c>
      <c r="X74" s="4">
        <v>18.09</v>
      </c>
      <c r="Y74" s="61" t="s">
        <v>221</v>
      </c>
      <c r="Z74" s="60">
        <v>360</v>
      </c>
    </row>
    <row r="75" spans="1:26" x14ac:dyDescent="0.25">
      <c r="A75" s="8"/>
      <c r="B75" s="3"/>
      <c r="C75" s="3"/>
      <c r="D75" s="9"/>
      <c r="E75" s="9"/>
      <c r="F75" s="9"/>
      <c r="G75" s="9"/>
      <c r="H75" s="9"/>
      <c r="I75" s="8"/>
      <c r="J75" s="8"/>
      <c r="V75" s="8">
        <v>498</v>
      </c>
      <c r="W75" s="48" t="s">
        <v>114</v>
      </c>
      <c r="X75" s="4">
        <v>21.14</v>
      </c>
      <c r="Y75" s="61" t="s">
        <v>222</v>
      </c>
      <c r="Z75" s="60">
        <v>432</v>
      </c>
    </row>
    <row r="76" spans="1:26" x14ac:dyDescent="0.25">
      <c r="A76" s="8"/>
      <c r="B76" s="3"/>
      <c r="C76" s="3"/>
      <c r="D76" s="9"/>
      <c r="E76" s="9"/>
      <c r="F76" s="9"/>
      <c r="G76" s="9"/>
      <c r="H76" s="9"/>
      <c r="I76" s="8"/>
      <c r="J76" s="8"/>
      <c r="V76" s="8">
        <v>499</v>
      </c>
      <c r="W76" s="48" t="s">
        <v>115</v>
      </c>
      <c r="X76" s="4">
        <v>25.49</v>
      </c>
      <c r="Y76" s="61" t="s">
        <v>223</v>
      </c>
      <c r="Z76" s="60">
        <v>336</v>
      </c>
    </row>
    <row r="77" spans="1:26" x14ac:dyDescent="0.25">
      <c r="A77" s="8"/>
      <c r="B77" s="3"/>
      <c r="C77" s="3"/>
      <c r="D77" s="9"/>
      <c r="E77" s="9"/>
      <c r="F77" s="9"/>
      <c r="G77" s="9"/>
      <c r="H77" s="9"/>
      <c r="I77" s="8"/>
      <c r="J77" s="8"/>
      <c r="V77" s="8">
        <v>499</v>
      </c>
      <c r="W77" s="48" t="s">
        <v>115</v>
      </c>
      <c r="X77" s="4">
        <v>25.49</v>
      </c>
      <c r="Y77" s="61"/>
      <c r="Z77" s="60"/>
    </row>
    <row r="78" spans="1:26" x14ac:dyDescent="0.25">
      <c r="A78" s="8"/>
      <c r="B78" s="3"/>
      <c r="C78" s="3"/>
      <c r="D78" s="9"/>
      <c r="E78" s="9"/>
      <c r="F78" s="9"/>
      <c r="G78" s="9"/>
      <c r="H78" s="9"/>
      <c r="I78" s="8"/>
      <c r="J78" s="8"/>
      <c r="V78" s="52" t="s">
        <v>1</v>
      </c>
      <c r="W78" s="11" t="s">
        <v>64</v>
      </c>
      <c r="X78" s="6">
        <v>8.69</v>
      </c>
      <c r="Y78" s="61" t="s">
        <v>224</v>
      </c>
      <c r="Z78" s="60">
        <v>168</v>
      </c>
    </row>
    <row r="79" spans="1:26" x14ac:dyDescent="0.25">
      <c r="A79" s="8"/>
      <c r="B79" s="3"/>
      <c r="C79" s="3"/>
      <c r="D79" s="9"/>
      <c r="E79" s="9"/>
      <c r="F79" s="9"/>
      <c r="G79" s="9"/>
      <c r="H79" s="9"/>
      <c r="I79" s="8"/>
      <c r="J79" s="8"/>
      <c r="V79" s="52" t="s">
        <v>2</v>
      </c>
      <c r="W79" s="11" t="s">
        <v>55</v>
      </c>
      <c r="X79" s="6">
        <v>8.25</v>
      </c>
      <c r="Y79" s="61" t="s">
        <v>225</v>
      </c>
      <c r="Z79" s="60">
        <v>4804</v>
      </c>
    </row>
    <row r="80" spans="1:26" x14ac:dyDescent="0.25">
      <c r="A80" s="8"/>
      <c r="B80" s="3"/>
      <c r="C80" s="3"/>
      <c r="D80" s="9"/>
      <c r="E80" s="9"/>
      <c r="F80" s="9"/>
      <c r="G80" s="9"/>
      <c r="H80" s="9"/>
      <c r="I80" s="8"/>
      <c r="J80" s="8"/>
      <c r="V80" s="52" t="s">
        <v>8</v>
      </c>
      <c r="W80" s="11" t="s">
        <v>70</v>
      </c>
      <c r="X80" s="6">
        <v>4.03</v>
      </c>
      <c r="Y80" s="61" t="s">
        <v>226</v>
      </c>
      <c r="Z80" s="60">
        <v>684</v>
      </c>
    </row>
    <row r="81" spans="1:26" x14ac:dyDescent="0.25">
      <c r="A81" s="8"/>
      <c r="B81" s="3"/>
      <c r="C81" s="3"/>
      <c r="D81" s="9"/>
      <c r="E81" s="9"/>
      <c r="F81" s="9"/>
      <c r="G81" s="9"/>
      <c r="H81" s="9"/>
      <c r="I81" s="8"/>
      <c r="J81" s="8"/>
      <c r="V81" s="52" t="s">
        <v>14</v>
      </c>
      <c r="W81" s="11" t="s">
        <v>56</v>
      </c>
      <c r="X81" s="6">
        <v>10.8</v>
      </c>
      <c r="Y81" s="61" t="s">
        <v>227</v>
      </c>
      <c r="Z81" s="60">
        <v>2652</v>
      </c>
    </row>
    <row r="82" spans="1:26" x14ac:dyDescent="0.25">
      <c r="A82" s="8"/>
      <c r="B82" s="3"/>
      <c r="C82" s="3"/>
      <c r="D82" s="9"/>
      <c r="E82" s="9"/>
      <c r="F82" s="9"/>
      <c r="G82" s="9"/>
      <c r="H82" s="9"/>
      <c r="I82" s="8"/>
      <c r="J82" s="8"/>
      <c r="V82" s="52" t="s">
        <v>3</v>
      </c>
      <c r="W82" s="11" t="s">
        <v>57</v>
      </c>
      <c r="X82" s="6">
        <v>12.7</v>
      </c>
      <c r="Y82" s="61" t="s">
        <v>228</v>
      </c>
      <c r="Z82" s="60">
        <v>1536</v>
      </c>
    </row>
    <row r="83" spans="1:26" x14ac:dyDescent="0.25">
      <c r="A83" s="8"/>
      <c r="B83" s="3"/>
      <c r="C83" s="3"/>
      <c r="D83" s="9"/>
      <c r="E83" s="9"/>
      <c r="F83" s="9"/>
      <c r="G83" s="9"/>
      <c r="H83" s="9"/>
      <c r="I83" s="8"/>
      <c r="J83" s="8"/>
      <c r="V83" s="52" t="s">
        <v>4</v>
      </c>
      <c r="W83" s="11" t="s">
        <v>58</v>
      </c>
      <c r="X83" s="6">
        <v>15.06</v>
      </c>
      <c r="Y83" s="61" t="s">
        <v>229</v>
      </c>
      <c r="Z83" s="60">
        <v>6540</v>
      </c>
    </row>
    <row r="84" spans="1:26" x14ac:dyDescent="0.25">
      <c r="A84" s="8"/>
      <c r="B84" s="3"/>
      <c r="C84" s="3"/>
      <c r="D84" s="9"/>
      <c r="E84" s="9"/>
      <c r="F84" s="9"/>
      <c r="G84" s="9"/>
      <c r="H84" s="9"/>
      <c r="I84" s="8"/>
      <c r="J84" s="8"/>
      <c r="V84" s="52" t="s">
        <v>5</v>
      </c>
      <c r="W84" s="11" t="s">
        <v>59</v>
      </c>
      <c r="X84" s="6">
        <v>21.83</v>
      </c>
      <c r="Y84" s="61" t="s">
        <v>230</v>
      </c>
      <c r="Z84" s="60">
        <v>5616</v>
      </c>
    </row>
    <row r="85" spans="1:26" x14ac:dyDescent="0.25">
      <c r="A85" s="8"/>
      <c r="B85" s="3"/>
      <c r="C85" s="3"/>
      <c r="D85" s="9"/>
      <c r="E85" s="9"/>
      <c r="F85" s="9"/>
      <c r="G85" s="9"/>
      <c r="H85" s="9"/>
      <c r="I85" s="8"/>
      <c r="J85" s="8"/>
      <c r="V85" s="52" t="s">
        <v>71</v>
      </c>
      <c r="W85" s="11" t="s">
        <v>72</v>
      </c>
      <c r="X85" s="6">
        <v>8.18</v>
      </c>
      <c r="Y85" s="61"/>
      <c r="Z85" s="60"/>
    </row>
    <row r="86" spans="1:26" x14ac:dyDescent="0.25">
      <c r="A86" s="8"/>
      <c r="B86" s="3"/>
      <c r="C86" s="3"/>
      <c r="D86" s="9"/>
      <c r="E86" s="9"/>
      <c r="F86" s="9"/>
      <c r="G86" s="9"/>
      <c r="H86" s="9"/>
      <c r="I86" s="8"/>
      <c r="J86" s="8"/>
      <c r="V86" s="52" t="s">
        <v>6</v>
      </c>
      <c r="W86" s="11" t="s">
        <v>73</v>
      </c>
      <c r="X86" s="6">
        <v>10.09</v>
      </c>
      <c r="Y86" s="61"/>
      <c r="Z86" s="60"/>
    </row>
    <row r="87" spans="1:26" x14ac:dyDescent="0.25">
      <c r="A87" s="8"/>
      <c r="B87" s="3"/>
      <c r="C87" s="3"/>
      <c r="D87" s="9"/>
      <c r="E87" s="9"/>
      <c r="F87" s="9"/>
      <c r="G87" s="9"/>
      <c r="H87" s="9"/>
      <c r="I87" s="8"/>
      <c r="J87" s="8"/>
      <c r="V87" s="52" t="s">
        <v>7</v>
      </c>
      <c r="W87" s="11" t="s">
        <v>74</v>
      </c>
      <c r="X87" s="6">
        <v>12.44</v>
      </c>
      <c r="Y87" s="61" t="s">
        <v>231</v>
      </c>
      <c r="Z87" s="60">
        <v>48</v>
      </c>
    </row>
    <row r="88" spans="1:26" x14ac:dyDescent="0.25">
      <c r="A88" s="8"/>
      <c r="B88" s="3"/>
      <c r="C88" s="3"/>
      <c r="D88" s="9"/>
      <c r="E88" s="9"/>
      <c r="F88" s="9"/>
      <c r="G88" s="9"/>
      <c r="H88" s="9"/>
      <c r="I88" s="8"/>
      <c r="J88" s="8"/>
      <c r="V88" s="52" t="s">
        <v>9</v>
      </c>
      <c r="W88" s="11" t="s">
        <v>75</v>
      </c>
      <c r="X88" s="6">
        <v>19.22</v>
      </c>
      <c r="Y88" s="61" t="s">
        <v>232</v>
      </c>
      <c r="Z88" s="60">
        <v>300</v>
      </c>
    </row>
    <row r="89" spans="1:26" x14ac:dyDescent="0.25">
      <c r="A89" s="8"/>
      <c r="B89" s="3"/>
      <c r="C89" s="3"/>
      <c r="D89" s="9"/>
      <c r="E89" s="9"/>
      <c r="F89" s="9"/>
      <c r="G89" s="9"/>
      <c r="H89" s="9"/>
      <c r="I89" s="8"/>
      <c r="J89" s="8"/>
      <c r="V89" s="52" t="s">
        <v>10</v>
      </c>
      <c r="W89" s="11" t="s">
        <v>65</v>
      </c>
      <c r="X89" s="6">
        <v>6.81</v>
      </c>
      <c r="Y89" s="61" t="s">
        <v>233</v>
      </c>
      <c r="Z89" s="60">
        <v>2430</v>
      </c>
    </row>
    <row r="90" spans="1:26" x14ac:dyDescent="0.25">
      <c r="A90" s="8"/>
      <c r="B90" s="3"/>
      <c r="C90" s="3"/>
      <c r="D90" s="9"/>
      <c r="E90" s="9"/>
      <c r="F90" s="9"/>
      <c r="G90" s="9"/>
      <c r="H90" s="9"/>
      <c r="I90" s="8"/>
      <c r="J90" s="8"/>
      <c r="V90" s="52" t="s">
        <v>11</v>
      </c>
      <c r="W90" s="11" t="s">
        <v>66</v>
      </c>
      <c r="X90" s="6">
        <v>8.16</v>
      </c>
      <c r="Y90" s="61" t="s">
        <v>234</v>
      </c>
      <c r="Z90" s="60">
        <v>36</v>
      </c>
    </row>
    <row r="91" spans="1:26" x14ac:dyDescent="0.25">
      <c r="A91" s="8"/>
      <c r="B91" s="3"/>
      <c r="C91" s="3"/>
      <c r="D91" s="9"/>
      <c r="E91" s="9"/>
      <c r="F91" s="9"/>
      <c r="G91" s="9"/>
      <c r="H91" s="9"/>
      <c r="I91" s="8"/>
      <c r="J91" s="8"/>
      <c r="V91" s="52" t="s">
        <v>12</v>
      </c>
      <c r="W91" s="11" t="s">
        <v>67</v>
      </c>
      <c r="X91" s="6">
        <v>10.050000000000001</v>
      </c>
      <c r="Y91" s="61" t="s">
        <v>235</v>
      </c>
      <c r="Z91" s="60">
        <v>756</v>
      </c>
    </row>
    <row r="92" spans="1:26" x14ac:dyDescent="0.25">
      <c r="A92" s="8"/>
      <c r="B92" s="3"/>
      <c r="C92" s="3"/>
      <c r="D92" s="9"/>
      <c r="E92" s="9"/>
      <c r="F92" s="9"/>
      <c r="G92" s="9"/>
      <c r="H92" s="9"/>
      <c r="I92" s="8"/>
      <c r="J92" s="8"/>
      <c r="V92" s="52" t="s">
        <v>13</v>
      </c>
      <c r="W92" s="11" t="s">
        <v>68</v>
      </c>
      <c r="X92" s="6">
        <v>14.59</v>
      </c>
      <c r="Y92" s="61" t="s">
        <v>236</v>
      </c>
      <c r="Z92" s="60">
        <v>1932</v>
      </c>
    </row>
    <row r="93" spans="1:26" x14ac:dyDescent="0.25">
      <c r="A93" s="8"/>
      <c r="B93" s="3"/>
      <c r="C93" s="3"/>
      <c r="D93" s="9"/>
      <c r="E93" s="9"/>
      <c r="F93" s="9"/>
      <c r="G93" s="9"/>
      <c r="H93" s="9"/>
      <c r="I93" s="8"/>
      <c r="J93" s="8"/>
      <c r="V93" s="52" t="s">
        <v>15</v>
      </c>
      <c r="W93" s="11" t="s">
        <v>69</v>
      </c>
      <c r="X93" s="6">
        <v>20.29</v>
      </c>
      <c r="Y93" s="61" t="s">
        <v>237</v>
      </c>
      <c r="Z93" s="60">
        <v>120</v>
      </c>
    </row>
    <row r="94" spans="1:26" x14ac:dyDescent="0.25">
      <c r="A94" s="8"/>
      <c r="B94" s="3"/>
      <c r="C94" s="3"/>
      <c r="D94" s="9"/>
      <c r="E94" s="9"/>
      <c r="F94" s="9"/>
      <c r="G94" s="9"/>
      <c r="H94" s="9"/>
      <c r="I94" s="8"/>
      <c r="J94" s="8"/>
      <c r="V94" s="52" t="s">
        <v>120</v>
      </c>
      <c r="W94" s="11" t="s">
        <v>121</v>
      </c>
      <c r="X94" s="6">
        <v>21.7</v>
      </c>
    </row>
    <row r="95" spans="1:26" x14ac:dyDescent="0.25">
      <c r="A95" s="8"/>
      <c r="B95" s="3"/>
      <c r="C95" s="3"/>
      <c r="D95" s="9"/>
      <c r="E95" s="9"/>
      <c r="F95" s="9"/>
      <c r="G95" s="9"/>
      <c r="H95" s="9"/>
      <c r="I95" s="8"/>
      <c r="J95" s="8"/>
      <c r="V95" s="52" t="s">
        <v>76</v>
      </c>
      <c r="W95" s="11" t="s">
        <v>77</v>
      </c>
      <c r="X95" s="6">
        <v>12.77</v>
      </c>
    </row>
    <row r="96" spans="1:26" x14ac:dyDescent="0.25">
      <c r="A96" s="8"/>
      <c r="B96" s="3"/>
      <c r="C96" s="3"/>
      <c r="D96" s="9"/>
      <c r="E96" s="9"/>
      <c r="F96" s="9"/>
      <c r="G96" s="9"/>
      <c r="H96" s="9"/>
      <c r="I96" s="8"/>
      <c r="J96" s="8"/>
      <c r="V96" s="52" t="s">
        <v>78</v>
      </c>
      <c r="W96" s="11" t="s">
        <v>79</v>
      </c>
      <c r="X96" s="6">
        <v>8.77</v>
      </c>
    </row>
    <row r="97" spans="1:24" x14ac:dyDescent="0.25">
      <c r="A97" s="8"/>
      <c r="B97" s="3"/>
      <c r="C97" s="3"/>
      <c r="D97" s="9"/>
      <c r="E97" s="9"/>
      <c r="F97" s="9"/>
      <c r="G97" s="9"/>
      <c r="H97" s="9"/>
      <c r="I97" s="8"/>
      <c r="J97" s="8"/>
      <c r="V97" s="52" t="s">
        <v>80</v>
      </c>
      <c r="W97" s="11" t="s">
        <v>81</v>
      </c>
      <c r="X97" s="6">
        <v>11.81</v>
      </c>
    </row>
    <row r="98" spans="1:24" x14ac:dyDescent="0.25">
      <c r="A98" s="8"/>
      <c r="B98" s="3"/>
      <c r="C98" s="3"/>
      <c r="D98" s="9"/>
      <c r="E98" s="9"/>
      <c r="F98" s="9"/>
      <c r="G98" s="9"/>
      <c r="H98" s="9"/>
      <c r="I98" s="8"/>
      <c r="J98" s="8"/>
      <c r="V98" s="52" t="s">
        <v>82</v>
      </c>
      <c r="W98" s="11" t="s">
        <v>83</v>
      </c>
      <c r="X98" s="6">
        <v>14.67</v>
      </c>
    </row>
    <row r="99" spans="1:24" x14ac:dyDescent="0.25">
      <c r="A99" s="8"/>
      <c r="B99" s="3"/>
      <c r="C99" s="3"/>
      <c r="D99" s="9"/>
      <c r="E99" s="9"/>
      <c r="F99" s="9"/>
      <c r="G99" s="9"/>
      <c r="H99" s="9"/>
      <c r="I99" s="8"/>
      <c r="J99" s="8"/>
      <c r="V99" s="52" t="s">
        <v>118</v>
      </c>
      <c r="W99" s="11" t="s">
        <v>119</v>
      </c>
      <c r="X99" s="6">
        <v>8.61</v>
      </c>
    </row>
    <row r="100" spans="1:24" x14ac:dyDescent="0.25">
      <c r="A100" s="8"/>
      <c r="B100" s="3"/>
      <c r="C100" s="3"/>
      <c r="D100" s="9"/>
      <c r="E100" s="9"/>
      <c r="F100" s="9"/>
      <c r="G100" s="9"/>
      <c r="H100" s="9"/>
      <c r="I100" s="8"/>
      <c r="J100" s="8"/>
      <c r="V100" s="52">
        <v>0</v>
      </c>
      <c r="W100" s="11" t="s">
        <v>123</v>
      </c>
      <c r="X100" s="6">
        <v>0</v>
      </c>
    </row>
    <row r="101" spans="1:24" x14ac:dyDescent="0.25">
      <c r="A101" s="8"/>
      <c r="B101" s="3"/>
      <c r="C101" s="3"/>
      <c r="D101" s="9"/>
      <c r="E101" s="9"/>
      <c r="F101" s="9"/>
      <c r="G101" s="9"/>
      <c r="H101" s="9"/>
      <c r="I101" s="8"/>
      <c r="J101" s="8"/>
      <c r="V101" s="52" t="s">
        <v>84</v>
      </c>
      <c r="W101" s="11" t="s">
        <v>122</v>
      </c>
      <c r="X101" s="6">
        <v>5.01</v>
      </c>
    </row>
    <row r="102" spans="1:24" x14ac:dyDescent="0.25">
      <c r="A102" s="8"/>
      <c r="B102" s="3"/>
      <c r="C102" s="3"/>
      <c r="D102" s="9"/>
      <c r="E102" s="9"/>
      <c r="F102" s="9"/>
      <c r="G102" s="9"/>
      <c r="H102" s="9"/>
      <c r="I102" s="8"/>
      <c r="J102" s="8"/>
    </row>
    <row r="103" spans="1:24" x14ac:dyDescent="0.25">
      <c r="A103" s="8"/>
      <c r="B103" s="3"/>
      <c r="C103" s="3"/>
      <c r="D103" s="9"/>
      <c r="E103" s="9"/>
      <c r="F103" s="9"/>
      <c r="G103" s="9"/>
      <c r="H103" s="9"/>
      <c r="I103" s="8"/>
      <c r="J103" s="8"/>
    </row>
    <row r="104" spans="1:24" x14ac:dyDescent="0.25">
      <c r="A104" s="8"/>
      <c r="B104" s="3"/>
      <c r="C104" s="3"/>
      <c r="D104" s="9"/>
      <c r="E104" s="9"/>
      <c r="F104" s="9"/>
      <c r="G104" s="9"/>
      <c r="H104" s="9"/>
      <c r="I104" s="8"/>
      <c r="J104" s="8"/>
    </row>
    <row r="105" spans="1:24" x14ac:dyDescent="0.25">
      <c r="A105" s="8"/>
      <c r="B105" s="3"/>
      <c r="C105" s="3"/>
      <c r="D105" s="9"/>
      <c r="E105" s="9"/>
      <c r="F105" s="9"/>
      <c r="G105" s="9"/>
      <c r="H105" s="9"/>
      <c r="I105" s="8"/>
      <c r="J105" s="8"/>
    </row>
    <row r="106" spans="1:24" x14ac:dyDescent="0.25">
      <c r="A106" s="8"/>
      <c r="B106" s="3"/>
      <c r="C106" s="3"/>
      <c r="D106" s="9"/>
      <c r="E106" s="9"/>
      <c r="F106" s="9"/>
      <c r="G106" s="9"/>
      <c r="H106" s="9"/>
      <c r="I106" s="8"/>
      <c r="J106" s="8"/>
    </row>
    <row r="107" spans="1:24" x14ac:dyDescent="0.25">
      <c r="A107" s="8"/>
      <c r="B107" s="3"/>
      <c r="C107" s="3"/>
      <c r="D107" s="9"/>
      <c r="E107" s="9"/>
      <c r="F107" s="9"/>
      <c r="G107" s="9"/>
      <c r="H107" s="9"/>
      <c r="I107" s="8"/>
      <c r="J107" s="8"/>
    </row>
    <row r="108" spans="1:24" x14ac:dyDescent="0.25">
      <c r="A108" s="8"/>
      <c r="B108" s="3"/>
      <c r="C108" s="3"/>
      <c r="D108" s="9"/>
      <c r="E108" s="9"/>
      <c r="F108" s="9"/>
      <c r="G108" s="9"/>
      <c r="H108" s="9"/>
      <c r="I108" s="8"/>
      <c r="J108" s="8"/>
    </row>
    <row r="109" spans="1:24" x14ac:dyDescent="0.25">
      <c r="A109" s="8"/>
      <c r="B109" s="3"/>
      <c r="C109" s="3"/>
      <c r="D109" s="9"/>
      <c r="E109" s="9"/>
      <c r="F109" s="9"/>
      <c r="G109" s="9"/>
      <c r="H109" s="9"/>
      <c r="I109" s="8"/>
      <c r="J109" s="8"/>
    </row>
    <row r="110" spans="1:24" x14ac:dyDescent="0.25">
      <c r="A110" s="8"/>
      <c r="B110" s="3"/>
      <c r="C110" s="3"/>
      <c r="D110" s="9"/>
      <c r="E110" s="9"/>
      <c r="F110" s="9"/>
      <c r="G110" s="9"/>
      <c r="H110" s="9"/>
      <c r="I110" s="8"/>
      <c r="J110" s="8"/>
    </row>
    <row r="111" spans="1:24" x14ac:dyDescent="0.25">
      <c r="A111" s="8"/>
      <c r="B111" s="3"/>
      <c r="C111" s="3"/>
      <c r="D111" s="9"/>
      <c r="E111" s="9"/>
      <c r="F111" s="9"/>
      <c r="G111" s="9"/>
      <c r="H111" s="9"/>
      <c r="I111" s="8"/>
      <c r="J111" s="8"/>
    </row>
    <row r="112" spans="1:24" x14ac:dyDescent="0.25">
      <c r="A112" s="8"/>
      <c r="B112" s="3"/>
      <c r="C112" s="3"/>
      <c r="D112" s="9"/>
      <c r="E112" s="9"/>
      <c r="F112" s="9"/>
      <c r="G112" s="9"/>
      <c r="H112" s="9"/>
      <c r="I112" s="8"/>
      <c r="J112" s="8"/>
    </row>
    <row r="113" spans="1:10" x14ac:dyDescent="0.25">
      <c r="A113" s="8"/>
      <c r="B113" s="3"/>
      <c r="C113" s="3"/>
      <c r="D113" s="9"/>
      <c r="E113" s="9"/>
      <c r="F113" s="9"/>
      <c r="G113" s="9"/>
      <c r="H113" s="9"/>
      <c r="I113" s="8"/>
      <c r="J113" s="8"/>
    </row>
    <row r="114" spans="1:10" x14ac:dyDescent="0.25">
      <c r="A114" s="8"/>
      <c r="B114" s="3"/>
      <c r="C114" s="3"/>
      <c r="D114" s="9"/>
      <c r="E114" s="9"/>
      <c r="F114" s="9"/>
      <c r="G114" s="9"/>
      <c r="H114" s="9"/>
      <c r="I114" s="8"/>
      <c r="J114" s="8"/>
    </row>
    <row r="115" spans="1:10" x14ac:dyDescent="0.25">
      <c r="A115" s="8"/>
      <c r="B115" s="3"/>
      <c r="C115" s="3"/>
      <c r="D115" s="9"/>
      <c r="E115" s="9"/>
      <c r="F115" s="9"/>
      <c r="G115" s="9"/>
      <c r="H115" s="9"/>
      <c r="I115" s="8"/>
      <c r="J115" s="8"/>
    </row>
    <row r="116" spans="1:10" x14ac:dyDescent="0.25">
      <c r="A116" s="8"/>
      <c r="B116" s="3"/>
      <c r="C116" s="3"/>
      <c r="D116" s="9"/>
      <c r="E116" s="9"/>
      <c r="F116" s="9"/>
      <c r="G116" s="9"/>
      <c r="H116" s="9"/>
      <c r="I116" s="8"/>
      <c r="J116" s="8"/>
    </row>
    <row r="117" spans="1:10" x14ac:dyDescent="0.25">
      <c r="A117" s="8"/>
      <c r="B117" s="3"/>
      <c r="C117" s="3"/>
      <c r="D117" s="9"/>
      <c r="E117" s="9"/>
      <c r="F117" s="9"/>
      <c r="G117" s="9"/>
      <c r="H117" s="9"/>
      <c r="I117" s="8"/>
      <c r="J117" s="8"/>
    </row>
    <row r="118" spans="1:10" x14ac:dyDescent="0.25">
      <c r="A118" s="8"/>
      <c r="B118" s="3"/>
      <c r="C118" s="3"/>
      <c r="D118" s="9"/>
      <c r="E118" s="9"/>
      <c r="F118" s="9"/>
      <c r="G118" s="9"/>
      <c r="H118" s="9"/>
      <c r="I118" s="8"/>
      <c r="J118" s="8"/>
    </row>
    <row r="119" spans="1:10" x14ac:dyDescent="0.25">
      <c r="A119" s="8"/>
      <c r="B119" s="3"/>
      <c r="C119" s="3"/>
      <c r="D119" s="9"/>
      <c r="E119" s="9"/>
      <c r="F119" s="9"/>
      <c r="G119" s="9"/>
      <c r="H119" s="9"/>
      <c r="I119" s="8"/>
      <c r="J119" s="8"/>
    </row>
    <row r="120" spans="1:10" x14ac:dyDescent="0.25">
      <c r="A120" s="8"/>
      <c r="B120" s="3"/>
      <c r="C120" s="3"/>
      <c r="D120" s="9"/>
      <c r="E120" s="9"/>
      <c r="F120" s="9"/>
      <c r="G120" s="9"/>
      <c r="H120" s="9"/>
      <c r="I120" s="8"/>
      <c r="J120" s="8"/>
    </row>
    <row r="121" spans="1:10" x14ac:dyDescent="0.25">
      <c r="A121" s="8"/>
      <c r="B121" s="3"/>
      <c r="C121" s="3"/>
      <c r="D121" s="9"/>
      <c r="E121" s="9"/>
      <c r="F121" s="9"/>
      <c r="G121" s="9"/>
      <c r="H121" s="9"/>
      <c r="I121" s="8"/>
      <c r="J121" s="8"/>
    </row>
    <row r="122" spans="1:10" x14ac:dyDescent="0.25">
      <c r="A122" s="8"/>
      <c r="B122" s="3"/>
      <c r="C122" s="3"/>
      <c r="D122" s="9"/>
      <c r="E122" s="9"/>
      <c r="F122" s="9"/>
      <c r="G122" s="9"/>
      <c r="H122" s="9"/>
      <c r="I122" s="8"/>
      <c r="J122" s="8"/>
    </row>
    <row r="123" spans="1:10" x14ac:dyDescent="0.25">
      <c r="A123" s="8"/>
      <c r="B123" s="3"/>
      <c r="C123" s="3"/>
      <c r="D123" s="9"/>
      <c r="E123" s="9"/>
      <c r="F123" s="9"/>
      <c r="G123" s="9"/>
      <c r="H123" s="9"/>
      <c r="I123" s="8"/>
      <c r="J123" s="8"/>
    </row>
    <row r="124" spans="1:10" x14ac:dyDescent="0.25">
      <c r="A124" s="8"/>
      <c r="B124" s="3"/>
      <c r="C124" s="3"/>
      <c r="D124" s="9"/>
      <c r="E124" s="9"/>
      <c r="F124" s="9"/>
      <c r="G124" s="9"/>
      <c r="H124" s="9"/>
      <c r="I124" s="8"/>
      <c r="J124" s="8"/>
    </row>
    <row r="125" spans="1:10" x14ac:dyDescent="0.25">
      <c r="A125" s="8"/>
      <c r="B125" s="3"/>
      <c r="C125" s="3"/>
      <c r="D125" s="9"/>
      <c r="E125" s="9"/>
      <c r="F125" s="9"/>
      <c r="G125" s="9"/>
      <c r="H125" s="9"/>
      <c r="I125" s="8"/>
      <c r="J125" s="8"/>
    </row>
    <row r="126" spans="1:10" x14ac:dyDescent="0.25">
      <c r="A126" s="8"/>
      <c r="B126" s="3"/>
      <c r="C126" s="3"/>
      <c r="D126" s="9"/>
      <c r="E126" s="9"/>
      <c r="F126" s="9"/>
      <c r="G126" s="9"/>
      <c r="H126" s="9"/>
      <c r="I126" s="8"/>
      <c r="J126" s="8"/>
    </row>
    <row r="127" spans="1:10" x14ac:dyDescent="0.25">
      <c r="A127" s="8"/>
      <c r="B127" s="3"/>
      <c r="C127" s="3"/>
      <c r="D127" s="9"/>
      <c r="E127" s="9"/>
      <c r="F127" s="9"/>
      <c r="G127" s="9"/>
      <c r="H127" s="9"/>
      <c r="I127" s="8"/>
      <c r="J127" s="8"/>
    </row>
    <row r="128" spans="1:10" x14ac:dyDescent="0.25">
      <c r="A128" s="8"/>
      <c r="B128" s="3"/>
      <c r="C128" s="3"/>
      <c r="D128" s="9"/>
      <c r="E128" s="9"/>
      <c r="F128" s="9"/>
      <c r="G128" s="9"/>
      <c r="H128" s="9"/>
      <c r="I128" s="8"/>
      <c r="J128" s="8"/>
    </row>
    <row r="129" spans="1:10" x14ac:dyDescent="0.25">
      <c r="A129" s="8"/>
      <c r="B129" s="3"/>
      <c r="C129" s="3"/>
      <c r="D129" s="9"/>
      <c r="E129" s="9"/>
      <c r="F129" s="9"/>
      <c r="G129" s="9"/>
      <c r="H129" s="9"/>
      <c r="I129" s="8"/>
      <c r="J129" s="8"/>
    </row>
    <row r="130" spans="1:10" x14ac:dyDescent="0.25">
      <c r="A130" s="8"/>
      <c r="B130" s="3"/>
      <c r="C130" s="3"/>
      <c r="D130" s="9"/>
      <c r="E130" s="9"/>
      <c r="F130" s="9"/>
      <c r="G130" s="9"/>
      <c r="H130" s="9"/>
      <c r="I130" s="8"/>
      <c r="J130" s="8"/>
    </row>
    <row r="131" spans="1:10" x14ac:dyDescent="0.25">
      <c r="A131" s="8"/>
      <c r="B131" s="3"/>
      <c r="C131" s="3"/>
      <c r="D131" s="9"/>
      <c r="E131" s="9"/>
      <c r="F131" s="9"/>
      <c r="G131" s="9"/>
      <c r="H131" s="9"/>
      <c r="I131" s="8"/>
      <c r="J131" s="8"/>
    </row>
    <row r="132" spans="1:10" x14ac:dyDescent="0.25">
      <c r="A132" s="8"/>
      <c r="B132" s="3"/>
      <c r="C132" s="3"/>
      <c r="D132" s="9"/>
      <c r="E132" s="9"/>
      <c r="F132" s="9"/>
      <c r="G132" s="9"/>
      <c r="H132" s="9"/>
      <c r="I132" s="8"/>
      <c r="J132" s="8"/>
    </row>
    <row r="133" spans="1:10" x14ac:dyDescent="0.25">
      <c r="A133" s="8"/>
      <c r="B133" s="3"/>
      <c r="C133" s="3"/>
      <c r="D133" s="9"/>
      <c r="E133" s="9"/>
      <c r="F133" s="9"/>
      <c r="G133" s="9"/>
      <c r="H133" s="9"/>
      <c r="I133" s="8"/>
      <c r="J133" s="8"/>
    </row>
    <row r="134" spans="1:10" x14ac:dyDescent="0.25">
      <c r="A134" s="8"/>
      <c r="B134" s="3"/>
      <c r="C134" s="3"/>
      <c r="D134" s="9"/>
      <c r="E134" s="9"/>
      <c r="F134" s="9"/>
      <c r="G134" s="9"/>
      <c r="H134" s="9"/>
      <c r="I134" s="8"/>
      <c r="J134" s="8"/>
    </row>
    <row r="135" spans="1:10" x14ac:dyDescent="0.25">
      <c r="A135" s="8"/>
      <c r="B135" s="3"/>
      <c r="C135" s="3"/>
      <c r="D135" s="9"/>
      <c r="E135" s="9"/>
      <c r="F135" s="9"/>
      <c r="G135" s="9"/>
      <c r="H135" s="9"/>
      <c r="I135" s="8"/>
      <c r="J135" s="8"/>
    </row>
    <row r="136" spans="1:10" x14ac:dyDescent="0.25">
      <c r="A136" s="8"/>
      <c r="B136" s="3"/>
      <c r="C136" s="3"/>
      <c r="D136" s="9"/>
      <c r="E136" s="9"/>
      <c r="F136" s="9"/>
      <c r="G136" s="9"/>
      <c r="H136" s="9"/>
      <c r="I136" s="8"/>
      <c r="J136" s="8"/>
    </row>
    <row r="137" spans="1:10" x14ac:dyDescent="0.25">
      <c r="A137" s="8"/>
      <c r="B137" s="3"/>
      <c r="C137" s="3"/>
      <c r="D137" s="9"/>
      <c r="E137" s="9"/>
      <c r="F137" s="9"/>
      <c r="G137" s="9"/>
      <c r="H137" s="9"/>
      <c r="I137" s="8"/>
      <c r="J137" s="8"/>
    </row>
    <row r="138" spans="1:10" x14ac:dyDescent="0.25">
      <c r="A138" s="8"/>
      <c r="B138" s="3"/>
      <c r="C138" s="3"/>
      <c r="D138" s="9"/>
      <c r="E138" s="9"/>
      <c r="F138" s="9"/>
      <c r="G138" s="9"/>
      <c r="H138" s="9"/>
      <c r="I138" s="8"/>
      <c r="J138" s="8"/>
    </row>
    <row r="139" spans="1:10" x14ac:dyDescent="0.25">
      <c r="A139" s="8"/>
      <c r="B139" s="3"/>
      <c r="C139" s="3"/>
      <c r="D139" s="9"/>
      <c r="E139" s="9"/>
      <c r="F139" s="9"/>
      <c r="G139" s="9"/>
      <c r="H139" s="9"/>
      <c r="I139" s="8"/>
      <c r="J139" s="8"/>
    </row>
    <row r="140" spans="1:10" x14ac:dyDescent="0.25">
      <c r="A140" s="8"/>
      <c r="B140" s="3"/>
      <c r="C140" s="3"/>
      <c r="D140" s="9"/>
      <c r="E140" s="9"/>
      <c r="F140" s="9"/>
      <c r="G140" s="9"/>
      <c r="H140" s="9"/>
      <c r="I140" s="8"/>
      <c r="J140" s="8"/>
    </row>
  </sheetData>
  <sortState xmlns:xlrd2="http://schemas.microsoft.com/office/spreadsheetml/2017/richdata2" ref="A6:T68">
    <sortCondition ref="I6:I68"/>
    <sortCondition descending="1" ref="Q6:Q68"/>
  </sortState>
  <mergeCells count="4">
    <mergeCell ref="A1:O1"/>
    <mergeCell ref="A4:G4"/>
    <mergeCell ref="I4:O4"/>
    <mergeCell ref="V4:X4"/>
  </mergeCells>
  <conditionalFormatting sqref="K6:K68">
    <cfRule type="containsText" dxfId="6" priority="28" operator="containsText" text="Cobra">
      <formula>NOT(ISERROR(SEARCH("Cobra",K6)))</formula>
    </cfRule>
  </conditionalFormatting>
  <conditionalFormatting sqref="K6:K68">
    <cfRule type="containsText" dxfId="5" priority="22" operator="containsText" text="Contemporary">
      <formula>NOT(ISERROR(SEARCH("Contemporary",K6)))</formula>
    </cfRule>
    <cfRule type="containsText" dxfId="4" priority="23" operator="containsText" text="Flood">
      <formula>NOT(ISERROR(SEARCH("Flood",K6)))</formula>
    </cfRule>
    <cfRule type="containsText" dxfId="3" priority="24" operator="containsText" text="Acorn">
      <formula>NOT(ISERROR(SEARCH("Acorn",K6)))</formula>
    </cfRule>
    <cfRule type="containsText" dxfId="2" priority="25" operator="containsText" text="Colonial">
      <formula>NOT(ISERROR(SEARCH("Colonial",K6)))</formula>
    </cfRule>
    <cfRule type="containsText" dxfId="1" priority="26" operator="containsText" text="Open Bottom">
      <formula>NOT(ISERROR(SEARCH("Open Bottom",K6)))</formula>
    </cfRule>
    <cfRule type="containsText" dxfId="0" priority="27" operator="containsText" text="Cobra">
      <formula>NOT(ISERROR(SEARCH("Cobra",K6)))</formula>
    </cfRule>
  </conditionalFormatting>
  <pageMargins left="1" right="1" top="1.5" bottom="1" header="0.5" footer="0.5"/>
  <pageSetup scale="52" fitToHeight="0" orientation="landscape" r:id="rId1"/>
  <headerFooter scaleWithDoc="0">
    <oddHeader xml:space="preserve">&amp;R&amp;"Times New Roman,Bold"&amp;12 Case No. 2020-00350
Attachment to Response to LFUCG-1 Question No. 12b
Page &amp;P of &amp;N
Wolfe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9FDA-985D-4EF1-893A-1BE3104F362F}">
  <dimension ref="A1:F104"/>
  <sheetViews>
    <sheetView tabSelected="1" workbookViewId="0">
      <selection activeCell="I16" sqref="I16"/>
    </sheetView>
  </sheetViews>
  <sheetFormatPr defaultRowHeight="15" x14ac:dyDescent="0.25"/>
  <cols>
    <col min="1" max="1" width="5.5703125" style="43" customWidth="1"/>
    <col min="2" max="2" width="39.42578125" style="41" customWidth="1"/>
    <col min="3" max="3" width="10.85546875" style="41" customWidth="1"/>
    <col min="4" max="4" width="11.140625" style="41" customWidth="1"/>
    <col min="5" max="5" width="42.85546875" style="41" customWidth="1"/>
    <col min="6" max="16384" width="9.140625" style="41"/>
  </cols>
  <sheetData>
    <row r="1" spans="1:6" x14ac:dyDescent="0.25">
      <c r="A1" s="45" t="s">
        <v>139</v>
      </c>
    </row>
    <row r="2" spans="1:6" x14ac:dyDescent="0.25">
      <c r="A2" s="45"/>
    </row>
    <row r="3" spans="1:6" x14ac:dyDescent="0.25">
      <c r="A3" s="45"/>
    </row>
    <row r="4" spans="1:6" x14ac:dyDescent="0.25">
      <c r="A4" s="45"/>
    </row>
    <row r="6" spans="1:6" s="47" customFormat="1" ht="57" customHeight="1" x14ac:dyDescent="0.25">
      <c r="A6" s="46" t="s">
        <v>129</v>
      </c>
      <c r="B6" s="47" t="s">
        <v>130</v>
      </c>
      <c r="C6" s="47" t="s">
        <v>133</v>
      </c>
      <c r="D6" s="47" t="s">
        <v>131</v>
      </c>
      <c r="E6" s="47" t="s">
        <v>132</v>
      </c>
      <c r="F6" s="47" t="s">
        <v>134</v>
      </c>
    </row>
    <row r="7" spans="1:6" x14ac:dyDescent="0.25">
      <c r="A7" s="40">
        <f>'Comparable Fixtures Table'!I6</f>
        <v>390</v>
      </c>
      <c r="B7" s="41" t="str">
        <f>'Comparable Fixtures Table'!K6</f>
        <v>LS 390 OH LED Cobra 6000-8200</v>
      </c>
      <c r="C7" s="33">
        <f>IF('Comparable Fixtures Table'!I6&lt;&gt;'Comparable Fixtures Table'!I5,'Comparable Fixtures Table'!T6,"")</f>
        <v>8.9906634588346535</v>
      </c>
      <c r="D7" s="42">
        <f>'Comparable Fixtures Table'!A6</f>
        <v>447</v>
      </c>
      <c r="E7" s="41" t="str">
        <f>'Comparable Fixtures Table'!B6</f>
        <v>RLS 447: OH MV Cobra Head 10000L Fixture</v>
      </c>
      <c r="F7" s="33" t="str">
        <f>IF('Comparable Fixtures Table'!Q6="No",'Comparable Fixtures Table'!D6,"")</f>
        <v/>
      </c>
    </row>
    <row r="8" spans="1:6" x14ac:dyDescent="0.25">
      <c r="A8" s="41" t="str">
        <f>IF('Comparable Fixtures Table'!I7&lt;&gt;'Comparable Fixtures Table'!I6,'Comparable Fixtures Table'!I7,"")</f>
        <v/>
      </c>
      <c r="B8" s="41" t="str">
        <f>IF('Comparable Fixtures Table'!K7&lt;&gt;'Comparable Fixtures Table'!K6,'Comparable Fixtures Table'!K7,"")</f>
        <v/>
      </c>
      <c r="C8" s="33" t="str">
        <f>IF('Comparable Fixtures Table'!I7&lt;&gt;'Comparable Fixtures Table'!I6,'Comparable Fixtures Table'!T7,"")</f>
        <v/>
      </c>
      <c r="D8" s="42">
        <f>'Comparable Fixtures Table'!A7</f>
        <v>463</v>
      </c>
      <c r="E8" s="41" t="str">
        <f>'Comparable Fixtures Table'!B7</f>
        <v>RLS 463: OH HPS Cobra Head 9500L Fixture</v>
      </c>
      <c r="F8" s="33" t="str">
        <f>IF('Comparable Fixtures Table'!Q7="No",'Comparable Fixtures Table'!D7,"")</f>
        <v/>
      </c>
    </row>
    <row r="9" spans="1:6" x14ac:dyDescent="0.25">
      <c r="A9" s="41"/>
      <c r="C9" s="33"/>
      <c r="D9" s="42"/>
      <c r="F9" s="33"/>
    </row>
    <row r="10" spans="1:6" x14ac:dyDescent="0.25">
      <c r="A10" s="41">
        <f>IF('Comparable Fixtures Table'!I8&lt;&gt;'Comparable Fixtures Table'!I7,'Comparable Fixtures Table'!I8,"")</f>
        <v>391</v>
      </c>
      <c r="B10" s="41" t="str">
        <f>IF('Comparable Fixtures Table'!K8&lt;&gt;'Comparable Fixtures Table'!K7,'Comparable Fixtures Table'!K8,"")</f>
        <v>LS 391 OH LED Cobra 13000-16500</v>
      </c>
      <c r="C10" s="33">
        <f>IF('Comparable Fixtures Table'!I8&lt;&gt;'Comparable Fixtures Table'!I7,'Comparable Fixtures Table'!T8,"")</f>
        <v>13.551102587165069</v>
      </c>
      <c r="D10" s="42">
        <f>'Comparable Fixtures Table'!A8</f>
        <v>448</v>
      </c>
      <c r="E10" s="41" t="str">
        <f>'Comparable Fixtures Table'!B8</f>
        <v>RLS 448: OH MV Cobra Head 20000L Fixture</v>
      </c>
      <c r="F10" s="33" t="str">
        <f>IF('Comparable Fixtures Table'!Q8="No",'Comparable Fixtures Table'!D8,"")</f>
        <v/>
      </c>
    </row>
    <row r="11" spans="1:6" x14ac:dyDescent="0.25">
      <c r="A11" s="41" t="str">
        <f>IF('Comparable Fixtures Table'!I9&lt;&gt;'Comparable Fixtures Table'!I8,'Comparable Fixtures Table'!I9,"")</f>
        <v/>
      </c>
      <c r="B11" s="41" t="str">
        <f>IF('Comparable Fixtures Table'!K9&lt;&gt;'Comparable Fixtures Table'!K8,'Comparable Fixtures Table'!K9,"")</f>
        <v/>
      </c>
      <c r="C11" s="33" t="str">
        <f>IF('Comparable Fixtures Table'!I9&lt;&gt;'Comparable Fixtures Table'!I8,'Comparable Fixtures Table'!T9,"")</f>
        <v/>
      </c>
      <c r="D11" s="42">
        <f>'Comparable Fixtures Table'!A9</f>
        <v>464</v>
      </c>
      <c r="E11" s="41" t="str">
        <f>'Comparable Fixtures Table'!B9</f>
        <v>RLS 464: OH HPS Cobra Head 22000L Fixture</v>
      </c>
      <c r="F11" s="33" t="str">
        <f>IF('Comparable Fixtures Table'!Q9="No",'Comparable Fixtures Table'!D9,"")</f>
        <v/>
      </c>
    </row>
    <row r="12" spans="1:6" x14ac:dyDescent="0.25">
      <c r="A12" s="41"/>
      <c r="C12" s="33"/>
      <c r="D12" s="42"/>
      <c r="F12" s="33"/>
    </row>
    <row r="13" spans="1:6" x14ac:dyDescent="0.25">
      <c r="A13" s="41">
        <f>IF('Comparable Fixtures Table'!I10&lt;&gt;'Comparable Fixtures Table'!I9,'Comparable Fixtures Table'!I10,"")</f>
        <v>392</v>
      </c>
      <c r="B13" s="41" t="str">
        <f>IF('Comparable Fixtures Table'!K10&lt;&gt;'Comparable Fixtures Table'!K9,'Comparable Fixtures Table'!K10,"")</f>
        <v>LS 392 OH LED Cobra 22000-29000</v>
      </c>
      <c r="C13" s="33">
        <f>IF('Comparable Fixtures Table'!I10&lt;&gt;'Comparable Fixtures Table'!I9,'Comparable Fixtures Table'!T10,"")</f>
        <v>20.473948833708832</v>
      </c>
      <c r="D13" s="42">
        <f>'Comparable Fixtures Table'!A10</f>
        <v>409</v>
      </c>
      <c r="E13" s="41" t="str">
        <f>'Comparable Fixtures Table'!B10</f>
        <v>RLS 409: OH HPS Cobra Head 50000L Fix</v>
      </c>
      <c r="F13" s="33" t="str">
        <f>IF('Comparable Fixtures Table'!Q10="No",'Comparable Fixtures Table'!D10,"")</f>
        <v/>
      </c>
    </row>
    <row r="14" spans="1:6" x14ac:dyDescent="0.25">
      <c r="A14" s="41" t="str">
        <f>IF('Comparable Fixtures Table'!I11&lt;&gt;'Comparable Fixtures Table'!I10,'Comparable Fixtures Table'!I11,"")</f>
        <v/>
      </c>
      <c r="B14" s="41" t="str">
        <f>IF('Comparable Fixtures Table'!K11&lt;&gt;'Comparable Fixtures Table'!K10,'Comparable Fixtures Table'!K11,"")</f>
        <v/>
      </c>
      <c r="C14" s="33" t="str">
        <f>IF('Comparable Fixtures Table'!I11&lt;&gt;'Comparable Fixtures Table'!I10,'Comparable Fixtures Table'!T11,"")</f>
        <v/>
      </c>
      <c r="D14" s="42">
        <f>'Comparable Fixtures Table'!A11</f>
        <v>465</v>
      </c>
      <c r="E14" s="41" t="str">
        <f>'Comparable Fixtures Table'!B11</f>
        <v>RLS 465: OH HPS Cobra Head 50000L Fixture</v>
      </c>
      <c r="F14" s="33" t="str">
        <f>IF('Comparable Fixtures Table'!Q11="No",'Comparable Fixtures Table'!D11,"")</f>
        <v/>
      </c>
    </row>
    <row r="15" spans="1:6" x14ac:dyDescent="0.25">
      <c r="A15" s="41"/>
      <c r="C15" s="33"/>
      <c r="D15" s="42"/>
      <c r="F15" s="33"/>
    </row>
    <row r="16" spans="1:6" x14ac:dyDescent="0.25">
      <c r="A16" s="41">
        <f>IF('Comparable Fixtures Table'!I12&lt;&gt;'Comparable Fixtures Table'!I11,'Comparable Fixtures Table'!I12,"")</f>
        <v>393</v>
      </c>
      <c r="B16" s="41" t="str">
        <f>IF('Comparable Fixtures Table'!K12&lt;&gt;'Comparable Fixtures Table'!K11,'Comparable Fixtures Table'!K12,"")</f>
        <v>LS 393 OH LED Open Bottom 4500-6000</v>
      </c>
      <c r="C16" s="33">
        <f>IF('Comparable Fixtures Table'!I12&lt;&gt;'Comparable Fixtures Table'!I11,'Comparable Fixtures Table'!T12,"")</f>
        <v>7.9184137622956605</v>
      </c>
      <c r="D16" s="42">
        <f>'Comparable Fixtures Table'!A12</f>
        <v>404</v>
      </c>
      <c r="E16" s="41" t="str">
        <f>'Comparable Fixtures Table'!B12</f>
        <v>RLS 404: OH MV Open Bottom 7000L Fixture</v>
      </c>
      <c r="F16" s="33" t="str">
        <f>IF('Comparable Fixtures Table'!Q12="No",'Comparable Fixtures Table'!D12,"")</f>
        <v/>
      </c>
    </row>
    <row r="17" spans="1:6" x14ac:dyDescent="0.25">
      <c r="A17" s="41" t="str">
        <f>IF('Comparable Fixtures Table'!I13&lt;&gt;'Comparable Fixtures Table'!I12,'Comparable Fixtures Table'!I13,"")</f>
        <v/>
      </c>
      <c r="B17" s="41" t="str">
        <f>IF('Comparable Fixtures Table'!K13&lt;&gt;'Comparable Fixtures Table'!K12,'Comparable Fixtures Table'!K13,"")</f>
        <v/>
      </c>
      <c r="C17" s="33" t="str">
        <f>IF('Comparable Fixtures Table'!I13&lt;&gt;'Comparable Fixtures Table'!I12,'Comparable Fixtures Table'!T13,"")</f>
        <v/>
      </c>
      <c r="D17" s="42">
        <f>'Comparable Fixtures Table'!A13</f>
        <v>424</v>
      </c>
      <c r="E17" s="41" t="str">
        <f>'Comparable Fixtures Table'!B13</f>
        <v>RLS 424: OH Inc Tear Drop 4000L Fix Only</v>
      </c>
      <c r="F17" s="33" t="str">
        <f>IF('Comparable Fixtures Table'!Q13="No",'Comparable Fixtures Table'!D13,"")</f>
        <v/>
      </c>
    </row>
    <row r="18" spans="1:6" x14ac:dyDescent="0.25">
      <c r="A18" s="41" t="str">
        <f>IF('Comparable Fixtures Table'!I14&lt;&gt;'Comparable Fixtures Table'!I13,'Comparable Fixtures Table'!I14,"")</f>
        <v/>
      </c>
      <c r="B18" s="41" t="str">
        <f>IF('Comparable Fixtures Table'!K14&lt;&gt;'Comparable Fixtures Table'!K13,'Comparable Fixtures Table'!K14,"")</f>
        <v/>
      </c>
      <c r="C18" s="33" t="str">
        <f>IF('Comparable Fixtures Table'!I14&lt;&gt;'Comparable Fixtures Table'!I13,'Comparable Fixtures Table'!T14,"")</f>
        <v/>
      </c>
      <c r="D18" s="42">
        <f>'Comparable Fixtures Table'!A14</f>
        <v>425</v>
      </c>
      <c r="E18" s="41" t="str">
        <f>'Comparable Fixtures Table'!B14</f>
        <v>RLS 425: OH Inc Tear Drop 6000L Fix Only</v>
      </c>
      <c r="F18" s="33" t="str">
        <f>IF('Comparable Fixtures Table'!Q14="No",'Comparable Fixtures Table'!D14,"")</f>
        <v/>
      </c>
    </row>
    <row r="19" spans="1:6" x14ac:dyDescent="0.25">
      <c r="A19" s="41" t="str">
        <f>IF('Comparable Fixtures Table'!I15&lt;&gt;'Comparable Fixtures Table'!I14,'Comparable Fixtures Table'!I15,"")</f>
        <v/>
      </c>
      <c r="B19" s="41" t="str">
        <f>IF('Comparable Fixtures Table'!K15&lt;&gt;'Comparable Fixtures Table'!K14,'Comparable Fixtures Table'!K15,"")</f>
        <v/>
      </c>
      <c r="C19" s="33" t="str">
        <f>IF('Comparable Fixtures Table'!I15&lt;&gt;'Comparable Fixtures Table'!I14,'Comparable Fixtures Table'!T15,"")</f>
        <v/>
      </c>
      <c r="D19" s="42">
        <f>'Comparable Fixtures Table'!A15</f>
        <v>426</v>
      </c>
      <c r="E19" s="41" t="str">
        <f>'Comparable Fixtures Table'!B15</f>
        <v>RLS 426: OH HPS Open Bottom 5800L Fix</v>
      </c>
      <c r="F19" s="33" t="str">
        <f>IF('Comparable Fixtures Table'!Q15="No",'Comparable Fixtures Table'!D15,"")</f>
        <v/>
      </c>
    </row>
    <row r="20" spans="1:6" x14ac:dyDescent="0.25">
      <c r="A20" s="41" t="str">
        <f>IF('Comparable Fixtures Table'!I16&lt;&gt;'Comparable Fixtures Table'!I15,'Comparable Fixtures Table'!I16,"")</f>
        <v/>
      </c>
      <c r="B20" s="41" t="str">
        <f>IF('Comparable Fixtures Table'!K16&lt;&gt;'Comparable Fixtures Table'!K15,'Comparable Fixtures Table'!K16,"")</f>
        <v/>
      </c>
      <c r="C20" s="33" t="str">
        <f>IF('Comparable Fixtures Table'!I16&lt;&gt;'Comparable Fixtures Table'!I15,'Comparable Fixtures Table'!T16,"")</f>
        <v/>
      </c>
      <c r="D20" s="42">
        <f>'Comparable Fixtures Table'!A16</f>
        <v>428</v>
      </c>
      <c r="E20" s="41" t="str">
        <f>'Comparable Fixtures Table'!B16</f>
        <v>RLS 428: OH HPS Open Bottom 9500L Fixture</v>
      </c>
      <c r="F20" s="33" t="str">
        <f>IF('Comparable Fixtures Table'!Q16="No",'Comparable Fixtures Table'!D16,"")</f>
        <v/>
      </c>
    </row>
    <row r="21" spans="1:6" x14ac:dyDescent="0.25">
      <c r="A21" s="41" t="str">
        <f>IF('Comparable Fixtures Table'!I17&lt;&gt;'Comparable Fixtures Table'!I16,'Comparable Fixtures Table'!I17,"")</f>
        <v/>
      </c>
      <c r="B21" s="41" t="str">
        <f>IF('Comparable Fixtures Table'!K17&lt;&gt;'Comparable Fixtures Table'!K16,'Comparable Fixtures Table'!K17,"")</f>
        <v/>
      </c>
      <c r="C21" s="33" t="str">
        <f>IF('Comparable Fixtures Table'!I17&lt;&gt;'Comparable Fixtures Table'!I16,'Comparable Fixtures Table'!T17,"")</f>
        <v/>
      </c>
      <c r="D21" s="42">
        <f>'Comparable Fixtures Table'!A17</f>
        <v>421</v>
      </c>
      <c r="E21" s="41" t="str">
        <f>'Comparable Fixtures Table'!B17</f>
        <v>RLS 421: OH Inc Tear Drop 1000L Fix Only</v>
      </c>
      <c r="F21" s="33">
        <f>IF('Comparable Fixtures Table'!Q17="No",'Comparable Fixtures Table'!D17,"")</f>
        <v>3.2691360000000005</v>
      </c>
    </row>
    <row r="22" spans="1:6" x14ac:dyDescent="0.25">
      <c r="A22" s="41" t="str">
        <f>IF('Comparable Fixtures Table'!I18&lt;&gt;'Comparable Fixtures Table'!I17,'Comparable Fixtures Table'!I18,"")</f>
        <v/>
      </c>
      <c r="B22" s="41" t="str">
        <f>IF('Comparable Fixtures Table'!K18&lt;&gt;'Comparable Fixtures Table'!K17,'Comparable Fixtures Table'!K18,"")</f>
        <v/>
      </c>
      <c r="C22" s="33" t="str">
        <f>IF('Comparable Fixtures Table'!I18&lt;&gt;'Comparable Fixtures Table'!I17,'Comparable Fixtures Table'!T18,"")</f>
        <v/>
      </c>
      <c r="D22" s="42">
        <f>'Comparable Fixtures Table'!A18</f>
        <v>422</v>
      </c>
      <c r="E22" s="41" t="str">
        <f>'Comparable Fixtures Table'!B18</f>
        <v>RLS 422: OH Inc Tear Drop 2500L Fix Only</v>
      </c>
      <c r="F22" s="33">
        <f>IF('Comparable Fixtures Table'!Q18="No",'Comparable Fixtures Table'!D18,"")</f>
        <v>4.234464</v>
      </c>
    </row>
    <row r="23" spans="1:6" x14ac:dyDescent="0.25">
      <c r="A23" s="41"/>
      <c r="C23" s="33"/>
      <c r="D23" s="42"/>
      <c r="F23" s="33"/>
    </row>
    <row r="24" spans="1:6" x14ac:dyDescent="0.25">
      <c r="A24" s="41">
        <f>IF('Comparable Fixtures Table'!I19&lt;&gt;'Comparable Fixtures Table'!I18,'Comparable Fixtures Table'!I19,"")</f>
        <v>396</v>
      </c>
      <c r="B24" s="41" t="str">
        <f>IF('Comparable Fixtures Table'!K19&lt;&gt;'Comparable Fixtures Table'!K18,'Comparable Fixtures Table'!K19,"")</f>
        <v>LS 396 UG LED Cobra 6000-8200</v>
      </c>
      <c r="C24" s="33">
        <f>IF('Comparable Fixtures Table'!I19&lt;&gt;'Comparable Fixtures Table'!I18,'Comparable Fixtures Table'!T19,"")</f>
        <v>13.352627999999997</v>
      </c>
      <c r="D24" s="42">
        <f>'Comparable Fixtures Table'!A19</f>
        <v>457</v>
      </c>
      <c r="E24" s="41" t="str">
        <f>'Comparable Fixtures Table'!B19</f>
        <v>RLS 457: OH MV Cobra 10000L Fixture/Pole</v>
      </c>
      <c r="F24" s="33">
        <f>IF('Comparable Fixtures Table'!Q19="No",'Comparable Fixtures Table'!D19,"")</f>
        <v>12.873744</v>
      </c>
    </row>
    <row r="25" spans="1:6" x14ac:dyDescent="0.25">
      <c r="A25" s="41" t="str">
        <f>IF('Comparable Fixtures Table'!I20&lt;&gt;'Comparable Fixtures Table'!I19,'Comparable Fixtures Table'!I20,"")</f>
        <v/>
      </c>
      <c r="B25" s="41" t="str">
        <f>IF('Comparable Fixtures Table'!K20&lt;&gt;'Comparable Fixtures Table'!K19,'Comparable Fixtures Table'!K20,"")</f>
        <v/>
      </c>
      <c r="C25" s="33" t="str">
        <f>IF('Comparable Fixtures Table'!I20&lt;&gt;'Comparable Fixtures Table'!I19,'Comparable Fixtures Table'!T20,"")</f>
        <v/>
      </c>
      <c r="D25" s="42">
        <f>'Comparable Fixtures Table'!A20</f>
        <v>473</v>
      </c>
      <c r="E25" s="41" t="str">
        <f>'Comparable Fixtures Table'!B20</f>
        <v>RLS 473: OH HPS Cobra 9500L Ornamental</v>
      </c>
      <c r="F25" s="33">
        <f>IF('Comparable Fixtures Table'!Q20="No",'Comparable Fixtures Table'!D20,"")</f>
        <v>12.297792000000001</v>
      </c>
    </row>
    <row r="26" spans="1:6" x14ac:dyDescent="0.25">
      <c r="A26" s="41"/>
      <c r="C26" s="33"/>
      <c r="D26" s="42"/>
      <c r="F26" s="33"/>
    </row>
    <row r="27" spans="1:6" x14ac:dyDescent="0.25">
      <c r="A27" s="41">
        <f>IF('Comparable Fixtures Table'!I21&lt;&gt;'Comparable Fixtures Table'!I20,'Comparable Fixtures Table'!I21,"")</f>
        <v>397</v>
      </c>
      <c r="B27" s="41" t="str">
        <f>IF('Comparable Fixtures Table'!K21&lt;&gt;'Comparable Fixtures Table'!K20,'Comparable Fixtures Table'!K21,"")</f>
        <v>LS 397 UG LED Cobra 13000-16500</v>
      </c>
      <c r="C27" s="33">
        <f>IF('Comparable Fixtures Table'!I21&lt;&gt;'Comparable Fixtures Table'!I20,'Comparable Fixtures Table'!T21,"")</f>
        <v>17.140778358797856</v>
      </c>
      <c r="D27" s="42">
        <f>'Comparable Fixtures Table'!A21</f>
        <v>474</v>
      </c>
      <c r="E27" s="41" t="str">
        <f>'Comparable Fixtures Table'!B21</f>
        <v>RLS 474: OH HPS Cobra 22000L Ornamental</v>
      </c>
      <c r="F27" s="33" t="str">
        <f>IF('Comparable Fixtures Table'!Q21="No",'Comparable Fixtures Table'!D21,"")</f>
        <v/>
      </c>
    </row>
    <row r="28" spans="1:6" x14ac:dyDescent="0.25">
      <c r="A28" s="41" t="str">
        <f>IF('Comparable Fixtures Table'!I22&lt;&gt;'Comparable Fixtures Table'!I21,'Comparable Fixtures Table'!I22,"")</f>
        <v/>
      </c>
      <c r="B28" s="41" t="str">
        <f>IF('Comparable Fixtures Table'!K22&lt;&gt;'Comparable Fixtures Table'!K21,'Comparable Fixtures Table'!K22,"")</f>
        <v/>
      </c>
      <c r="C28" s="33" t="str">
        <f>IF('Comparable Fixtures Table'!I22&lt;&gt;'Comparable Fixtures Table'!I21,'Comparable Fixtures Table'!T22,"")</f>
        <v/>
      </c>
      <c r="D28" s="42">
        <f>'Comparable Fixtures Table'!A22</f>
        <v>458</v>
      </c>
      <c r="E28" s="41" t="str">
        <f>'Comparable Fixtures Table'!B22</f>
        <v>RLS 458: OH MV Cobra 20000L Fixture/Pole</v>
      </c>
      <c r="F28" s="33">
        <f>IF('Comparable Fixtures Table'!Q22="No",'Comparable Fixtures Table'!D22,"")</f>
        <v>14.406912000000002</v>
      </c>
    </row>
    <row r="29" spans="1:6" x14ac:dyDescent="0.25">
      <c r="A29" s="41"/>
      <c r="C29" s="33"/>
      <c r="D29" s="42"/>
      <c r="F29" s="33"/>
    </row>
    <row r="30" spans="1:6" x14ac:dyDescent="0.25">
      <c r="A30" s="41">
        <f>IF('Comparable Fixtures Table'!I23&lt;&gt;'Comparable Fixtures Table'!I22,'Comparable Fixtures Table'!I23,"")</f>
        <v>398</v>
      </c>
      <c r="B30" s="41" t="str">
        <f>IF('Comparable Fixtures Table'!K23&lt;&gt;'Comparable Fixtures Table'!K22,'Comparable Fixtures Table'!K23,"")</f>
        <v>LS 398 UG LED Cobra 22000-29000</v>
      </c>
      <c r="C30" s="33">
        <f>IF('Comparable Fixtures Table'!I23&lt;&gt;'Comparable Fixtures Table'!I22,'Comparable Fixtures Table'!T23,"")</f>
        <v>23.829553223118278</v>
      </c>
      <c r="D30" s="42">
        <f>'Comparable Fixtures Table'!A23</f>
        <v>475</v>
      </c>
      <c r="E30" s="41" t="str">
        <f>'Comparable Fixtures Table'!B23</f>
        <v>RLS 475: OH HPS Cobra 50000L Ornamental</v>
      </c>
      <c r="F30" s="33" t="str">
        <f>IF('Comparable Fixtures Table'!Q23="No",'Comparable Fixtures Table'!D23,"")</f>
        <v/>
      </c>
    </row>
    <row r="31" spans="1:6" x14ac:dyDescent="0.25">
      <c r="A31" s="41"/>
      <c r="C31" s="33"/>
      <c r="D31" s="42"/>
      <c r="F31" s="33"/>
    </row>
    <row r="32" spans="1:6" x14ac:dyDescent="0.25">
      <c r="A32" s="41">
        <f>IF('Comparable Fixtures Table'!I24&lt;&gt;'Comparable Fixtures Table'!I23,'Comparable Fixtures Table'!I24,"")</f>
        <v>399</v>
      </c>
      <c r="B32" s="41" t="str">
        <f>IF('Comparable Fixtures Table'!K24&lt;&gt;'Comparable Fixtures Table'!K23,'Comparable Fixtures Table'!K24,"")</f>
        <v>LS 399 UG LED Colonial 4000-7000</v>
      </c>
      <c r="C32" s="33">
        <f>IF('Comparable Fixtures Table'!I24&lt;&gt;'Comparable Fixtures Table'!I23,'Comparable Fixtures Table'!T24,"")</f>
        <v>18.440212708584337</v>
      </c>
      <c r="D32" s="42">
        <f>'Comparable Fixtures Table'!A24</f>
        <v>412</v>
      </c>
      <c r="E32" s="41" t="str">
        <f>'Comparable Fixtures Table'!B24</f>
        <v>RLS 412: UG HPS Coach 5800L Decorative</v>
      </c>
      <c r="F32" s="33" t="str">
        <f>IF('Comparable Fixtures Table'!Q24="No",'Comparable Fixtures Table'!D24,"")</f>
        <v/>
      </c>
    </row>
    <row r="33" spans="1:6" x14ac:dyDescent="0.25">
      <c r="A33" s="41" t="str">
        <f>IF('Comparable Fixtures Table'!I25&lt;&gt;'Comparable Fixtures Table'!I24,'Comparable Fixtures Table'!I25,"")</f>
        <v/>
      </c>
      <c r="B33" s="41" t="str">
        <f>IF('Comparable Fixtures Table'!K25&lt;&gt;'Comparable Fixtures Table'!K24,'Comparable Fixtures Table'!K25,"")</f>
        <v/>
      </c>
      <c r="C33" s="33" t="str">
        <f>IF('Comparable Fixtures Table'!I25&lt;&gt;'Comparable Fixtures Table'!I24,'Comparable Fixtures Table'!T25,"")</f>
        <v/>
      </c>
      <c r="D33" s="42">
        <f>'Comparable Fixtures Table'!A25</f>
        <v>413</v>
      </c>
      <c r="E33" s="41" t="str">
        <f>'Comparable Fixtures Table'!B25</f>
        <v>RLS 413: UG HPS Coach 9500L Decorative</v>
      </c>
      <c r="F33" s="33" t="str">
        <f>IF('Comparable Fixtures Table'!Q25="No",'Comparable Fixtures Table'!D25,"")</f>
        <v/>
      </c>
    </row>
    <row r="34" spans="1:6" x14ac:dyDescent="0.25">
      <c r="A34" s="41" t="str">
        <f>IF('Comparable Fixtures Table'!I26&lt;&gt;'Comparable Fixtures Table'!I25,'Comparable Fixtures Table'!I26,"")</f>
        <v/>
      </c>
      <c r="B34" s="41" t="str">
        <f>IF('Comparable Fixtures Table'!K26&lt;&gt;'Comparable Fixtures Table'!K25,'Comparable Fixtures Table'!K26,"")</f>
        <v/>
      </c>
      <c r="C34" s="33" t="str">
        <f>IF('Comparable Fixtures Table'!I26&lt;&gt;'Comparable Fixtures Table'!I25,'Comparable Fixtures Table'!T26,"")</f>
        <v/>
      </c>
      <c r="D34" s="42">
        <f>'Comparable Fixtures Table'!A26</f>
        <v>466</v>
      </c>
      <c r="E34" s="41" t="str">
        <f>'Comparable Fixtures Table'!B26</f>
        <v>RLS 466: UG HPS Colonial 4000L Deco</v>
      </c>
      <c r="F34" s="33">
        <f>IF('Comparable Fixtures Table'!Q26="No",'Comparable Fixtures Table'!D26,"")</f>
        <v>9.7830720000000007</v>
      </c>
    </row>
    <row r="35" spans="1:6" x14ac:dyDescent="0.25">
      <c r="A35" s="41" t="str">
        <f>IF('Comparable Fixtures Table'!I27&lt;&gt;'Comparable Fixtures Table'!I26,'Comparable Fixtures Table'!I27,"")</f>
        <v/>
      </c>
      <c r="B35" s="41" t="str">
        <f>IF('Comparable Fixtures Table'!K27&lt;&gt;'Comparable Fixtures Table'!K26,'Comparable Fixtures Table'!K27,"")</f>
        <v/>
      </c>
      <c r="C35" s="33" t="str">
        <f>IF('Comparable Fixtures Table'!I27&lt;&gt;'Comparable Fixtures Table'!I26,'Comparable Fixtures Table'!T27,"")</f>
        <v/>
      </c>
      <c r="D35" s="42">
        <f>'Comparable Fixtures Table'!A27</f>
        <v>467</v>
      </c>
      <c r="E35" s="41" t="str">
        <f>'Comparable Fixtures Table'!B27</f>
        <v>RLS 467: UG HPS Colonial 5800L Deco</v>
      </c>
      <c r="F35" s="33">
        <f>IF('Comparable Fixtures Table'!Q27="No",'Comparable Fixtures Table'!D27,"")</f>
        <v>11.040431999999999</v>
      </c>
    </row>
    <row r="36" spans="1:6" x14ac:dyDescent="0.25">
      <c r="A36" s="41" t="str">
        <f>IF('Comparable Fixtures Table'!I28&lt;&gt;'Comparable Fixtures Table'!I27,'Comparable Fixtures Table'!I28,"")</f>
        <v/>
      </c>
      <c r="B36" s="41" t="str">
        <f>IF('Comparable Fixtures Table'!K28&lt;&gt;'Comparable Fixtures Table'!K27,'Comparable Fixtures Table'!K28,"")</f>
        <v/>
      </c>
      <c r="C36" s="33" t="str">
        <f>IF('Comparable Fixtures Table'!I28&lt;&gt;'Comparable Fixtures Table'!I27,'Comparable Fixtures Table'!T28,"")</f>
        <v/>
      </c>
      <c r="D36" s="42">
        <f>'Comparable Fixtures Table'!A28</f>
        <v>468</v>
      </c>
      <c r="E36" s="41" t="str">
        <f>'Comparable Fixtures Table'!B28</f>
        <v>RLS 468: UG HPS Colonial 9500L Deco</v>
      </c>
      <c r="F36" s="33">
        <f>IF('Comparable Fixtures Table'!Q28="No",'Comparable Fixtures Table'!D28,"")</f>
        <v>11.194560000000001</v>
      </c>
    </row>
    <row r="37" spans="1:6" x14ac:dyDescent="0.25">
      <c r="A37" s="41"/>
      <c r="C37" s="33"/>
      <c r="D37" s="42"/>
      <c r="F37" s="33"/>
    </row>
    <row r="38" spans="1:6" x14ac:dyDescent="0.25">
      <c r="A38" s="41" t="str">
        <f>IF('Comparable Fixtures Table'!I29&lt;&gt;'Comparable Fixtures Table'!I28,'Comparable Fixtures Table'!I29,"")</f>
        <v>KA1</v>
      </c>
      <c r="B38" s="41" t="str">
        <f>IF('Comparable Fixtures Table'!K29&lt;&gt;'Comparable Fixtures Table'!K28,'Comparable Fixtures Table'!K29,"")</f>
        <v>LS KA1 UG LED Acorn 4000-7000</v>
      </c>
      <c r="C38" s="33">
        <f>IF('Comparable Fixtures Table'!I29&lt;&gt;'Comparable Fixtures Table'!I28,'Comparable Fixtures Table'!T29,"")</f>
        <v>19.803291041825098</v>
      </c>
      <c r="D38" s="42">
        <f>'Comparable Fixtures Table'!A29</f>
        <v>430</v>
      </c>
      <c r="E38" s="41" t="str">
        <f>'Comparable Fixtures Table'!B29</f>
        <v>RLS 430: UG HPS Acorn 9500L Historic</v>
      </c>
      <c r="F38" s="33" t="str">
        <f>IF('Comparable Fixtures Table'!Q29="No",'Comparable Fixtures Table'!D29,"")</f>
        <v/>
      </c>
    </row>
    <row r="39" spans="1:6" x14ac:dyDescent="0.25">
      <c r="A39" s="41" t="str">
        <f>IF('Comparable Fixtures Table'!I30&lt;&gt;'Comparable Fixtures Table'!I29,'Comparable Fixtures Table'!I30,"")</f>
        <v/>
      </c>
      <c r="B39" s="41" t="str">
        <f>IF('Comparable Fixtures Table'!K30&lt;&gt;'Comparable Fixtures Table'!K29,'Comparable Fixtures Table'!K30,"")</f>
        <v/>
      </c>
      <c r="C39" s="33" t="str">
        <f>IF('Comparable Fixtures Table'!I30&lt;&gt;'Comparable Fixtures Table'!I29,'Comparable Fixtures Table'!T30,"")</f>
        <v/>
      </c>
      <c r="D39" s="42">
        <f>'Comparable Fixtures Table'!A30</f>
        <v>410</v>
      </c>
      <c r="E39" s="41" t="str">
        <f>'Comparable Fixtures Table'!B30</f>
        <v>RLS 410: UG HPS Acorn 4000L Historic</v>
      </c>
      <c r="F39" s="33" t="str">
        <f>IF('Comparable Fixtures Table'!Q30="No",'Comparable Fixtures Table'!D30,"")</f>
        <v/>
      </c>
    </row>
    <row r="40" spans="1:6" x14ac:dyDescent="0.25">
      <c r="A40" s="41" t="str">
        <f>IF('Comparable Fixtures Table'!I31&lt;&gt;'Comparable Fixtures Table'!I30,'Comparable Fixtures Table'!I31,"")</f>
        <v/>
      </c>
      <c r="B40" s="41" t="str">
        <f>IF('Comparable Fixtures Table'!K31&lt;&gt;'Comparable Fixtures Table'!K30,'Comparable Fixtures Table'!K31,"")</f>
        <v/>
      </c>
      <c r="C40" s="33" t="str">
        <f>IF('Comparable Fixtures Table'!I31&lt;&gt;'Comparable Fixtures Table'!I30,'Comparable Fixtures Table'!T31,"")</f>
        <v/>
      </c>
      <c r="D40" s="42">
        <f>'Comparable Fixtures Table'!A31</f>
        <v>411</v>
      </c>
      <c r="E40" s="41" t="str">
        <f>'Comparable Fixtures Table'!B31</f>
        <v>RLS 411: UG HPS Acorn 5800L Historic</v>
      </c>
      <c r="F40" s="33" t="str">
        <f>IF('Comparable Fixtures Table'!Q31="No",'Comparable Fixtures Table'!D31,"")</f>
        <v/>
      </c>
    </row>
    <row r="41" spans="1:6" x14ac:dyDescent="0.25">
      <c r="A41" s="41" t="str">
        <f>IF('Comparable Fixtures Table'!I32&lt;&gt;'Comparable Fixtures Table'!I31,'Comparable Fixtures Table'!I32,"")</f>
        <v/>
      </c>
      <c r="B41" s="41" t="str">
        <f>IF('Comparable Fixtures Table'!K32&lt;&gt;'Comparable Fixtures Table'!K31,'Comparable Fixtures Table'!K32,"")</f>
        <v/>
      </c>
      <c r="C41" s="33" t="str">
        <f>IF('Comparable Fixtures Table'!I32&lt;&gt;'Comparable Fixtures Table'!I31,'Comparable Fixtures Table'!T32,"")</f>
        <v/>
      </c>
      <c r="D41" s="42">
        <f>'Comparable Fixtures Table'!A32</f>
        <v>420</v>
      </c>
      <c r="E41" s="41" t="str">
        <f>'Comparable Fixtures Table'!B32</f>
        <v>RLS 420: UG HPS Acorn 9500L Decorative</v>
      </c>
      <c r="F41" s="33" t="str">
        <f>IF('Comparable Fixtures Table'!Q32="No",'Comparable Fixtures Table'!D32,"")</f>
        <v/>
      </c>
    </row>
    <row r="42" spans="1:6" x14ac:dyDescent="0.25">
      <c r="A42" s="41" t="str">
        <f>IF('Comparable Fixtures Table'!I33&lt;&gt;'Comparable Fixtures Table'!I32,'Comparable Fixtures Table'!I33,"")</f>
        <v/>
      </c>
      <c r="B42" s="41" t="str">
        <f>IF('Comparable Fixtures Table'!K33&lt;&gt;'Comparable Fixtures Table'!K32,'Comparable Fixtures Table'!K33,"")</f>
        <v/>
      </c>
      <c r="C42" s="33" t="str">
        <f>IF('Comparable Fixtures Table'!I33&lt;&gt;'Comparable Fixtures Table'!I32,'Comparable Fixtures Table'!T33,"")</f>
        <v/>
      </c>
      <c r="D42" s="42">
        <f>'Comparable Fixtures Table'!A33</f>
        <v>401</v>
      </c>
      <c r="E42" s="41" t="str">
        <f>'Comparable Fixtures Table'!B33</f>
        <v>RLS 401: UG HPS Acorn 5800L Decorative</v>
      </c>
      <c r="F42" s="33">
        <f>IF('Comparable Fixtures Table'!Q33="No",'Comparable Fixtures Table'!D33,"")</f>
        <v>14.96664</v>
      </c>
    </row>
    <row r="43" spans="1:6" x14ac:dyDescent="0.25">
      <c r="A43" s="41" t="str">
        <f>IF('Comparable Fixtures Table'!I34&lt;&gt;'Comparable Fixtures Table'!I33,'Comparable Fixtures Table'!I34,"")</f>
        <v/>
      </c>
      <c r="B43" s="41" t="str">
        <f>IF('Comparable Fixtures Table'!K34&lt;&gt;'Comparable Fixtures Table'!K33,'Comparable Fixtures Table'!K34,"")</f>
        <v/>
      </c>
      <c r="C43" s="33" t="str">
        <f>IF('Comparable Fixtures Table'!I34&lt;&gt;'Comparable Fixtures Table'!I33,'Comparable Fixtures Table'!T34,"")</f>
        <v/>
      </c>
      <c r="D43" s="42">
        <f>'Comparable Fixtures Table'!A34</f>
        <v>440</v>
      </c>
      <c r="E43" s="41" t="str">
        <f>'Comparable Fixtures Table'!B34</f>
        <v>RLS 440: UG HPS Acorn 4000L Decorative</v>
      </c>
      <c r="F43" s="33">
        <f>IF('Comparable Fixtures Table'!Q34="No",'Comparable Fixtures Table'!D34,"")</f>
        <v>14.058095999999999</v>
      </c>
    </row>
    <row r="44" spans="1:6" x14ac:dyDescent="0.25">
      <c r="A44" s="41"/>
      <c r="C44" s="33"/>
      <c r="D44" s="42"/>
      <c r="F44" s="33"/>
    </row>
    <row r="45" spans="1:6" x14ac:dyDescent="0.25">
      <c r="A45" s="41" t="str">
        <f>IF('Comparable Fixtures Table'!I35&lt;&gt;'Comparable Fixtures Table'!I34,'Comparable Fixtures Table'!I35,"")</f>
        <v>KC1</v>
      </c>
      <c r="B45" s="41" t="str">
        <f>IF('Comparable Fixtures Table'!K35&lt;&gt;'Comparable Fixtures Table'!K34,'Comparable Fixtures Table'!K35,"")</f>
        <v>LS KC1 OH LED Cobra 2500-4000</v>
      </c>
      <c r="C45" s="33">
        <f>IF('Comparable Fixtures Table'!I35&lt;&gt;'Comparable Fixtures Table'!I34,'Comparable Fixtures Table'!T35,"")</f>
        <v>8.2934732079503277</v>
      </c>
      <c r="D45" s="42">
        <f>'Comparable Fixtures Table'!A35</f>
        <v>446</v>
      </c>
      <c r="E45" s="41" t="str">
        <f>'Comparable Fixtures Table'!B35</f>
        <v>RLS 446: OH MV Cobra Head 7000L Fixture</v>
      </c>
      <c r="F45" s="33" t="str">
        <f>IF('Comparable Fixtures Table'!Q35="No",'Comparable Fixtures Table'!D35,"")</f>
        <v/>
      </c>
    </row>
    <row r="46" spans="1:6" x14ac:dyDescent="0.25">
      <c r="A46" s="41" t="str">
        <f>IF('Comparable Fixtures Table'!I36&lt;&gt;'Comparable Fixtures Table'!I35,'Comparable Fixtures Table'!I36,"")</f>
        <v/>
      </c>
      <c r="B46" s="41" t="str">
        <f>IF('Comparable Fixtures Table'!K36&lt;&gt;'Comparable Fixtures Table'!K35,'Comparable Fixtures Table'!K36,"")</f>
        <v/>
      </c>
      <c r="C46" s="33" t="str">
        <f>IF('Comparable Fixtures Table'!I36&lt;&gt;'Comparable Fixtures Table'!I35,'Comparable Fixtures Table'!T36,"")</f>
        <v/>
      </c>
      <c r="D46" s="42">
        <f>'Comparable Fixtures Table'!A36</f>
        <v>461</v>
      </c>
      <c r="E46" s="41" t="str">
        <f>'Comparable Fixtures Table'!B36</f>
        <v>RLS 461: OH HPS Cobra Head 4000L Fixture</v>
      </c>
      <c r="F46" s="33" t="str">
        <f>IF('Comparable Fixtures Table'!Q36="No",'Comparable Fixtures Table'!D36,"")</f>
        <v/>
      </c>
    </row>
    <row r="47" spans="1:6" x14ac:dyDescent="0.25">
      <c r="A47" s="41" t="str">
        <f>IF('Comparable Fixtures Table'!I37&lt;&gt;'Comparable Fixtures Table'!I36,'Comparable Fixtures Table'!I37,"")</f>
        <v/>
      </c>
      <c r="B47" s="41" t="str">
        <f>IF('Comparable Fixtures Table'!K37&lt;&gt;'Comparable Fixtures Table'!K36,'Comparable Fixtures Table'!K37,"")</f>
        <v/>
      </c>
      <c r="C47" s="33" t="str">
        <f>IF('Comparable Fixtures Table'!I37&lt;&gt;'Comparable Fixtures Table'!I36,'Comparable Fixtures Table'!T37,"")</f>
        <v/>
      </c>
      <c r="D47" s="42">
        <f>'Comparable Fixtures Table'!A37</f>
        <v>462</v>
      </c>
      <c r="E47" s="41" t="str">
        <f>'Comparable Fixtures Table'!B37</f>
        <v>RLS 462: OH HPS Cobra Head 5800L Fixture</v>
      </c>
      <c r="F47" s="33" t="str">
        <f>IF('Comparable Fixtures Table'!Q37="No",'Comparable Fixtures Table'!D37,"")</f>
        <v/>
      </c>
    </row>
    <row r="48" spans="1:6" x14ac:dyDescent="0.25">
      <c r="A48" s="41"/>
      <c r="C48" s="33"/>
      <c r="D48" s="42"/>
      <c r="F48" s="33"/>
    </row>
    <row r="49" spans="1:6" x14ac:dyDescent="0.25">
      <c r="A49" s="41" t="str">
        <f>IF('Comparable Fixtures Table'!I38&lt;&gt;'Comparable Fixtures Table'!I37,'Comparable Fixtures Table'!I38,"")</f>
        <v>KC2</v>
      </c>
      <c r="B49" s="41" t="str">
        <f>IF('Comparable Fixtures Table'!K38&lt;&gt;'Comparable Fixtures Table'!K37,'Comparable Fixtures Table'!K38,"")</f>
        <v>LS KC2 UG LED Cobra 2500-4000</v>
      </c>
      <c r="C49" s="33">
        <f>IF('Comparable Fixtures Table'!I38&lt;&gt;'Comparable Fixtures Table'!I37,'Comparable Fixtures Table'!T38,"")</f>
        <v>12.37992</v>
      </c>
      <c r="D49" s="42">
        <f>'Comparable Fixtures Table'!A38</f>
        <v>456</v>
      </c>
      <c r="E49" s="41" t="str">
        <f>'Comparable Fixtures Table'!B38</f>
        <v>RLS 456: OH MV Cobra 7000L Fixture/Pole</v>
      </c>
      <c r="F49" s="33">
        <f>IF('Comparable Fixtures Table'!Q38="No",'Comparable Fixtures Table'!D38,"")</f>
        <v>11.446032000000001</v>
      </c>
    </row>
    <row r="50" spans="1:6" x14ac:dyDescent="0.25">
      <c r="A50" s="41" t="str">
        <f>IF('Comparable Fixtures Table'!I39&lt;&gt;'Comparable Fixtures Table'!I38,'Comparable Fixtures Table'!I39,"")</f>
        <v/>
      </c>
      <c r="B50" s="41" t="str">
        <f>IF('Comparable Fixtures Table'!K39&lt;&gt;'Comparable Fixtures Table'!K38,'Comparable Fixtures Table'!K39,"")</f>
        <v/>
      </c>
      <c r="C50" s="33" t="str">
        <f>IF('Comparable Fixtures Table'!I39&lt;&gt;'Comparable Fixtures Table'!I38,'Comparable Fixtures Table'!T39,"")</f>
        <v/>
      </c>
      <c r="D50" s="42">
        <f>'Comparable Fixtures Table'!A39</f>
        <v>471</v>
      </c>
      <c r="E50" s="41" t="str">
        <f>'Comparable Fixtures Table'!B39</f>
        <v>RLS 471: OH HPS Cobra Hd 4000L Fix/Pole</v>
      </c>
      <c r="F50" s="33">
        <f>IF('Comparable Fixtures Table'!Q39="No",'Comparable Fixtures Table'!D39,"")</f>
        <v>10.626720000000001</v>
      </c>
    </row>
    <row r="51" spans="1:6" x14ac:dyDescent="0.25">
      <c r="A51" s="41" t="str">
        <f>IF('Comparable Fixtures Table'!I40&lt;&gt;'Comparable Fixtures Table'!I39,'Comparable Fixtures Table'!I40,"")</f>
        <v/>
      </c>
      <c r="B51" s="41" t="str">
        <f>IF('Comparable Fixtures Table'!K40&lt;&gt;'Comparable Fixtures Table'!K39,'Comparable Fixtures Table'!K40,"")</f>
        <v/>
      </c>
      <c r="C51" s="33" t="str">
        <f>IF('Comparable Fixtures Table'!I40&lt;&gt;'Comparable Fixtures Table'!I39,'Comparable Fixtures Table'!T40,"")</f>
        <v/>
      </c>
      <c r="D51" s="42">
        <f>'Comparable Fixtures Table'!A40</f>
        <v>472</v>
      </c>
      <c r="E51" s="41" t="str">
        <f>'Comparable Fixtures Table'!B40</f>
        <v>RLS 472: OH HPS Cobra 5800L Ornamental</v>
      </c>
      <c r="F51" s="33">
        <f>IF('Comparable Fixtures Table'!Q40="No",'Comparable Fixtures Table'!D40,"")</f>
        <v>11.835408000000001</v>
      </c>
    </row>
    <row r="52" spans="1:6" x14ac:dyDescent="0.25">
      <c r="A52" s="41"/>
      <c r="C52" s="33"/>
      <c r="D52" s="42"/>
      <c r="F52" s="33"/>
    </row>
    <row r="53" spans="1:6" x14ac:dyDescent="0.25">
      <c r="A53" s="41" t="str">
        <f>IF('Comparable Fixtures Table'!I41&lt;&gt;'Comparable Fixtures Table'!I40,'Comparable Fixtures Table'!I41,"")</f>
        <v>KF1</v>
      </c>
      <c r="B53" s="41" t="str">
        <f>IF('Comparable Fixtures Table'!K41&lt;&gt;'Comparable Fixtures Table'!K40,'Comparable Fixtures Table'!K41,"")</f>
        <v>LS KF1 OH LED Flood  4500-6000</v>
      </c>
      <c r="C53" s="33">
        <f>IF('Comparable Fixtures Table'!I41&lt;&gt;'Comparable Fixtures Table'!I40,'Comparable Fixtures Table'!T41,"")</f>
        <v>8.8247767868852467</v>
      </c>
      <c r="D53" s="42">
        <f>'Comparable Fixtures Table'!A41</f>
        <v>487</v>
      </c>
      <c r="E53" s="41" t="str">
        <f>'Comparable Fixtures Table'!B41</f>
        <v>RLS 487: OH HPS Directional 9500L Fixture</v>
      </c>
      <c r="F53" s="33" t="str">
        <f>IF('Comparable Fixtures Table'!Q41="No",'Comparable Fixtures Table'!D41,"")</f>
        <v/>
      </c>
    </row>
    <row r="54" spans="1:6" x14ac:dyDescent="0.25">
      <c r="A54" s="41"/>
      <c r="C54" s="33"/>
      <c r="D54" s="42"/>
      <c r="F54" s="33"/>
    </row>
    <row r="55" spans="1:6" x14ac:dyDescent="0.25">
      <c r="A55" s="41" t="str">
        <f>IF('Comparable Fixtures Table'!I42&lt;&gt;'Comparable Fixtures Table'!I41,'Comparable Fixtures Table'!I42,"")</f>
        <v>KF2</v>
      </c>
      <c r="B55" s="41" t="str">
        <f>IF('Comparable Fixtures Table'!K42&lt;&gt;'Comparable Fixtures Table'!K41,'Comparable Fixtures Table'!K42,"")</f>
        <v>LS KF2 OH LED Flood  14000-17500</v>
      </c>
      <c r="C55" s="33">
        <f>IF('Comparable Fixtures Table'!I42&lt;&gt;'Comparable Fixtures Table'!I41,'Comparable Fixtures Table'!T42,"")</f>
        <v>13.340325292620864</v>
      </c>
      <c r="D55" s="42">
        <f>'Comparable Fixtures Table'!A42</f>
        <v>450</v>
      </c>
      <c r="E55" s="41" t="str">
        <f>'Comparable Fixtures Table'!B42</f>
        <v>RLS 450: OH MH Directional 12000L Fix</v>
      </c>
      <c r="F55" s="33" t="str">
        <f>IF('Comparable Fixtures Table'!Q42="No",'Comparable Fixtures Table'!D42,"")</f>
        <v/>
      </c>
    </row>
    <row r="56" spans="1:6" x14ac:dyDescent="0.25">
      <c r="A56" s="41"/>
      <c r="C56" s="33"/>
      <c r="D56" s="42"/>
      <c r="F56" s="33"/>
    </row>
    <row r="57" spans="1:6" x14ac:dyDescent="0.25">
      <c r="A57" s="41" t="str">
        <f>IF('Comparable Fixtures Table'!I43&lt;&gt;'Comparable Fixtures Table'!I42,'Comparable Fixtures Table'!I43,"")</f>
        <v>KF3</v>
      </c>
      <c r="B57" s="41" t="str">
        <f>IF('Comparable Fixtures Table'!K43&lt;&gt;'Comparable Fixtures Table'!K42,'Comparable Fixtures Table'!K43,"")</f>
        <v>LS KF3 OH LED Flood  22000-28000</v>
      </c>
      <c r="C57" s="33">
        <f>IF('Comparable Fixtures Table'!I43&lt;&gt;'Comparable Fixtures Table'!I42,'Comparable Fixtures Table'!T43,"")</f>
        <v>17.168600118224301</v>
      </c>
      <c r="D57" s="42">
        <f>'Comparable Fixtures Table'!A43</f>
        <v>451</v>
      </c>
      <c r="E57" s="41" t="str">
        <f>'Comparable Fixtures Table'!B43</f>
        <v>RLS 451: OH MH Directional 32000L Fixture</v>
      </c>
      <c r="F57" s="33" t="str">
        <f>IF('Comparable Fixtures Table'!Q43="No",'Comparable Fixtures Table'!D43,"")</f>
        <v/>
      </c>
    </row>
    <row r="58" spans="1:6" x14ac:dyDescent="0.25">
      <c r="A58" s="41" t="str">
        <f>IF('Comparable Fixtures Table'!I44&lt;&gt;'Comparable Fixtures Table'!I43,'Comparable Fixtures Table'!I44,"")</f>
        <v/>
      </c>
      <c r="B58" s="41" t="str">
        <f>IF('Comparable Fixtures Table'!K44&lt;&gt;'Comparable Fixtures Table'!K43,'Comparable Fixtures Table'!K44,"")</f>
        <v/>
      </c>
      <c r="C58" s="33" t="str">
        <f>IF('Comparable Fixtures Table'!I44&lt;&gt;'Comparable Fixtures Table'!I43,'Comparable Fixtures Table'!T44,"")</f>
        <v/>
      </c>
      <c r="D58" s="42">
        <f>'Comparable Fixtures Table'!A44</f>
        <v>488</v>
      </c>
      <c r="E58" s="41" t="str">
        <f>'Comparable Fixtures Table'!B44</f>
        <v>RLS 488: OH HPS Directional 22000L Fix</v>
      </c>
      <c r="F58" s="33" t="str">
        <f>IF('Comparable Fixtures Table'!Q44="No",'Comparable Fixtures Table'!D44,"")</f>
        <v/>
      </c>
    </row>
    <row r="59" spans="1:6" x14ac:dyDescent="0.25">
      <c r="A59" s="41" t="str">
        <f>IF('Comparable Fixtures Table'!I45&lt;&gt;'Comparable Fixtures Table'!I44,'Comparable Fixtures Table'!I45,"")</f>
        <v/>
      </c>
      <c r="B59" s="41" t="str">
        <f>IF('Comparable Fixtures Table'!K45&lt;&gt;'Comparable Fixtures Table'!K44,'Comparable Fixtures Table'!K45,"")</f>
        <v/>
      </c>
      <c r="C59" s="33" t="str">
        <f>IF('Comparable Fixtures Table'!I45&lt;&gt;'Comparable Fixtures Table'!I44,'Comparable Fixtures Table'!T45,"")</f>
        <v/>
      </c>
      <c r="D59" s="42">
        <f>'Comparable Fixtures Table'!A45</f>
        <v>489</v>
      </c>
      <c r="E59" s="41" t="str">
        <f>'Comparable Fixtures Table'!B45</f>
        <v>RLS 489: OH HPS Directional 50000L Fix</v>
      </c>
      <c r="F59" s="33" t="str">
        <f>IF('Comparable Fixtures Table'!Q45="No",'Comparable Fixtures Table'!D45,"")</f>
        <v/>
      </c>
    </row>
    <row r="60" spans="1:6" x14ac:dyDescent="0.25">
      <c r="A60" s="41"/>
      <c r="C60" s="33"/>
      <c r="D60" s="42"/>
      <c r="F60" s="33"/>
    </row>
    <row r="61" spans="1:6" x14ac:dyDescent="0.25">
      <c r="A61" s="41" t="str">
        <f>IF('Comparable Fixtures Table'!I46&lt;&gt;'Comparable Fixtures Table'!I45,'Comparable Fixtures Table'!I46,"")</f>
        <v>KF4</v>
      </c>
      <c r="B61" s="41" t="str">
        <f>IF('Comparable Fixtures Table'!K46&lt;&gt;'Comparable Fixtures Table'!K45,'Comparable Fixtures Table'!K46,"")</f>
        <v>LS KF4 OH LED Flood  35000-50000</v>
      </c>
      <c r="C61" s="33">
        <f>IF('Comparable Fixtures Table'!I46&lt;&gt;'Comparable Fixtures Table'!I45,'Comparable Fixtures Table'!T46,"")</f>
        <v>30.953426399999998</v>
      </c>
      <c r="D61" s="42">
        <f>'Comparable Fixtures Table'!A46</f>
        <v>452</v>
      </c>
      <c r="E61" s="41" t="str">
        <f>'Comparable Fixtures Table'!B46</f>
        <v>RLS 452: OH MH Directional 107800L Fix</v>
      </c>
      <c r="F61" s="33" t="str">
        <f>IF('Comparable Fixtures Table'!Q46="No",'Comparable Fixtures Table'!D46,"")</f>
        <v/>
      </c>
    </row>
    <row r="62" spans="1:6" x14ac:dyDescent="0.25">
      <c r="A62" s="41"/>
      <c r="C62" s="33"/>
      <c r="D62" s="42"/>
      <c r="F62" s="33"/>
    </row>
    <row r="63" spans="1:6" x14ac:dyDescent="0.25">
      <c r="A63" s="41" t="str">
        <f>IF('Comparable Fixtures Table'!I47&lt;&gt;'Comparable Fixtures Table'!I46,'Comparable Fixtures Table'!I47,"")</f>
        <v>KF6</v>
      </c>
      <c r="B63" s="41" t="str">
        <f>IF('Comparable Fixtures Table'!K47&lt;&gt;'Comparable Fixtures Table'!K46,'Comparable Fixtures Table'!K47,"")</f>
        <v>LS KF6 UG LED Flood  14000-17500</v>
      </c>
      <c r="C63" s="33" t="e">
        <f>IF('Comparable Fixtures Table'!I47&lt;&gt;'Comparable Fixtures Table'!I46,'Comparable Fixtures Table'!T47,"")</f>
        <v>#REF!</v>
      </c>
      <c r="D63" s="42">
        <f>'Comparable Fixtures Table'!A47</f>
        <v>460</v>
      </c>
      <c r="E63" s="41" t="str">
        <f>'Comparable Fixtures Table'!B47</f>
        <v>RLS 460: UG MH Directional 12000L Deco</v>
      </c>
      <c r="F63" s="33" t="str">
        <f>IF('Comparable Fixtures Table'!Q47="No",'Comparable Fixtures Table'!D47,"")</f>
        <v/>
      </c>
    </row>
    <row r="64" spans="1:6" x14ac:dyDescent="0.25">
      <c r="A64" s="41" t="str">
        <f>IF('Comparable Fixtures Table'!I48&lt;&gt;'Comparable Fixtures Table'!I47,'Comparable Fixtures Table'!I48,"")</f>
        <v/>
      </c>
      <c r="B64" s="41" t="str">
        <f>IF('Comparable Fixtures Table'!K48&lt;&gt;'Comparable Fixtures Table'!K47,'Comparable Fixtures Table'!K48,"")</f>
        <v/>
      </c>
      <c r="C64" s="33" t="str">
        <f>IF('Comparable Fixtures Table'!I48&lt;&gt;'Comparable Fixtures Table'!I47,'Comparable Fixtures Table'!T48,"")</f>
        <v/>
      </c>
      <c r="D64" s="42">
        <f>'Comparable Fixtures Table'!A48</f>
        <v>454</v>
      </c>
      <c r="E64" s="41" t="str">
        <f>'Comparable Fixtures Table'!B48</f>
        <v>RLS 454: OH MH Directional 12000L Fix/Po</v>
      </c>
      <c r="F64" s="33" t="str">
        <f>IF('Comparable Fixtures Table'!Q48="No",'Comparable Fixtures Table'!D48,"")</f>
        <v/>
      </c>
    </row>
    <row r="65" spans="1:6" x14ac:dyDescent="0.25">
      <c r="A65" s="41"/>
      <c r="C65" s="33"/>
      <c r="D65" s="42"/>
      <c r="F65" s="33"/>
    </row>
    <row r="66" spans="1:6" x14ac:dyDescent="0.25">
      <c r="A66" s="41" t="str">
        <f>IF('Comparable Fixtures Table'!I49&lt;&gt;'Comparable Fixtures Table'!I48,'Comparable Fixtures Table'!I49,"")</f>
        <v>KF7</v>
      </c>
      <c r="B66" s="41" t="str">
        <f>IF('Comparable Fixtures Table'!K49&lt;&gt;'Comparable Fixtures Table'!K48,'Comparable Fixtures Table'!K49,"")</f>
        <v>LS KF7 UG LED Flood  22000-28000</v>
      </c>
      <c r="C66" s="33">
        <f>IF('Comparable Fixtures Table'!I49&lt;&gt;'Comparable Fixtures Table'!I48,'Comparable Fixtures Table'!T49,"")</f>
        <v>25.612488447577093</v>
      </c>
      <c r="D66" s="42">
        <f>'Comparable Fixtures Table'!A49</f>
        <v>469</v>
      </c>
      <c r="E66" s="41" t="str">
        <f>'Comparable Fixtures Table'!B49</f>
        <v>RLS 469: UG MH Directional 32000L Deco</v>
      </c>
      <c r="F66" s="33" t="str">
        <f>IF('Comparable Fixtures Table'!Q49="No",'Comparable Fixtures Table'!D49,"")</f>
        <v/>
      </c>
    </row>
    <row r="67" spans="1:6" x14ac:dyDescent="0.25">
      <c r="A67" s="41" t="str">
        <f>IF('Comparable Fixtures Table'!I50&lt;&gt;'Comparable Fixtures Table'!I49,'Comparable Fixtures Table'!I50,"")</f>
        <v/>
      </c>
      <c r="B67" s="41" t="str">
        <f>IF('Comparable Fixtures Table'!K50&lt;&gt;'Comparable Fixtures Table'!K49,'Comparable Fixtures Table'!K50,"")</f>
        <v/>
      </c>
      <c r="C67" s="33" t="str">
        <f>IF('Comparable Fixtures Table'!I50&lt;&gt;'Comparable Fixtures Table'!I49,'Comparable Fixtures Table'!T50,"")</f>
        <v/>
      </c>
      <c r="D67" s="42">
        <f>'Comparable Fixtures Table'!A50</f>
        <v>455</v>
      </c>
      <c r="E67" s="41" t="str">
        <f>'Comparable Fixtures Table'!B50</f>
        <v>RLS 455: OH MH Directional 32000L Fix/Po</v>
      </c>
      <c r="F67" s="33" t="str">
        <f>IF('Comparable Fixtures Table'!Q50="No",'Comparable Fixtures Table'!D50,"")</f>
        <v/>
      </c>
    </row>
    <row r="68" spans="1:6" x14ac:dyDescent="0.25">
      <c r="A68" s="41"/>
      <c r="C68" s="33"/>
      <c r="D68" s="42"/>
      <c r="F68" s="33"/>
    </row>
    <row r="69" spans="1:6" x14ac:dyDescent="0.25">
      <c r="A69" s="41" t="str">
        <f>IF('Comparable Fixtures Table'!I51&lt;&gt;'Comparable Fixtures Table'!I50,'Comparable Fixtures Table'!I51,"")</f>
        <v>KF8</v>
      </c>
      <c r="B69" s="41" t="str">
        <f>IF('Comparable Fixtures Table'!K51&lt;&gt;'Comparable Fixtures Table'!K50,'Comparable Fixtures Table'!K51,"")</f>
        <v>LS KF8 UG LED Flood  35000-50000</v>
      </c>
      <c r="C69" s="33">
        <f>IF('Comparable Fixtures Table'!I51&lt;&gt;'Comparable Fixtures Table'!I50,'Comparable Fixtures Table'!T51,"")</f>
        <v>43.544069911458337</v>
      </c>
      <c r="D69" s="42">
        <f>'Comparable Fixtures Table'!A51</f>
        <v>459</v>
      </c>
      <c r="E69" s="41" t="str">
        <f>'Comparable Fixtures Table'!B51</f>
        <v>RLS 459: OH MH Directional 107800L Fix/P</v>
      </c>
      <c r="F69" s="33" t="str">
        <f>IF('Comparable Fixtures Table'!Q51="No",'Comparable Fixtures Table'!D51,"")</f>
        <v/>
      </c>
    </row>
    <row r="70" spans="1:6" x14ac:dyDescent="0.25">
      <c r="A70" s="41" t="str">
        <f>IF('Comparable Fixtures Table'!I52&lt;&gt;'Comparable Fixtures Table'!I51,'Comparable Fixtures Table'!I52,"")</f>
        <v/>
      </c>
      <c r="B70" s="41" t="str">
        <f>IF('Comparable Fixtures Table'!K52&lt;&gt;'Comparable Fixtures Table'!K51,'Comparable Fixtures Table'!K52,"")</f>
        <v/>
      </c>
      <c r="C70" s="33" t="str">
        <f>IF('Comparable Fixtures Table'!I52&lt;&gt;'Comparable Fixtures Table'!I51,'Comparable Fixtures Table'!T52,"")</f>
        <v/>
      </c>
      <c r="D70" s="42">
        <f>'Comparable Fixtures Table'!A52</f>
        <v>470</v>
      </c>
      <c r="E70" s="41" t="str">
        <f>'Comparable Fixtures Table'!B52</f>
        <v>RLS 470: UG MH Directional 107800L Deco</v>
      </c>
      <c r="F70" s="33" t="str">
        <f>IF('Comparable Fixtures Table'!Q52="No",'Comparable Fixtures Table'!D52,"")</f>
        <v/>
      </c>
    </row>
    <row r="71" spans="1:6" x14ac:dyDescent="0.25">
      <c r="A71" s="41"/>
      <c r="C71" s="33"/>
      <c r="D71" s="42"/>
      <c r="F71" s="33"/>
    </row>
    <row r="72" spans="1:6" x14ac:dyDescent="0.25">
      <c r="A72" s="41" t="str">
        <f>IF('Comparable Fixtures Table'!I53&lt;&gt;'Comparable Fixtures Table'!I52,'Comparable Fixtures Table'!I53,"")</f>
        <v>KN1</v>
      </c>
      <c r="B72" s="41" t="str">
        <f>IF('Comparable Fixtures Table'!K53&lt;&gt;'Comparable Fixtures Table'!K52,'Comparable Fixtures Table'!K53,"")</f>
        <v>LS KN1 UG LED Contemporary 4000-7000</v>
      </c>
      <c r="C72" s="33">
        <f>IF('Comparable Fixtures Table'!I53&lt;&gt;'Comparable Fixtures Table'!I52,'Comparable Fixtures Table'!T53,"")</f>
        <v>16.712252108124375</v>
      </c>
      <c r="D72" s="42">
        <f>'Comparable Fixtures Table'!A53</f>
        <v>476</v>
      </c>
      <c r="E72" s="41" t="str">
        <f>'Comparable Fixtures Table'!B53</f>
        <v>RLS 476: UG HPS Contemporary 5800L Deco</v>
      </c>
      <c r="F72" s="33" t="str">
        <f>IF('Comparable Fixtures Table'!Q53="No",'Comparable Fixtures Table'!D53,"")</f>
        <v/>
      </c>
    </row>
    <row r="73" spans="1:6" x14ac:dyDescent="0.25">
      <c r="A73" s="41" t="str">
        <f>IF('Comparable Fixtures Table'!I54&lt;&gt;'Comparable Fixtures Table'!I53,'Comparable Fixtures Table'!I54,"")</f>
        <v/>
      </c>
      <c r="B73" s="41" t="str">
        <f>IF('Comparable Fixtures Table'!K54&lt;&gt;'Comparable Fixtures Table'!K53,'Comparable Fixtures Table'!K54,"")</f>
        <v/>
      </c>
      <c r="C73" s="33" t="str">
        <f>IF('Comparable Fixtures Table'!I54&lt;&gt;'Comparable Fixtures Table'!I53,'Comparable Fixtures Table'!T54,"")</f>
        <v/>
      </c>
      <c r="D73" s="42">
        <f>'Comparable Fixtures Table'!A54</f>
        <v>492</v>
      </c>
      <c r="E73" s="41" t="str">
        <f>'Comparable Fixtures Table'!B54</f>
        <v>RLS 492: UG HPS Contemporary 5800L Fix</v>
      </c>
      <c r="F73" s="33" t="str">
        <f>IF('Comparable Fixtures Table'!Q54="No",'Comparable Fixtures Table'!D54,"")</f>
        <v/>
      </c>
    </row>
    <row r="74" spans="1:6" x14ac:dyDescent="0.25">
      <c r="A74" s="41"/>
      <c r="C74" s="33"/>
      <c r="D74" s="42"/>
      <c r="F74" s="33"/>
    </row>
    <row r="75" spans="1:6" x14ac:dyDescent="0.25">
      <c r="A75" s="41" t="str">
        <f>IF('Comparable Fixtures Table'!I55&lt;&gt;'Comparable Fixtures Table'!I54,'Comparable Fixtures Table'!I55,"")</f>
        <v>KN2</v>
      </c>
      <c r="B75" s="41" t="str">
        <f>IF('Comparable Fixtures Table'!K55&lt;&gt;'Comparable Fixtures Table'!K54,'Comparable Fixtures Table'!K55,"")</f>
        <v>LS KN2 UG LED Contemporary 8000-11000</v>
      </c>
      <c r="C75" s="33">
        <f>IF('Comparable Fixtures Table'!I55&lt;&gt;'Comparable Fixtures Table'!I54,'Comparable Fixtures Table'!T55,"")</f>
        <v>21.316021591611484</v>
      </c>
      <c r="D75" s="42">
        <f>'Comparable Fixtures Table'!A55</f>
        <v>494</v>
      </c>
      <c r="E75" s="41" t="str">
        <f>'Comparable Fixtures Table'!B55</f>
        <v>RLS 494: UG MH Contemporary 12000L Deco</v>
      </c>
      <c r="F75" s="33" t="str">
        <f>IF('Comparable Fixtures Table'!Q55="No",'Comparable Fixtures Table'!D55,"")</f>
        <v/>
      </c>
    </row>
    <row r="76" spans="1:6" x14ac:dyDescent="0.25">
      <c r="A76" s="41" t="str">
        <f>IF('Comparable Fixtures Table'!I56&lt;&gt;'Comparable Fixtures Table'!I55,'Comparable Fixtures Table'!I56,"")</f>
        <v/>
      </c>
      <c r="B76" s="41" t="str">
        <f>IF('Comparable Fixtures Table'!K56&lt;&gt;'Comparable Fixtures Table'!K55,'Comparable Fixtures Table'!K56,"")</f>
        <v/>
      </c>
      <c r="C76" s="33" t="str">
        <f>IF('Comparable Fixtures Table'!I56&lt;&gt;'Comparable Fixtures Table'!I55,'Comparable Fixtures Table'!T56,"")</f>
        <v/>
      </c>
      <c r="D76" s="42">
        <f>'Comparable Fixtures Table'!A56</f>
        <v>477</v>
      </c>
      <c r="E76" s="41" t="str">
        <f>'Comparable Fixtures Table'!B56</f>
        <v>RLS 477: UG HPS Contemporary 9500L Deco</v>
      </c>
      <c r="F76" s="33" t="str">
        <f>IF('Comparable Fixtures Table'!Q56="No",'Comparable Fixtures Table'!D56,"")</f>
        <v/>
      </c>
    </row>
    <row r="77" spans="1:6" x14ac:dyDescent="0.25">
      <c r="A77" s="41" t="str">
        <f>IF('Comparable Fixtures Table'!I57&lt;&gt;'Comparable Fixtures Table'!I56,'Comparable Fixtures Table'!I57,"")</f>
        <v/>
      </c>
      <c r="B77" s="41" t="str">
        <f>IF('Comparable Fixtures Table'!K57&lt;&gt;'Comparable Fixtures Table'!K56,'Comparable Fixtures Table'!K57,"")</f>
        <v/>
      </c>
      <c r="C77" s="33" t="str">
        <f>IF('Comparable Fixtures Table'!I57&lt;&gt;'Comparable Fixtures Table'!I56,'Comparable Fixtures Table'!T57,"")</f>
        <v/>
      </c>
      <c r="D77" s="42">
        <f>'Comparable Fixtures Table'!A57</f>
        <v>490</v>
      </c>
      <c r="E77" s="41" t="str">
        <f>'Comparable Fixtures Table'!B57</f>
        <v>RLS 490: UG MH Contemporary 12000L Fix</v>
      </c>
      <c r="F77" s="33" t="str">
        <f>IF('Comparable Fixtures Table'!Q57="No",'Comparable Fixtures Table'!D57,"")</f>
        <v/>
      </c>
    </row>
    <row r="78" spans="1:6" x14ac:dyDescent="0.25">
      <c r="A78" s="41" t="str">
        <f>IF('Comparable Fixtures Table'!I58&lt;&gt;'Comparable Fixtures Table'!I57,'Comparable Fixtures Table'!I58,"")</f>
        <v/>
      </c>
      <c r="B78" s="41" t="str">
        <f>IF('Comparable Fixtures Table'!K58&lt;&gt;'Comparable Fixtures Table'!K57,'Comparable Fixtures Table'!K58,"")</f>
        <v/>
      </c>
      <c r="C78" s="33" t="str">
        <f>IF('Comparable Fixtures Table'!I58&lt;&gt;'Comparable Fixtures Table'!I57,'Comparable Fixtures Table'!T58,"")</f>
        <v/>
      </c>
      <c r="D78" s="42">
        <f>'Comparable Fixtures Table'!A58</f>
        <v>497</v>
      </c>
      <c r="E78" s="41" t="str">
        <f>'Comparable Fixtures Table'!B58</f>
        <v>RLS 497: UG HPS Contemporary 9500L Fix</v>
      </c>
      <c r="F78" s="33">
        <f>IF('Comparable Fixtures Table'!Q58="No",'Comparable Fixtures Table'!D58,"")</f>
        <v>14.674608000000001</v>
      </c>
    </row>
    <row r="79" spans="1:6" x14ac:dyDescent="0.25">
      <c r="A79" s="41"/>
      <c r="C79" s="33"/>
      <c r="D79" s="42"/>
      <c r="F79" s="33"/>
    </row>
    <row r="80" spans="1:6" x14ac:dyDescent="0.25">
      <c r="A80" s="41" t="str">
        <f>IF('Comparable Fixtures Table'!I59&lt;&gt;'Comparable Fixtures Table'!I58,'Comparable Fixtures Table'!I59,"")</f>
        <v>KN3</v>
      </c>
      <c r="B80" s="41" t="str">
        <f>IF('Comparable Fixtures Table'!K59&lt;&gt;'Comparable Fixtures Table'!K58,'Comparable Fixtures Table'!K59,"")</f>
        <v>LS KN3 UG LED Contemporary 13500-16500</v>
      </c>
      <c r="C80" s="33">
        <f>IF('Comparable Fixtures Table'!I59&lt;&gt;'Comparable Fixtures Table'!I58,'Comparable Fixtures Table'!T59,"")</f>
        <v>25.945575156887756</v>
      </c>
      <c r="D80" s="42">
        <f>'Comparable Fixtures Table'!A59</f>
        <v>478</v>
      </c>
      <c r="E80" s="41" t="str">
        <f>'Comparable Fixtures Table'!B59</f>
        <v>RLS 478: UG HPS Contemporary 22000L Deco</v>
      </c>
      <c r="F80" s="33" t="str">
        <f>IF('Comparable Fixtures Table'!Q59="No",'Comparable Fixtures Table'!D59,"")</f>
        <v/>
      </c>
    </row>
    <row r="81" spans="1:6" x14ac:dyDescent="0.25">
      <c r="A81" s="41" t="str">
        <f>IF('Comparable Fixtures Table'!I60&lt;&gt;'Comparable Fixtures Table'!I59,'Comparable Fixtures Table'!I60,"")</f>
        <v/>
      </c>
      <c r="B81" s="41" t="str">
        <f>IF('Comparable Fixtures Table'!K60&lt;&gt;'Comparable Fixtures Table'!K59,'Comparable Fixtures Table'!K60,"")</f>
        <v/>
      </c>
      <c r="C81" s="33" t="str">
        <f>IF('Comparable Fixtures Table'!I60&lt;&gt;'Comparable Fixtures Table'!I59,'Comparable Fixtures Table'!T60,"")</f>
        <v/>
      </c>
      <c r="D81" s="42">
        <f>'Comparable Fixtures Table'!A60</f>
        <v>498</v>
      </c>
      <c r="E81" s="41" t="str">
        <f>'Comparable Fixtures Table'!B60</f>
        <v>RLS 498: UG HPS Contemporary 22000L Fix</v>
      </c>
      <c r="F81" s="33" t="str">
        <f>IF('Comparable Fixtures Table'!Q60="No",'Comparable Fixtures Table'!D60,"")</f>
        <v/>
      </c>
    </row>
    <row r="82" spans="1:6" x14ac:dyDescent="0.25">
      <c r="A82" s="41"/>
      <c r="C82" s="33"/>
      <c r="D82" s="42"/>
      <c r="F82" s="33"/>
    </row>
    <row r="83" spans="1:6" x14ac:dyDescent="0.25">
      <c r="A83" s="41" t="str">
        <f>IF('Comparable Fixtures Table'!I61&lt;&gt;'Comparable Fixtures Table'!I60,'Comparable Fixtures Table'!I61,"")</f>
        <v>KN4</v>
      </c>
      <c r="B83" s="41" t="str">
        <f>IF('Comparable Fixtures Table'!K61&lt;&gt;'Comparable Fixtures Table'!K60,'Comparable Fixtures Table'!K61,"")</f>
        <v>LS KN4 UG LED Contemporary 21000-28000</v>
      </c>
      <c r="C83" s="33">
        <f>IF('Comparable Fixtures Table'!I61&lt;&gt;'Comparable Fixtures Table'!I60,'Comparable Fixtures Table'!T61,"")</f>
        <v>30.219767019943024</v>
      </c>
      <c r="D83" s="42">
        <f>'Comparable Fixtures Table'!A61</f>
        <v>479</v>
      </c>
      <c r="E83" s="41" t="str">
        <f>'Comparable Fixtures Table'!B61</f>
        <v>RLS 479: UG HPS Contemporary 50000L Deco</v>
      </c>
      <c r="F83" s="33" t="str">
        <f>IF('Comparable Fixtures Table'!Q61="No",'Comparable Fixtures Table'!D61,"")</f>
        <v/>
      </c>
    </row>
    <row r="84" spans="1:6" x14ac:dyDescent="0.25">
      <c r="A84" s="41" t="str">
        <f>IF('Comparable Fixtures Table'!I62&lt;&gt;'Comparable Fixtures Table'!I61,'Comparable Fixtures Table'!I62,"")</f>
        <v/>
      </c>
      <c r="B84" s="41" t="str">
        <f>IF('Comparable Fixtures Table'!K62&lt;&gt;'Comparable Fixtures Table'!K61,'Comparable Fixtures Table'!K62,"")</f>
        <v/>
      </c>
      <c r="C84" s="33" t="str">
        <f>IF('Comparable Fixtures Table'!I62&lt;&gt;'Comparable Fixtures Table'!I61,'Comparable Fixtures Table'!T62,"")</f>
        <v/>
      </c>
      <c r="D84" s="42">
        <f>'Comparable Fixtures Table'!A62</f>
        <v>495</v>
      </c>
      <c r="E84" s="41" t="str">
        <f>'Comparable Fixtures Table'!B62</f>
        <v>RLS 495: UG MH Contemporary 32000L Deco</v>
      </c>
      <c r="F84" s="33" t="str">
        <f>IF('Comparable Fixtures Table'!Q62="No",'Comparable Fixtures Table'!D62,"")</f>
        <v/>
      </c>
    </row>
    <row r="85" spans="1:6" x14ac:dyDescent="0.25">
      <c r="A85" s="41" t="str">
        <f>IF('Comparable Fixtures Table'!I63&lt;&gt;'Comparable Fixtures Table'!I62,'Comparable Fixtures Table'!I63,"")</f>
        <v/>
      </c>
      <c r="B85" s="41" t="str">
        <f>IF('Comparable Fixtures Table'!K63&lt;&gt;'Comparable Fixtures Table'!K62,'Comparable Fixtures Table'!K63,"")</f>
        <v/>
      </c>
      <c r="C85" s="33" t="str">
        <f>IF('Comparable Fixtures Table'!I63&lt;&gt;'Comparable Fixtures Table'!I62,'Comparable Fixtures Table'!T63,"")</f>
        <v/>
      </c>
      <c r="D85" s="42">
        <f>'Comparable Fixtures Table'!A63</f>
        <v>491</v>
      </c>
      <c r="E85" s="41" t="str">
        <f>'Comparable Fixtures Table'!B63</f>
        <v>RLS 491: UG MH Contemporary 32000L Fix</v>
      </c>
      <c r="F85" s="33" t="str">
        <f>IF('Comparable Fixtures Table'!Q63="No",'Comparable Fixtures Table'!D63,"")</f>
        <v/>
      </c>
    </row>
    <row r="86" spans="1:6" x14ac:dyDescent="0.25">
      <c r="A86" s="41" t="str">
        <f>IF('Comparable Fixtures Table'!I64&lt;&gt;'Comparable Fixtures Table'!I63,'Comparable Fixtures Table'!I64,"")</f>
        <v/>
      </c>
      <c r="B86" s="41" t="str">
        <f>IF('Comparable Fixtures Table'!K64&lt;&gt;'Comparable Fixtures Table'!K63,'Comparable Fixtures Table'!K64,"")</f>
        <v/>
      </c>
      <c r="C86" s="33" t="str">
        <f>IF('Comparable Fixtures Table'!I64&lt;&gt;'Comparable Fixtures Table'!I63,'Comparable Fixtures Table'!T64,"")</f>
        <v/>
      </c>
      <c r="D86" s="42">
        <f>'Comparable Fixtures Table'!A64</f>
        <v>499</v>
      </c>
      <c r="E86" s="41" t="str">
        <f>'Comparable Fixtures Table'!B64</f>
        <v>RLS 499: UG HPS Contemporary 50000L Fix</v>
      </c>
      <c r="F86" s="33" t="str">
        <f>IF('Comparable Fixtures Table'!Q64="No",'Comparable Fixtures Table'!D64,"")</f>
        <v/>
      </c>
    </row>
    <row r="87" spans="1:6" x14ac:dyDescent="0.25">
      <c r="A87" s="41"/>
      <c r="C87" s="33"/>
      <c r="D87" s="42"/>
      <c r="F87" s="33"/>
    </row>
    <row r="88" spans="1:6" x14ac:dyDescent="0.25">
      <c r="A88" s="41" t="str">
        <f>IF('Comparable Fixtures Table'!I65&lt;&gt;'Comparable Fixtures Table'!I64,'Comparable Fixtures Table'!I65,"")</f>
        <v>KN5</v>
      </c>
      <c r="B88" s="41" t="str">
        <f>IF('Comparable Fixtures Table'!K65&lt;&gt;'Comparable Fixtures Table'!K64,'Comparable Fixtures Table'!K65,"")</f>
        <v>LS KN5 UG LED Contemporary 45000-50000</v>
      </c>
      <c r="C88" s="33">
        <f>IF('Comparable Fixtures Table'!I65&lt;&gt;'Comparable Fixtures Table'!I64,'Comparable Fixtures Table'!T65,"")</f>
        <v>51.509383510791359</v>
      </c>
      <c r="D88" s="42">
        <f>'Comparable Fixtures Table'!A65</f>
        <v>493</v>
      </c>
      <c r="E88" s="41" t="str">
        <f>'Comparable Fixtures Table'!B65</f>
        <v>RLS 493: UG MH Contemporary 107800L Fix</v>
      </c>
      <c r="F88" s="33" t="str">
        <f>IF('Comparable Fixtures Table'!Q65="No",'Comparable Fixtures Table'!D65,"")</f>
        <v/>
      </c>
    </row>
    <row r="89" spans="1:6" x14ac:dyDescent="0.25">
      <c r="A89" s="41" t="str">
        <f>IF('Comparable Fixtures Table'!I66&lt;&gt;'Comparable Fixtures Table'!I65,'Comparable Fixtures Table'!I66,"")</f>
        <v/>
      </c>
      <c r="B89" s="41" t="str">
        <f>IF('Comparable Fixtures Table'!K66&lt;&gt;'Comparable Fixtures Table'!K65,'Comparable Fixtures Table'!K66,"")</f>
        <v/>
      </c>
      <c r="C89" s="33" t="str">
        <f>IF('Comparable Fixtures Table'!I66&lt;&gt;'Comparable Fixtures Table'!I65,'Comparable Fixtures Table'!T66,"")</f>
        <v/>
      </c>
      <c r="D89" s="42">
        <f>'Comparable Fixtures Table'!A66</f>
        <v>496</v>
      </c>
      <c r="E89" s="41" t="str">
        <f>'Comparable Fixtures Table'!B66</f>
        <v>RLS 496: UG MH Contemporary 107800L Deco</v>
      </c>
      <c r="F89" s="33" t="str">
        <f>IF('Comparable Fixtures Table'!Q66="No",'Comparable Fixtures Table'!D66,"")</f>
        <v/>
      </c>
    </row>
    <row r="90" spans="1:6" x14ac:dyDescent="0.25">
      <c r="A90" s="41"/>
      <c r="C90" s="33"/>
      <c r="D90" s="42"/>
      <c r="F90" s="33"/>
    </row>
    <row r="91" spans="1:6" x14ac:dyDescent="0.25">
      <c r="A91" s="41" t="str">
        <f>IF('Comparable Fixtures Table'!I67&lt;&gt;'Comparable Fixtures Table'!I66,'Comparable Fixtures Table'!I67,"")</f>
        <v>KV1</v>
      </c>
      <c r="B91" s="41" t="str">
        <f>IF('Comparable Fixtures Table'!K67&lt;&gt;'Comparable Fixtures Table'!K66,'Comparable Fixtures Table'!K67,"")</f>
        <v>LS KV1 UG LED Victorian 4000-7000</v>
      </c>
      <c r="C91" s="33" t="e">
        <f>IF('Comparable Fixtures Table'!I67&lt;&gt;'Comparable Fixtures Table'!I66,'Comparable Fixtures Table'!T67,"")</f>
        <v>#REF!</v>
      </c>
      <c r="D91" s="42">
        <f>'Comparable Fixtures Table'!A67</f>
        <v>414</v>
      </c>
      <c r="E91" s="41" t="str">
        <f>'Comparable Fixtures Table'!B67</f>
        <v>RLS 414: UG HPS Victorian 5800L Historic</v>
      </c>
      <c r="F91" s="33" t="str">
        <f>IF('Comparable Fixtures Table'!Q67="No",'Comparable Fixtures Table'!D67,"")</f>
        <v/>
      </c>
    </row>
    <row r="92" spans="1:6" x14ac:dyDescent="0.25">
      <c r="A92" s="41" t="str">
        <f>IF('Comparable Fixtures Table'!I68&lt;&gt;'Comparable Fixtures Table'!I67,'Comparable Fixtures Table'!I68,"")</f>
        <v/>
      </c>
      <c r="B92" s="41" t="str">
        <f>IF('Comparable Fixtures Table'!K68&lt;&gt;'Comparable Fixtures Table'!K67,'Comparable Fixtures Table'!K68,"")</f>
        <v/>
      </c>
      <c r="C92" s="33" t="str">
        <f>IF('Comparable Fixtures Table'!I68&lt;&gt;'Comparable Fixtures Table'!I67,'Comparable Fixtures Table'!T68,"")</f>
        <v/>
      </c>
      <c r="D92" s="42">
        <f>'Comparable Fixtures Table'!A68</f>
        <v>415</v>
      </c>
      <c r="E92" s="41" t="str">
        <f>'Comparable Fixtures Table'!B68</f>
        <v>RLS 415: UG HPS Victorian 9500L Historic</v>
      </c>
      <c r="F92" s="33" t="str">
        <f>IF('Comparable Fixtures Table'!Q68="No",'Comparable Fixtures Table'!D68,"")</f>
        <v/>
      </c>
    </row>
    <row r="93" spans="1:6" x14ac:dyDescent="0.25">
      <c r="A93" s="40"/>
      <c r="D93" s="42"/>
      <c r="F93" s="33"/>
    </row>
    <row r="94" spans="1:6" x14ac:dyDescent="0.25">
      <c r="A94" s="40"/>
      <c r="D94" s="42"/>
      <c r="F94" s="33"/>
    </row>
    <row r="95" spans="1:6" x14ac:dyDescent="0.25">
      <c r="A95" s="40"/>
      <c r="D95" s="42"/>
      <c r="F95" s="33"/>
    </row>
    <row r="96" spans="1:6" x14ac:dyDescent="0.25">
      <c r="A96" s="40"/>
      <c r="D96" s="42"/>
      <c r="F96" s="33"/>
    </row>
    <row r="97" spans="1:6" x14ac:dyDescent="0.25">
      <c r="A97" s="40"/>
      <c r="D97" s="42"/>
      <c r="F97" s="33"/>
    </row>
    <row r="98" spans="1:6" x14ac:dyDescent="0.25">
      <c r="A98" s="40"/>
      <c r="D98" s="42"/>
      <c r="F98" s="33"/>
    </row>
    <row r="99" spans="1:6" x14ac:dyDescent="0.25">
      <c r="A99" s="40"/>
      <c r="D99" s="42"/>
      <c r="F99" s="33"/>
    </row>
    <row r="100" spans="1:6" x14ac:dyDescent="0.25">
      <c r="A100" s="40"/>
      <c r="D100" s="42"/>
      <c r="F100" s="33"/>
    </row>
    <row r="101" spans="1:6" x14ac:dyDescent="0.25">
      <c r="A101" s="40"/>
      <c r="D101" s="42"/>
    </row>
    <row r="102" spans="1:6" x14ac:dyDescent="0.25">
      <c r="A102" s="40"/>
      <c r="D102" s="42"/>
    </row>
    <row r="103" spans="1:6" x14ac:dyDescent="0.25">
      <c r="A103" s="40"/>
      <c r="D103" s="42"/>
    </row>
    <row r="104" spans="1:6" x14ac:dyDescent="0.25">
      <c r="A104" s="40"/>
      <c r="D104" s="4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3" ma:contentTypeDescription="Create a new document." ma:contentTypeScope="" ma:versionID="cacfa8175316c073b911f4e929358acd">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3e7f21d9c579c12408c77b5d4d8fcc13"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Company>
    <Tariff_x0020_Dev_x0020_Doc_x0020_Type xmlns="54fcda00-7b58-44a7-b108-8bd10a8a08ba" xsi:nil="true"/>
    <Filing_x0020_Requirement xmlns="54fcda00-7b58-44a7-b108-8bd10a8a08ba" xsi:nil="true"/>
    <Round xmlns="54fcda00-7b58-44a7-b108-8bd10a8a08ba">DR01 Attachments</Round>
    <FormData xmlns="http://schemas.microsoft.com/sharepoint/v3">&lt;?xml version="1.0" encoding="utf-8"?&gt;&lt;FormVariables&gt;&lt;Version /&gt;&lt;/FormVariables&gt;</FormData>
    <Data_x0020_Request_x0020_Question_x0020_No_x002e_ xmlns="54fcda00-7b58-44a7-b108-8bd10a8a08ba">012</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Lexington-Fayette Urban County Govt - LFUCG</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65A1A1C1-C6CE-4462-A918-955207A1DE6A}">
  <ds:schemaRefs>
    <ds:schemaRef ds:uri="http://schemas.microsoft.com/sharepoint/v3/contenttype/forms/url"/>
  </ds:schemaRefs>
</ds:datastoreItem>
</file>

<file path=customXml/itemProps2.xml><?xml version="1.0" encoding="utf-8"?>
<ds:datastoreItem xmlns:ds="http://schemas.openxmlformats.org/officeDocument/2006/customXml" ds:itemID="{6609E32F-9BB9-4D83-AFFC-FBD46DBC3059}">
  <ds:schemaRefs>
    <ds:schemaRef ds:uri="http://schemas.microsoft.com/sharepoint/v3/contenttype/forms"/>
  </ds:schemaRefs>
</ds:datastoreItem>
</file>

<file path=customXml/itemProps3.xml><?xml version="1.0" encoding="utf-8"?>
<ds:datastoreItem xmlns:ds="http://schemas.openxmlformats.org/officeDocument/2006/customXml" ds:itemID="{60357BCC-99D8-48F4-9E4A-C01494C0DECA}">
  <ds:schemaRefs/>
</ds:datastoreItem>
</file>

<file path=customXml/itemProps4.xml><?xml version="1.0" encoding="utf-8"?>
<ds:datastoreItem xmlns:ds="http://schemas.openxmlformats.org/officeDocument/2006/customXml" ds:itemID="{09BE3E19-6956-4757-82FA-52CFE4C7B2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fcda00-7b58-44a7-b108-8bd10a8a0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67DCA47-4AB4-4FD7-A643-E8EB47D74AFA}">
  <ds:schemaRefs>
    <ds:schemaRef ds:uri="http://schemas.microsoft.com/office/2006/metadata/properties"/>
    <ds:schemaRef ds:uri="http://schemas.microsoft.com/office/infopath/2007/PartnerControls"/>
    <ds:schemaRef ds:uri="54fcda00-7b58-44a7-b108-8bd10a8a08b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Comparable Fixtures Table</vt:lpstr>
      <vt:lpstr>Unified rate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2021-01-13T20:56:29Z</dcterms:created>
  <dcterms:modified xsi:type="dcterms:W3CDTF">2021-03-31T22:42:44Z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