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xl/comments1.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fs2\rates\Rate Case 2020\Cost of Service\COS Studies\Seelye Exhibits (in excel for Q56)\"/>
    </mc:Choice>
  </mc:AlternateContent>
  <xr:revisionPtr revIDLastSave="0" documentId="13_ncr:1_{E1997D2D-79B1-424D-A295-0F3BBA0EE496}" xr6:coauthVersionLast="45" xr6:coauthVersionMax="45" xr10:uidLastSave="{00000000-0000-0000-0000-000000000000}"/>
  <bookViews>
    <workbookView xWindow="-120" yWindow="-120" windowWidth="29040" windowHeight="15840" tabRatio="836" xr2:uid="{00000000-000D-0000-FFFF-FFFF00000000}"/>
  </bookViews>
  <sheets>
    <sheet name="Summary" sheetId="36" r:id="rId1"/>
    <sheet name="Summary-1" sheetId="18" state="hidden" r:id="rId2"/>
    <sheet name="Proposed Charges" sheetId="35" state="hidden" r:id="rId3"/>
    <sheet name="KU Disconnect Reconnect EX-1" sheetId="2" r:id="rId4"/>
    <sheet name="LG&amp;E Disconnect Reconnect EX-1" sheetId="5" r:id="rId5"/>
    <sheet name="KU Meter Test EX-2" sheetId="8" r:id="rId6"/>
    <sheet name="LG&amp;E-E Meter Test EX-2" sheetId="7" r:id="rId7"/>
    <sheet name="LG&amp;E-G Meter Test EX-3" sheetId="9" r:id="rId8"/>
    <sheet name="LG&amp;E-G Inspection-Add Trip" sheetId="23" r:id="rId9"/>
    <sheet name="KU Meter Data Processing EX-3" sheetId="10" state="hidden" r:id="rId10"/>
    <sheet name="LGE Meter Data Processing EX-4" sheetId="11" state="hidden" r:id="rId11"/>
    <sheet name="LG&amp;E Return Check EX-5" sheetId="21" r:id="rId12"/>
    <sheet name="KU Return Check EX-4" sheetId="22" r:id="rId13"/>
    <sheet name="LG&amp;E-E Meter Pulse" sheetId="15" r:id="rId14"/>
    <sheet name="LGE-E Meter Pulse - 5-Year" sheetId="25" r:id="rId15"/>
    <sheet name="LGE-E Meter Pu WACOC-Tax Table" sheetId="26" state="hidden" r:id="rId16"/>
    <sheet name="LGE-E Meter Pulse - NPV" sheetId="27" state="hidden" r:id="rId17"/>
    <sheet name="LG&amp;E-G Meter Pulse" sheetId="24" r:id="rId18"/>
    <sheet name="LGE Gas Meter Pulse - 5-Year" sheetId="31" state="hidden" r:id="rId19"/>
    <sheet name="LGE Gas Meter - WACOC-Tax Table" sheetId="32" state="hidden" r:id="rId20"/>
    <sheet name="LGE Gas Meter Pulse - NPV" sheetId="33" state="hidden" r:id="rId21"/>
    <sheet name="KU Meter Pulse" sheetId="16" r:id="rId22"/>
    <sheet name="KU Meter Pulse - 5-Year" sheetId="28" state="hidden" r:id="rId23"/>
    <sheet name="KU Meter Pulse -WACOC-Tax Table" sheetId="29" state="hidden" r:id="rId24"/>
    <sheet name="KU Meter Pulse - NPV" sheetId="30" state="hidden" r:id="rId25"/>
    <sheet name="LGE-E UAR" sheetId="43" r:id="rId26"/>
    <sheet name="LGE-G UAR" sheetId="44" r:id="rId27"/>
    <sheet name="KU-E UAR" sheetId="40" r:id="rId28"/>
    <sheet name="Data" sheetId="4" state="hidden" r:id="rId29"/>
    <sheet name="Cost Per Order Type Field Ser" sheetId="45" state="hidden" r:id="rId30"/>
    <sheet name="2020 - 2018 Comparison" sheetId="46" state="hidden" r:id="rId31"/>
    <sheet name="Cost Per Order Type 9-13 8-14" sheetId="38" state="hidden" r:id="rId32"/>
  </sheets>
  <externalReferences>
    <externalReference r:id="rId33"/>
    <externalReference r:id="rId34"/>
  </externalReferences>
  <definedNames>
    <definedName name="_xlnm.Print_Area" localSheetId="31">'Cost Per Order Type 9-13 8-14'!$A$1:$H$40</definedName>
    <definedName name="_xlnm.Print_Area" localSheetId="29">'Cost Per Order Type Field Ser'!$A$1:$H$40</definedName>
    <definedName name="_xlnm.Print_Area" localSheetId="3">'KU Disconnect Reconnect EX-1'!$A$7:$B$21</definedName>
    <definedName name="_xlnm.Print_Area" localSheetId="9">'KU Meter Data Processing EX-3'!$A$1:$B$27</definedName>
    <definedName name="_xlnm.Print_Area" localSheetId="21">'KU Meter Pulse'!$A$1:$B$26</definedName>
    <definedName name="_xlnm.Print_Area" localSheetId="22">'KU Meter Pulse - 5-Year'!$A$1:$I$46</definedName>
    <definedName name="_xlnm.Print_Area" localSheetId="24">'KU Meter Pulse - NPV'!$A$1:$Q$72</definedName>
    <definedName name="_xlnm.Print_Area" localSheetId="5">'KU Meter Test EX-2'!$A$8:$B$20</definedName>
    <definedName name="_xlnm.Print_Area" localSheetId="12">'KU Return Check EX-4'!$A$8:$D$25</definedName>
    <definedName name="_xlnm.Print_Area" localSheetId="27">'KU-E UAR'!$A$7:$B$51</definedName>
    <definedName name="_xlnm.Print_Area" localSheetId="4">'LG&amp;E Disconnect Reconnect EX-1'!$A$8:$B$21</definedName>
    <definedName name="_xlnm.Print_Area" localSheetId="11">'LG&amp;E Return Check EX-5'!$A$8:$D$25</definedName>
    <definedName name="_xlnm.Print_Area" localSheetId="13">'LG&amp;E-E Meter Pulse'!$A$8:$B$27</definedName>
    <definedName name="_xlnm.Print_Area" localSheetId="6">'LG&amp;E-E Meter Test EX-2'!$A$8:$B$20</definedName>
    <definedName name="_xlnm.Print_Area" localSheetId="8">'LG&amp;E-G Inspection-Add Trip'!$A$8:$B$19</definedName>
    <definedName name="_xlnm.Print_Area" localSheetId="17">'LG&amp;E-G Meter Pulse'!$A$8:$B$41</definedName>
    <definedName name="_xlnm.Print_Area" localSheetId="7">'LG&amp;E-G Meter Test EX-3'!$A$8:$B$20</definedName>
    <definedName name="_xlnm.Print_Area" localSheetId="18">'LGE Gas Meter Pulse - 5-Year'!$A$1:$I$50</definedName>
    <definedName name="_xlnm.Print_Area" localSheetId="20">'LGE Gas Meter Pulse - NPV'!$A$1:$Q$72</definedName>
    <definedName name="_xlnm.Print_Area" localSheetId="10">'LGE Meter Data Processing EX-4'!$A$1:$B$27</definedName>
    <definedName name="_xlnm.Print_Area" localSheetId="14">'LGE-E Meter Pulse - 5-Year'!$A$1:$I$46</definedName>
    <definedName name="_xlnm.Print_Area" localSheetId="16">'LGE-E Meter Pulse - NPV'!$A$1:$Q$72</definedName>
    <definedName name="_xlnm.Print_Area" localSheetId="25">'LGE-E UAR'!$A$1:$B$51</definedName>
    <definedName name="_xlnm.Print_Area" localSheetId="26">'LGE-G UAR'!$A$8:$B$38</definedName>
    <definedName name="_xlnm.Print_Area" localSheetId="0">Summary!$A$1:$G$46</definedName>
    <definedName name="_xlnm.Print_Titles" localSheetId="24">'KU Meter Pulse - NPV'!$A:$A</definedName>
    <definedName name="_xlnm.Print_Titles" localSheetId="20">'LGE Gas Meter Pulse - NPV'!$A:$A</definedName>
    <definedName name="_xlnm.Print_Titles" localSheetId="16">'LGE-E Meter Pulse - NPV'!$A:$A</definedName>
    <definedName name="WACC" localSheetId="31">'[1]LookUp Ranges'!$L$12</definedName>
    <definedName name="WACC" localSheetId="29">'[1]LookUp Ranges'!$L$12</definedName>
    <definedName name="WACC">'[2]LookUp Ranges'!$L$12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40" l="1"/>
  <c r="F43" i="2"/>
  <c r="F43" i="5"/>
  <c r="F43" i="36"/>
  <c r="F15" i="2"/>
  <c r="F15" i="5"/>
  <c r="F15" i="36"/>
  <c r="E10" i="25" l="1"/>
  <c r="E10" i="28" l="1"/>
  <c r="B32" i="24"/>
  <c r="E10" i="31"/>
  <c r="G33" i="31"/>
  <c r="B35" i="24" l="1"/>
  <c r="B16" i="2"/>
  <c r="F10" i="29" l="1"/>
  <c r="F11" i="29" l="1"/>
  <c r="F11" i="26"/>
  <c r="F11" i="32"/>
  <c r="F10" i="32"/>
  <c r="G27" i="46" l="1"/>
  <c r="H27" i="46" s="1"/>
  <c r="F27" i="46"/>
  <c r="C26" i="46"/>
  <c r="B26" i="46"/>
  <c r="E59" i="46" l="1"/>
  <c r="E34" i="46" l="1"/>
  <c r="D34" i="46"/>
  <c r="C34" i="46"/>
  <c r="B34" i="46"/>
  <c r="G33" i="46"/>
  <c r="H33" i="46" s="1"/>
  <c r="F33" i="46"/>
  <c r="G32" i="46"/>
  <c r="G34" i="46" s="1"/>
  <c r="F32" i="46"/>
  <c r="F34" i="46" s="1"/>
  <c r="B14" i="46"/>
  <c r="F13" i="46"/>
  <c r="E13" i="46"/>
  <c r="F12" i="46"/>
  <c r="F14" i="46" s="1"/>
  <c r="E12" i="46"/>
  <c r="B7" i="46"/>
  <c r="B18" i="46" s="1"/>
  <c r="B6" i="46"/>
  <c r="B17" i="46" s="1"/>
  <c r="E74" i="46"/>
  <c r="D59" i="46"/>
  <c r="C59" i="46"/>
  <c r="B59" i="46"/>
  <c r="E58" i="46"/>
  <c r="D63" i="46" s="1"/>
  <c r="E57" i="46"/>
  <c r="D62" i="46" s="1"/>
  <c r="D47" i="46"/>
  <c r="D46" i="46"/>
  <c r="C47" i="46"/>
  <c r="E25" i="46" s="1"/>
  <c r="C46" i="46"/>
  <c r="E26" i="46" s="1"/>
  <c r="B47" i="46"/>
  <c r="B69" i="46" s="1"/>
  <c r="B46" i="46"/>
  <c r="B68" i="46" s="1"/>
  <c r="C40" i="46"/>
  <c r="B40" i="46"/>
  <c r="E75" i="46"/>
  <c r="E73" i="46"/>
  <c r="D69" i="46"/>
  <c r="C69" i="46" l="1"/>
  <c r="B62" i="46"/>
  <c r="C68" i="46"/>
  <c r="B19" i="46"/>
  <c r="D25" i="46"/>
  <c r="E47" i="46"/>
  <c r="E69" i="46" s="1"/>
  <c r="C62" i="46"/>
  <c r="E14" i="46"/>
  <c r="E40" i="46"/>
  <c r="G26" i="46"/>
  <c r="E39" i="46"/>
  <c r="E27" i="46"/>
  <c r="B63" i="46"/>
  <c r="B8" i="46"/>
  <c r="D26" i="46"/>
  <c r="D68" i="46"/>
  <c r="C63" i="46"/>
  <c r="E46" i="46"/>
  <c r="E68" i="46" s="1"/>
  <c r="H32" i="46"/>
  <c r="D52" i="46" l="1"/>
  <c r="D74" i="46" s="1"/>
  <c r="B52" i="46"/>
  <c r="B74" i="46" s="1"/>
  <c r="D27" i="46"/>
  <c r="C52" i="46"/>
  <c r="D6" i="46" s="1"/>
  <c r="D17" i="46" s="1"/>
  <c r="E41" i="46"/>
  <c r="C51" i="46"/>
  <c r="D7" i="46" s="1"/>
  <c r="D39" i="46"/>
  <c r="B51" i="46"/>
  <c r="B73" i="46" s="1"/>
  <c r="D51" i="46"/>
  <c r="D73" i="46" s="1"/>
  <c r="G40" i="46"/>
  <c r="H26" i="46"/>
  <c r="H40" i="46" s="1"/>
  <c r="I40" i="46" s="1"/>
  <c r="B64" i="46"/>
  <c r="D64" i="46"/>
  <c r="C64" i="46"/>
  <c r="F26" i="46"/>
  <c r="F40" i="46" s="1"/>
  <c r="D40" i="46"/>
  <c r="H34" i="46"/>
  <c r="B68" i="4"/>
  <c r="B61" i="4"/>
  <c r="D41" i="46" l="1"/>
  <c r="C7" i="46"/>
  <c r="E7" i="46" s="1"/>
  <c r="E18" i="46" s="1"/>
  <c r="C6" i="46"/>
  <c r="C17" i="46" s="1"/>
  <c r="F6" i="46"/>
  <c r="C25" i="46" s="1"/>
  <c r="C73" i="46"/>
  <c r="C74" i="46"/>
  <c r="D18" i="46"/>
  <c r="F7" i="46"/>
  <c r="F18" i="46" s="1"/>
  <c r="G54" i="4"/>
  <c r="C18" i="46" l="1"/>
  <c r="E6" i="46"/>
  <c r="B25" i="46" s="1"/>
  <c r="F17" i="46"/>
  <c r="F19" i="46" s="1"/>
  <c r="E17" i="46"/>
  <c r="E19" i="46" s="1"/>
  <c r="G25" i="46"/>
  <c r="C27" i="46"/>
  <c r="C39" i="46"/>
  <c r="C41" i="46" s="1"/>
  <c r="F8" i="46"/>
  <c r="G75" i="4"/>
  <c r="F75" i="4" s="1"/>
  <c r="F74" i="4"/>
  <c r="E74" i="4"/>
  <c r="E8" i="46" l="1"/>
  <c r="G39" i="46"/>
  <c r="G41" i="46" s="1"/>
  <c r="H25" i="46"/>
  <c r="F25" i="46"/>
  <c r="B27" i="46"/>
  <c r="B39" i="46"/>
  <c r="B41" i="46" s="1"/>
  <c r="E75" i="4"/>
  <c r="C13" i="4"/>
  <c r="B13" i="4"/>
  <c r="H39" i="46" l="1"/>
  <c r="F39" i="46"/>
  <c r="F41" i="46" s="1"/>
  <c r="H41" i="46" l="1"/>
  <c r="I39" i="46"/>
  <c r="D24" i="45"/>
  <c r="D23" i="45"/>
  <c r="D22" i="45"/>
  <c r="D21" i="45"/>
  <c r="D20" i="45"/>
  <c r="D22" i="22" l="1"/>
  <c r="F18" i="22" l="1"/>
  <c r="G18" i="22" s="1"/>
  <c r="F37" i="36"/>
  <c r="F20" i="22"/>
  <c r="G20" i="22" s="1"/>
  <c r="F19" i="22"/>
  <c r="G19" i="22" s="1"/>
  <c r="G21" i="22" l="1"/>
  <c r="D50" i="4"/>
  <c r="H11" i="4" l="1"/>
  <c r="D32" i="45" l="1"/>
  <c r="D48" i="46" s="1"/>
  <c r="D70" i="46" s="1"/>
  <c r="C32" i="45"/>
  <c r="C48" i="46" s="1"/>
  <c r="C70" i="46" s="1"/>
  <c r="B32" i="45"/>
  <c r="B48" i="46" s="1"/>
  <c r="E31" i="45"/>
  <c r="E30" i="45"/>
  <c r="C25" i="45"/>
  <c r="B25" i="45"/>
  <c r="E48" i="46" l="1"/>
  <c r="B70" i="46"/>
  <c r="D25" i="45"/>
  <c r="E32" i="45"/>
  <c r="E38" i="45" s="1"/>
  <c r="E37" i="45"/>
  <c r="D37" i="45"/>
  <c r="C37" i="45"/>
  <c r="B37" i="45"/>
  <c r="E36" i="45"/>
  <c r="D36" i="45"/>
  <c r="C36" i="45"/>
  <c r="D4" i="45" s="1"/>
  <c r="C4" i="45" s="1"/>
  <c r="B36" i="45"/>
  <c r="E11" i="45"/>
  <c r="D11" i="45"/>
  <c r="E10" i="45"/>
  <c r="D10" i="45"/>
  <c r="B4" i="45"/>
  <c r="B3" i="45"/>
  <c r="F4" i="45" l="1"/>
  <c r="C11" i="45" s="1"/>
  <c r="B53" i="46"/>
  <c r="B75" i="46" s="1"/>
  <c r="C53" i="46"/>
  <c r="C75" i="46" s="1"/>
  <c r="E70" i="46"/>
  <c r="D53" i="46"/>
  <c r="D75" i="46" s="1"/>
  <c r="D3" i="45"/>
  <c r="F3" i="45" s="1"/>
  <c r="C10" i="45" s="1"/>
  <c r="B38" i="45"/>
  <c r="C38" i="45"/>
  <c r="D38" i="45"/>
  <c r="D12" i="45"/>
  <c r="E12" i="45"/>
  <c r="E4" i="45"/>
  <c r="B11" i="45" s="1"/>
  <c r="F11" i="45" s="1"/>
  <c r="G11" i="45"/>
  <c r="G10" i="45" l="1"/>
  <c r="A23" i="5" s="1"/>
  <c r="C12" i="45"/>
  <c r="G12" i="45" s="1"/>
  <c r="C3" i="45"/>
  <c r="E3" i="45" s="1"/>
  <c r="B10" i="45" s="1"/>
  <c r="B12" i="45" s="1"/>
  <c r="A23" i="2"/>
  <c r="H11" i="45"/>
  <c r="H10" i="45"/>
  <c r="F10" i="45" l="1"/>
  <c r="F12" i="45"/>
  <c r="H12" i="45"/>
  <c r="E50" i="4" l="1"/>
  <c r="E47" i="4"/>
  <c r="D51" i="4"/>
  <c r="E51" i="4" s="1"/>
  <c r="B59" i="43" l="1"/>
  <c r="B59" i="40"/>
  <c r="D18" i="44" l="1"/>
  <c r="D18" i="43"/>
  <c r="D18" i="40"/>
  <c r="D15" i="43" l="1"/>
  <c r="B19" i="43"/>
  <c r="D32" i="24"/>
  <c r="D15" i="24"/>
  <c r="E18" i="43" l="1"/>
  <c r="F18" i="43" s="1"/>
  <c r="F12" i="36"/>
  <c r="D33" i="24"/>
  <c r="H45" i="31" s="1"/>
  <c r="D16" i="24"/>
  <c r="E15" i="43"/>
  <c r="F15" i="43" s="1"/>
  <c r="B19" i="44"/>
  <c r="F29" i="36" s="1"/>
  <c r="D15" i="44"/>
  <c r="D15" i="40"/>
  <c r="B19" i="40"/>
  <c r="F40" i="36" s="1"/>
  <c r="B63" i="4"/>
  <c r="B70" i="4"/>
  <c r="B17" i="11"/>
  <c r="B17" i="10"/>
  <c r="F19" i="43" l="1"/>
  <c r="G12" i="36" s="1"/>
  <c r="H12" i="36" s="1"/>
  <c r="E15" i="40"/>
  <c r="F15" i="40" s="1"/>
  <c r="D15" i="16"/>
  <c r="D15" i="15"/>
  <c r="E18" i="44"/>
  <c r="F18" i="44" s="1"/>
  <c r="B47" i="43"/>
  <c r="E18" i="40"/>
  <c r="F18" i="40" s="1"/>
  <c r="B35" i="43"/>
  <c r="B28" i="43"/>
  <c r="E15" i="44"/>
  <c r="F15" i="44" s="1"/>
  <c r="E66" i="38"/>
  <c r="D66" i="38"/>
  <c r="E62" i="38"/>
  <c r="D62" i="38"/>
  <c r="B54" i="38"/>
  <c r="F53" i="38"/>
  <c r="C65" i="38" s="1"/>
  <c r="G65" i="38" s="1"/>
  <c r="E53" i="38"/>
  <c r="B65" i="38" s="1"/>
  <c r="F65" i="38" s="1"/>
  <c r="F52" i="38"/>
  <c r="C64" i="38" s="1"/>
  <c r="G64" i="38" s="1"/>
  <c r="E52" i="38"/>
  <c r="B50" i="38"/>
  <c r="F49" i="38"/>
  <c r="C61" i="38" s="1"/>
  <c r="G61" i="38" s="1"/>
  <c r="E49" i="38"/>
  <c r="B61" i="38" s="1"/>
  <c r="F61" i="38" s="1"/>
  <c r="F48" i="38"/>
  <c r="C60" i="38" s="1"/>
  <c r="G60" i="38" s="1"/>
  <c r="E48" i="38"/>
  <c r="B60" i="38" s="1"/>
  <c r="F60" i="38" s="1"/>
  <c r="E38" i="38"/>
  <c r="D38" i="38"/>
  <c r="C38" i="38"/>
  <c r="B38" i="38"/>
  <c r="E37" i="38"/>
  <c r="D37" i="38"/>
  <c r="C37" i="38"/>
  <c r="B37" i="38"/>
  <c r="E36" i="38"/>
  <c r="D36" i="38"/>
  <c r="C36" i="38"/>
  <c r="B36" i="38"/>
  <c r="E11" i="38"/>
  <c r="D11" i="38"/>
  <c r="E10" i="38"/>
  <c r="D10" i="38"/>
  <c r="B4" i="38"/>
  <c r="F4" i="38" s="1"/>
  <c r="C11" i="38" s="1"/>
  <c r="B3" i="38"/>
  <c r="F3" i="38" s="1"/>
  <c r="C10" i="38" s="1"/>
  <c r="K12" i="36" l="1"/>
  <c r="E27" i="43"/>
  <c r="F27" i="43" s="1"/>
  <c r="F13" i="36"/>
  <c r="E34" i="43"/>
  <c r="F34" i="43" s="1"/>
  <c r="F14" i="36"/>
  <c r="E46" i="43"/>
  <c r="F46" i="43" s="1"/>
  <c r="F16" i="36"/>
  <c r="E40" i="43"/>
  <c r="F40" i="43" s="1"/>
  <c r="G15" i="36" s="1"/>
  <c r="H15" i="36" s="1"/>
  <c r="F19" i="40"/>
  <c r="E54" i="38"/>
  <c r="B66" i="38" s="1"/>
  <c r="F66" i="38"/>
  <c r="D77" i="38"/>
  <c r="E77" i="38"/>
  <c r="B28" i="40"/>
  <c r="B47" i="40"/>
  <c r="B35" i="40"/>
  <c r="E33" i="43"/>
  <c r="F33" i="43" s="1"/>
  <c r="E45" i="43"/>
  <c r="F45" i="43" s="1"/>
  <c r="B28" i="44"/>
  <c r="F19" i="44"/>
  <c r="G29" i="36" s="1"/>
  <c r="H29" i="36" s="1"/>
  <c r="E26" i="43"/>
  <c r="F26" i="43" s="1"/>
  <c r="F28" i="43" s="1"/>
  <c r="G13" i="36" s="1"/>
  <c r="H13" i="36" s="1"/>
  <c r="B64" i="38"/>
  <c r="F64" i="38" s="1"/>
  <c r="E4" i="38"/>
  <c r="B11" i="38" s="1"/>
  <c r="B77" i="38" s="1"/>
  <c r="F54" i="38"/>
  <c r="C66" i="38" s="1"/>
  <c r="G66" i="38" s="1"/>
  <c r="H66" i="38" s="1"/>
  <c r="D12" i="38"/>
  <c r="D78" i="38" s="1"/>
  <c r="D67" i="38"/>
  <c r="E12" i="38"/>
  <c r="E50" i="38"/>
  <c r="B62" i="38" s="1"/>
  <c r="B67" i="38" s="1"/>
  <c r="F67" i="38" s="1"/>
  <c r="E67" i="38"/>
  <c r="G11" i="38"/>
  <c r="F11" i="38"/>
  <c r="G10" i="38"/>
  <c r="C12" i="38"/>
  <c r="D76" i="38"/>
  <c r="E3" i="38"/>
  <c r="B10" i="38" s="1"/>
  <c r="F50" i="38"/>
  <c r="C62" i="38" s="1"/>
  <c r="E76" i="38"/>
  <c r="F35" i="43" l="1"/>
  <c r="G14" i="36"/>
  <c r="H14" i="36" s="1"/>
  <c r="E27" i="40"/>
  <c r="F27" i="40" s="1"/>
  <c r="F41" i="36"/>
  <c r="E26" i="44"/>
  <c r="F26" i="44" s="1"/>
  <c r="F30" i="36"/>
  <c r="E34" i="40"/>
  <c r="F34" i="40" s="1"/>
  <c r="F42" i="36"/>
  <c r="F47" i="43"/>
  <c r="G16" i="36" s="1"/>
  <c r="H16" i="36" s="1"/>
  <c r="E46" i="40"/>
  <c r="F46" i="40" s="1"/>
  <c r="F44" i="36"/>
  <c r="G40" i="36"/>
  <c r="H40" i="36" s="1"/>
  <c r="K29" i="36"/>
  <c r="K13" i="36"/>
  <c r="K15" i="36"/>
  <c r="E40" i="40"/>
  <c r="F40" i="40" s="1"/>
  <c r="F77" i="38"/>
  <c r="C77" i="38"/>
  <c r="E33" i="40"/>
  <c r="F33" i="40" s="1"/>
  <c r="E45" i="40"/>
  <c r="F45" i="40" s="1"/>
  <c r="E26" i="40"/>
  <c r="F26" i="40" s="1"/>
  <c r="F28" i="40" s="1"/>
  <c r="E27" i="44"/>
  <c r="F27" i="44" s="1"/>
  <c r="F28" i="44" s="1"/>
  <c r="F62" i="38"/>
  <c r="E78" i="38"/>
  <c r="C67" i="38"/>
  <c r="G67" i="38" s="1"/>
  <c r="H67" i="38" s="1"/>
  <c r="G62" i="38"/>
  <c r="H62" i="38" s="1"/>
  <c r="B12" i="38"/>
  <c r="B76" i="38"/>
  <c r="F10" i="38"/>
  <c r="C76" i="38"/>
  <c r="H11" i="38"/>
  <c r="G77" i="38"/>
  <c r="H10" i="38"/>
  <c r="G12" i="38"/>
  <c r="K14" i="36" l="1"/>
  <c r="G43" i="36"/>
  <c r="H43" i="36" s="1"/>
  <c r="F35" i="40"/>
  <c r="G42" i="36" s="1"/>
  <c r="H42" i="36" s="1"/>
  <c r="F47" i="40"/>
  <c r="G44" i="36" s="1"/>
  <c r="H44" i="36" s="1"/>
  <c r="K16" i="36"/>
  <c r="G30" i="36"/>
  <c r="G41" i="36"/>
  <c r="H41" i="36" s="1"/>
  <c r="K40" i="36"/>
  <c r="F76" i="38"/>
  <c r="G76" i="38"/>
  <c r="C78" i="38"/>
  <c r="B78" i="38"/>
  <c r="F12" i="38"/>
  <c r="F78" i="38" s="1"/>
  <c r="G78" i="38"/>
  <c r="H12" i="38"/>
  <c r="K44" i="36" l="1"/>
  <c r="K42" i="36"/>
  <c r="K43" i="36"/>
  <c r="K41" i="36"/>
  <c r="H30" i="36"/>
  <c r="K30" i="36"/>
  <c r="K37" i="36"/>
  <c r="G33" i="18"/>
  <c r="G32" i="18"/>
  <c r="G31" i="18"/>
  <c r="G30" i="18"/>
  <c r="G19" i="18"/>
  <c r="G18" i="18"/>
  <c r="H37" i="36" l="1"/>
  <c r="G12" i="35"/>
  <c r="G11" i="35"/>
  <c r="G10" i="35"/>
  <c r="G9" i="35"/>
  <c r="G8" i="35"/>
  <c r="F10" i="35"/>
  <c r="F9" i="35"/>
  <c r="F8" i="35"/>
  <c r="E12" i="35"/>
  <c r="E11" i="35"/>
  <c r="E10" i="35"/>
  <c r="E9" i="35"/>
  <c r="E8" i="35"/>
  <c r="B15" i="11" l="1"/>
  <c r="B15" i="10"/>
  <c r="L65" i="33" l="1"/>
  <c r="L64" i="33"/>
  <c r="L63" i="33"/>
  <c r="L62" i="33"/>
  <c r="L61" i="33"/>
  <c r="L60" i="33"/>
  <c r="L59" i="33"/>
  <c r="L58" i="33"/>
  <c r="L57" i="33"/>
  <c r="L56" i="33"/>
  <c r="L55" i="33"/>
  <c r="L54" i="33"/>
  <c r="L53" i="33"/>
  <c r="L52" i="33"/>
  <c r="L51" i="33"/>
  <c r="L50" i="33"/>
  <c r="L49" i="33"/>
  <c r="L48" i="33"/>
  <c r="L47" i="33"/>
  <c r="L46" i="33"/>
  <c r="L45" i="33"/>
  <c r="L44" i="33"/>
  <c r="L43" i="33"/>
  <c r="L42" i="33"/>
  <c r="L41" i="33"/>
  <c r="L40" i="33"/>
  <c r="L39" i="33"/>
  <c r="L38" i="33"/>
  <c r="L37" i="33"/>
  <c r="L36" i="33"/>
  <c r="L35" i="33"/>
  <c r="L34" i="33"/>
  <c r="L33" i="33"/>
  <c r="L32" i="33"/>
  <c r="L31" i="33"/>
  <c r="M30" i="33"/>
  <c r="B30" i="33"/>
  <c r="E65" i="33" s="1"/>
  <c r="L19" i="33"/>
  <c r="L20" i="33" s="1"/>
  <c r="L21" i="33" s="1"/>
  <c r="L18" i="33"/>
  <c r="O14" i="33"/>
  <c r="O13" i="33"/>
  <c r="O12" i="33"/>
  <c r="E11" i="33"/>
  <c r="O10" i="33"/>
  <c r="O9" i="33"/>
  <c r="O8" i="33"/>
  <c r="G37" i="31"/>
  <c r="C20" i="31"/>
  <c r="C19" i="31"/>
  <c r="C18" i="31"/>
  <c r="C17" i="31"/>
  <c r="C16" i="31"/>
  <c r="D16" i="31" s="1"/>
  <c r="L65" i="30"/>
  <c r="L64" i="30"/>
  <c r="L63" i="30"/>
  <c r="L62" i="30"/>
  <c r="L61" i="30"/>
  <c r="L60" i="30"/>
  <c r="L59" i="30"/>
  <c r="L58" i="30"/>
  <c r="L57" i="30"/>
  <c r="L56" i="30"/>
  <c r="L55" i="30"/>
  <c r="L54" i="30"/>
  <c r="L53" i="30"/>
  <c r="L52" i="30"/>
  <c r="L51" i="30"/>
  <c r="L50" i="30"/>
  <c r="L49" i="30"/>
  <c r="L48" i="30"/>
  <c r="L47" i="30"/>
  <c r="L46" i="30"/>
  <c r="L45" i="30"/>
  <c r="L44" i="30"/>
  <c r="L43" i="30"/>
  <c r="L42" i="30"/>
  <c r="L41" i="30"/>
  <c r="L40" i="30"/>
  <c r="L39" i="30"/>
  <c r="L38" i="30"/>
  <c r="L37" i="30"/>
  <c r="L36" i="30"/>
  <c r="L35" i="30"/>
  <c r="L34" i="30"/>
  <c r="L33" i="30"/>
  <c r="L32" i="30"/>
  <c r="L31" i="30"/>
  <c r="M30" i="30"/>
  <c r="B30" i="30"/>
  <c r="E59" i="30" s="1"/>
  <c r="L19" i="30"/>
  <c r="L20" i="30" s="1"/>
  <c r="L21" i="30" s="1"/>
  <c r="L18" i="30"/>
  <c r="O14" i="30"/>
  <c r="O13" i="30"/>
  <c r="O12" i="30"/>
  <c r="E11" i="30"/>
  <c r="O11" i="30" s="1"/>
  <c r="O10" i="30"/>
  <c r="O9" i="30"/>
  <c r="O8" i="30"/>
  <c r="G37" i="28"/>
  <c r="C20" i="28"/>
  <c r="C19" i="28"/>
  <c r="C18" i="28"/>
  <c r="C17" i="28"/>
  <c r="C16" i="28"/>
  <c r="D16" i="28" s="1"/>
  <c r="L65" i="27"/>
  <c r="L64" i="27"/>
  <c r="L63" i="27"/>
  <c r="L62" i="27"/>
  <c r="L61" i="27"/>
  <c r="L60" i="27"/>
  <c r="L59" i="27"/>
  <c r="L58" i="27"/>
  <c r="L57" i="27"/>
  <c r="L56" i="27"/>
  <c r="L55" i="27"/>
  <c r="L54" i="27"/>
  <c r="L53" i="27"/>
  <c r="L52" i="27"/>
  <c r="L51" i="27"/>
  <c r="L50" i="27"/>
  <c r="L49" i="27"/>
  <c r="L48" i="27"/>
  <c r="L47" i="27"/>
  <c r="L46" i="27"/>
  <c r="L45" i="27"/>
  <c r="L44" i="27"/>
  <c r="L43" i="27"/>
  <c r="L42" i="27"/>
  <c r="L41" i="27"/>
  <c r="L40" i="27"/>
  <c r="L39" i="27"/>
  <c r="L38" i="27"/>
  <c r="L37" i="27"/>
  <c r="L36" i="27"/>
  <c r="L35" i="27"/>
  <c r="L34" i="27"/>
  <c r="L33" i="27"/>
  <c r="L32" i="27"/>
  <c r="L31" i="27"/>
  <c r="M30" i="27"/>
  <c r="B30" i="27"/>
  <c r="E31" i="27" s="1"/>
  <c r="L19" i="27"/>
  <c r="L20" i="27" s="1"/>
  <c r="L21" i="27" s="1"/>
  <c r="L18" i="27"/>
  <c r="O14" i="27"/>
  <c r="O13" i="27"/>
  <c r="O12" i="27"/>
  <c r="E11" i="27"/>
  <c r="O11" i="27" s="1"/>
  <c r="O10" i="27"/>
  <c r="O9" i="27"/>
  <c r="O8" i="27"/>
  <c r="E11" i="26"/>
  <c r="G11" i="26" s="1"/>
  <c r="G37" i="25"/>
  <c r="C20" i="25"/>
  <c r="C19" i="25"/>
  <c r="C18" i="25"/>
  <c r="C17" i="25"/>
  <c r="C16" i="25"/>
  <c r="D17" i="28" l="1"/>
  <c r="D18" i="28" s="1"/>
  <c r="D19" i="28" s="1"/>
  <c r="D20" i="28" s="1"/>
  <c r="E33" i="30"/>
  <c r="E38" i="30"/>
  <c r="E47" i="30"/>
  <c r="E63" i="30"/>
  <c r="D17" i="31"/>
  <c r="D18" i="31" s="1"/>
  <c r="D19" i="31" s="1"/>
  <c r="D20" i="31" s="1"/>
  <c r="C31" i="33"/>
  <c r="D31" i="33" s="1"/>
  <c r="E33" i="33"/>
  <c r="C31" i="30"/>
  <c r="D31" i="30" s="1"/>
  <c r="C32" i="30" s="1"/>
  <c r="D32" i="30" s="1"/>
  <c r="E51" i="30"/>
  <c r="E31" i="33"/>
  <c r="E34" i="30"/>
  <c r="E37" i="30"/>
  <c r="E55" i="30"/>
  <c r="E38" i="33"/>
  <c r="E40" i="30"/>
  <c r="E43" i="30"/>
  <c r="E10" i="29"/>
  <c r="J30" i="30" s="1"/>
  <c r="E11" i="32"/>
  <c r="G11" i="32" s="1"/>
  <c r="E10" i="32"/>
  <c r="J30" i="33" s="1"/>
  <c r="E12" i="32"/>
  <c r="G12" i="32" s="1"/>
  <c r="E12" i="26"/>
  <c r="G12" i="26" s="1"/>
  <c r="E10" i="26"/>
  <c r="G10" i="26" s="1"/>
  <c r="E53" i="33"/>
  <c r="E57" i="33"/>
  <c r="E61" i="33"/>
  <c r="O11" i="33"/>
  <c r="E64" i="33"/>
  <c r="E60" i="33"/>
  <c r="E56" i="33"/>
  <c r="E63" i="33"/>
  <c r="E59" i="33"/>
  <c r="E55" i="33"/>
  <c r="E51" i="33"/>
  <c r="E70" i="33"/>
  <c r="E69" i="33"/>
  <c r="E68" i="33"/>
  <c r="E67" i="33"/>
  <c r="E66" i="33"/>
  <c r="E62" i="33"/>
  <c r="E58" i="33"/>
  <c r="E54" i="33"/>
  <c r="E47" i="33"/>
  <c r="E43" i="33"/>
  <c r="E39" i="33"/>
  <c r="E35" i="33"/>
  <c r="E50" i="33"/>
  <c r="E49" i="33"/>
  <c r="E45" i="33"/>
  <c r="E52" i="33"/>
  <c r="E48" i="33"/>
  <c r="E44" i="33"/>
  <c r="E40" i="33"/>
  <c r="E32" i="33"/>
  <c r="E37" i="33"/>
  <c r="E41" i="33"/>
  <c r="E34" i="33"/>
  <c r="E36" i="33"/>
  <c r="E42" i="33"/>
  <c r="E46" i="33"/>
  <c r="E65" i="30"/>
  <c r="E61" i="30"/>
  <c r="E57" i="30"/>
  <c r="E53" i="30"/>
  <c r="E70" i="30"/>
  <c r="E69" i="30"/>
  <c r="E68" i="30"/>
  <c r="E67" i="30"/>
  <c r="E66" i="30"/>
  <c r="E62" i="30"/>
  <c r="E58" i="30"/>
  <c r="E54" i="30"/>
  <c r="E50" i="30"/>
  <c r="E64" i="30"/>
  <c r="E60" i="30"/>
  <c r="E56" i="30"/>
  <c r="E52" i="30"/>
  <c r="E48" i="30"/>
  <c r="E44" i="30"/>
  <c r="E49" i="30"/>
  <c r="E45" i="30"/>
  <c r="E41" i="30"/>
  <c r="E32" i="30"/>
  <c r="E36" i="30"/>
  <c r="E42" i="30"/>
  <c r="E46" i="30"/>
  <c r="E31" i="30"/>
  <c r="E35" i="30"/>
  <c r="E39" i="30"/>
  <c r="E32" i="27"/>
  <c r="D16" i="25"/>
  <c r="D17" i="25" s="1"/>
  <c r="D18" i="25" s="1"/>
  <c r="D19" i="25" s="1"/>
  <c r="D20" i="25" s="1"/>
  <c r="E64" i="27"/>
  <c r="E60" i="27"/>
  <c r="E56" i="27"/>
  <c r="E52" i="27"/>
  <c r="E63" i="27"/>
  <c r="E59" i="27"/>
  <c r="E55" i="27"/>
  <c r="E70" i="27"/>
  <c r="E69" i="27"/>
  <c r="E68" i="27"/>
  <c r="E67" i="27"/>
  <c r="E66" i="27"/>
  <c r="E62" i="27"/>
  <c r="E58" i="27"/>
  <c r="E54" i="27"/>
  <c r="E51" i="27"/>
  <c r="E46" i="27"/>
  <c r="E42" i="27"/>
  <c r="E38" i="27"/>
  <c r="E65" i="27"/>
  <c r="E61" i="27"/>
  <c r="E57" i="27"/>
  <c r="E53" i="27"/>
  <c r="E50" i="27"/>
  <c r="E49" i="27"/>
  <c r="E45" i="27"/>
  <c r="E41" i="27"/>
  <c r="E47" i="27"/>
  <c r="E43" i="27"/>
  <c r="E39" i="27"/>
  <c r="E35" i="27"/>
  <c r="F31" i="27"/>
  <c r="E37" i="27"/>
  <c r="E44" i="27"/>
  <c r="C31" i="27"/>
  <c r="G31" i="27" s="1"/>
  <c r="H31" i="27" s="1"/>
  <c r="E33" i="27"/>
  <c r="E40" i="27"/>
  <c r="E48" i="27"/>
  <c r="E34" i="27"/>
  <c r="E36" i="27"/>
  <c r="M31" i="30" l="1"/>
  <c r="G31" i="33"/>
  <c r="H31" i="33" s="1"/>
  <c r="I31" i="33" s="1"/>
  <c r="G31" i="30"/>
  <c r="H31" i="30" s="1"/>
  <c r="I31" i="30" s="1"/>
  <c r="G32" i="30"/>
  <c r="F31" i="33"/>
  <c r="F32" i="33" s="1"/>
  <c r="F33" i="33" s="1"/>
  <c r="F34" i="33" s="1"/>
  <c r="F35" i="33" s="1"/>
  <c r="F36" i="33" s="1"/>
  <c r="F37" i="33" s="1"/>
  <c r="F38" i="33" s="1"/>
  <c r="F39" i="33" s="1"/>
  <c r="F40" i="33" s="1"/>
  <c r="F41" i="33" s="1"/>
  <c r="F42" i="33" s="1"/>
  <c r="F43" i="33" s="1"/>
  <c r="F44" i="33" s="1"/>
  <c r="F45" i="33" s="1"/>
  <c r="F46" i="33" s="1"/>
  <c r="F47" i="33" s="1"/>
  <c r="F48" i="33" s="1"/>
  <c r="F49" i="33" s="1"/>
  <c r="F50" i="33" s="1"/>
  <c r="F51" i="33" s="1"/>
  <c r="F52" i="33" s="1"/>
  <c r="F53" i="33" s="1"/>
  <c r="F54" i="33" s="1"/>
  <c r="F55" i="33" s="1"/>
  <c r="F56" i="33" s="1"/>
  <c r="F57" i="33" s="1"/>
  <c r="F58" i="33" s="1"/>
  <c r="F59" i="33" s="1"/>
  <c r="F60" i="33" s="1"/>
  <c r="F61" i="33" s="1"/>
  <c r="F62" i="33" s="1"/>
  <c r="F63" i="33" s="1"/>
  <c r="F64" i="33" s="1"/>
  <c r="F65" i="33" s="1"/>
  <c r="F66" i="33" s="1"/>
  <c r="F67" i="33" s="1"/>
  <c r="F68" i="33" s="1"/>
  <c r="F69" i="33" s="1"/>
  <c r="F70" i="33" s="1"/>
  <c r="F32" i="27"/>
  <c r="F33" i="27" s="1"/>
  <c r="F34" i="27" s="1"/>
  <c r="F35" i="27" s="1"/>
  <c r="F36" i="27" s="1"/>
  <c r="F37" i="27" s="1"/>
  <c r="F38" i="27" s="1"/>
  <c r="F39" i="27" s="1"/>
  <c r="F40" i="27" s="1"/>
  <c r="F41" i="27" s="1"/>
  <c r="F42" i="27" s="1"/>
  <c r="F43" i="27" s="1"/>
  <c r="F44" i="27" s="1"/>
  <c r="F45" i="27" s="1"/>
  <c r="F46" i="27" s="1"/>
  <c r="F47" i="27" s="1"/>
  <c r="F48" i="27" s="1"/>
  <c r="F49" i="27" s="1"/>
  <c r="F50" i="27" s="1"/>
  <c r="F51" i="27" s="1"/>
  <c r="F52" i="27" s="1"/>
  <c r="F53" i="27" s="1"/>
  <c r="F54" i="27" s="1"/>
  <c r="F55" i="27" s="1"/>
  <c r="F56" i="27" s="1"/>
  <c r="F57" i="27" s="1"/>
  <c r="F58" i="27" s="1"/>
  <c r="F59" i="27" s="1"/>
  <c r="F60" i="27" s="1"/>
  <c r="F61" i="27" s="1"/>
  <c r="F62" i="27" s="1"/>
  <c r="F63" i="27" s="1"/>
  <c r="F64" i="27" s="1"/>
  <c r="F65" i="27" s="1"/>
  <c r="F66" i="27" s="1"/>
  <c r="F67" i="27" s="1"/>
  <c r="F68" i="27" s="1"/>
  <c r="F69" i="27" s="1"/>
  <c r="F70" i="27" s="1"/>
  <c r="E11" i="29"/>
  <c r="G11" i="29" s="1"/>
  <c r="F31" i="30"/>
  <c r="F32" i="30" s="1"/>
  <c r="F33" i="30" s="1"/>
  <c r="F34" i="30" s="1"/>
  <c r="F35" i="30" s="1"/>
  <c r="F36" i="30" s="1"/>
  <c r="F37" i="30" s="1"/>
  <c r="F38" i="30" s="1"/>
  <c r="F39" i="30" s="1"/>
  <c r="F40" i="30" s="1"/>
  <c r="F41" i="30" s="1"/>
  <c r="F42" i="30" s="1"/>
  <c r="F43" i="30" s="1"/>
  <c r="F44" i="30" s="1"/>
  <c r="F45" i="30" s="1"/>
  <c r="F46" i="30" s="1"/>
  <c r="F47" i="30" s="1"/>
  <c r="F48" i="30" s="1"/>
  <c r="F49" i="30" s="1"/>
  <c r="F50" i="30" s="1"/>
  <c r="F51" i="30" s="1"/>
  <c r="F52" i="30" s="1"/>
  <c r="F53" i="30" s="1"/>
  <c r="F54" i="30" s="1"/>
  <c r="F55" i="30" s="1"/>
  <c r="F56" i="30" s="1"/>
  <c r="F57" i="30" s="1"/>
  <c r="F58" i="30" s="1"/>
  <c r="F59" i="30" s="1"/>
  <c r="F60" i="30" s="1"/>
  <c r="F61" i="30" s="1"/>
  <c r="F62" i="30" s="1"/>
  <c r="F63" i="30" s="1"/>
  <c r="F64" i="30" s="1"/>
  <c r="F65" i="30" s="1"/>
  <c r="F66" i="30" s="1"/>
  <c r="F67" i="30" s="1"/>
  <c r="F68" i="30" s="1"/>
  <c r="F69" i="30" s="1"/>
  <c r="F70" i="30" s="1"/>
  <c r="E12" i="29"/>
  <c r="G12" i="29" s="1"/>
  <c r="G10" i="29"/>
  <c r="K30" i="33"/>
  <c r="N30" i="33" s="1"/>
  <c r="G10" i="32"/>
  <c r="G13" i="32" s="1"/>
  <c r="G10" i="31" s="1"/>
  <c r="E13" i="32"/>
  <c r="J30" i="27"/>
  <c r="K30" i="27"/>
  <c r="N30" i="27" s="1"/>
  <c r="G13" i="26"/>
  <c r="G10" i="25" s="1"/>
  <c r="E13" i="26"/>
  <c r="C32" i="33"/>
  <c r="M31" i="33"/>
  <c r="C33" i="30"/>
  <c r="D33" i="30" s="1"/>
  <c r="M32" i="30"/>
  <c r="D31" i="27"/>
  <c r="P68" i="27" l="1"/>
  <c r="P70" i="33"/>
  <c r="H32" i="30"/>
  <c r="I32" i="30" s="1"/>
  <c r="J32" i="30" s="1"/>
  <c r="P68" i="33"/>
  <c r="K30" i="30"/>
  <c r="N30" i="30" s="1"/>
  <c r="E13" i="29"/>
  <c r="P42" i="30" s="1"/>
  <c r="P30" i="33"/>
  <c r="P41" i="33"/>
  <c r="G13" i="29"/>
  <c r="G10" i="28" s="1"/>
  <c r="P55" i="33"/>
  <c r="P59" i="33"/>
  <c r="P32" i="33"/>
  <c r="P42" i="33"/>
  <c r="P60" i="33"/>
  <c r="P33" i="33"/>
  <c r="P46" i="33"/>
  <c r="P61" i="33"/>
  <c r="P38" i="33"/>
  <c r="P31" i="33"/>
  <c r="P44" i="33"/>
  <c r="P57" i="33"/>
  <c r="P62" i="33"/>
  <c r="P47" i="33"/>
  <c r="P40" i="33"/>
  <c r="P56" i="33"/>
  <c r="P67" i="33"/>
  <c r="O30" i="33"/>
  <c r="P54" i="33"/>
  <c r="P37" i="33"/>
  <c r="P35" i="33"/>
  <c r="P45" i="33"/>
  <c r="P50" i="33"/>
  <c r="P48" i="33"/>
  <c r="P63" i="33"/>
  <c r="P64" i="33"/>
  <c r="P65" i="33"/>
  <c r="P69" i="33"/>
  <c r="P34" i="33"/>
  <c r="P58" i="33"/>
  <c r="P39" i="33"/>
  <c r="P43" i="33"/>
  <c r="P49" i="33"/>
  <c r="P36" i="33"/>
  <c r="P51" i="33"/>
  <c r="P52" i="33"/>
  <c r="P53" i="33"/>
  <c r="P66" i="33"/>
  <c r="P70" i="27"/>
  <c r="P34" i="27"/>
  <c r="P44" i="27"/>
  <c r="P57" i="27"/>
  <c r="P58" i="27"/>
  <c r="P55" i="27"/>
  <c r="P30" i="27"/>
  <c r="P48" i="27"/>
  <c r="P62" i="27"/>
  <c r="P52" i="27"/>
  <c r="P65" i="27"/>
  <c r="P32" i="27"/>
  <c r="P31" i="27"/>
  <c r="P42" i="27"/>
  <c r="P47" i="27"/>
  <c r="P56" i="27"/>
  <c r="P66" i="27"/>
  <c r="P45" i="27"/>
  <c r="P35" i="27"/>
  <c r="P50" i="27"/>
  <c r="P51" i="27"/>
  <c r="P64" i="27"/>
  <c r="P69" i="27"/>
  <c r="O30" i="27"/>
  <c r="P41" i="27"/>
  <c r="P37" i="27"/>
  <c r="P40" i="27"/>
  <c r="P46" i="27"/>
  <c r="P39" i="27"/>
  <c r="P63" i="27"/>
  <c r="P53" i="27"/>
  <c r="P67" i="27"/>
  <c r="P33" i="27"/>
  <c r="P49" i="27"/>
  <c r="P36" i="27"/>
  <c r="P38" i="27"/>
  <c r="P54" i="27"/>
  <c r="P43" i="27"/>
  <c r="P59" i="27"/>
  <c r="P60" i="27"/>
  <c r="P61" i="27"/>
  <c r="D32" i="33"/>
  <c r="G32" i="33"/>
  <c r="H32" i="33" s="1"/>
  <c r="K31" i="33"/>
  <c r="N31" i="33" s="1"/>
  <c r="J31" i="33"/>
  <c r="K31" i="30"/>
  <c r="N31" i="30" s="1"/>
  <c r="J31" i="30"/>
  <c r="C34" i="30"/>
  <c r="D34" i="30" s="1"/>
  <c r="M33" i="30"/>
  <c r="G33" i="30"/>
  <c r="C32" i="27"/>
  <c r="M31" i="27"/>
  <c r="I31" i="27"/>
  <c r="G18" i="28" l="1"/>
  <c r="G16" i="28"/>
  <c r="G19" i="28"/>
  <c r="G20" i="28"/>
  <c r="G17" i="28"/>
  <c r="G20" i="31"/>
  <c r="G18" i="31"/>
  <c r="G16" i="31"/>
  <c r="G19" i="31"/>
  <c r="G17" i="31"/>
  <c r="G20" i="25"/>
  <c r="G18" i="25"/>
  <c r="G16" i="25"/>
  <c r="G19" i="25"/>
  <c r="G17" i="25"/>
  <c r="K32" i="30"/>
  <c r="N32" i="30" s="1"/>
  <c r="O32" i="30" s="1"/>
  <c r="P61" i="30"/>
  <c r="H33" i="30"/>
  <c r="I33" i="30" s="1"/>
  <c r="P37" i="30"/>
  <c r="P65" i="30"/>
  <c r="P63" i="30"/>
  <c r="O30" i="30"/>
  <c r="P47" i="30"/>
  <c r="P68" i="30"/>
  <c r="P55" i="30"/>
  <c r="P44" i="30"/>
  <c r="P62" i="30"/>
  <c r="P57" i="30"/>
  <c r="Q30" i="33"/>
  <c r="R30" i="33" s="1"/>
  <c r="P59" i="30"/>
  <c r="P70" i="30"/>
  <c r="P67" i="30"/>
  <c r="P31" i="30"/>
  <c r="P43" i="30"/>
  <c r="P60" i="30"/>
  <c r="P34" i="30"/>
  <c r="P46" i="30"/>
  <c r="P51" i="30"/>
  <c r="P45" i="30"/>
  <c r="P35" i="30"/>
  <c r="P41" i="30"/>
  <c r="P66" i="30"/>
  <c r="P48" i="30"/>
  <c r="P32" i="30"/>
  <c r="P49" i="30"/>
  <c r="P64" i="30"/>
  <c r="P39" i="30"/>
  <c r="P30" i="30"/>
  <c r="P69" i="30"/>
  <c r="P56" i="30"/>
  <c r="P38" i="30"/>
  <c r="P52" i="30"/>
  <c r="P54" i="30"/>
  <c r="P33" i="30"/>
  <c r="P40" i="30"/>
  <c r="P36" i="30"/>
  <c r="P53" i="30"/>
  <c r="P58" i="30"/>
  <c r="P50" i="30"/>
  <c r="Q30" i="27"/>
  <c r="R30" i="27" s="1"/>
  <c r="O31" i="33"/>
  <c r="Q31" i="33" s="1"/>
  <c r="M32" i="33"/>
  <c r="I32" i="33"/>
  <c r="C33" i="33"/>
  <c r="M34" i="30"/>
  <c r="C35" i="30"/>
  <c r="G34" i="30"/>
  <c r="O31" i="30"/>
  <c r="G32" i="27"/>
  <c r="H32" i="27" s="1"/>
  <c r="K31" i="27"/>
  <c r="N31" i="27" s="1"/>
  <c r="J31" i="27"/>
  <c r="D32" i="27"/>
  <c r="R31" i="33" l="1"/>
  <c r="D22" i="21"/>
  <c r="H34" i="30"/>
  <c r="I34" i="30" s="1"/>
  <c r="Q30" i="30"/>
  <c r="R30" i="30" s="1"/>
  <c r="S31" i="33"/>
  <c r="G33" i="33"/>
  <c r="H33" i="33" s="1"/>
  <c r="K32" i="33"/>
  <c r="N32" i="33" s="1"/>
  <c r="J32" i="33"/>
  <c r="D33" i="33"/>
  <c r="G35" i="30"/>
  <c r="Q31" i="30"/>
  <c r="S31" i="30"/>
  <c r="Q32" i="30"/>
  <c r="S32" i="30"/>
  <c r="K33" i="30"/>
  <c r="N33" i="30" s="1"/>
  <c r="J33" i="30"/>
  <c r="D35" i="30"/>
  <c r="O31" i="27"/>
  <c r="I32" i="27"/>
  <c r="C33" i="27"/>
  <c r="D33" i="27" s="1"/>
  <c r="M32" i="27"/>
  <c r="F23" i="36" l="1"/>
  <c r="F9" i="36"/>
  <c r="F19" i="21"/>
  <c r="G19" i="21" s="1"/>
  <c r="F20" i="21"/>
  <c r="G20" i="21" s="1"/>
  <c r="F18" i="21"/>
  <c r="G18" i="21" s="1"/>
  <c r="E33" i="24"/>
  <c r="F33" i="24" s="1"/>
  <c r="E32" i="24"/>
  <c r="F32" i="24" s="1"/>
  <c r="H35" i="30"/>
  <c r="I35" i="30" s="1"/>
  <c r="O33" i="30"/>
  <c r="Q33" i="30" s="1"/>
  <c r="M33" i="33"/>
  <c r="C34" i="33"/>
  <c r="D34" i="33" s="1"/>
  <c r="I33" i="33"/>
  <c r="O32" i="33"/>
  <c r="M35" i="30"/>
  <c r="C36" i="30"/>
  <c r="K34" i="30"/>
  <c r="N34" i="30" s="1"/>
  <c r="J34" i="30"/>
  <c r="R31" i="30"/>
  <c r="R32" i="30" s="1"/>
  <c r="C34" i="27"/>
  <c r="D34" i="27" s="1"/>
  <c r="M33" i="27"/>
  <c r="K32" i="27"/>
  <c r="N32" i="27" s="1"/>
  <c r="J32" i="27"/>
  <c r="G33" i="27"/>
  <c r="H33" i="27" s="1"/>
  <c r="S31" i="27"/>
  <c r="Q31" i="27"/>
  <c r="B42" i="4"/>
  <c r="G21" i="21" l="1"/>
  <c r="F34" i="24"/>
  <c r="E52" i="4"/>
  <c r="B43" i="4" s="1"/>
  <c r="S33" i="30"/>
  <c r="O32" i="27"/>
  <c r="Q32" i="27" s="1"/>
  <c r="M34" i="33"/>
  <c r="C35" i="33"/>
  <c r="D35" i="33" s="1"/>
  <c r="K33" i="33"/>
  <c r="N33" i="33" s="1"/>
  <c r="J33" i="33"/>
  <c r="S32" i="33"/>
  <c r="Q32" i="33"/>
  <c r="G34" i="33"/>
  <c r="H34" i="33" s="1"/>
  <c r="G36" i="30"/>
  <c r="H36" i="30" s="1"/>
  <c r="R33" i="30"/>
  <c r="D36" i="30"/>
  <c r="K35" i="30"/>
  <c r="N35" i="30" s="1"/>
  <c r="J35" i="30"/>
  <c r="O34" i="30"/>
  <c r="I33" i="27"/>
  <c r="R31" i="27"/>
  <c r="M34" i="27"/>
  <c r="C35" i="27"/>
  <c r="D35" i="27" s="1"/>
  <c r="G34" i="27"/>
  <c r="H34" i="27" s="1"/>
  <c r="H23" i="36" l="1"/>
  <c r="O35" i="30"/>
  <c r="Q35" i="30" s="1"/>
  <c r="S32" i="27"/>
  <c r="M35" i="33"/>
  <c r="C36" i="33"/>
  <c r="R32" i="33"/>
  <c r="G35" i="33"/>
  <c r="H35" i="33" s="1"/>
  <c r="I35" i="33" s="1"/>
  <c r="O33" i="33"/>
  <c r="I34" i="33"/>
  <c r="Q34" i="30"/>
  <c r="R34" i="30" s="1"/>
  <c r="S34" i="30"/>
  <c r="C37" i="30"/>
  <c r="D37" i="30" s="1"/>
  <c r="M36" i="30"/>
  <c r="I36" i="30"/>
  <c r="I34" i="27"/>
  <c r="M35" i="27"/>
  <c r="C36" i="27"/>
  <c r="D36" i="27" s="1"/>
  <c r="K33" i="27"/>
  <c r="N33" i="27" s="1"/>
  <c r="J33" i="27"/>
  <c r="G35" i="27"/>
  <c r="H35" i="27" s="1"/>
  <c r="R32" i="27"/>
  <c r="H13" i="18"/>
  <c r="H12" i="18"/>
  <c r="H11" i="18"/>
  <c r="H10" i="18"/>
  <c r="H9" i="18"/>
  <c r="H33" i="18"/>
  <c r="H32" i="18"/>
  <c r="H31" i="18"/>
  <c r="H30" i="18"/>
  <c r="H29" i="18"/>
  <c r="H20" i="18"/>
  <c r="H19" i="18"/>
  <c r="H18" i="18"/>
  <c r="H9" i="36" l="1"/>
  <c r="S35" i="30"/>
  <c r="R35" i="30"/>
  <c r="O33" i="27"/>
  <c r="Q33" i="27" s="1"/>
  <c r="R33" i="27" s="1"/>
  <c r="K35" i="33"/>
  <c r="N35" i="33" s="1"/>
  <c r="J35" i="33"/>
  <c r="K34" i="33"/>
  <c r="N34" i="33" s="1"/>
  <c r="J34" i="33"/>
  <c r="G36" i="33"/>
  <c r="H36" i="33" s="1"/>
  <c r="S33" i="33"/>
  <c r="Q33" i="33"/>
  <c r="R33" i="33" s="1"/>
  <c r="D36" i="33"/>
  <c r="I37" i="30"/>
  <c r="C38" i="30"/>
  <c r="M37" i="30"/>
  <c r="G37" i="30"/>
  <c r="H37" i="30" s="1"/>
  <c r="K36" i="30"/>
  <c r="N36" i="30" s="1"/>
  <c r="J36" i="30"/>
  <c r="C37" i="27"/>
  <c r="D37" i="27" s="1"/>
  <c r="M36" i="27"/>
  <c r="I35" i="27"/>
  <c r="G36" i="27"/>
  <c r="H36" i="27" s="1"/>
  <c r="K34" i="27"/>
  <c r="N34" i="27" s="1"/>
  <c r="J34" i="27"/>
  <c r="C27" i="4"/>
  <c r="C26" i="4"/>
  <c r="O36" i="30" l="1"/>
  <c r="Q36" i="30" s="1"/>
  <c r="O34" i="33"/>
  <c r="Q34" i="33" s="1"/>
  <c r="R34" i="33" s="1"/>
  <c r="S33" i="27"/>
  <c r="O34" i="27"/>
  <c r="Q34" i="27" s="1"/>
  <c r="R34" i="27" s="1"/>
  <c r="C37" i="33"/>
  <c r="M36" i="33"/>
  <c r="I36" i="33"/>
  <c r="O35" i="33"/>
  <c r="G38" i="30"/>
  <c r="H38" i="30" s="1"/>
  <c r="K37" i="30"/>
  <c r="N37" i="30" s="1"/>
  <c r="J37" i="30"/>
  <c r="D38" i="30"/>
  <c r="I36" i="27"/>
  <c r="M37" i="27"/>
  <c r="C38" i="27"/>
  <c r="D38" i="27" s="1"/>
  <c r="I37" i="27"/>
  <c r="K35" i="27"/>
  <c r="N35" i="27" s="1"/>
  <c r="J35" i="27"/>
  <c r="G37" i="27"/>
  <c r="H37" i="27" s="1"/>
  <c r="C30" i="4"/>
  <c r="B17" i="23" l="1"/>
  <c r="S36" i="30"/>
  <c r="O37" i="30"/>
  <c r="S37" i="30" s="1"/>
  <c r="S34" i="33"/>
  <c r="S34" i="27"/>
  <c r="K36" i="33"/>
  <c r="N36" i="33" s="1"/>
  <c r="J36" i="33"/>
  <c r="Q35" i="33"/>
  <c r="R35" i="33" s="1"/>
  <c r="S35" i="33"/>
  <c r="G37" i="33"/>
  <c r="H37" i="33" s="1"/>
  <c r="D37" i="33"/>
  <c r="I38" i="30"/>
  <c r="M38" i="30"/>
  <c r="C39" i="30"/>
  <c r="D39" i="30" s="1"/>
  <c r="R36" i="30"/>
  <c r="M38" i="27"/>
  <c r="I38" i="27"/>
  <c r="C39" i="27"/>
  <c r="D39" i="27" s="1"/>
  <c r="K37" i="27"/>
  <c r="N37" i="27" s="1"/>
  <c r="J37" i="27"/>
  <c r="K36" i="27"/>
  <c r="N36" i="27" s="1"/>
  <c r="J36" i="27"/>
  <c r="O35" i="27"/>
  <c r="G38" i="27"/>
  <c r="H38" i="27" s="1"/>
  <c r="F25" i="36" l="1"/>
  <c r="G25" i="36" s="1"/>
  <c r="F21" i="18"/>
  <c r="G21" i="18" s="1"/>
  <c r="J21" i="18" s="1"/>
  <c r="Q37" i="30"/>
  <c r="R37" i="30" s="1"/>
  <c r="O36" i="27"/>
  <c r="Q36" i="27" s="1"/>
  <c r="O36" i="33"/>
  <c r="M37" i="33"/>
  <c r="C38" i="33"/>
  <c r="I37" i="33"/>
  <c r="C40" i="30"/>
  <c r="D40" i="30" s="1"/>
  <c r="I39" i="30"/>
  <c r="M39" i="30"/>
  <c r="K38" i="30"/>
  <c r="N38" i="30" s="1"/>
  <c r="J38" i="30"/>
  <c r="G39" i="30"/>
  <c r="H39" i="30" s="1"/>
  <c r="C40" i="27"/>
  <c r="D40" i="27" s="1"/>
  <c r="M39" i="27"/>
  <c r="I39" i="27"/>
  <c r="O37" i="27"/>
  <c r="Q35" i="27"/>
  <c r="S35" i="27"/>
  <c r="G39" i="27"/>
  <c r="H39" i="27" s="1"/>
  <c r="K38" i="27"/>
  <c r="N38" i="27" s="1"/>
  <c r="J38" i="27"/>
  <c r="F8" i="4"/>
  <c r="E8" i="4"/>
  <c r="A23" i="7" s="1"/>
  <c r="F28" i="36" l="1"/>
  <c r="G28" i="36" s="1"/>
  <c r="K25" i="36"/>
  <c r="F24" i="18"/>
  <c r="G24" i="18" s="1"/>
  <c r="J24" i="18" s="1"/>
  <c r="B56" i="40"/>
  <c r="B57" i="40" s="1"/>
  <c r="B58" i="40" s="1"/>
  <c r="B60" i="40" s="1"/>
  <c r="B56" i="43"/>
  <c r="H21" i="18"/>
  <c r="F13" i="35"/>
  <c r="F10" i="18"/>
  <c r="D18" i="16"/>
  <c r="H25" i="36"/>
  <c r="J25" i="36"/>
  <c r="H28" i="36"/>
  <c r="B18" i="24"/>
  <c r="G45" i="31" s="1"/>
  <c r="O38" i="27"/>
  <c r="Q38" i="27" s="1"/>
  <c r="O38" i="30"/>
  <c r="S38" i="30" s="1"/>
  <c r="S36" i="27"/>
  <c r="K37" i="33"/>
  <c r="N37" i="33" s="1"/>
  <c r="J37" i="33"/>
  <c r="S36" i="33"/>
  <c r="Q36" i="33"/>
  <c r="R36" i="33" s="1"/>
  <c r="G38" i="33"/>
  <c r="H38" i="33" s="1"/>
  <c r="D38" i="33"/>
  <c r="M40" i="30"/>
  <c r="C41" i="30"/>
  <c r="D41" i="30" s="1"/>
  <c r="I40" i="30"/>
  <c r="K39" i="30"/>
  <c r="N39" i="30" s="1"/>
  <c r="J39" i="30"/>
  <c r="G40" i="30"/>
  <c r="H40" i="30" s="1"/>
  <c r="C41" i="27"/>
  <c r="I40" i="27"/>
  <c r="M40" i="27"/>
  <c r="Q37" i="27"/>
  <c r="S37" i="27"/>
  <c r="G40" i="27"/>
  <c r="H40" i="27" s="1"/>
  <c r="R35" i="27"/>
  <c r="R36" i="27" s="1"/>
  <c r="K39" i="27"/>
  <c r="N39" i="27" s="1"/>
  <c r="J39" i="27"/>
  <c r="F9" i="4"/>
  <c r="F10" i="4" s="1"/>
  <c r="K28" i="36" l="1"/>
  <c r="E16" i="24"/>
  <c r="F16" i="24" s="1"/>
  <c r="E15" i="24"/>
  <c r="F15" i="24" s="1"/>
  <c r="B20" i="15"/>
  <c r="D18" i="15"/>
  <c r="J28" i="36"/>
  <c r="K23" i="36"/>
  <c r="K9" i="36"/>
  <c r="H24" i="18"/>
  <c r="F16" i="35"/>
  <c r="B57" i="43"/>
  <c r="B58" i="43" s="1"/>
  <c r="B20" i="16"/>
  <c r="G44" i="28" s="1"/>
  <c r="Q38" i="30"/>
  <c r="R38" i="30" s="1"/>
  <c r="S38" i="27"/>
  <c r="R37" i="27"/>
  <c r="R38" i="27" s="1"/>
  <c r="O37" i="33"/>
  <c r="S37" i="33" s="1"/>
  <c r="O39" i="27"/>
  <c r="Q39" i="27" s="1"/>
  <c r="C39" i="33"/>
  <c r="D39" i="33" s="1"/>
  <c r="I38" i="33"/>
  <c r="M38" i="33"/>
  <c r="G41" i="30"/>
  <c r="H41" i="30" s="1"/>
  <c r="C42" i="30"/>
  <c r="M41" i="30"/>
  <c r="I41" i="30"/>
  <c r="O39" i="30"/>
  <c r="K40" i="30"/>
  <c r="N40" i="30" s="1"/>
  <c r="J40" i="30"/>
  <c r="G41" i="27"/>
  <c r="H41" i="27" s="1"/>
  <c r="K40" i="27"/>
  <c r="N40" i="27" s="1"/>
  <c r="J40" i="27"/>
  <c r="D41" i="27"/>
  <c r="E15" i="15" l="1"/>
  <c r="F15" i="15" s="1"/>
  <c r="G44" i="25"/>
  <c r="F17" i="24"/>
  <c r="E15" i="16"/>
  <c r="F15" i="16" s="1"/>
  <c r="E18" i="16"/>
  <c r="F18" i="16" s="1"/>
  <c r="E18" i="15"/>
  <c r="F18" i="15" s="1"/>
  <c r="B60" i="43"/>
  <c r="F30" i="18"/>
  <c r="F19" i="18"/>
  <c r="R39" i="27"/>
  <c r="O40" i="30"/>
  <c r="S40" i="30" s="1"/>
  <c r="Q37" i="33"/>
  <c r="R37" i="33" s="1"/>
  <c r="O40" i="27"/>
  <c r="Q40" i="27" s="1"/>
  <c r="S39" i="27"/>
  <c r="M39" i="33"/>
  <c r="I39" i="33"/>
  <c r="C40" i="33"/>
  <c r="K38" i="33"/>
  <c r="N38" i="33" s="1"/>
  <c r="J38" i="33"/>
  <c r="G39" i="33"/>
  <c r="H39" i="33" s="1"/>
  <c r="S39" i="30"/>
  <c r="Q39" i="30"/>
  <c r="R39" i="30" s="1"/>
  <c r="G42" i="30"/>
  <c r="H42" i="30" s="1"/>
  <c r="K41" i="30"/>
  <c r="N41" i="30" s="1"/>
  <c r="J41" i="30"/>
  <c r="D42" i="30"/>
  <c r="M41" i="27"/>
  <c r="I41" i="27"/>
  <c r="C42" i="27"/>
  <c r="B16" i="10"/>
  <c r="B19" i="10" s="1"/>
  <c r="B16" i="11"/>
  <c r="B19" i="11" s="1"/>
  <c r="A22" i="10"/>
  <c r="A23" i="8"/>
  <c r="A22" i="11"/>
  <c r="F20" i="15" l="1"/>
  <c r="F20" i="16"/>
  <c r="F12" i="18"/>
  <c r="J12" i="18" s="1"/>
  <c r="F32" i="18"/>
  <c r="J32" i="18" s="1"/>
  <c r="R40" i="27"/>
  <c r="S40" i="27"/>
  <c r="Q40" i="30"/>
  <c r="R40" i="30" s="1"/>
  <c r="O41" i="30"/>
  <c r="Q41" i="30" s="1"/>
  <c r="G40" i="33"/>
  <c r="H40" i="33" s="1"/>
  <c r="O38" i="33"/>
  <c r="K39" i="33"/>
  <c r="N39" i="33" s="1"/>
  <c r="J39" i="33"/>
  <c r="D40" i="33"/>
  <c r="C43" i="30"/>
  <c r="D43" i="30" s="1"/>
  <c r="I42" i="30"/>
  <c r="M42" i="30"/>
  <c r="K41" i="27"/>
  <c r="N41" i="27" s="1"/>
  <c r="J41" i="27"/>
  <c r="G42" i="27"/>
  <c r="H42" i="27" s="1"/>
  <c r="D42" i="27"/>
  <c r="B32" i="8"/>
  <c r="B33" i="8" s="1"/>
  <c r="B34" i="8" s="1"/>
  <c r="B35" i="8"/>
  <c r="B35" i="7"/>
  <c r="B17" i="9"/>
  <c r="F24" i="36" s="1"/>
  <c r="B32" i="7"/>
  <c r="B33" i="7" s="1"/>
  <c r="B34" i="7" s="1"/>
  <c r="B16" i="5"/>
  <c r="G24" i="36" l="1"/>
  <c r="H24" i="36" s="1"/>
  <c r="E19" i="31"/>
  <c r="F19" i="31" s="1"/>
  <c r="H19" i="31" s="1"/>
  <c r="E20" i="31"/>
  <c r="F20" i="31" s="1"/>
  <c r="H20" i="31" s="1"/>
  <c r="E16" i="31"/>
  <c r="F16" i="31" s="1"/>
  <c r="H16" i="31" s="1"/>
  <c r="I16" i="31" s="1"/>
  <c r="E17" i="31"/>
  <c r="F17" i="31" s="1"/>
  <c r="H17" i="31" s="1"/>
  <c r="E18" i="31"/>
  <c r="F18" i="31" s="1"/>
  <c r="H18" i="31" s="1"/>
  <c r="E17" i="25"/>
  <c r="F17" i="25" s="1"/>
  <c r="H17" i="25" s="1"/>
  <c r="E18" i="25"/>
  <c r="F18" i="25" s="1"/>
  <c r="H18" i="25" s="1"/>
  <c r="E19" i="25"/>
  <c r="F19" i="25" s="1"/>
  <c r="H19" i="25" s="1"/>
  <c r="E20" i="25"/>
  <c r="F20" i="25" s="1"/>
  <c r="H20" i="25" s="1"/>
  <c r="E16" i="25"/>
  <c r="F16" i="25" s="1"/>
  <c r="H16" i="25" s="1"/>
  <c r="I16" i="25" s="1"/>
  <c r="B17" i="5"/>
  <c r="B17" i="7"/>
  <c r="F10" i="36" s="1"/>
  <c r="B17" i="8"/>
  <c r="F38" i="36" s="1"/>
  <c r="F20" i="18"/>
  <c r="J20" i="18" s="1"/>
  <c r="S41" i="30"/>
  <c r="R41" i="30"/>
  <c r="O41" i="27"/>
  <c r="Q41" i="27" s="1"/>
  <c r="R41" i="27" s="1"/>
  <c r="Q38" i="33"/>
  <c r="R38" i="33" s="1"/>
  <c r="S38" i="33"/>
  <c r="C41" i="33"/>
  <c r="D41" i="33" s="1"/>
  <c r="M40" i="33"/>
  <c r="I40" i="33"/>
  <c r="O39" i="33"/>
  <c r="M43" i="30"/>
  <c r="C44" i="30"/>
  <c r="I43" i="30"/>
  <c r="K42" i="30"/>
  <c r="N42" i="30" s="1"/>
  <c r="J42" i="30"/>
  <c r="G43" i="30"/>
  <c r="H43" i="30" s="1"/>
  <c r="M42" i="27"/>
  <c r="I42" i="27"/>
  <c r="C43" i="27"/>
  <c r="D43" i="27" s="1"/>
  <c r="B36" i="8"/>
  <c r="B36" i="7"/>
  <c r="B17" i="2"/>
  <c r="F36" i="36" s="1"/>
  <c r="F22" i="36" l="1"/>
  <c r="G22" i="36" s="1"/>
  <c r="H22" i="36" s="1"/>
  <c r="F8" i="36"/>
  <c r="G10" i="36"/>
  <c r="H10" i="36" s="1"/>
  <c r="G38" i="36"/>
  <c r="H38" i="36" s="1"/>
  <c r="I17" i="25"/>
  <c r="I18" i="25" s="1"/>
  <c r="I19" i="25" s="1"/>
  <c r="I20" i="25" s="1"/>
  <c r="I22" i="25" s="1"/>
  <c r="G27" i="25" s="1"/>
  <c r="G31" i="25" s="1"/>
  <c r="G36" i="36"/>
  <c r="H36" i="36" s="1"/>
  <c r="K24" i="36"/>
  <c r="I17" i="31"/>
  <c r="I18" i="31" s="1"/>
  <c r="I19" i="31" s="1"/>
  <c r="I20" i="31" s="1"/>
  <c r="I22" i="31" s="1"/>
  <c r="G27" i="31" s="1"/>
  <c r="G31" i="31" s="1"/>
  <c r="E20" i="28"/>
  <c r="F20" i="28" s="1"/>
  <c r="H20" i="28" s="1"/>
  <c r="E16" i="28"/>
  <c r="F16" i="28" s="1"/>
  <c r="H16" i="28" s="1"/>
  <c r="I16" i="28" s="1"/>
  <c r="E17" i="28"/>
  <c r="F17" i="28" s="1"/>
  <c r="H17" i="28" s="1"/>
  <c r="E18" i="28"/>
  <c r="F18" i="28" s="1"/>
  <c r="H18" i="28" s="1"/>
  <c r="E19" i="28"/>
  <c r="F19" i="28" s="1"/>
  <c r="H19" i="28" s="1"/>
  <c r="G8" i="36"/>
  <c r="H8" i="36" s="1"/>
  <c r="F9" i="18"/>
  <c r="J9" i="18" s="1"/>
  <c r="F31" i="18"/>
  <c r="J31" i="18" s="1"/>
  <c r="F11" i="18"/>
  <c r="J11" i="18" s="1"/>
  <c r="F18" i="18"/>
  <c r="J18" i="18" s="1"/>
  <c r="J24" i="36"/>
  <c r="F29" i="18"/>
  <c r="J29" i="18" s="1"/>
  <c r="O42" i="30"/>
  <c r="S42" i="30" s="1"/>
  <c r="S41" i="27"/>
  <c r="M41" i="33"/>
  <c r="I41" i="33"/>
  <c r="C42" i="33"/>
  <c r="Q39" i="33"/>
  <c r="R39" i="33" s="1"/>
  <c r="S39" i="33"/>
  <c r="G41" i="33"/>
  <c r="H41" i="33" s="1"/>
  <c r="K40" i="33"/>
  <c r="N40" i="33" s="1"/>
  <c r="J40" i="33"/>
  <c r="K43" i="30"/>
  <c r="N43" i="30" s="1"/>
  <c r="J43" i="30"/>
  <c r="G44" i="30"/>
  <c r="H44" i="30" s="1"/>
  <c r="D44" i="30"/>
  <c r="K42" i="27"/>
  <c r="N42" i="27" s="1"/>
  <c r="J42" i="27"/>
  <c r="C44" i="27"/>
  <c r="D44" i="27" s="1"/>
  <c r="M43" i="27"/>
  <c r="I43" i="27"/>
  <c r="G43" i="27"/>
  <c r="H43" i="27" s="1"/>
  <c r="I17" i="28" l="1"/>
  <c r="I18" i="28" s="1"/>
  <c r="I19" i="28" s="1"/>
  <c r="I20" i="28" s="1"/>
  <c r="I22" i="28" s="1"/>
  <c r="G27" i="28" s="1"/>
  <c r="G31" i="28" s="1"/>
  <c r="J38" i="36"/>
  <c r="K38" i="36"/>
  <c r="J22" i="36"/>
  <c r="K22" i="36"/>
  <c r="J10" i="36"/>
  <c r="K10" i="36"/>
  <c r="K36" i="36"/>
  <c r="J8" i="36"/>
  <c r="K8" i="36"/>
  <c r="J36" i="36"/>
  <c r="Q42" i="30"/>
  <c r="R42" i="30" s="1"/>
  <c r="O40" i="33"/>
  <c r="Q40" i="33" s="1"/>
  <c r="R40" i="33" s="1"/>
  <c r="O43" i="30"/>
  <c r="Q43" i="30" s="1"/>
  <c r="O42" i="27"/>
  <c r="S42" i="27" s="1"/>
  <c r="G42" i="33"/>
  <c r="H42" i="33" s="1"/>
  <c r="K41" i="33"/>
  <c r="N41" i="33" s="1"/>
  <c r="J41" i="33"/>
  <c r="D42" i="33"/>
  <c r="M44" i="30"/>
  <c r="I44" i="30"/>
  <c r="C45" i="30"/>
  <c r="D45" i="30" s="1"/>
  <c r="G44" i="27"/>
  <c r="H44" i="27" s="1"/>
  <c r="K43" i="27"/>
  <c r="N43" i="27" s="1"/>
  <c r="J43" i="27"/>
  <c r="C45" i="27"/>
  <c r="I44" i="27"/>
  <c r="M44" i="27"/>
  <c r="R43" i="30" l="1"/>
  <c r="S40" i="33"/>
  <c r="O41" i="33"/>
  <c r="S41" i="33" s="1"/>
  <c r="S43" i="30"/>
  <c r="Q42" i="27"/>
  <c r="R42" i="27" s="1"/>
  <c r="C43" i="33"/>
  <c r="D43" i="33" s="1"/>
  <c r="M42" i="33"/>
  <c r="I42" i="33"/>
  <c r="C46" i="30"/>
  <c r="D46" i="30" s="1"/>
  <c r="M45" i="30"/>
  <c r="I45" i="30"/>
  <c r="G45" i="30"/>
  <c r="H45" i="30" s="1"/>
  <c r="K44" i="30"/>
  <c r="N44" i="30" s="1"/>
  <c r="J44" i="30"/>
  <c r="G45" i="27"/>
  <c r="H45" i="27" s="1"/>
  <c r="O43" i="27"/>
  <c r="K44" i="27"/>
  <c r="N44" i="27" s="1"/>
  <c r="J44" i="27"/>
  <c r="D45" i="27"/>
  <c r="Q41" i="33" l="1"/>
  <c r="R41" i="33" s="1"/>
  <c r="O44" i="30"/>
  <c r="S44" i="30" s="1"/>
  <c r="O44" i="27"/>
  <c r="S44" i="27" s="1"/>
  <c r="K42" i="33"/>
  <c r="N42" i="33" s="1"/>
  <c r="J42" i="33"/>
  <c r="M43" i="33"/>
  <c r="I43" i="33"/>
  <c r="C44" i="33"/>
  <c r="D44" i="33" s="1"/>
  <c r="G43" i="33"/>
  <c r="H43" i="33" s="1"/>
  <c r="K45" i="30"/>
  <c r="N45" i="30" s="1"/>
  <c r="J45" i="30"/>
  <c r="C47" i="30"/>
  <c r="D47" i="30" s="1"/>
  <c r="I46" i="30"/>
  <c r="M46" i="30"/>
  <c r="G46" i="30"/>
  <c r="H46" i="30" s="1"/>
  <c r="S43" i="27"/>
  <c r="Q43" i="27"/>
  <c r="R43" i="27" s="1"/>
  <c r="M45" i="27"/>
  <c r="I45" i="27"/>
  <c r="C46" i="27"/>
  <c r="D46" i="27" s="1"/>
  <c r="O45" i="30" l="1"/>
  <c r="Q45" i="30" s="1"/>
  <c r="Q44" i="30"/>
  <c r="R44" i="30" s="1"/>
  <c r="O42" i="33"/>
  <c r="S42" i="33" s="1"/>
  <c r="Q44" i="27"/>
  <c r="R44" i="27" s="1"/>
  <c r="C45" i="33"/>
  <c r="M44" i="33"/>
  <c r="I44" i="33"/>
  <c r="K43" i="33"/>
  <c r="N43" i="33" s="1"/>
  <c r="J43" i="33"/>
  <c r="G44" i="33"/>
  <c r="H44" i="33" s="1"/>
  <c r="I47" i="30"/>
  <c r="M47" i="30"/>
  <c r="C48" i="30"/>
  <c r="K46" i="30"/>
  <c r="N46" i="30" s="1"/>
  <c r="J46" i="30"/>
  <c r="G47" i="30"/>
  <c r="H47" i="30" s="1"/>
  <c r="K45" i="27"/>
  <c r="N45" i="27" s="1"/>
  <c r="J45" i="27"/>
  <c r="M46" i="27"/>
  <c r="I46" i="27"/>
  <c r="C47" i="27"/>
  <c r="D47" i="27" s="1"/>
  <c r="G46" i="27"/>
  <c r="H46" i="27" s="1"/>
  <c r="S45" i="30" l="1"/>
  <c r="R45" i="30"/>
  <c r="Q42" i="33"/>
  <c r="R42" i="33" s="1"/>
  <c r="O45" i="27"/>
  <c r="S45" i="27" s="1"/>
  <c r="K44" i="33"/>
  <c r="N44" i="33" s="1"/>
  <c r="J44" i="33"/>
  <c r="G45" i="33"/>
  <c r="H45" i="33" s="1"/>
  <c r="O43" i="33"/>
  <c r="D45" i="33"/>
  <c r="G48" i="30"/>
  <c r="H48" i="30" s="1"/>
  <c r="D48" i="30"/>
  <c r="O46" i="30"/>
  <c r="K47" i="30"/>
  <c r="N47" i="30" s="1"/>
  <c r="J47" i="30"/>
  <c r="C48" i="27"/>
  <c r="D48" i="27" s="1"/>
  <c r="M47" i="27"/>
  <c r="I47" i="27"/>
  <c r="G47" i="27"/>
  <c r="H47" i="27" s="1"/>
  <c r="K46" i="27"/>
  <c r="N46" i="27" s="1"/>
  <c r="J46" i="27"/>
  <c r="O46" i="27" l="1"/>
  <c r="S46" i="27" s="1"/>
  <c r="O44" i="33"/>
  <c r="S44" i="33" s="1"/>
  <c r="Q45" i="27"/>
  <c r="R45" i="27" s="1"/>
  <c r="Q43" i="33"/>
  <c r="R43" i="33" s="1"/>
  <c r="S43" i="33"/>
  <c r="M45" i="33"/>
  <c r="I45" i="33"/>
  <c r="C46" i="33"/>
  <c r="D46" i="33" s="1"/>
  <c r="O47" i="30"/>
  <c r="M48" i="30"/>
  <c r="I48" i="30"/>
  <c r="C49" i="30"/>
  <c r="D49" i="30" s="1"/>
  <c r="S46" i="30"/>
  <c r="Q46" i="30"/>
  <c r="R46" i="30" s="1"/>
  <c r="G48" i="27"/>
  <c r="H48" i="27" s="1"/>
  <c r="C49" i="27"/>
  <c r="D49" i="27" s="1"/>
  <c r="I48" i="27"/>
  <c r="M48" i="27"/>
  <c r="K47" i="27"/>
  <c r="N47" i="27" s="1"/>
  <c r="J47" i="27"/>
  <c r="Q46" i="27" l="1"/>
  <c r="R46" i="27" s="1"/>
  <c r="Q44" i="33"/>
  <c r="R44" i="33" s="1"/>
  <c r="K45" i="33"/>
  <c r="N45" i="33" s="1"/>
  <c r="J45" i="33"/>
  <c r="C47" i="33"/>
  <c r="D47" i="33" s="1"/>
  <c r="M46" i="33"/>
  <c r="I46" i="33"/>
  <c r="G46" i="33"/>
  <c r="H46" i="33" s="1"/>
  <c r="C50" i="30"/>
  <c r="M49" i="30"/>
  <c r="I49" i="30"/>
  <c r="G49" i="30"/>
  <c r="H49" i="30" s="1"/>
  <c r="S47" i="30"/>
  <c r="Q47" i="30"/>
  <c r="R47" i="30" s="1"/>
  <c r="K48" i="30"/>
  <c r="N48" i="30" s="1"/>
  <c r="J48" i="30"/>
  <c r="C50" i="27"/>
  <c r="D50" i="27" s="1"/>
  <c r="M49" i="27"/>
  <c r="I49" i="27"/>
  <c r="O47" i="27"/>
  <c r="G49" i="27"/>
  <c r="H49" i="27" s="1"/>
  <c r="K48" i="27"/>
  <c r="N48" i="27" s="1"/>
  <c r="J48" i="27"/>
  <c r="O48" i="30" l="1"/>
  <c r="Q48" i="30" s="1"/>
  <c r="R48" i="30" s="1"/>
  <c r="O45" i="33"/>
  <c r="S45" i="33" s="1"/>
  <c r="O48" i="27"/>
  <c r="S48" i="27" s="1"/>
  <c r="G47" i="33"/>
  <c r="H47" i="33" s="1"/>
  <c r="K46" i="33"/>
  <c r="N46" i="33" s="1"/>
  <c r="J46" i="33"/>
  <c r="M47" i="33"/>
  <c r="I47" i="33"/>
  <c r="C48" i="33"/>
  <c r="D48" i="33" s="1"/>
  <c r="G50" i="30"/>
  <c r="H50" i="30" s="1"/>
  <c r="D50" i="30"/>
  <c r="K49" i="30"/>
  <c r="N49" i="30" s="1"/>
  <c r="J49" i="30"/>
  <c r="M50" i="27"/>
  <c r="I50" i="27"/>
  <c r="C51" i="27"/>
  <c r="D51" i="27" s="1"/>
  <c r="S47" i="27"/>
  <c r="Q47" i="27"/>
  <c r="R47" i="27" s="1"/>
  <c r="K49" i="27"/>
  <c r="N49" i="27" s="1"/>
  <c r="J49" i="27"/>
  <c r="G50" i="27"/>
  <c r="H50" i="27" s="1"/>
  <c r="O46" i="33" l="1"/>
  <c r="S46" i="33" s="1"/>
  <c r="O49" i="30"/>
  <c r="S49" i="30" s="1"/>
  <c r="S48" i="30"/>
  <c r="Q45" i="33"/>
  <c r="R45" i="33" s="1"/>
  <c r="Q48" i="27"/>
  <c r="R48" i="27" s="1"/>
  <c r="C49" i="33"/>
  <c r="M48" i="33"/>
  <c r="I48" i="33"/>
  <c r="G48" i="33"/>
  <c r="H48" i="33" s="1"/>
  <c r="K47" i="33"/>
  <c r="N47" i="33" s="1"/>
  <c r="J47" i="33"/>
  <c r="C51" i="30"/>
  <c r="D51" i="30" s="1"/>
  <c r="M50" i="30"/>
  <c r="I50" i="30"/>
  <c r="O49" i="27"/>
  <c r="K50" i="27"/>
  <c r="N50" i="27" s="1"/>
  <c r="J50" i="27"/>
  <c r="C52" i="27"/>
  <c r="D52" i="27" s="1"/>
  <c r="M51" i="27"/>
  <c r="I51" i="27"/>
  <c r="G51" i="27"/>
  <c r="H51" i="27" s="1"/>
  <c r="Q49" i="30" l="1"/>
  <c r="R49" i="30" s="1"/>
  <c r="Q46" i="33"/>
  <c r="R46" i="33" s="1"/>
  <c r="O47" i="33"/>
  <c r="Q47" i="33" s="1"/>
  <c r="K48" i="33"/>
  <c r="N48" i="33" s="1"/>
  <c r="J48" i="33"/>
  <c r="G49" i="33"/>
  <c r="H49" i="33" s="1"/>
  <c r="D49" i="33"/>
  <c r="K50" i="30"/>
  <c r="N50" i="30" s="1"/>
  <c r="J50" i="30"/>
  <c r="C52" i="30"/>
  <c r="D52" i="30" s="1"/>
  <c r="I51" i="30"/>
  <c r="M51" i="30"/>
  <c r="G51" i="30"/>
  <c r="H51" i="30" s="1"/>
  <c r="K51" i="27"/>
  <c r="N51" i="27" s="1"/>
  <c r="J51" i="27"/>
  <c r="O50" i="27"/>
  <c r="Q49" i="27"/>
  <c r="R49" i="27" s="1"/>
  <c r="S49" i="27"/>
  <c r="M52" i="27"/>
  <c r="I52" i="27"/>
  <c r="C53" i="27"/>
  <c r="D53" i="27" s="1"/>
  <c r="G52" i="27"/>
  <c r="H52" i="27" s="1"/>
  <c r="O51" i="27" l="1"/>
  <c r="S51" i="27" s="1"/>
  <c r="R47" i="33"/>
  <c r="S47" i="33"/>
  <c r="C50" i="33"/>
  <c r="M49" i="33"/>
  <c r="I49" i="33"/>
  <c r="O48" i="33"/>
  <c r="G52" i="30"/>
  <c r="H52" i="30" s="1"/>
  <c r="K51" i="30"/>
  <c r="N51" i="30" s="1"/>
  <c r="J51" i="30"/>
  <c r="M52" i="30"/>
  <c r="I52" i="30"/>
  <c r="C53" i="30"/>
  <c r="O50" i="30"/>
  <c r="C54" i="27"/>
  <c r="D54" i="27" s="1"/>
  <c r="I53" i="27"/>
  <c r="M53" i="27"/>
  <c r="K52" i="27"/>
  <c r="N52" i="27" s="1"/>
  <c r="J52" i="27"/>
  <c r="S50" i="27"/>
  <c r="Q50" i="27"/>
  <c r="R50" i="27" s="1"/>
  <c r="G53" i="27"/>
  <c r="H53" i="27" s="1"/>
  <c r="O51" i="30" l="1"/>
  <c r="S51" i="30" s="1"/>
  <c r="Q51" i="27"/>
  <c r="R51" i="27" s="1"/>
  <c r="O52" i="27"/>
  <c r="S52" i="27" s="1"/>
  <c r="G50" i="33"/>
  <c r="H50" i="33" s="1"/>
  <c r="Q48" i="33"/>
  <c r="R48" i="33" s="1"/>
  <c r="S48" i="33"/>
  <c r="D50" i="33"/>
  <c r="K49" i="33"/>
  <c r="N49" i="33" s="1"/>
  <c r="J49" i="33"/>
  <c r="G53" i="30"/>
  <c r="H53" i="30" s="1"/>
  <c r="K52" i="30"/>
  <c r="N52" i="30" s="1"/>
  <c r="J52" i="30"/>
  <c r="Q50" i="30"/>
  <c r="R50" i="30" s="1"/>
  <c r="S50" i="30"/>
  <c r="D53" i="30"/>
  <c r="K53" i="27"/>
  <c r="N53" i="27" s="1"/>
  <c r="J53" i="27"/>
  <c r="M54" i="27"/>
  <c r="I54" i="27"/>
  <c r="C55" i="27"/>
  <c r="D55" i="27" s="1"/>
  <c r="G54" i="27"/>
  <c r="H54" i="27" s="1"/>
  <c r="Q51" i="30" l="1"/>
  <c r="R51" i="30" s="1"/>
  <c r="O49" i="33"/>
  <c r="S49" i="33" s="1"/>
  <c r="Q52" i="27"/>
  <c r="R52" i="27" s="1"/>
  <c r="O53" i="27"/>
  <c r="S53" i="27" s="1"/>
  <c r="M50" i="33"/>
  <c r="C51" i="33"/>
  <c r="I50" i="33"/>
  <c r="M53" i="30"/>
  <c r="I53" i="30"/>
  <c r="C54" i="30"/>
  <c r="D54" i="30" s="1"/>
  <c r="O52" i="30"/>
  <c r="K54" i="27"/>
  <c r="N54" i="27" s="1"/>
  <c r="J54" i="27"/>
  <c r="G55" i="27"/>
  <c r="H55" i="27" s="1"/>
  <c r="M55" i="27"/>
  <c r="I55" i="27"/>
  <c r="C56" i="27"/>
  <c r="Q49" i="33" l="1"/>
  <c r="R49" i="33" s="1"/>
  <c r="Q53" i="27"/>
  <c r="R53" i="27" s="1"/>
  <c r="K50" i="33"/>
  <c r="N50" i="33" s="1"/>
  <c r="J50" i="33"/>
  <c r="G51" i="33"/>
  <c r="H51" i="33" s="1"/>
  <c r="D51" i="33"/>
  <c r="K53" i="30"/>
  <c r="N53" i="30" s="1"/>
  <c r="J53" i="30"/>
  <c r="S52" i="30"/>
  <c r="Q52" i="30"/>
  <c r="R52" i="30" s="1"/>
  <c r="C55" i="30"/>
  <c r="M54" i="30"/>
  <c r="I54" i="30"/>
  <c r="G54" i="30"/>
  <c r="H54" i="30" s="1"/>
  <c r="K55" i="27"/>
  <c r="N55" i="27" s="1"/>
  <c r="J55" i="27"/>
  <c r="G56" i="27"/>
  <c r="H56" i="27" s="1"/>
  <c r="O54" i="27"/>
  <c r="D56" i="27"/>
  <c r="O50" i="33" l="1"/>
  <c r="Q50" i="33" s="1"/>
  <c r="R50" i="33" s="1"/>
  <c r="M51" i="33"/>
  <c r="I51" i="33"/>
  <c r="C52" i="33"/>
  <c r="G55" i="30"/>
  <c r="H55" i="30" s="1"/>
  <c r="K54" i="30"/>
  <c r="N54" i="30" s="1"/>
  <c r="J54" i="30"/>
  <c r="D55" i="30"/>
  <c r="O53" i="30"/>
  <c r="M56" i="27"/>
  <c r="I56" i="27"/>
  <c r="C57" i="27"/>
  <c r="O55" i="27"/>
  <c r="S54" i="27"/>
  <c r="Q54" i="27"/>
  <c r="R54" i="27" s="1"/>
  <c r="S50" i="33" l="1"/>
  <c r="G52" i="33"/>
  <c r="H52" i="33" s="1"/>
  <c r="K51" i="33"/>
  <c r="N51" i="33" s="1"/>
  <c r="J51" i="33"/>
  <c r="D52" i="33"/>
  <c r="Q53" i="30"/>
  <c r="R53" i="30" s="1"/>
  <c r="S53" i="30"/>
  <c r="O54" i="30"/>
  <c r="C56" i="30"/>
  <c r="I55" i="30"/>
  <c r="M55" i="30"/>
  <c r="K56" i="27"/>
  <c r="N56" i="27" s="1"/>
  <c r="J56" i="27"/>
  <c r="G57" i="27"/>
  <c r="H57" i="27" s="1"/>
  <c r="Q55" i="27"/>
  <c r="R55" i="27" s="1"/>
  <c r="S55" i="27"/>
  <c r="D57" i="27"/>
  <c r="O56" i="27" l="1"/>
  <c r="Q56" i="27" s="1"/>
  <c r="R56" i="27" s="1"/>
  <c r="O51" i="33"/>
  <c r="M52" i="33"/>
  <c r="I52" i="33"/>
  <c r="C53" i="33"/>
  <c r="D53" i="33" s="1"/>
  <c r="K55" i="30"/>
  <c r="N55" i="30" s="1"/>
  <c r="J55" i="30"/>
  <c r="G56" i="30"/>
  <c r="H56" i="30" s="1"/>
  <c r="D56" i="30"/>
  <c r="Q54" i="30"/>
  <c r="R54" i="30" s="1"/>
  <c r="S54" i="30"/>
  <c r="C58" i="27"/>
  <c r="D58" i="27" s="1"/>
  <c r="I57" i="27"/>
  <c r="M57" i="27"/>
  <c r="S56" i="27" l="1"/>
  <c r="K52" i="33"/>
  <c r="N52" i="33" s="1"/>
  <c r="J52" i="33"/>
  <c r="C54" i="33"/>
  <c r="D54" i="33" s="1"/>
  <c r="I53" i="33"/>
  <c r="M53" i="33"/>
  <c r="G53" i="33"/>
  <c r="H53" i="33" s="1"/>
  <c r="Q51" i="33"/>
  <c r="R51" i="33" s="1"/>
  <c r="S51" i="33"/>
  <c r="M56" i="30"/>
  <c r="I56" i="30"/>
  <c r="C57" i="30"/>
  <c r="D57" i="30" s="1"/>
  <c r="O55" i="30"/>
  <c r="G58" i="27"/>
  <c r="H58" i="27" s="1"/>
  <c r="M58" i="27"/>
  <c r="I58" i="27"/>
  <c r="C59" i="27"/>
  <c r="D59" i="27" s="1"/>
  <c r="K57" i="27"/>
  <c r="N57" i="27" s="1"/>
  <c r="J57" i="27"/>
  <c r="O52" i="33" l="1"/>
  <c r="Q52" i="33" s="1"/>
  <c r="R52" i="33" s="1"/>
  <c r="M54" i="33"/>
  <c r="I54" i="33"/>
  <c r="C55" i="33"/>
  <c r="G54" i="33"/>
  <c r="H54" i="33" s="1"/>
  <c r="K53" i="33"/>
  <c r="N53" i="33" s="1"/>
  <c r="J53" i="33"/>
  <c r="S55" i="30"/>
  <c r="Q55" i="30"/>
  <c r="R55" i="30" s="1"/>
  <c r="M57" i="30"/>
  <c r="I57" i="30"/>
  <c r="C58" i="30"/>
  <c r="D58" i="30" s="1"/>
  <c r="G57" i="30"/>
  <c r="H57" i="30" s="1"/>
  <c r="K56" i="30"/>
  <c r="N56" i="30" s="1"/>
  <c r="J56" i="30"/>
  <c r="M59" i="27"/>
  <c r="I59" i="27"/>
  <c r="C60" i="27"/>
  <c r="K58" i="27"/>
  <c r="N58" i="27" s="1"/>
  <c r="J58" i="27"/>
  <c r="O57" i="27"/>
  <c r="G59" i="27"/>
  <c r="H59" i="27" s="1"/>
  <c r="O56" i="30" l="1"/>
  <c r="S56" i="30" s="1"/>
  <c r="O53" i="33"/>
  <c r="S53" i="33" s="1"/>
  <c r="S52" i="33"/>
  <c r="G55" i="33"/>
  <c r="H55" i="33" s="1"/>
  <c r="K54" i="33"/>
  <c r="N54" i="33" s="1"/>
  <c r="J54" i="33"/>
  <c r="D55" i="33"/>
  <c r="C59" i="30"/>
  <c r="M58" i="30"/>
  <c r="I58" i="30"/>
  <c r="G58" i="30"/>
  <c r="H58" i="30" s="1"/>
  <c r="K57" i="30"/>
  <c r="N57" i="30" s="1"/>
  <c r="J57" i="30"/>
  <c r="G60" i="27"/>
  <c r="H60" i="27" s="1"/>
  <c r="S57" i="27"/>
  <c r="Q57" i="27"/>
  <c r="R57" i="27" s="1"/>
  <c r="K59" i="27"/>
  <c r="N59" i="27" s="1"/>
  <c r="J59" i="27"/>
  <c r="O58" i="27"/>
  <c r="D60" i="27"/>
  <c r="Q56" i="30" l="1"/>
  <c r="R56" i="30" s="1"/>
  <c r="Q53" i="33"/>
  <c r="R53" i="33" s="1"/>
  <c r="O54" i="33"/>
  <c r="S54" i="33" s="1"/>
  <c r="O59" i="27"/>
  <c r="Q59" i="27" s="1"/>
  <c r="M55" i="33"/>
  <c r="I55" i="33"/>
  <c r="C56" i="33"/>
  <c r="G59" i="30"/>
  <c r="H59" i="30" s="1"/>
  <c r="O57" i="30"/>
  <c r="K58" i="30"/>
  <c r="N58" i="30" s="1"/>
  <c r="J58" i="30"/>
  <c r="D59" i="30"/>
  <c r="S58" i="27"/>
  <c r="Q58" i="27"/>
  <c r="R58" i="27" s="1"/>
  <c r="M60" i="27"/>
  <c r="I60" i="27"/>
  <c r="C61" i="27"/>
  <c r="D61" i="27" s="1"/>
  <c r="S59" i="27" l="1"/>
  <c r="Q54" i="33"/>
  <c r="R54" i="33" s="1"/>
  <c r="O58" i="30"/>
  <c r="Q58" i="30" s="1"/>
  <c r="R59" i="27"/>
  <c r="G56" i="33"/>
  <c r="H56" i="33" s="1"/>
  <c r="K55" i="33"/>
  <c r="N55" i="33" s="1"/>
  <c r="J55" i="33"/>
  <c r="D56" i="33"/>
  <c r="C60" i="30"/>
  <c r="D60" i="30" s="1"/>
  <c r="I59" i="30"/>
  <c r="M59" i="30"/>
  <c r="Q57" i="30"/>
  <c r="R57" i="30" s="1"/>
  <c r="S57" i="30"/>
  <c r="C62" i="27"/>
  <c r="D62" i="27" s="1"/>
  <c r="I61" i="27"/>
  <c r="M61" i="27"/>
  <c r="K60" i="27"/>
  <c r="N60" i="27" s="1"/>
  <c r="J60" i="27"/>
  <c r="G61" i="27"/>
  <c r="H61" i="27" s="1"/>
  <c r="R58" i="30" l="1"/>
  <c r="S58" i="30"/>
  <c r="M56" i="33"/>
  <c r="I56" i="33"/>
  <c r="C57" i="33"/>
  <c r="D57" i="33" s="1"/>
  <c r="O55" i="33"/>
  <c r="M60" i="30"/>
  <c r="I60" i="30"/>
  <c r="C61" i="30"/>
  <c r="D61" i="30" s="1"/>
  <c r="K59" i="30"/>
  <c r="N59" i="30" s="1"/>
  <c r="J59" i="30"/>
  <c r="G60" i="30"/>
  <c r="H60" i="30" s="1"/>
  <c r="O60" i="27"/>
  <c r="K61" i="27"/>
  <c r="N61" i="27" s="1"/>
  <c r="J61" i="27"/>
  <c r="M62" i="27"/>
  <c r="I62" i="27"/>
  <c r="C63" i="27"/>
  <c r="D63" i="27" s="1"/>
  <c r="G62" i="27"/>
  <c r="H62" i="27" s="1"/>
  <c r="O59" i="30" l="1"/>
  <c r="Q59" i="30" s="1"/>
  <c r="R59" i="30" s="1"/>
  <c r="O61" i="27"/>
  <c r="S61" i="27" s="1"/>
  <c r="K56" i="33"/>
  <c r="N56" i="33" s="1"/>
  <c r="J56" i="33"/>
  <c r="Q55" i="33"/>
  <c r="R55" i="33" s="1"/>
  <c r="S55" i="33"/>
  <c r="C58" i="33"/>
  <c r="D58" i="33" s="1"/>
  <c r="I57" i="33"/>
  <c r="M57" i="33"/>
  <c r="G57" i="33"/>
  <c r="H57" i="33" s="1"/>
  <c r="M61" i="30"/>
  <c r="I61" i="30"/>
  <c r="C62" i="30"/>
  <c r="D62" i="30" s="1"/>
  <c r="G61" i="30"/>
  <c r="H61" i="30" s="1"/>
  <c r="K60" i="30"/>
  <c r="N60" i="30" s="1"/>
  <c r="J60" i="30"/>
  <c r="M63" i="27"/>
  <c r="I63" i="27"/>
  <c r="C64" i="27"/>
  <c r="D64" i="27" s="1"/>
  <c r="K62" i="27"/>
  <c r="N62" i="27" s="1"/>
  <c r="J62" i="27"/>
  <c r="G63" i="27"/>
  <c r="H63" i="27" s="1"/>
  <c r="Q60" i="27"/>
  <c r="S60" i="27"/>
  <c r="S59" i="30" l="1"/>
  <c r="Q61" i="27"/>
  <c r="O60" i="30"/>
  <c r="S60" i="30" s="1"/>
  <c r="O56" i="33"/>
  <c r="S56" i="33" s="1"/>
  <c r="O62" i="27"/>
  <c r="Q62" i="27" s="1"/>
  <c r="K57" i="33"/>
  <c r="N57" i="33" s="1"/>
  <c r="J57" i="33"/>
  <c r="M58" i="33"/>
  <c r="I58" i="33"/>
  <c r="C59" i="33"/>
  <c r="G58" i="33"/>
  <c r="H58" i="33" s="1"/>
  <c r="K61" i="30"/>
  <c r="N61" i="30" s="1"/>
  <c r="J61" i="30"/>
  <c r="C63" i="30"/>
  <c r="D63" i="30" s="1"/>
  <c r="M62" i="30"/>
  <c r="I62" i="30"/>
  <c r="G62" i="30"/>
  <c r="H62" i="30" s="1"/>
  <c r="M64" i="27"/>
  <c r="I64" i="27"/>
  <c r="C65" i="27"/>
  <c r="D65" i="27" s="1"/>
  <c r="Q72" i="27"/>
  <c r="R60" i="27"/>
  <c r="K63" i="27"/>
  <c r="N63" i="27" s="1"/>
  <c r="J63" i="27"/>
  <c r="G64" i="27"/>
  <c r="H64" i="27" s="1"/>
  <c r="O61" i="30" l="1"/>
  <c r="Q61" i="30" s="1"/>
  <c r="O57" i="33"/>
  <c r="S57" i="33" s="1"/>
  <c r="R61" i="27"/>
  <c r="R62" i="27" s="1"/>
  <c r="S62" i="27"/>
  <c r="Q60" i="30"/>
  <c r="Q72" i="30" s="1"/>
  <c r="Q56" i="33"/>
  <c r="R56" i="33" s="1"/>
  <c r="O63" i="27"/>
  <c r="S63" i="27" s="1"/>
  <c r="G59" i="33"/>
  <c r="H59" i="33" s="1"/>
  <c r="K58" i="33"/>
  <c r="N58" i="33" s="1"/>
  <c r="J58" i="33"/>
  <c r="D59" i="33"/>
  <c r="K62" i="30"/>
  <c r="N62" i="30" s="1"/>
  <c r="J62" i="30"/>
  <c r="C64" i="30"/>
  <c r="D64" i="30" s="1"/>
  <c r="I63" i="30"/>
  <c r="M63" i="30"/>
  <c r="G63" i="30"/>
  <c r="H63" i="30" s="1"/>
  <c r="K64" i="27"/>
  <c r="N64" i="27" s="1"/>
  <c r="J64" i="27"/>
  <c r="C66" i="27"/>
  <c r="D66" i="27" s="1"/>
  <c r="I65" i="27"/>
  <c r="M65" i="27"/>
  <c r="G65" i="27"/>
  <c r="H65" i="27" s="1"/>
  <c r="S61" i="30" l="1"/>
  <c r="Q57" i="33"/>
  <c r="R57" i="33" s="1"/>
  <c r="O58" i="33"/>
  <c r="Q58" i="33" s="1"/>
  <c r="O62" i="30"/>
  <c r="Q62" i="30" s="1"/>
  <c r="R60" i="30"/>
  <c r="R61" i="30" s="1"/>
  <c r="Q63" i="27"/>
  <c r="R63" i="27" s="1"/>
  <c r="O64" i="27"/>
  <c r="Q64" i="27" s="1"/>
  <c r="M59" i="33"/>
  <c r="I59" i="33"/>
  <c r="C60" i="33"/>
  <c r="M64" i="30"/>
  <c r="I64" i="30"/>
  <c r="C65" i="30"/>
  <c r="D65" i="30" s="1"/>
  <c r="K63" i="30"/>
  <c r="N63" i="30" s="1"/>
  <c r="J63" i="30"/>
  <c r="G64" i="30"/>
  <c r="H64" i="30" s="1"/>
  <c r="K65" i="27"/>
  <c r="N65" i="27" s="1"/>
  <c r="J65" i="27"/>
  <c r="C67" i="27"/>
  <c r="I66" i="27"/>
  <c r="M66" i="27"/>
  <c r="G66" i="27"/>
  <c r="H66" i="27" s="1"/>
  <c r="S58" i="33" l="1"/>
  <c r="O63" i="30"/>
  <c r="S63" i="30" s="1"/>
  <c r="S64" i="27"/>
  <c r="O65" i="27"/>
  <c r="S65" i="27" s="1"/>
  <c r="R62" i="30"/>
  <c r="S62" i="30"/>
  <c r="R58" i="33"/>
  <c r="R64" i="27"/>
  <c r="G60" i="33"/>
  <c r="H60" i="33" s="1"/>
  <c r="K59" i="33"/>
  <c r="N59" i="33" s="1"/>
  <c r="J59" i="33"/>
  <c r="D60" i="33"/>
  <c r="G65" i="30"/>
  <c r="H65" i="30" s="1"/>
  <c r="M65" i="30"/>
  <c r="I65" i="30"/>
  <c r="C66" i="30"/>
  <c r="K64" i="30"/>
  <c r="N64" i="30" s="1"/>
  <c r="J64" i="30"/>
  <c r="G67" i="27"/>
  <c r="H67" i="27" s="1"/>
  <c r="D67" i="27"/>
  <c r="K66" i="27"/>
  <c r="N66" i="27" s="1"/>
  <c r="J66" i="27"/>
  <c r="Q63" i="30" l="1"/>
  <c r="R63" i="30" s="1"/>
  <c r="O64" i="30"/>
  <c r="S64" i="30" s="1"/>
  <c r="Q65" i="27"/>
  <c r="R65" i="27" s="1"/>
  <c r="O59" i="33"/>
  <c r="M60" i="33"/>
  <c r="I60" i="33"/>
  <c r="C61" i="33"/>
  <c r="D61" i="33" s="1"/>
  <c r="G66" i="30"/>
  <c r="H66" i="30" s="1"/>
  <c r="K65" i="30"/>
  <c r="N65" i="30" s="1"/>
  <c r="J65" i="30"/>
  <c r="D66" i="30"/>
  <c r="O66" i="27"/>
  <c r="C68" i="27"/>
  <c r="D68" i="27" s="1"/>
  <c r="I67" i="27"/>
  <c r="M67" i="27"/>
  <c r="Q64" i="30" l="1"/>
  <c r="R64" i="30" s="1"/>
  <c r="O65" i="30"/>
  <c r="S65" i="30" s="1"/>
  <c r="K60" i="33"/>
  <c r="N60" i="33" s="1"/>
  <c r="J60" i="33"/>
  <c r="C62" i="33"/>
  <c r="D62" i="33" s="1"/>
  <c r="I61" i="33"/>
  <c r="M61" i="33"/>
  <c r="G61" i="33"/>
  <c r="H61" i="33" s="1"/>
  <c r="Q59" i="33"/>
  <c r="R59" i="33" s="1"/>
  <c r="S59" i="33"/>
  <c r="M66" i="30"/>
  <c r="I66" i="30"/>
  <c r="C67" i="30"/>
  <c r="D67" i="30" s="1"/>
  <c r="S66" i="27"/>
  <c r="Q66" i="27"/>
  <c r="R66" i="27" s="1"/>
  <c r="G68" i="27"/>
  <c r="H68" i="27" s="1"/>
  <c r="C69" i="27"/>
  <c r="D69" i="27" s="1"/>
  <c r="I68" i="27"/>
  <c r="M68" i="27"/>
  <c r="K67" i="27"/>
  <c r="N67" i="27" s="1"/>
  <c r="J67" i="27"/>
  <c r="Q65" i="30" l="1"/>
  <c r="R65" i="30" s="1"/>
  <c r="O60" i="33"/>
  <c r="S60" i="33" s="1"/>
  <c r="O67" i="27"/>
  <c r="Q67" i="27" s="1"/>
  <c r="R67" i="27" s="1"/>
  <c r="M62" i="33"/>
  <c r="I62" i="33"/>
  <c r="C63" i="33"/>
  <c r="G62" i="33"/>
  <c r="H62" i="33" s="1"/>
  <c r="K61" i="33"/>
  <c r="N61" i="33" s="1"/>
  <c r="J61" i="33"/>
  <c r="M67" i="30"/>
  <c r="I67" i="30"/>
  <c r="C68" i="30"/>
  <c r="D68" i="30" s="1"/>
  <c r="G67" i="30"/>
  <c r="H67" i="30" s="1"/>
  <c r="K66" i="30"/>
  <c r="N66" i="30" s="1"/>
  <c r="J66" i="30"/>
  <c r="K68" i="27"/>
  <c r="N68" i="27" s="1"/>
  <c r="J68" i="27"/>
  <c r="C70" i="27"/>
  <c r="I69" i="27"/>
  <c r="M69" i="27"/>
  <c r="G69" i="27"/>
  <c r="H69" i="27" s="1"/>
  <c r="O66" i="30" l="1"/>
  <c r="S66" i="30" s="1"/>
  <c r="Q60" i="33"/>
  <c r="Q72" i="33" s="1"/>
  <c r="O61" i="33"/>
  <c r="S61" i="33" s="1"/>
  <c r="S67" i="27"/>
  <c r="G63" i="33"/>
  <c r="H63" i="33" s="1"/>
  <c r="K62" i="33"/>
  <c r="N62" i="33" s="1"/>
  <c r="J62" i="33"/>
  <c r="D63" i="33"/>
  <c r="G68" i="30"/>
  <c r="H68" i="30" s="1"/>
  <c r="M68" i="30"/>
  <c r="I68" i="30"/>
  <c r="C69" i="30"/>
  <c r="D69" i="30" s="1"/>
  <c r="K67" i="30"/>
  <c r="N67" i="30" s="1"/>
  <c r="J67" i="30"/>
  <c r="K69" i="27"/>
  <c r="N69" i="27" s="1"/>
  <c r="J69" i="27"/>
  <c r="G70" i="27"/>
  <c r="H70" i="27" s="1"/>
  <c r="D70" i="27"/>
  <c r="O68" i="27"/>
  <c r="O67" i="30" l="1"/>
  <c r="Q67" i="30" s="1"/>
  <c r="Q61" i="33"/>
  <c r="R60" i="33"/>
  <c r="O62" i="33"/>
  <c r="S62" i="33" s="1"/>
  <c r="Q66" i="30"/>
  <c r="R66" i="30" s="1"/>
  <c r="O69" i="27"/>
  <c r="S69" i="27" s="1"/>
  <c r="M63" i="33"/>
  <c r="I63" i="33"/>
  <c r="C64" i="33"/>
  <c r="K68" i="30"/>
  <c r="N68" i="30" s="1"/>
  <c r="J68" i="30"/>
  <c r="M69" i="30"/>
  <c r="I69" i="30"/>
  <c r="C70" i="30"/>
  <c r="D70" i="30" s="1"/>
  <c r="G69" i="30"/>
  <c r="H69" i="30" s="1"/>
  <c r="I70" i="27"/>
  <c r="M70" i="27"/>
  <c r="S68" i="27"/>
  <c r="Q68" i="27"/>
  <c r="R68" i="27" s="1"/>
  <c r="S67" i="30" l="1"/>
  <c r="R61" i="33"/>
  <c r="Q62" i="33"/>
  <c r="R67" i="30"/>
  <c r="Q69" i="27"/>
  <c r="R69" i="27" s="1"/>
  <c r="G64" i="33"/>
  <c r="H64" i="33" s="1"/>
  <c r="K63" i="33"/>
  <c r="N63" i="33" s="1"/>
  <c r="J63" i="33"/>
  <c r="D64" i="33"/>
  <c r="M70" i="30"/>
  <c r="I70" i="30"/>
  <c r="G70" i="30"/>
  <c r="H70" i="30" s="1"/>
  <c r="K69" i="30"/>
  <c r="N69" i="30" s="1"/>
  <c r="J69" i="30"/>
  <c r="O68" i="30"/>
  <c r="K70" i="27"/>
  <c r="N70" i="27" s="1"/>
  <c r="J70" i="27"/>
  <c r="R62" i="33" l="1"/>
  <c r="O69" i="30"/>
  <c r="S69" i="30" s="1"/>
  <c r="O63" i="33"/>
  <c r="M64" i="33"/>
  <c r="I64" i="33"/>
  <c r="C65" i="33"/>
  <c r="D65" i="33" s="1"/>
  <c r="Q68" i="30"/>
  <c r="R68" i="30" s="1"/>
  <c r="S68" i="30"/>
  <c r="K70" i="30"/>
  <c r="N70" i="30" s="1"/>
  <c r="J70" i="30"/>
  <c r="O70" i="27"/>
  <c r="O70" i="30" l="1"/>
  <c r="S70" i="30" s="1"/>
  <c r="Q69" i="30"/>
  <c r="R69" i="30" s="1"/>
  <c r="K64" i="33"/>
  <c r="N64" i="33" s="1"/>
  <c r="J64" i="33"/>
  <c r="C66" i="33"/>
  <c r="D66" i="33" s="1"/>
  <c r="I65" i="33"/>
  <c r="M65" i="33"/>
  <c r="G65" i="33"/>
  <c r="H65" i="33" s="1"/>
  <c r="Q63" i="33"/>
  <c r="R63" i="33" s="1"/>
  <c r="S63" i="33"/>
  <c r="S70" i="27"/>
  <c r="Q70" i="27"/>
  <c r="Q70" i="30" l="1"/>
  <c r="Q71" i="30" s="1"/>
  <c r="E18" i="30" s="1"/>
  <c r="O18" i="30" s="1"/>
  <c r="O64" i="33"/>
  <c r="Q64" i="33" s="1"/>
  <c r="R64" i="33" s="1"/>
  <c r="C67" i="33"/>
  <c r="D67" i="33" s="1"/>
  <c r="I66" i="33"/>
  <c r="M66" i="33"/>
  <c r="G66" i="33"/>
  <c r="H66" i="33" s="1"/>
  <c r="K65" i="33"/>
  <c r="N65" i="33" s="1"/>
  <c r="J65" i="33"/>
  <c r="Q71" i="27"/>
  <c r="R70" i="27"/>
  <c r="R70" i="30" l="1"/>
  <c r="E19" i="30"/>
  <c r="E20" i="30" s="1"/>
  <c r="S64" i="33"/>
  <c r="O65" i="33"/>
  <c r="S65" i="33" s="1"/>
  <c r="C68" i="33"/>
  <c r="I67" i="33"/>
  <c r="M67" i="33"/>
  <c r="K66" i="33"/>
  <c r="N66" i="33" s="1"/>
  <c r="J66" i="33"/>
  <c r="G67" i="33"/>
  <c r="H67" i="33" s="1"/>
  <c r="E18" i="27"/>
  <c r="O18" i="27" s="1"/>
  <c r="E19" i="27"/>
  <c r="O19" i="30" l="1"/>
  <c r="Q65" i="33"/>
  <c r="R65" i="33" s="1"/>
  <c r="G68" i="33"/>
  <c r="H68" i="33" s="1"/>
  <c r="D68" i="33"/>
  <c r="O66" i="33"/>
  <c r="K67" i="33"/>
  <c r="N67" i="33" s="1"/>
  <c r="J67" i="33"/>
  <c r="O20" i="30"/>
  <c r="G33" i="28"/>
  <c r="G35" i="28" s="1"/>
  <c r="G42" i="28" s="1"/>
  <c r="G46" i="28" s="1"/>
  <c r="B26" i="16" s="1"/>
  <c r="F39" i="36" s="1"/>
  <c r="E21" i="30"/>
  <c r="O21" i="30" s="1"/>
  <c r="E20" i="27"/>
  <c r="O19" i="27"/>
  <c r="G39" i="36" l="1"/>
  <c r="F33" i="18"/>
  <c r="J33" i="18" s="1"/>
  <c r="C69" i="33"/>
  <c r="D69" i="33" s="1"/>
  <c r="I68" i="33"/>
  <c r="M68" i="33"/>
  <c r="O67" i="33"/>
  <c r="S66" i="33"/>
  <c r="Q66" i="33"/>
  <c r="R66" i="33" s="1"/>
  <c r="O20" i="27"/>
  <c r="G33" i="25"/>
  <c r="G35" i="25" s="1"/>
  <c r="E21" i="27"/>
  <c r="O21" i="27" s="1"/>
  <c r="G42" i="25" l="1"/>
  <c r="G46" i="25" s="1"/>
  <c r="B26" i="15" s="1"/>
  <c r="H39" i="36"/>
  <c r="K39" i="36"/>
  <c r="J39" i="36"/>
  <c r="C70" i="33"/>
  <c r="D70" i="33" s="1"/>
  <c r="I69" i="33"/>
  <c r="M69" i="33"/>
  <c r="K68" i="33"/>
  <c r="N68" i="33" s="1"/>
  <c r="J68" i="33"/>
  <c r="S67" i="33"/>
  <c r="Q67" i="33"/>
  <c r="R67" i="33" s="1"/>
  <c r="G69" i="33"/>
  <c r="H69" i="33" s="1"/>
  <c r="F11" i="36" l="1"/>
  <c r="G11" i="36" s="1"/>
  <c r="F13" i="18"/>
  <c r="J13" i="18" s="1"/>
  <c r="O68" i="33"/>
  <c r="S68" i="33" s="1"/>
  <c r="I70" i="33"/>
  <c r="M70" i="33"/>
  <c r="K69" i="33"/>
  <c r="N69" i="33" s="1"/>
  <c r="J69" i="33"/>
  <c r="G70" i="33"/>
  <c r="H70" i="33" s="1"/>
  <c r="H11" i="36" l="1"/>
  <c r="J11" i="36"/>
  <c r="K11" i="36"/>
  <c r="Q68" i="33"/>
  <c r="R68" i="33" s="1"/>
  <c r="O69" i="33"/>
  <c r="K70" i="33"/>
  <c r="N70" i="33" s="1"/>
  <c r="J70" i="33"/>
  <c r="O70" i="33" l="1"/>
  <c r="S70" i="33" s="1"/>
  <c r="S69" i="33"/>
  <c r="Q69" i="33"/>
  <c r="R69" i="33" s="1"/>
  <c r="Q70" i="33" l="1"/>
  <c r="R70" i="33" s="1"/>
  <c r="Q71" i="33" l="1"/>
  <c r="E18" i="33" s="1"/>
  <c r="O18" i="33" s="1"/>
  <c r="E19" i="33" l="1"/>
  <c r="E20" i="33" s="1"/>
  <c r="O20" i="33" s="1"/>
  <c r="E21" i="33" l="1"/>
  <c r="O21" i="33" s="1"/>
  <c r="G35" i="31"/>
  <c r="G42" i="31" s="1"/>
  <c r="H47" i="31" s="1"/>
  <c r="B41" i="24" s="1"/>
  <c r="F27" i="36" s="1"/>
  <c r="O19" i="33"/>
  <c r="G27" i="36" l="1"/>
  <c r="F23" i="18"/>
  <c r="G23" i="18" s="1"/>
  <c r="G47" i="31"/>
  <c r="B25" i="24" s="1"/>
  <c r="F26" i="36" s="1"/>
  <c r="K27" i="36" l="1"/>
  <c r="G26" i="36"/>
  <c r="F22" i="18"/>
  <c r="G22" i="18" s="1"/>
  <c r="J22" i="18" s="1"/>
  <c r="J27" i="36"/>
  <c r="H27" i="36"/>
  <c r="F15" i="35"/>
  <c r="H23" i="18"/>
  <c r="J23" i="18"/>
  <c r="K26" i="36" l="1"/>
  <c r="H26" i="36"/>
  <c r="J26" i="36"/>
  <c r="F14" i="35"/>
  <c r="H22" i="18"/>
  <c r="J23" i="36" l="1"/>
  <c r="J33" i="36" s="1"/>
  <c r="J9" i="36"/>
  <c r="J19" i="36" s="1"/>
  <c r="J37" i="36"/>
  <c r="J45" i="36" s="1"/>
  <c r="J30" i="18"/>
  <c r="J34" i="18" s="1"/>
  <c r="I19" i="18" l="1"/>
  <c r="J19" i="18" s="1"/>
  <c r="J25" i="18" s="1"/>
  <c r="J10" i="18"/>
  <c r="J14" i="18" s="1"/>
  <c r="J47" i="36"/>
  <c r="J36"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tc={3B8F3E81-F050-453D-8C81-B6D8DF2802D1}</author>
    <author>tc={A8CF143D-A6DB-4EB6-9A5A-D9BE992620D4}</author>
    <author>tc={D944C231-AF97-41DF-89A1-82BFE7CDB73C}</author>
    <author>tc={DBF16E95-C004-41FB-B7DF-711AB58DFFF3}</author>
  </authors>
  <commentList>
    <comment ref="B8" authorId="0" shapeId="0" xr:uid="{3B8F3E81-F050-453D-8C81-B6D8DF2802D1}">
      <text>
        <t>[Threaded comment]
Your version of Excel allows you to read this threaded comment; however, any edits to it will get removed if the file is opened in a newer version of Excel. Learn more: https://go.microsoft.com/fwlink/?linkid=870924
Comment:
    Grade 11 after 2 yr</t>
      </text>
    </comment>
    <comment ref="C8" authorId="1" shapeId="0" xr:uid="{A8CF143D-A6DB-4EB6-9A5A-D9BE992620D4}">
      <text>
        <t>[Threaded comment]
Your version of Excel allows you to read this threaded comment; however, any edits to it will get removed if the file is opened in a newer version of Excel. Learn more: https://go.microsoft.com/fwlink/?linkid=870924
Comment:
    Meter Tech after 2 yr</t>
      </text>
    </comment>
    <comment ref="C9" authorId="2" shapeId="0" xr:uid="{D944C231-AF97-41DF-89A1-82BFE7CDB73C}">
      <text>
        <t>[Threaded comment]
Your version of Excel allows you to read this threaded comment; however, any edits to it will get removed if the file is opened in a newer version of Excel. Learn more: https://go.microsoft.com/fwlink/?linkid=870924
Comment:
    Meter Tech after 2 yr</t>
      </text>
    </comment>
    <comment ref="C10" authorId="3" shapeId="0" xr:uid="{DBF16E95-C004-41FB-B7DF-711AB58DFFF3}">
      <text>
        <t>[Threaded comment]
Your version of Excel allows you to read this threaded comment; however, any edits to it will get removed if the file is opened in a newer version of Excel. Learn more: https://go.microsoft.com/fwlink/?linkid=870924
Comment:
    Meter Tech after 2 yr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Snyder, Matthew</author>
    <author>e010796</author>
  </authors>
  <commentList>
    <comment ref="C2" authorId="0" shapeId="0" xr:uid="{00000000-0006-0000-1D00-000001000000}">
      <text>
        <r>
          <rPr>
            <b/>
            <sz val="9"/>
            <color indexed="81"/>
            <rFont val="Tahoma"/>
            <family val="2"/>
          </rPr>
          <t>Snyder, Matthew:</t>
        </r>
        <r>
          <rPr>
            <sz val="9"/>
            <color indexed="81"/>
            <rFont val="Tahoma"/>
            <family val="2"/>
          </rPr>
          <t xml:space="preserve">
Percentages are based off of 2014 data due to the lack of 2013 completion times.  This percentage is based off of total time from enroute to complete.
The percentage of Orders are consistant with the figure showing this is an accurate calculation.</t>
        </r>
      </text>
    </comment>
    <comment ref="C3" authorId="1" shapeId="0" xr:uid="{00000000-0006-0000-1D00-000002000000}">
      <text>
        <r>
          <rPr>
            <b/>
            <sz val="8"/>
            <color indexed="81"/>
            <rFont val="Tahoma"/>
            <family val="2"/>
          </rPr>
          <t>e010796:</t>
        </r>
        <r>
          <rPr>
            <sz val="8"/>
            <color indexed="81"/>
            <rFont val="Tahoma"/>
            <family val="2"/>
          </rPr>
          <t xml:space="preserve">
Service and Credit Expenses are based on actual drive times and on-site times for the order types in the respective service and credit categories. (credit = disconnects for nonpayment, reconnects after disconnect for nonpayment, and turn-offs for unauthorized reconnects)</t>
        </r>
      </text>
    </comment>
    <comment ref="D3" authorId="1" shapeId="0" xr:uid="{00000000-0006-0000-1D00-000003000000}">
      <text>
        <r>
          <rPr>
            <b/>
            <sz val="8"/>
            <color indexed="81"/>
            <rFont val="Tahoma"/>
            <family val="2"/>
          </rPr>
          <t>e010796:</t>
        </r>
        <r>
          <rPr>
            <sz val="8"/>
            <color indexed="81"/>
            <rFont val="Tahoma"/>
            <family val="2"/>
          </rPr>
          <t xml:space="preserve">
Service and Credit Expenses are based on actual drive times and on-site times for the order types in the respective service and credit categories. (credit = disconnects for nonpayment, reconnects after disconnect for nonpayment, and turn-offs for unauthorized reconnects)</t>
        </r>
      </text>
    </comment>
    <comment ref="C4" authorId="1" shapeId="0" xr:uid="{AFD3DDE4-F386-4B55-9C05-4D1C8FEFE8C6}">
      <text>
        <r>
          <rPr>
            <b/>
            <sz val="8"/>
            <color indexed="81"/>
            <rFont val="Tahoma"/>
            <family val="2"/>
          </rPr>
          <t>e010796:</t>
        </r>
        <r>
          <rPr>
            <sz val="8"/>
            <color indexed="81"/>
            <rFont val="Tahoma"/>
            <family val="2"/>
          </rPr>
          <t xml:space="preserve">
Service and Credit Expenses are based on actual drive times and on-site times for the order types in the respective service and credit categories. (credit = disconnects for nonpayment, reconnects after disconnect for nonpayment, and turn-offs for unauthorized reconnects)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Snyder, Matthew</author>
    <author>e010796</author>
  </authors>
  <commentList>
    <comment ref="C2" authorId="0" shapeId="0" xr:uid="{00000000-0006-0000-1E00-000001000000}">
      <text>
        <r>
          <rPr>
            <b/>
            <sz val="9"/>
            <color indexed="81"/>
            <rFont val="Tahoma"/>
            <family val="2"/>
          </rPr>
          <t>Snyder, Matthew:</t>
        </r>
        <r>
          <rPr>
            <sz val="9"/>
            <color indexed="81"/>
            <rFont val="Tahoma"/>
            <family val="2"/>
          </rPr>
          <t xml:space="preserve">
Percentages are based off of 2014 data due to the lack of 2013 completion times.  This percentage is based off of total time from enroute to complete.
The percentage of Orders are consistant with the figure showing this is an accurate calculation.</t>
        </r>
      </text>
    </comment>
    <comment ref="C3" authorId="1" shapeId="0" xr:uid="{00000000-0006-0000-1E00-000002000000}">
      <text>
        <r>
          <rPr>
            <b/>
            <sz val="8"/>
            <color indexed="81"/>
            <rFont val="Tahoma"/>
            <family val="2"/>
          </rPr>
          <t>e010796:</t>
        </r>
        <r>
          <rPr>
            <sz val="8"/>
            <color indexed="81"/>
            <rFont val="Tahoma"/>
            <family val="2"/>
          </rPr>
          <t xml:space="preserve">
Service and Credit Expenses are based on actual drive times and on-site times for the order types in the respective service and credit categories. (credit = disconnects for nonpayment, reconnects after disconnect for nonpayment, and turn-offs for unauthorized reconnects)</t>
        </r>
      </text>
    </comment>
    <comment ref="D3" authorId="1" shapeId="0" xr:uid="{00000000-0006-0000-1E00-000003000000}">
      <text>
        <r>
          <rPr>
            <b/>
            <sz val="8"/>
            <color indexed="81"/>
            <rFont val="Tahoma"/>
            <family val="2"/>
          </rPr>
          <t>e010796:</t>
        </r>
        <r>
          <rPr>
            <sz val="8"/>
            <color indexed="81"/>
            <rFont val="Tahoma"/>
            <family val="2"/>
          </rPr>
          <t xml:space="preserve">
Service and Credit Expenses are based on actual drive times and on-site times for the order types in the respective service and credit categories. (credit = disconnects for nonpayment, reconnects after disconnect for nonpayment, and turn-offs for unauthorized reconnects)</t>
        </r>
      </text>
    </comment>
  </commentList>
</comments>
</file>

<file path=xl/sharedStrings.xml><?xml version="1.0" encoding="utf-8"?>
<sst xmlns="http://schemas.openxmlformats.org/spreadsheetml/2006/main" count="1206" uniqueCount="353">
  <si>
    <t>LG&amp;E</t>
  </si>
  <si>
    <t>KU</t>
  </si>
  <si>
    <t>Disconnect Service</t>
  </si>
  <si>
    <t>Reconnect Service</t>
  </si>
  <si>
    <t>Kentucky Utilities Company</t>
  </si>
  <si>
    <t>Total Charge</t>
  </si>
  <si>
    <t>Disconnect/Reconnect</t>
  </si>
  <si>
    <t>Cost Justification</t>
  </si>
  <si>
    <t>Labor - One Hour</t>
  </si>
  <si>
    <t>Louisville Gas and Electric Company</t>
  </si>
  <si>
    <t>Electric Meter Test</t>
  </si>
  <si>
    <t>Meter Test labor</t>
  </si>
  <si>
    <t>Drive time Labor</t>
  </si>
  <si>
    <t>Customer Contact labor</t>
  </si>
  <si>
    <t>Meter Test T&amp;E</t>
  </si>
  <si>
    <t>Gas Meter Test</t>
  </si>
  <si>
    <t>Vehicle - 2/3 Hour</t>
  </si>
  <si>
    <t xml:space="preserve">Labor </t>
  </si>
  <si>
    <t>Detail</t>
  </si>
  <si>
    <t>Contractor costs to test gas meter.  Costs include travel, set-up, turning off and on gas service, turning off and relighting customer's gas appliances, removing gas meter and installing new meter and meter testing.</t>
  </si>
  <si>
    <t>RAW</t>
  </si>
  <si>
    <t>BURDENED</t>
  </si>
  <si>
    <t>Meter Data Processing</t>
  </si>
  <si>
    <t>Estimated minutes to prepare report</t>
  </si>
  <si>
    <t>LG&amp;E Returned Check/ACH Costs</t>
  </si>
  <si>
    <t>Returns</t>
  </si>
  <si>
    <t>Cost</t>
  </si>
  <si>
    <t>Labor (incl. burdens)</t>
  </si>
  <si>
    <t>Postage/Material</t>
  </si>
  <si>
    <t>Burden Rate</t>
  </si>
  <si>
    <t>KU Returned Check/ACH Costs</t>
  </si>
  <si>
    <t>Rate</t>
  </si>
  <si>
    <t>Returned Check/ACH</t>
  </si>
  <si>
    <t>Labor costs per minute</t>
  </si>
  <si>
    <t>Pulse Initiator Board</t>
  </si>
  <si>
    <t>Relay Enclosure</t>
  </si>
  <si>
    <t>Vehicle</t>
  </si>
  <si>
    <t>Pulse Relay</t>
  </si>
  <si>
    <t>Meter Pulse</t>
  </si>
  <si>
    <t>Miscellaneous Charge</t>
  </si>
  <si>
    <t>LG&amp;E - Electric</t>
  </si>
  <si>
    <t>LG&amp;E - Gas</t>
  </si>
  <si>
    <t>Disconnect/Reconnect Charge</t>
  </si>
  <si>
    <t>Returned Check Fee*</t>
  </si>
  <si>
    <t>Meter-Test Charge</t>
  </si>
  <si>
    <t>Meter Data Processing Reports</t>
  </si>
  <si>
    <t>Meter Pulse Relaying</t>
  </si>
  <si>
    <t>Current</t>
  </si>
  <si>
    <t>Proposed</t>
  </si>
  <si>
    <t>Meter Pulse - ELECTRIC</t>
  </si>
  <si>
    <t>4/1/11 - 3/31/2012   EXPENSES</t>
  </si>
  <si>
    <t>Service %</t>
  </si>
  <si>
    <t>Credit %</t>
  </si>
  <si>
    <t>Service $</t>
  </si>
  <si>
    <t>Credit $</t>
  </si>
  <si>
    <t>LGE FTES</t>
  </si>
  <si>
    <t>LGE CONTRACTORS</t>
  </si>
  <si>
    <t>TOTAL</t>
  </si>
  <si>
    <t>KU FTES</t>
  </si>
  <si>
    <t>KU CONTRACTORS</t>
  </si>
  <si>
    <t>Burdened Costs by Order Type</t>
  </si>
  <si>
    <t>Mobile Retail Reporting (techs only)</t>
  </si>
  <si>
    <t>Cost per Order Type</t>
  </si>
  <si>
    <t># Srv Ords</t>
  </si>
  <si>
    <t># Cred Ords</t>
  </si>
  <si>
    <t>$ / Srv Ord</t>
  </si>
  <si>
    <t>$ / Crd Ord</t>
  </si>
  <si>
    <t>GRAND TOTALS</t>
  </si>
  <si>
    <t>5 Hours Labor (loaded)</t>
  </si>
  <si>
    <t>Summary of Increases (Decreases) to Special Charges</t>
  </si>
  <si>
    <t>Gas Inspection Charge</t>
  </si>
  <si>
    <t>Raw</t>
  </si>
  <si>
    <t>Burdened</t>
  </si>
  <si>
    <t>Lge Crew Leader</t>
  </si>
  <si>
    <t>LGE Mechanic</t>
  </si>
  <si>
    <t>Truck</t>
  </si>
  <si>
    <t xml:space="preserve">Total for one hour </t>
  </si>
  <si>
    <t>Labor and transportation costs to inspect gas service.  Costs include travel, set-up, turning off and on gas service, and relighting customer's gas appliances.</t>
  </si>
  <si>
    <t>Transportation</t>
  </si>
  <si>
    <t>Actual</t>
  </si>
  <si>
    <t xml:space="preserve">Proposed Change Inc/(Dec) </t>
  </si>
  <si>
    <t>Charge per pulse per meter per month (5 Year Contract</t>
  </si>
  <si>
    <t>Equipment Installed Costs:</t>
  </si>
  <si>
    <t>Meter Pulse - GAS</t>
  </si>
  <si>
    <t>3 Hours Labor (loaded)</t>
  </si>
  <si>
    <t>Total Installed Costs</t>
  </si>
  <si>
    <t>Equipment Costs</t>
  </si>
  <si>
    <t>Residential</t>
  </si>
  <si>
    <t>MH</t>
  </si>
  <si>
    <t>Non-FT and Non-TS-2 customer without telemetry</t>
  </si>
  <si>
    <t>FT and TS-2 customer with telemetry</t>
  </si>
  <si>
    <t>Vehicle 2 hours</t>
  </si>
  <si>
    <t>Louisville Gas &amp; Electric Company</t>
  </si>
  <si>
    <t>Present Value of Replacement Plant as a Percentage of Original Cost</t>
  </si>
  <si>
    <t>Cumulative</t>
  </si>
  <si>
    <t>Present</t>
  </si>
  <si>
    <t>5-Year R3</t>
  </si>
  <si>
    <t>Cost Escalation</t>
  </si>
  <si>
    <t>Present Value</t>
  </si>
  <si>
    <t>Value of</t>
  </si>
  <si>
    <t>Iowa Curve</t>
  </si>
  <si>
    <t>Annual</t>
  </si>
  <si>
    <t>Factor at a</t>
  </si>
  <si>
    <t>Nominal</t>
  </si>
  <si>
    <t xml:space="preserve">Percent </t>
  </si>
  <si>
    <t>Replacement</t>
  </si>
  <si>
    <t>Replaced</t>
  </si>
  <si>
    <t>Year</t>
  </si>
  <si>
    <t>Surviving</t>
  </si>
  <si>
    <t>Percentage</t>
  </si>
  <si>
    <t>Inflation Factor</t>
  </si>
  <si>
    <t>Discount Rate</t>
  </si>
  <si>
    <t>(1)</t>
  </si>
  <si>
    <t>(2)</t>
  </si>
  <si>
    <t>(3)</t>
  </si>
  <si>
    <t>(4)</t>
  </si>
  <si>
    <t>(5)</t>
  </si>
  <si>
    <t>(6)</t>
  </si>
  <si>
    <t>(7)</t>
  </si>
  <si>
    <t>(8)</t>
  </si>
  <si>
    <t>(9)</t>
  </si>
  <si>
    <t>(3) x (5)</t>
  </si>
  <si>
    <t>(6) x (7)</t>
  </si>
  <si>
    <t>Meter Pulse Charge</t>
  </si>
  <si>
    <t>Original Cost Basis (100)</t>
  </si>
  <si>
    <t>Total Present Value of Original and Replacement Cost Value as a Percentage of Original Cost</t>
  </si>
  <si>
    <t>Monthly Carrying Charge Percentage (Levelized Carrying Charge Rate / 12 months)</t>
  </si>
  <si>
    <t>Applicable Carrying Charge Charge Percentage (Lines 3 x 5)</t>
  </si>
  <si>
    <t>O&amp;M Percentage</t>
  </si>
  <si>
    <t>Total Monthly Revenue Requirement as Percentage of Original Cost</t>
  </si>
  <si>
    <t>Installed Cost of Meter Pulse Equipment</t>
  </si>
  <si>
    <t>Monthly Charge</t>
  </si>
  <si>
    <t>Levelized Carrying Charge Analysis</t>
  </si>
  <si>
    <t>Capital Structure:</t>
  </si>
  <si>
    <t>Weighted</t>
  </si>
  <si>
    <t>Adjusted</t>
  </si>
  <si>
    <t>Percent</t>
  </si>
  <si>
    <t>COC</t>
  </si>
  <si>
    <t>Tax Rate</t>
  </si>
  <si>
    <t>Common Equity</t>
  </si>
  <si>
    <t>Tax Depreciation Table (MACRS)</t>
  </si>
  <si>
    <t>Assumptions:</t>
  </si>
  <si>
    <t xml:space="preserve">   Investment</t>
  </si>
  <si>
    <t xml:space="preserve">   Book Life</t>
  </si>
  <si>
    <t xml:space="preserve">   Tax Life</t>
  </si>
  <si>
    <t xml:space="preserve">   Composite Tax Rate</t>
  </si>
  <si>
    <t xml:space="preserve">   Property Tax Rate</t>
  </si>
  <si>
    <t xml:space="preserve">   Levelized Revenue Requirement Years</t>
  </si>
  <si>
    <t xml:space="preserve">   O&amp;M as Percent of Investment</t>
  </si>
  <si>
    <t>Results:</t>
  </si>
  <si>
    <t xml:space="preserve">   Present Value Revenue Requirement</t>
  </si>
  <si>
    <t xml:space="preserve">   Levelized Revenue Requirement</t>
  </si>
  <si>
    <t xml:space="preserve">   Levelized Carrying Charge Rate</t>
  </si>
  <si>
    <t xml:space="preserve">   Level of Investment that can be Supported by Revenue</t>
  </si>
  <si>
    <t>Times Net Revenue</t>
  </si>
  <si>
    <t>Accumulated</t>
  </si>
  <si>
    <t>Value</t>
  </si>
  <si>
    <t>Carrying</t>
  </si>
  <si>
    <t>Book</t>
  </si>
  <si>
    <t>Residual</t>
  </si>
  <si>
    <t>Tax</t>
  </si>
  <si>
    <t xml:space="preserve">Deferred </t>
  </si>
  <si>
    <t xml:space="preserve">Property </t>
  </si>
  <si>
    <t>Income</t>
  </si>
  <si>
    <t>Revenue</t>
  </si>
  <si>
    <t>Interest</t>
  </si>
  <si>
    <t>Charge</t>
  </si>
  <si>
    <t>Investment</t>
  </si>
  <si>
    <t>Depreciation</t>
  </si>
  <si>
    <t>Plant</t>
  </si>
  <si>
    <t>Income Tax</t>
  </si>
  <si>
    <t>Rate Base</t>
  </si>
  <si>
    <t>Equity</t>
  </si>
  <si>
    <t>O&amp;M</t>
  </si>
  <si>
    <t>Taxes</t>
  </si>
  <si>
    <t>Requirement</t>
  </si>
  <si>
    <t>Factor</t>
  </si>
  <si>
    <t>Kentucky Utilities</t>
  </si>
  <si>
    <t>Gas Meter Pulse Charge</t>
  </si>
  <si>
    <t>Non-FT</t>
  </si>
  <si>
    <t>FT</t>
  </si>
  <si>
    <t>Short-Term Debt</t>
  </si>
  <si>
    <t>Long-Term Debt</t>
  </si>
  <si>
    <t>Based on the 12 Months Ended August 31, 2014</t>
  </si>
  <si>
    <t>Servco</t>
  </si>
  <si>
    <t>Differences Between Last Test Year (This Year Subtracting Last Year)</t>
  </si>
  <si>
    <t>Total Cost For Credit Order</t>
  </si>
  <si>
    <t>Previous Rate Case Data Shown Below this Row</t>
  </si>
  <si>
    <t>Grand Total</t>
  </si>
  <si>
    <t>Louisville Gas &amp; Electric</t>
  </si>
  <si>
    <t>Kentucky Utilities Compan</t>
  </si>
  <si>
    <t>ADJUSTMENT</t>
  </si>
  <si>
    <t>CREDIT</t>
  </si>
  <si>
    <t>SERVICE</t>
  </si>
  <si>
    <t>Column Labels</t>
  </si>
  <si>
    <t>Sum of Field</t>
  </si>
  <si>
    <t>CCS BW 6220</t>
  </si>
  <si>
    <t>Row Labels</t>
  </si>
  <si>
    <t>Data Source for Calculations</t>
  </si>
  <si>
    <t>SEPT 2013 - AUGUST 2014   EXPENSES</t>
  </si>
  <si>
    <t>Meter Pulse Relaying - FT/TS2</t>
  </si>
  <si>
    <t>Inspection Charge</t>
  </si>
  <si>
    <t>Additional Trip Charge</t>
  </si>
  <si>
    <t>Gas Inspection Charge/Additional Trip Charge</t>
  </si>
  <si>
    <t>Meter Pulse Relaying Non-FT Non-TS2</t>
  </si>
  <si>
    <t>Total Quantity</t>
  </si>
  <si>
    <t>*Quantity represents both Electric and Gas</t>
  </si>
  <si>
    <t>Total LG&amp;E Electric/Gas and KU</t>
  </si>
  <si>
    <t>Difference between Actual and Proposed ( Negative number = costs not recovered through charge)</t>
  </si>
  <si>
    <t>Difference between Actual and Proposed (Negative number = costs not recovered through charge)</t>
  </si>
  <si>
    <t>Summary of Proposed Special Charges</t>
  </si>
  <si>
    <t>LGE-Gas</t>
  </si>
  <si>
    <t>LGE-Electric</t>
  </si>
  <si>
    <t>-</t>
  </si>
  <si>
    <t>Note</t>
  </si>
  <si>
    <t>NOTES:</t>
  </si>
  <si>
    <t>charge number.</t>
  </si>
  <si>
    <t>Current to actual increase due primarily to increased loaned DO labor charges and more overtime.  Increase in loaned labor due to the correct charging of time to the Disconnect/Reconnect</t>
  </si>
  <si>
    <t>automation.  Approximately 98% of return checks are handled through automation.</t>
  </si>
  <si>
    <t>Current to actual decrease due to a decrease in company labor need to process returned checks (from 10 minutes on average to 2 minutes).  The decrease is attributable to increased</t>
  </si>
  <si>
    <t>Current to actual decrease is due primiarily to lower overheads (LGE from 107.597 to  81.832, KU from 110.04 to 79.584)</t>
  </si>
  <si>
    <t>would have a major negative impact on Company.)</t>
  </si>
  <si>
    <t>Current to actual increase due to Customer Service proposing a lower cost ($15) in 2012 rate case were actual cost in 2012 were calculated at $24.97/LGE and $25.27/KU.  The proposed</t>
  </si>
  <si>
    <t>cost in 2012 was due to to feedback from Major Accounts (A large number of State agencies signed up for meter pulse service at the $9/month rate. Movement to the full rate in 2012</t>
  </si>
  <si>
    <t>Current to actual increase due to the inclusion of back office support time.</t>
  </si>
  <si>
    <t>Difference between Actual and Proposed (Negative number = costs not recovered through charge but will be recovered through base rates)</t>
  </si>
  <si>
    <t>Total Cost</t>
  </si>
  <si>
    <t>Sum of amount</t>
  </si>
  <si>
    <t>FIELD SERVICES KU</t>
  </si>
  <si>
    <t>FIELD SERVICES LGE</t>
  </si>
  <si>
    <t>LGE Loaned DO to Metering</t>
  </si>
  <si>
    <t>Loaned DO to Metering</t>
  </si>
  <si>
    <t>FIELD SERVICES-LGE</t>
  </si>
  <si>
    <t>Below Shows the Pecentage of Orders</t>
  </si>
  <si>
    <t>Percentages</t>
  </si>
  <si>
    <t>Returned Check Fee</t>
  </si>
  <si>
    <t>Vehicle - Hours</t>
  </si>
  <si>
    <t>Labor (loaded) - Hours</t>
  </si>
  <si>
    <t>Avg Light Duty Pickup hourly rate</t>
  </si>
  <si>
    <t>Avg Service Van hourly rate</t>
  </si>
  <si>
    <t>Avg Vehicle</t>
  </si>
  <si>
    <t>Source</t>
  </si>
  <si>
    <t>StephanieRoot</t>
  </si>
  <si>
    <t>JeffSchneider</t>
  </si>
  <si>
    <t>PaulStratman</t>
  </si>
  <si>
    <t>ScottCooke</t>
  </si>
  <si>
    <t>Return Check Fee</t>
  </si>
  <si>
    <t>LABOR/Vehicle</t>
  </si>
  <si>
    <t>Meter Pulse - Electric</t>
  </si>
  <si>
    <t>Meter Pulse - Gas</t>
  </si>
  <si>
    <t>Satkamp/Mike Collins</t>
  </si>
  <si>
    <t>UAR</t>
  </si>
  <si>
    <t>UAR Back Office Admin Burdened Labor Cost/Hour</t>
  </si>
  <si>
    <t>Total Combined Labor Cost/Hour</t>
  </si>
  <si>
    <t>Collar Lock (Gas)</t>
  </si>
  <si>
    <t>ITL Lock/Ring</t>
  </si>
  <si>
    <t>Jiffy Lock</t>
  </si>
  <si>
    <t>Pad Lock</t>
  </si>
  <si>
    <t>Superior Lock</t>
  </si>
  <si>
    <t>Valve Lock (Gas)</t>
  </si>
  <si>
    <t>Blank Cover</t>
  </si>
  <si>
    <t>Standard 1/0 Replacement Meter</t>
  </si>
  <si>
    <t>AMR 1/0 Replacement Meter</t>
  </si>
  <si>
    <t>AMS 1/0 Replacement Meter</t>
  </si>
  <si>
    <t>Standard 3/0 Replacement Meter</t>
  </si>
  <si>
    <t>Electric Unauthorized Meter Reconnect Charge</t>
  </si>
  <si>
    <t>Average Lock Costs</t>
  </si>
  <si>
    <t>Lock Costs</t>
  </si>
  <si>
    <t>Labor and transportation costs to inspect and lock service, perform back office requirements and meter replacement if necessary.</t>
  </si>
  <si>
    <t>Total Charge if meter replacement necessary:</t>
  </si>
  <si>
    <t>Gas Unauthorized Meter Reconnect Charge</t>
  </si>
  <si>
    <t xml:space="preserve">   Charge without meter replacement</t>
  </si>
  <si>
    <t xml:space="preserve">   Charge for 1/0 Standard Meter Replacement</t>
  </si>
  <si>
    <t>UAR Charge for 1/0 Standard Meter Replacement</t>
  </si>
  <si>
    <t>UAR Charge for 1/0 AMR Meter Replacement</t>
  </si>
  <si>
    <t>UAR Charge for 1/0 AMS Meter Replacement</t>
  </si>
  <si>
    <t>UAR Charge for 3/0 Standard Meter Replacement</t>
  </si>
  <si>
    <t>Average</t>
  </si>
  <si>
    <t>$.47 postage, plus $.09 letterhead &amp; $.05 envelope</t>
  </si>
  <si>
    <t>Rate Raw</t>
  </si>
  <si>
    <t>Labor - One and one third hour</t>
  </si>
  <si>
    <t>Meter Test - One hour</t>
  </si>
  <si>
    <t>Rate Burdened - A&amp;G %</t>
  </si>
  <si>
    <t>J. Hatler SQL</t>
  </si>
  <si>
    <t xml:space="preserve">   Charge for 1/0 AMR Meter Replacement</t>
  </si>
  <si>
    <t xml:space="preserve">   Charge for 3/0 Standard Meter Replacement</t>
  </si>
  <si>
    <t>UAR Field Services Burdened Labor Cost/Hour</t>
  </si>
  <si>
    <t xml:space="preserve">Current Charge </t>
  </si>
  <si>
    <t>UAR without meter replacement</t>
  </si>
  <si>
    <t>UAR with meter replacement</t>
  </si>
  <si>
    <t>US Bank/MUFG</t>
  </si>
  <si>
    <t>Total Cost at April 30, 2018</t>
  </si>
  <si>
    <t>UAR Charge for Standard Meter Replacement</t>
  </si>
  <si>
    <t xml:space="preserve">   Charge for Standard Meter Replacement</t>
  </si>
  <si>
    <t>Difference Between Proposed Charge and Actual Costs to Perform Work</t>
  </si>
  <si>
    <t>Notes</t>
  </si>
  <si>
    <t xml:space="preserve">Proposed Change from Current Inc./(Dec) </t>
  </si>
  <si>
    <t>Proposed Charge</t>
  </si>
  <si>
    <t>Inflation Rate</t>
  </si>
  <si>
    <t>Labor</t>
  </si>
  <si>
    <t>Material</t>
  </si>
  <si>
    <t>Not have a specific reference</t>
  </si>
  <si>
    <t>Winfrey</t>
  </si>
  <si>
    <t>Cooke</t>
  </si>
  <si>
    <t>Field Services - (1/4 hour)</t>
  </si>
  <si>
    <t>Transportation - (1/4 hour)</t>
  </si>
  <si>
    <t>Updated for 2020</t>
  </si>
  <si>
    <t>* Costs are for the 12 months ending February 2020. This period</t>
  </si>
  <si>
    <t>was used to reflect a full year of credit orders due to the COVID-19</t>
  </si>
  <si>
    <t>disconnect moratorium.</t>
  </si>
  <si>
    <t>Labor hourly rate at 11/1 IBEW</t>
  </si>
  <si>
    <t>Labor hourly rate at 11/1 NON-UNION</t>
  </si>
  <si>
    <t>Labor hourly rate at 11/1 USWA</t>
  </si>
  <si>
    <t>CathyShultz - 2019 Annualized Rate</t>
  </si>
  <si>
    <t>Lesley Pienaar</t>
  </si>
  <si>
    <t>Mason</t>
  </si>
  <si>
    <t>Gas Replacement Meter</t>
  </si>
  <si>
    <t>Total Cost at July 31, 2020</t>
  </si>
  <si>
    <t>Total Per Item Cost at July 31, 2020</t>
  </si>
  <si>
    <t>Total Charge without meter replacement at July 31, 2020</t>
  </si>
  <si>
    <t>Distribution O&amp;M 12 Months Ended July 31, 2020</t>
  </si>
  <si>
    <t>Distribution Plant in Service as July 31, 2020</t>
  </si>
  <si>
    <t>Based on the 12 Months Ended July 31, 2020</t>
  </si>
  <si>
    <t xml:space="preserve"> </t>
  </si>
  <si>
    <t>Notes:</t>
  </si>
  <si>
    <t>2. Decrease due to shorter average time to complete order and lower average lock costs.</t>
  </si>
  <si>
    <t>Avg Gas Meter change out cost 1.2 hrs</t>
  </si>
  <si>
    <t>Prover - Company Labor Grade 9  24 mo</t>
  </si>
  <si>
    <t>Office _ Company Labor - Associates</t>
  </si>
  <si>
    <t>AG Burden</t>
  </si>
  <si>
    <t>65 hours x $31.55 (straight time labor with burdens) / total LGE/KU returns</t>
  </si>
  <si>
    <t>MARCH 2019 - FEBRUARY 2020   EXPENSES</t>
  </si>
  <si>
    <t>Avg Gas meter test costs .75 hour</t>
  </si>
  <si>
    <t>Measurement is based on weighted averages</t>
  </si>
  <si>
    <t>JUNE 2017 - MAY2018   EXPENSES</t>
  </si>
  <si>
    <t>DIFFERENCE</t>
  </si>
  <si>
    <t>COSTS</t>
  </si>
  <si>
    <t>COST PER ORDER</t>
  </si>
  <si>
    <t xml:space="preserve">MARCH 2019 - FEBRUARY 2020 </t>
  </si>
  <si>
    <t xml:space="preserve">JUNE 2017 - MAY2018  </t>
  </si>
  <si>
    <t>2020 to 2018 Cost per Order Comparison</t>
  </si>
  <si>
    <t>NUMBER OF ORDERS</t>
  </si>
  <si>
    <t>LGE</t>
  </si>
  <si>
    <t>UPDATED E Mason 9-9-2020 - SO E Mason.xls</t>
  </si>
  <si>
    <t>1. Increase in reconnect fee is primarily due to higher contractor costs. In 2019, Field Services entered into a new contract with SCOPE (KU) and OPS Plus (LG&amp;E)</t>
  </si>
  <si>
    <t xml:space="preserve">that is significantly higher than the previous contracts. </t>
  </si>
  <si>
    <t>including carrying costs)</t>
  </si>
  <si>
    <t>including carrying costs</t>
  </si>
  <si>
    <t>Actual Cost</t>
  </si>
  <si>
    <t>AMI Opt-Out Charge -- One-Time Charge</t>
  </si>
  <si>
    <t>AMI Opt-Out Charge -- Monthly Charge</t>
  </si>
  <si>
    <t>Back Office Admin Labor - (1/2 hour)</t>
  </si>
  <si>
    <t xml:space="preserve">   Charge for 1/0 AMS Meter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</si>
</sst>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0000%"/>
    <numFmt numFmtId="165" formatCode="_(* #,##0_);_(* \(#,##0\);_(* &quot;-&quot;??_);_(@_)"/>
    <numFmt numFmtId="166" formatCode="_(&quot;$&quot;* #,##0_);_(&quot;$&quot;* \(#,##0\);_(&quot;$&quot;* &quot;-&quot;??_);_(@_)"/>
    <numFmt numFmtId="167" formatCode="_(&quot;$&quot;* #,##0.00_);_(&quot;$&quot;* \(#,##0.00\);_(&quot;$&quot;* &quot;-&quot;_);_(* @_)"/>
    <numFmt numFmtId="168" formatCode="_(* #,##0.00000_);_(* \(#,##0.00000\);_(* &quot;-&quot;??_);_(@_)"/>
    <numFmt numFmtId="169" formatCode="_(* #,##0.0000_);_(* \(#,##0.0000\);_(* &quot;-&quot;??_);_(@_)"/>
    <numFmt numFmtId="170" formatCode="0.000%"/>
    <numFmt numFmtId="171" formatCode="0.0000%"/>
    <numFmt numFmtId="172" formatCode="_(* #,##0.000000_);_(* \(#,##0.000000\);_(* &quot;-&quot;??_);_(@_)"/>
    <numFmt numFmtId="173" formatCode="&quot;$&quot;#,##0\ ;\(&quot;$&quot;#,##0\)"/>
    <numFmt numFmtId="174" formatCode="_([$€-2]* #,##0.00_);_([$€-2]* \(#,##0.00\);_([$€-2]* &quot;-&quot;??_)"/>
    <numFmt numFmtId="175" formatCode="#."/>
    <numFmt numFmtId="176" formatCode="&quot;$&quot;#,##0.00"/>
    <numFmt numFmtId="177" formatCode="##."/>
    <numFmt numFmtId="178"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u/>
      <sz val="10"/>
      <name val="Arial"/>
      <family val="2"/>
    </font>
    <font>
      <u val="singleAccounting"/>
      <sz val="10"/>
      <name val="Arial"/>
      <family val="2"/>
    </font>
    <font>
      <b/>
      <sz val="10"/>
      <name val="Arial"/>
      <family val="2"/>
    </font>
    <font>
      <sz val="10"/>
      <name val="Arial"/>
      <family val="2"/>
    </font>
    <font>
      <u/>
      <sz val="10"/>
      <name val="Arial"/>
      <family val="2"/>
    </font>
    <font>
      <sz val="10"/>
      <color indexed="8"/>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4"/>
      <name val="Arial"/>
      <family val="2"/>
    </font>
    <font>
      <sz val="12"/>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0"/>
      <name val="Times New Roman"/>
      <family val="1"/>
    </font>
    <font>
      <sz val="6"/>
      <name val="Arial"/>
      <family val="2"/>
    </font>
    <font>
      <b/>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rgb="FFFF0000"/>
      <name val="Arial"/>
      <family val="2"/>
    </font>
    <font>
      <b/>
      <sz val="11"/>
      <color theme="1"/>
      <name val="Calibri"/>
      <family val="2"/>
      <scheme val="minor"/>
    </font>
    <font>
      <sz val="20"/>
      <name val="Arial"/>
      <family val="2"/>
    </font>
    <font>
      <b/>
      <sz val="12"/>
      <name val="Arial"/>
      <family val="2"/>
    </font>
    <font>
      <sz val="28"/>
      <name val="Arial"/>
      <family val="2"/>
    </font>
    <font>
      <sz val="22"/>
      <name val="Arial"/>
      <family val="2"/>
    </font>
    <font>
      <sz val="9"/>
      <color rgb="FF000000"/>
      <name val="Arial"/>
      <family val="2"/>
    </font>
    <font>
      <b/>
      <sz val="10"/>
      <color theme="1"/>
      <name val="Arial"/>
      <family val="2"/>
    </font>
    <font>
      <sz val="9"/>
      <name val="Arial"/>
      <family val="2"/>
    </font>
    <font>
      <sz val="12"/>
      <name val="Times New Roman"/>
      <family val="1"/>
    </font>
    <font>
      <b/>
      <u val="singleAccounting"/>
      <sz val="10"/>
      <name val="Arial"/>
      <family val="2"/>
    </font>
    <font>
      <sz val="10"/>
      <color rgb="FF000000"/>
      <name val="Times New Roman"/>
      <family val="1"/>
    </font>
    <font>
      <sz val="10"/>
      <color rgb="FF000000"/>
      <name val="Arial"/>
      <family val="2"/>
    </font>
  </fonts>
  <fills count="16">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9"/>
        <bgColor indexed="64"/>
      </patternFill>
    </fill>
    <fill>
      <patternFill patternType="solid">
        <fgColor indexed="43"/>
      </patternFill>
    </fill>
    <fill>
      <patternFill patternType="solid">
        <fgColor indexed="47"/>
      </patternFill>
    </fill>
    <fill>
      <patternFill patternType="solid">
        <fgColor theme="4" tint="0.79998168889431442"/>
        <bgColor theme="4" tint="0.79998168889431442"/>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54">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82">
    <xf numFmtId="0" fontId="0" fillId="0" borderId="0"/>
    <xf numFmtId="43" fontId="4" fillId="0" borderId="0" applyFont="0" applyFill="0" applyBorder="0" applyAlignment="0" applyProtection="0"/>
    <xf numFmtId="43" fontId="9"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0" fontId="9" fillId="0" borderId="0"/>
    <xf numFmtId="9" fontId="4" fillId="0" borderId="0" applyFont="0" applyFill="0" applyBorder="0" applyAlignment="0" applyProtection="0"/>
    <xf numFmtId="9" fontId="9" fillId="0" borderId="0" applyFont="0" applyFill="0" applyBorder="0" applyAlignment="0" applyProtection="0"/>
    <xf numFmtId="0" fontId="4" fillId="0" borderId="0"/>
    <xf numFmtId="44" fontId="3" fillId="0" borderId="0" applyFont="0" applyFill="0" applyBorder="0" applyAlignment="0" applyProtection="0"/>
    <xf numFmtId="9" fontId="3" fillId="0" borderId="0" applyFont="0" applyFill="0" applyBorder="0" applyAlignment="0" applyProtection="0"/>
    <xf numFmtId="0" fontId="11" fillId="0" borderId="0"/>
    <xf numFmtId="44" fontId="3" fillId="0" borderId="0" applyFont="0" applyFill="0" applyBorder="0" applyAlignment="0" applyProtection="0"/>
    <xf numFmtId="0" fontId="4" fillId="0" borderId="0"/>
    <xf numFmtId="0" fontId="11" fillId="0" borderId="0"/>
    <xf numFmtId="0" fontId="11" fillId="0" borderId="0"/>
    <xf numFmtId="0" fontId="11" fillId="0" borderId="0"/>
    <xf numFmtId="0" fontId="3" fillId="0" borderId="0"/>
    <xf numFmtId="0" fontId="4" fillId="0" borderId="0"/>
    <xf numFmtId="0" fontId="11" fillId="0" borderId="0"/>
    <xf numFmtId="0" fontId="4" fillId="0" borderId="0"/>
    <xf numFmtId="9" fontId="3" fillId="0" borderId="0" applyFont="0" applyFill="0" applyBorder="0" applyAlignment="0" applyProtection="0"/>
    <xf numFmtId="9" fontId="11"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8" fillId="6" borderId="0">
      <alignment horizontal="left"/>
    </xf>
    <xf numFmtId="0" fontId="19" fillId="6" borderId="0">
      <alignment horizontal="right"/>
    </xf>
    <xf numFmtId="0" fontId="20" fillId="7" borderId="0">
      <alignment horizontal="center"/>
    </xf>
    <xf numFmtId="0" fontId="19" fillId="6" borderId="0">
      <alignment horizontal="right"/>
    </xf>
    <xf numFmtId="0" fontId="21" fillId="7" borderId="0">
      <alignment horizontal="left"/>
    </xf>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3" fontId="4" fillId="8" borderId="0"/>
    <xf numFmtId="44" fontId="4" fillId="0" borderId="0" applyFont="0" applyFill="0" applyBorder="0" applyAlignment="0" applyProtection="0"/>
    <xf numFmtId="173" fontId="4" fillId="0" borderId="0" applyFont="0" applyFill="0" applyBorder="0" applyAlignment="0" applyProtection="0"/>
    <xf numFmtId="0" fontId="4" fillId="0" borderId="0" applyFont="0" applyFill="0" applyBorder="0" applyAlignment="0" applyProtection="0"/>
    <xf numFmtId="174" fontId="4" fillId="0" borderId="0" applyFont="0" applyFill="0" applyBorder="0" applyAlignment="0" applyProtection="0"/>
    <xf numFmtId="0" fontId="8" fillId="0" borderId="0" applyProtection="0"/>
    <xf numFmtId="0" fontId="22" fillId="0" borderId="0" applyProtection="0"/>
    <xf numFmtId="0" fontId="16" fillId="0" borderId="0" applyProtection="0"/>
    <xf numFmtId="0" fontId="5" fillId="0" borderId="0" applyProtection="0"/>
    <xf numFmtId="0" fontId="4" fillId="0" borderId="0" applyProtection="0"/>
    <xf numFmtId="0" fontId="8" fillId="0" borderId="0" applyProtection="0"/>
    <xf numFmtId="0" fontId="23" fillId="0" borderId="0" applyProtection="0"/>
    <xf numFmtId="2" fontId="4" fillId="0" borderId="0" applyFont="0" applyFill="0" applyBorder="0" applyAlignment="0" applyProtection="0"/>
    <xf numFmtId="0" fontId="18" fillId="6" borderId="0">
      <alignment horizontal="left"/>
    </xf>
    <xf numFmtId="0" fontId="24" fillId="7" borderId="0">
      <alignment horizontal="left"/>
    </xf>
    <xf numFmtId="4" fontId="11" fillId="9" borderId="0">
      <alignment horizontal="right"/>
    </xf>
    <xf numFmtId="0" fontId="25" fillId="9" borderId="0">
      <alignment horizontal="center" vertical="center"/>
    </xf>
    <xf numFmtId="0" fontId="24" fillId="9" borderId="38"/>
    <xf numFmtId="0" fontId="25" fillId="9" borderId="0" applyBorder="0">
      <alignment horizontal="centerContinuous"/>
    </xf>
    <xf numFmtId="0" fontId="26" fillId="9" borderId="0" applyBorder="0">
      <alignment horizontal="centerContinuous"/>
    </xf>
    <xf numFmtId="0" fontId="24" fillId="10" borderId="0">
      <alignment horizontal="center"/>
    </xf>
    <xf numFmtId="49" fontId="27" fillId="7" borderId="0">
      <alignment horizontal="center"/>
    </xf>
    <xf numFmtId="0" fontId="19" fillId="6" borderId="0">
      <alignment horizontal="center"/>
    </xf>
    <xf numFmtId="0" fontId="19" fillId="6" borderId="0">
      <alignment horizontal="centerContinuous"/>
    </xf>
    <xf numFmtId="0" fontId="28" fillId="7" borderId="0">
      <alignment horizontal="left"/>
    </xf>
    <xf numFmtId="49" fontId="28" fillId="7" borderId="0">
      <alignment horizontal="center"/>
    </xf>
    <xf numFmtId="0" fontId="18" fillId="6" borderId="0">
      <alignment horizontal="left"/>
    </xf>
    <xf numFmtId="49" fontId="28" fillId="7" borderId="0">
      <alignment horizontal="left"/>
    </xf>
    <xf numFmtId="0" fontId="18" fillId="6" borderId="0">
      <alignment horizontal="centerContinuous"/>
    </xf>
    <xf numFmtId="0" fontId="18" fillId="6" borderId="0">
      <alignment horizontal="right"/>
    </xf>
    <xf numFmtId="49" fontId="24" fillId="7" borderId="0">
      <alignment horizontal="left"/>
    </xf>
    <xf numFmtId="0" fontId="19" fillId="6" borderId="0">
      <alignment horizontal="right"/>
    </xf>
    <xf numFmtId="0" fontId="28" fillId="11" borderId="0">
      <alignment horizontal="center"/>
    </xf>
    <xf numFmtId="0" fontId="29" fillId="11"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30" fillId="7" borderId="0">
      <alignment horizontal="center"/>
    </xf>
    <xf numFmtId="9"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2" fillId="0" borderId="0" applyFont="0" applyFill="0" applyBorder="0" applyAlignment="0" applyProtection="0"/>
    <xf numFmtId="9" fontId="4" fillId="0" borderId="0" applyFont="0" applyFill="0" applyBorder="0" applyAlignment="0" applyProtection="0"/>
  </cellStyleXfs>
  <cellXfs count="497">
    <xf numFmtId="0" fontId="0" fillId="0" borderId="0" xfId="0"/>
    <xf numFmtId="43" fontId="0" fillId="0" borderId="0" xfId="1" applyFont="1"/>
    <xf numFmtId="0" fontId="0" fillId="0" borderId="0" xfId="0" quotePrefix="1" applyAlignment="1">
      <alignment horizontal="left"/>
    </xf>
    <xf numFmtId="43" fontId="4" fillId="0" borderId="0" xfId="1"/>
    <xf numFmtId="0" fontId="4" fillId="0" borderId="1" xfId="0" applyFont="1" applyBorder="1" applyAlignment="1">
      <alignment horizontal="center"/>
    </xf>
    <xf numFmtId="43" fontId="0" fillId="0" borderId="0" xfId="0" applyNumberFormat="1"/>
    <xf numFmtId="44" fontId="0" fillId="0" borderId="0" xfId="3" applyFont="1"/>
    <xf numFmtId="44" fontId="0" fillId="0" borderId="2" xfId="3" applyFont="1" applyBorder="1"/>
    <xf numFmtId="0" fontId="0" fillId="0" borderId="0" xfId="0" applyBorder="1"/>
    <xf numFmtId="0" fontId="6" fillId="0" borderId="0" xfId="0" applyFont="1"/>
    <xf numFmtId="0" fontId="6" fillId="0" borderId="0" xfId="0" quotePrefix="1" applyFont="1" applyAlignment="1">
      <alignment horizontal="left"/>
    </xf>
    <xf numFmtId="44" fontId="4" fillId="0" borderId="0" xfId="3"/>
    <xf numFmtId="44" fontId="4" fillId="0" borderId="2" xfId="3" applyBorder="1"/>
    <xf numFmtId="43" fontId="0" fillId="0" borderId="2" xfId="0" applyNumberFormat="1" applyBorder="1"/>
    <xf numFmtId="164" fontId="0" fillId="0" borderId="0" xfId="6" applyNumberFormat="1" applyFont="1" applyBorder="1"/>
    <xf numFmtId="0" fontId="0" fillId="0" borderId="0" xfId="0" applyAlignment="1">
      <alignment horizontal="left"/>
    </xf>
    <xf numFmtId="0" fontId="6" fillId="0" borderId="0" xfId="0" applyFont="1" applyAlignment="1">
      <alignment horizontal="left"/>
    </xf>
    <xf numFmtId="2" fontId="0" fillId="0" borderId="0" xfId="0" applyNumberFormat="1"/>
    <xf numFmtId="0" fontId="6" fillId="0" borderId="0" xfId="0" applyFont="1" applyAlignment="1">
      <alignment horizontal="left" indent="1"/>
    </xf>
    <xf numFmtId="165" fontId="4" fillId="0" borderId="0" xfId="1" applyNumberFormat="1"/>
    <xf numFmtId="0" fontId="0" fillId="0" borderId="0" xfId="0" quotePrefix="1" applyAlignment="1"/>
    <xf numFmtId="0" fontId="8" fillId="0" borderId="0" xfId="5" applyFont="1"/>
    <xf numFmtId="0" fontId="9" fillId="0" borderId="0" xfId="5"/>
    <xf numFmtId="0" fontId="9" fillId="0" borderId="0" xfId="5" quotePrefix="1" applyAlignment="1">
      <alignment horizontal="left"/>
    </xf>
    <xf numFmtId="0" fontId="8" fillId="0" borderId="4" xfId="5" applyFont="1" applyBorder="1"/>
    <xf numFmtId="0" fontId="9" fillId="0" borderId="4" xfId="5" applyBorder="1"/>
    <xf numFmtId="44" fontId="9" fillId="0" borderId="0" xfId="5" applyNumberFormat="1" applyBorder="1"/>
    <xf numFmtId="43" fontId="0" fillId="0" borderId="0" xfId="2" applyFont="1"/>
    <xf numFmtId="44" fontId="9" fillId="0" borderId="0" xfId="5" applyNumberFormat="1"/>
    <xf numFmtId="0" fontId="10" fillId="0" borderId="0" xfId="5" applyFont="1" applyAlignment="1">
      <alignment horizontal="center"/>
    </xf>
    <xf numFmtId="0" fontId="10" fillId="0" borderId="0" xfId="5" applyFont="1"/>
    <xf numFmtId="43" fontId="7" fillId="0" borderId="0" xfId="1" applyFont="1" applyAlignment="1">
      <alignment horizontal="center"/>
    </xf>
    <xf numFmtId="0" fontId="8" fillId="0" borderId="5" xfId="8" applyFont="1" applyBorder="1" applyAlignment="1">
      <alignment horizontal="center"/>
    </xf>
    <xf numFmtId="0" fontId="8" fillId="0" borderId="6" xfId="8" applyFont="1" applyBorder="1" applyAlignment="1">
      <alignment horizontal="center"/>
    </xf>
    <xf numFmtId="0" fontId="4" fillId="0" borderId="0" xfId="8" applyFont="1"/>
    <xf numFmtId="0" fontId="4" fillId="0" borderId="0" xfId="8"/>
    <xf numFmtId="44" fontId="4" fillId="0" borderId="8" xfId="8" applyNumberFormat="1" applyFont="1" applyBorder="1" applyAlignment="1">
      <alignment horizontal="center"/>
    </xf>
    <xf numFmtId="44" fontId="4" fillId="0" borderId="9" xfId="8" applyNumberFormat="1" applyFont="1" applyBorder="1" applyAlignment="1">
      <alignment horizontal="center"/>
    </xf>
    <xf numFmtId="44" fontId="4" fillId="0" borderId="10" xfId="8" applyNumberFormat="1" applyFont="1" applyBorder="1" applyAlignment="1">
      <alignment horizontal="center"/>
    </xf>
    <xf numFmtId="44" fontId="4" fillId="0" borderId="11" xfId="8" applyNumberFormat="1" applyFont="1" applyBorder="1" applyAlignment="1">
      <alignment horizontal="center"/>
    </xf>
    <xf numFmtId="167" fontId="8" fillId="0" borderId="7" xfId="8" applyNumberFormat="1" applyFont="1" applyBorder="1"/>
    <xf numFmtId="44" fontId="8" fillId="0" borderId="8" xfId="8" applyNumberFormat="1" applyFont="1" applyBorder="1" applyAlignment="1">
      <alignment horizontal="center"/>
    </xf>
    <xf numFmtId="44" fontId="8" fillId="0" borderId="9" xfId="8" applyNumberFormat="1" applyFont="1" applyBorder="1" applyAlignment="1">
      <alignment horizontal="center"/>
    </xf>
    <xf numFmtId="0" fontId="8" fillId="0" borderId="0" xfId="8" applyFont="1"/>
    <xf numFmtId="0" fontId="4" fillId="0" borderId="8" xfId="8" applyFont="1" applyBorder="1"/>
    <xf numFmtId="0" fontId="4" fillId="0" borderId="9" xfId="8" applyFont="1" applyBorder="1"/>
    <xf numFmtId="44" fontId="4" fillId="0" borderId="8" xfId="8" applyNumberFormat="1" applyFont="1" applyBorder="1"/>
    <xf numFmtId="44" fontId="4" fillId="0" borderId="9" xfId="8" applyNumberFormat="1" applyFont="1" applyBorder="1"/>
    <xf numFmtId="44" fontId="4" fillId="0" borderId="10" xfId="8" applyNumberFormat="1" applyFont="1" applyBorder="1"/>
    <xf numFmtId="44" fontId="4" fillId="0" borderId="11" xfId="8" applyNumberFormat="1" applyFont="1" applyBorder="1"/>
    <xf numFmtId="44" fontId="8" fillId="0" borderId="10" xfId="8" applyNumberFormat="1" applyFont="1" applyBorder="1"/>
    <xf numFmtId="44" fontId="8" fillId="0" borderId="11" xfId="8" applyNumberFormat="1" applyFont="1" applyBorder="1"/>
    <xf numFmtId="0" fontId="4" fillId="0" borderId="5" xfId="8" applyFont="1" applyBorder="1"/>
    <xf numFmtId="0" fontId="8" fillId="0" borderId="15" xfId="8" applyFont="1" applyBorder="1" applyAlignment="1">
      <alignment horizontal="center"/>
    </xf>
    <xf numFmtId="0" fontId="8" fillId="0" borderId="16" xfId="8" applyFont="1" applyBorder="1" applyAlignment="1">
      <alignment horizontal="center"/>
    </xf>
    <xf numFmtId="0" fontId="8" fillId="0" borderId="17" xfId="8" applyFont="1" applyBorder="1" applyAlignment="1">
      <alignment horizontal="center"/>
    </xf>
    <xf numFmtId="0" fontId="8" fillId="0" borderId="18" xfId="8" applyFont="1" applyBorder="1" applyAlignment="1">
      <alignment horizontal="center"/>
    </xf>
    <xf numFmtId="0" fontId="8" fillId="0" borderId="19" xfId="8" applyFont="1" applyBorder="1" applyAlignment="1">
      <alignment horizontal="center"/>
    </xf>
    <xf numFmtId="0" fontId="8" fillId="2" borderId="20" xfId="8" applyFont="1" applyFill="1" applyBorder="1"/>
    <xf numFmtId="44" fontId="4" fillId="2" borderId="21" xfId="8" applyNumberFormat="1" applyFont="1" applyFill="1" applyBorder="1" applyAlignment="1">
      <alignment horizontal="center"/>
    </xf>
    <xf numFmtId="44" fontId="4" fillId="2" borderId="7" xfId="8" applyNumberFormat="1" applyFont="1" applyFill="1" applyBorder="1" applyAlignment="1">
      <alignment horizontal="center"/>
    </xf>
    <xf numFmtId="0" fontId="4" fillId="2" borderId="15" xfId="8" applyFont="1" applyFill="1" applyBorder="1" applyAlignment="1">
      <alignment horizontal="center"/>
    </xf>
    <xf numFmtId="0" fontId="4" fillId="2" borderId="16" xfId="8" applyFont="1" applyFill="1" applyBorder="1" applyAlignment="1">
      <alignment horizontal="center"/>
    </xf>
    <xf numFmtId="44" fontId="8" fillId="2" borderId="21" xfId="8" applyNumberFormat="1" applyFont="1" applyFill="1" applyBorder="1"/>
    <xf numFmtId="44" fontId="8" fillId="2" borderId="22" xfId="8" applyNumberFormat="1" applyFont="1" applyFill="1" applyBorder="1"/>
    <xf numFmtId="0" fontId="4" fillId="2" borderId="21" xfId="8" applyFont="1" applyFill="1" applyBorder="1" applyAlignment="1">
      <alignment horizontal="center"/>
    </xf>
    <xf numFmtId="0" fontId="4" fillId="2" borderId="7" xfId="8" applyFont="1" applyFill="1" applyBorder="1" applyAlignment="1">
      <alignment horizontal="center"/>
    </xf>
    <xf numFmtId="0" fontId="8" fillId="2" borderId="23" xfId="8" applyFont="1" applyFill="1" applyBorder="1"/>
    <xf numFmtId="44" fontId="4" fillId="2" borderId="24" xfId="8" applyNumberFormat="1" applyFont="1" applyFill="1" applyBorder="1" applyAlignment="1">
      <alignment horizontal="center"/>
    </xf>
    <xf numFmtId="44" fontId="4" fillId="2" borderId="25" xfId="8" applyNumberFormat="1" applyFont="1" applyFill="1" applyBorder="1" applyAlignment="1">
      <alignment horizontal="center"/>
    </xf>
    <xf numFmtId="0" fontId="4" fillId="2" borderId="24" xfId="8" applyFont="1" applyFill="1" applyBorder="1" applyAlignment="1">
      <alignment horizontal="center"/>
    </xf>
    <xf numFmtId="0" fontId="4" fillId="2" borderId="25" xfId="8" applyFont="1" applyFill="1" applyBorder="1" applyAlignment="1">
      <alignment horizontal="center"/>
    </xf>
    <xf numFmtId="0" fontId="8" fillId="0" borderId="26" xfId="8" applyFont="1" applyBorder="1" applyAlignment="1">
      <alignment horizontal="center"/>
    </xf>
    <xf numFmtId="0" fontId="8" fillId="0" borderId="27" xfId="8" applyFont="1" applyBorder="1" applyAlignment="1">
      <alignment horizontal="center"/>
    </xf>
    <xf numFmtId="0" fontId="8" fillId="3" borderId="28" xfId="8" applyFont="1" applyFill="1" applyBorder="1"/>
    <xf numFmtId="44" fontId="4" fillId="3" borderId="15" xfId="8" applyNumberFormat="1" applyFont="1" applyFill="1" applyBorder="1" applyAlignment="1">
      <alignment horizontal="center"/>
    </xf>
    <xf numFmtId="44" fontId="4" fillId="3" borderId="16" xfId="8" applyNumberFormat="1" applyFont="1" applyFill="1" applyBorder="1" applyAlignment="1">
      <alignment horizontal="center"/>
    </xf>
    <xf numFmtId="0" fontId="4" fillId="3" borderId="15" xfId="8" applyFont="1" applyFill="1" applyBorder="1" applyAlignment="1">
      <alignment horizontal="center"/>
    </xf>
    <xf numFmtId="0" fontId="4" fillId="3" borderId="16" xfId="8" applyFont="1" applyFill="1" applyBorder="1" applyAlignment="1">
      <alignment horizontal="center"/>
    </xf>
    <xf numFmtId="44" fontId="8" fillId="3" borderId="15" xfId="8" applyNumberFormat="1" applyFont="1" applyFill="1" applyBorder="1" applyAlignment="1">
      <alignment horizontal="center"/>
    </xf>
    <xf numFmtId="44" fontId="8" fillId="3" borderId="19" xfId="8" applyNumberFormat="1" applyFont="1" applyFill="1" applyBorder="1" applyAlignment="1">
      <alignment horizontal="center"/>
    </xf>
    <xf numFmtId="0" fontId="8" fillId="3" borderId="20" xfId="8" applyFont="1" applyFill="1" applyBorder="1"/>
    <xf numFmtId="44" fontId="4" fillId="3" borderId="21" xfId="8" applyNumberFormat="1" applyFont="1" applyFill="1" applyBorder="1" applyAlignment="1">
      <alignment horizontal="center"/>
    </xf>
    <xf numFmtId="44" fontId="4" fillId="3" borderId="7" xfId="8" applyNumberFormat="1" applyFont="1" applyFill="1" applyBorder="1" applyAlignment="1">
      <alignment horizontal="center"/>
    </xf>
    <xf numFmtId="0" fontId="4" fillId="3" borderId="21" xfId="8" applyFont="1" applyFill="1" applyBorder="1" applyAlignment="1">
      <alignment horizontal="center"/>
    </xf>
    <xf numFmtId="0" fontId="4" fillId="3" borderId="7" xfId="8" applyFont="1" applyFill="1" applyBorder="1" applyAlignment="1">
      <alignment horizontal="center"/>
    </xf>
    <xf numFmtId="44" fontId="8" fillId="3" borderId="21" xfId="8" applyNumberFormat="1" applyFont="1" applyFill="1" applyBorder="1" applyAlignment="1">
      <alignment horizontal="center"/>
    </xf>
    <xf numFmtId="0" fontId="8" fillId="3" borderId="29" xfId="8" applyFont="1" applyFill="1" applyBorder="1"/>
    <xf numFmtId="44" fontId="4" fillId="3" borderId="30" xfId="8" applyNumberFormat="1" applyFont="1" applyFill="1" applyBorder="1" applyAlignment="1">
      <alignment horizontal="center"/>
    </xf>
    <xf numFmtId="44" fontId="4" fillId="3" borderId="31" xfId="8" applyNumberFormat="1" applyFont="1" applyFill="1" applyBorder="1" applyAlignment="1">
      <alignment horizontal="center"/>
    </xf>
    <xf numFmtId="0" fontId="4" fillId="3" borderId="30" xfId="8" applyFont="1" applyFill="1" applyBorder="1" applyAlignment="1">
      <alignment horizontal="center"/>
    </xf>
    <xf numFmtId="0" fontId="4" fillId="3" borderId="31" xfId="8" applyFont="1" applyFill="1" applyBorder="1" applyAlignment="1">
      <alignment horizontal="center"/>
    </xf>
    <xf numFmtId="44" fontId="8" fillId="3" borderId="32" xfId="8" applyNumberFormat="1" applyFont="1" applyFill="1" applyBorder="1" applyAlignment="1">
      <alignment horizontal="center"/>
    </xf>
    <xf numFmtId="0" fontId="8" fillId="4" borderId="12" xfId="8" applyFont="1" applyFill="1" applyBorder="1"/>
    <xf numFmtId="44" fontId="4" fillId="4" borderId="33" xfId="8" applyNumberFormat="1" applyFill="1" applyBorder="1" applyAlignment="1">
      <alignment horizontal="center"/>
    </xf>
    <xf numFmtId="44" fontId="4" fillId="4" borderId="34" xfId="8" applyNumberFormat="1" applyFill="1" applyBorder="1" applyAlignment="1">
      <alignment horizontal="center"/>
    </xf>
    <xf numFmtId="0" fontId="4" fillId="4" borderId="33" xfId="8" applyFill="1" applyBorder="1" applyAlignment="1">
      <alignment horizontal="center"/>
    </xf>
    <xf numFmtId="0" fontId="4" fillId="4" borderId="34" xfId="8" applyFill="1" applyBorder="1" applyAlignment="1">
      <alignment horizontal="center"/>
    </xf>
    <xf numFmtId="44" fontId="8" fillId="4" borderId="33" xfId="8" applyNumberFormat="1" applyFont="1" applyFill="1" applyBorder="1" applyAlignment="1">
      <alignment horizontal="center"/>
    </xf>
    <xf numFmtId="44" fontId="8" fillId="4" borderId="35" xfId="8" applyNumberFormat="1" applyFont="1" applyFill="1" applyBorder="1" applyAlignment="1">
      <alignment horizontal="center"/>
    </xf>
    <xf numFmtId="0" fontId="4" fillId="0" borderId="0" xfId="13"/>
    <xf numFmtId="43" fontId="7" fillId="0" borderId="0" xfId="1" applyFont="1"/>
    <xf numFmtId="44" fontId="4" fillId="0" borderId="0" xfId="13" applyNumberFormat="1"/>
    <xf numFmtId="44" fontId="4" fillId="0" borderId="3" xfId="13" applyNumberFormat="1" applyBorder="1"/>
    <xf numFmtId="0" fontId="8" fillId="0" borderId="0" xfId="13" applyFont="1"/>
    <xf numFmtId="0" fontId="4" fillId="0" borderId="0" xfId="5" quotePrefix="1" applyFont="1" applyAlignment="1">
      <alignment horizontal="left"/>
    </xf>
    <xf numFmtId="16" fontId="0" fillId="0" borderId="0" xfId="0" applyNumberFormat="1"/>
    <xf numFmtId="0" fontId="0" fillId="0" borderId="8" xfId="0" applyBorder="1"/>
    <xf numFmtId="43" fontId="0" fillId="0" borderId="0" xfId="1" applyFont="1" applyBorder="1"/>
    <xf numFmtId="0" fontId="4" fillId="0" borderId="0" xfId="5" applyFont="1"/>
    <xf numFmtId="0" fontId="4" fillId="5" borderId="0" xfId="0" applyFont="1" applyFill="1"/>
    <xf numFmtId="43" fontId="4" fillId="0" borderId="0" xfId="1" applyFill="1"/>
    <xf numFmtId="0" fontId="10" fillId="0" borderId="0" xfId="0" applyFont="1"/>
    <xf numFmtId="0" fontId="4" fillId="0" borderId="0" xfId="13" quotePrefix="1" applyAlignment="1">
      <alignment horizontal="center"/>
    </xf>
    <xf numFmtId="0" fontId="0" fillId="0" borderId="0" xfId="0" applyFill="1"/>
    <xf numFmtId="0" fontId="4" fillId="0" borderId="0" xfId="0" applyFont="1" applyFill="1"/>
    <xf numFmtId="0" fontId="4" fillId="0" borderId="0" xfId="0" applyFont="1"/>
    <xf numFmtId="0" fontId="16" fillId="0" borderId="0" xfId="13" applyFont="1"/>
    <xf numFmtId="0" fontId="17" fillId="0" borderId="0" xfId="13" applyFont="1" applyAlignment="1">
      <alignment horizontal="right"/>
    </xf>
    <xf numFmtId="0" fontId="4" fillId="0" borderId="0" xfId="13" applyFont="1"/>
    <xf numFmtId="0" fontId="4" fillId="0" borderId="0" xfId="13" applyAlignment="1">
      <alignment horizontal="right"/>
    </xf>
    <xf numFmtId="0" fontId="4" fillId="0" borderId="0" xfId="13" applyFont="1" applyAlignment="1">
      <alignment horizontal="right"/>
    </xf>
    <xf numFmtId="0" fontId="4" fillId="0" borderId="0" xfId="13" applyAlignment="1">
      <alignment horizontal="center"/>
    </xf>
    <xf numFmtId="0" fontId="4" fillId="0" borderId="0" xfId="13" applyFont="1" applyAlignment="1">
      <alignment horizontal="center"/>
    </xf>
    <xf numFmtId="0" fontId="4" fillId="0" borderId="0" xfId="13" applyFill="1" applyAlignment="1">
      <alignment horizontal="center"/>
    </xf>
    <xf numFmtId="0" fontId="4" fillId="0" borderId="1" xfId="13" quotePrefix="1" applyBorder="1" applyAlignment="1">
      <alignment horizontal="center"/>
    </xf>
    <xf numFmtId="169" fontId="0" fillId="0" borderId="0" xfId="1" applyNumberFormat="1" applyFont="1"/>
    <xf numFmtId="169" fontId="4" fillId="0" borderId="0" xfId="13" applyNumberFormat="1"/>
    <xf numFmtId="169" fontId="4" fillId="0" borderId="7" xfId="13" applyNumberFormat="1" applyBorder="1"/>
    <xf numFmtId="43" fontId="4" fillId="0" borderId="0" xfId="13" applyNumberFormat="1" applyBorder="1"/>
    <xf numFmtId="0" fontId="4" fillId="0" borderId="0" xfId="13" applyBorder="1"/>
    <xf numFmtId="165" fontId="0" fillId="0" borderId="0" xfId="1" applyNumberFormat="1" applyFont="1"/>
    <xf numFmtId="165" fontId="0" fillId="0" borderId="0" xfId="1" applyNumberFormat="1" applyFont="1" applyBorder="1"/>
    <xf numFmtId="43" fontId="4" fillId="0" borderId="0" xfId="13" applyNumberFormat="1"/>
    <xf numFmtId="168" fontId="0" fillId="0" borderId="0" xfId="1" applyNumberFormat="1" applyFont="1"/>
    <xf numFmtId="168" fontId="0" fillId="0" borderId="0" xfId="1" applyNumberFormat="1" applyFont="1" applyBorder="1"/>
    <xf numFmtId="10" fontId="0" fillId="0" borderId="0" xfId="6" applyNumberFormat="1" applyFont="1"/>
    <xf numFmtId="10" fontId="0" fillId="0" borderId="0" xfId="6" applyNumberFormat="1" applyFont="1" applyBorder="1"/>
    <xf numFmtId="10" fontId="4" fillId="0" borderId="0" xfId="13" applyNumberFormat="1" applyBorder="1"/>
    <xf numFmtId="166" fontId="0" fillId="0" borderId="0" xfId="23" applyNumberFormat="1" applyFont="1"/>
    <xf numFmtId="10" fontId="4" fillId="0" borderId="0" xfId="13" applyNumberFormat="1"/>
    <xf numFmtId="0" fontId="8" fillId="0" borderId="0" xfId="13" applyFont="1" applyAlignment="1">
      <alignment horizontal="right"/>
    </xf>
    <xf numFmtId="0" fontId="8" fillId="0" borderId="1" xfId="13" applyFont="1" applyBorder="1" applyAlignment="1">
      <alignment horizontal="right"/>
    </xf>
    <xf numFmtId="0" fontId="8" fillId="0" borderId="1" xfId="13" applyFont="1" applyFill="1" applyBorder="1" applyAlignment="1">
      <alignment horizontal="right"/>
    </xf>
    <xf numFmtId="10" fontId="0" fillId="0" borderId="0" xfId="24" applyNumberFormat="1" applyFont="1"/>
    <xf numFmtId="170" fontId="0" fillId="0" borderId="0" xfId="24" applyNumberFormat="1" applyFont="1"/>
    <xf numFmtId="165" fontId="0" fillId="0" borderId="0" xfId="25" applyNumberFormat="1" applyFont="1"/>
    <xf numFmtId="10" fontId="0" fillId="0" borderId="1" xfId="24" applyNumberFormat="1" applyFont="1" applyBorder="1"/>
    <xf numFmtId="10" fontId="4" fillId="0" borderId="1" xfId="13" applyNumberFormat="1" applyBorder="1"/>
    <xf numFmtId="170" fontId="4" fillId="0" borderId="0" xfId="13" applyNumberFormat="1"/>
    <xf numFmtId="170" fontId="0" fillId="0" borderId="0" xfId="26" applyNumberFormat="1" applyFont="1"/>
    <xf numFmtId="0" fontId="4" fillId="0" borderId="0" xfId="13" quotePrefix="1"/>
    <xf numFmtId="10" fontId="0" fillId="0" borderId="0" xfId="26" applyNumberFormat="1" applyFont="1"/>
    <xf numFmtId="171" fontId="0" fillId="0" borderId="0" xfId="26" applyNumberFormat="1" applyFont="1"/>
    <xf numFmtId="166" fontId="4" fillId="0" borderId="0" xfId="13" applyNumberFormat="1"/>
    <xf numFmtId="6" fontId="4" fillId="0" borderId="0" xfId="13" applyNumberFormat="1"/>
    <xf numFmtId="43" fontId="0" fillId="0" borderId="0" xfId="25" applyFont="1"/>
    <xf numFmtId="44" fontId="0" fillId="0" borderId="0" xfId="23" applyFont="1"/>
    <xf numFmtId="172" fontId="0" fillId="0" borderId="0" xfId="25" applyNumberFormat="1" applyFont="1"/>
    <xf numFmtId="166" fontId="0" fillId="0" borderId="0" xfId="23" applyNumberFormat="1" applyFont="1" applyAlignment="1"/>
    <xf numFmtId="165" fontId="0" fillId="0" borderId="0" xfId="25" applyNumberFormat="1" applyFont="1" applyAlignment="1"/>
    <xf numFmtId="168" fontId="0" fillId="0" borderId="0" xfId="25" applyNumberFormat="1" applyFont="1"/>
    <xf numFmtId="166" fontId="0" fillId="0" borderId="1" xfId="23" applyNumberFormat="1" applyFont="1" applyBorder="1" applyAlignment="1"/>
    <xf numFmtId="165" fontId="4" fillId="0" borderId="0" xfId="13" applyNumberFormat="1"/>
    <xf numFmtId="10" fontId="0" fillId="0" borderId="1" xfId="26" applyNumberFormat="1" applyFont="1" applyBorder="1"/>
    <xf numFmtId="0" fontId="4" fillId="0" borderId="0" xfId="13" applyFont="1" applyBorder="1" applyAlignment="1">
      <alignment horizontal="right"/>
    </xf>
    <xf numFmtId="44" fontId="0" fillId="0" borderId="0" xfId="3" applyFont="1" applyBorder="1"/>
    <xf numFmtId="166" fontId="31" fillId="0" borderId="0" xfId="23" applyNumberFormat="1" applyFont="1"/>
    <xf numFmtId="166" fontId="31" fillId="0" borderId="0" xfId="13" applyNumberFormat="1" applyFont="1" applyFill="1"/>
    <xf numFmtId="0" fontId="31" fillId="0" borderId="0" xfId="13" applyFont="1"/>
    <xf numFmtId="10" fontId="31" fillId="0" borderId="1" xfId="24" applyNumberFormat="1" applyFont="1" applyBorder="1"/>
    <xf numFmtId="10" fontId="31" fillId="0" borderId="0" xfId="13" applyNumberFormat="1" applyFont="1" applyAlignment="1">
      <alignment horizontal="right"/>
    </xf>
    <xf numFmtId="0" fontId="4" fillId="0" borderId="0" xfId="0" quotePrefix="1" applyFont="1" applyAlignment="1">
      <alignment horizontal="left"/>
    </xf>
    <xf numFmtId="44" fontId="0" fillId="0" borderId="0" xfId="0" applyNumberFormat="1"/>
    <xf numFmtId="166" fontId="4" fillId="0" borderId="0" xfId="3" applyNumberFormat="1" applyFont="1"/>
    <xf numFmtId="0" fontId="4" fillId="0" borderId="11" xfId="8" applyBorder="1"/>
    <xf numFmtId="0" fontId="4" fillId="0" borderId="4" xfId="8" applyBorder="1"/>
    <xf numFmtId="0" fontId="4" fillId="0" borderId="10" xfId="8" applyBorder="1"/>
    <xf numFmtId="0" fontId="4" fillId="0" borderId="9" xfId="8" applyBorder="1"/>
    <xf numFmtId="0" fontId="4" fillId="0" borderId="0" xfId="8" applyBorder="1"/>
    <xf numFmtId="0" fontId="4" fillId="0" borderId="8" xfId="8" applyBorder="1"/>
    <xf numFmtId="44" fontId="4" fillId="4" borderId="33" xfId="3" applyFont="1" applyFill="1" applyBorder="1" applyAlignment="1">
      <alignment horizontal="center"/>
    </xf>
    <xf numFmtId="0" fontId="4" fillId="4" borderId="33" xfId="3" applyNumberFormat="1" applyFont="1" applyFill="1" applyBorder="1" applyAlignment="1">
      <alignment horizontal="center"/>
    </xf>
    <xf numFmtId="0" fontId="8" fillId="3" borderId="15" xfId="8" applyNumberFormat="1" applyFont="1" applyFill="1" applyBorder="1" applyAlignment="1">
      <alignment horizontal="center"/>
    </xf>
    <xf numFmtId="0" fontId="8" fillId="2" borderId="21" xfId="8" applyNumberFormat="1" applyFont="1" applyFill="1" applyBorder="1" applyAlignment="1">
      <alignment horizontal="center"/>
    </xf>
    <xf numFmtId="0" fontId="4" fillId="0" borderId="6" xfId="8" applyBorder="1"/>
    <xf numFmtId="0" fontId="4" fillId="0" borderId="36" xfId="8" applyBorder="1"/>
    <xf numFmtId="0" fontId="4" fillId="0" borderId="5" xfId="8" applyBorder="1"/>
    <xf numFmtId="44" fontId="4" fillId="0" borderId="37" xfId="8" applyNumberFormat="1" applyBorder="1"/>
    <xf numFmtId="44" fontId="4" fillId="0" borderId="39" xfId="8" applyNumberFormat="1" applyBorder="1"/>
    <xf numFmtId="44" fontId="8" fillId="3" borderId="30" xfId="8" applyNumberFormat="1" applyFont="1" applyFill="1" applyBorder="1" applyAlignment="1">
      <alignment horizontal="center"/>
    </xf>
    <xf numFmtId="0" fontId="4" fillId="0" borderId="40" xfId="8" applyBorder="1"/>
    <xf numFmtId="44" fontId="8" fillId="3" borderId="22" xfId="8" applyNumberFormat="1" applyFont="1" applyFill="1" applyBorder="1" applyAlignment="1">
      <alignment horizontal="center"/>
    </xf>
    <xf numFmtId="44" fontId="8" fillId="2" borderId="41" xfId="8" applyNumberFormat="1" applyFont="1" applyFill="1" applyBorder="1"/>
    <xf numFmtId="44" fontId="8" fillId="2" borderId="24" xfId="8" applyNumberFormat="1" applyFont="1" applyFill="1" applyBorder="1"/>
    <xf numFmtId="0" fontId="8" fillId="0" borderId="37" xfId="8" applyFont="1" applyBorder="1"/>
    <xf numFmtId="0" fontId="4" fillId="0" borderId="0" xfId="8" applyFont="1" applyBorder="1"/>
    <xf numFmtId="0" fontId="8" fillId="0" borderId="8" xfId="8" applyFont="1" applyBorder="1"/>
    <xf numFmtId="44" fontId="4" fillId="0" borderId="0" xfId="8" applyNumberFormat="1" applyFont="1" applyBorder="1"/>
    <xf numFmtId="0" fontId="8" fillId="0" borderId="21" xfId="8" applyFont="1" applyBorder="1"/>
    <xf numFmtId="0" fontId="4" fillId="0" borderId="0" xfId="8" applyFont="1" applyBorder="1" applyAlignment="1">
      <alignment horizontal="center"/>
    </xf>
    <xf numFmtId="0" fontId="8" fillId="0" borderId="39" xfId="8" applyFont="1" applyBorder="1"/>
    <xf numFmtId="44" fontId="4" fillId="0" borderId="43" xfId="8" applyNumberFormat="1" applyBorder="1"/>
    <xf numFmtId="44" fontId="4" fillId="4" borderId="12" xfId="8" applyNumberFormat="1" applyFill="1" applyBorder="1" applyAlignment="1">
      <alignment horizontal="center"/>
    </xf>
    <xf numFmtId="0" fontId="4" fillId="4" borderId="33" xfId="8" applyNumberFormat="1" applyFill="1" applyBorder="1" applyAlignment="1">
      <alignment horizontal="center"/>
    </xf>
    <xf numFmtId="44" fontId="8" fillId="3" borderId="44" xfId="8" applyNumberFormat="1" applyFont="1" applyFill="1" applyBorder="1" applyAlignment="1">
      <alignment horizontal="center"/>
    </xf>
    <xf numFmtId="44" fontId="8" fillId="2" borderId="45" xfId="8" applyNumberFormat="1" applyFont="1" applyFill="1" applyBorder="1"/>
    <xf numFmtId="44" fontId="4" fillId="0" borderId="46" xfId="8" applyNumberFormat="1" applyFont="1" applyBorder="1" applyAlignment="1">
      <alignment horizontal="center"/>
    </xf>
    <xf numFmtId="44" fontId="4" fillId="0" borderId="47" xfId="8" applyNumberFormat="1" applyFont="1" applyBorder="1"/>
    <xf numFmtId="0" fontId="8" fillId="3" borderId="12" xfId="8" applyFont="1" applyFill="1" applyBorder="1"/>
    <xf numFmtId="44" fontId="4" fillId="0" borderId="49" xfId="8" applyNumberFormat="1" applyFont="1" applyBorder="1" applyAlignment="1">
      <alignment horizontal="center"/>
    </xf>
    <xf numFmtId="44" fontId="4" fillId="0" borderId="50" xfId="8" applyNumberFormat="1" applyFont="1" applyBorder="1" applyAlignment="1">
      <alignment horizontal="center"/>
    </xf>
    <xf numFmtId="0" fontId="8" fillId="2" borderId="28" xfId="8" applyFont="1" applyFill="1" applyBorder="1"/>
    <xf numFmtId="0" fontId="8" fillId="0" borderId="39" xfId="8" applyFont="1" applyBorder="1" applyAlignment="1">
      <alignment horizontal="center"/>
    </xf>
    <xf numFmtId="0" fontId="4" fillId="0" borderId="13" xfId="8" applyFont="1" applyBorder="1" applyAlignment="1">
      <alignment horizontal="center"/>
    </xf>
    <xf numFmtId="2" fontId="0" fillId="0" borderId="0" xfId="0" applyNumberFormat="1" applyFill="1" applyBorder="1"/>
    <xf numFmtId="10" fontId="31" fillId="0" borderId="0" xfId="6" applyNumberFormat="1" applyFont="1"/>
    <xf numFmtId="43" fontId="7" fillId="0" borderId="0" xfId="1" applyFont="1" applyAlignment="1">
      <alignment horizontal="center"/>
    </xf>
    <xf numFmtId="165" fontId="9" fillId="0" borderId="0" xfId="1" applyNumberFormat="1" applyFont="1"/>
    <xf numFmtId="0" fontId="4" fillId="0" borderId="0" xfId="5" quotePrefix="1" applyFont="1"/>
    <xf numFmtId="0" fontId="10" fillId="0" borderId="0" xfId="5" applyFont="1" applyAlignment="1">
      <alignment horizontal="center" wrapText="1"/>
    </xf>
    <xf numFmtId="44" fontId="9" fillId="0" borderId="2" xfId="5" applyNumberFormat="1" applyBorder="1"/>
    <xf numFmtId="44" fontId="4" fillId="0" borderId="0" xfId="5" quotePrefix="1" applyNumberFormat="1" applyFont="1" applyAlignment="1">
      <alignment horizontal="center"/>
    </xf>
    <xf numFmtId="43" fontId="7" fillId="0" borderId="0" xfId="1" applyFont="1" applyAlignment="1">
      <alignment horizontal="center"/>
    </xf>
    <xf numFmtId="175" fontId="9" fillId="0" borderId="0" xfId="5" applyNumberFormat="1"/>
    <xf numFmtId="0" fontId="9" fillId="0" borderId="0" xfId="5" applyAlignment="1">
      <alignment horizontal="center"/>
    </xf>
    <xf numFmtId="175" fontId="9" fillId="0" borderId="0" xfId="5" applyNumberFormat="1" applyAlignment="1">
      <alignment horizontal="center"/>
    </xf>
    <xf numFmtId="175" fontId="9" fillId="0" borderId="0" xfId="5" applyNumberFormat="1" applyFill="1" applyAlignment="1">
      <alignment horizontal="center"/>
    </xf>
    <xf numFmtId="44" fontId="4" fillId="0" borderId="0" xfId="5" applyNumberFormat="1" applyFont="1"/>
    <xf numFmtId="0" fontId="8" fillId="0" borderId="4" xfId="5" applyFont="1" applyBorder="1" applyAlignment="1"/>
    <xf numFmtId="0" fontId="37" fillId="0" borderId="0" xfId="0" applyFont="1" applyAlignment="1">
      <alignment horizontal="right" vertical="center"/>
    </xf>
    <xf numFmtId="0" fontId="4" fillId="0" borderId="39" xfId="8" applyFont="1" applyBorder="1" applyAlignment="1">
      <alignment horizontal="center"/>
    </xf>
    <xf numFmtId="167" fontId="4" fillId="0" borderId="15" xfId="78" applyNumberFormat="1" applyFont="1" applyBorder="1"/>
    <xf numFmtId="10" fontId="4" fillId="0" borderId="19" xfId="79" applyNumberFormat="1" applyFont="1" applyBorder="1" applyAlignment="1">
      <alignment horizontal="center"/>
    </xf>
    <xf numFmtId="10" fontId="4" fillId="0" borderId="51" xfId="79" applyNumberFormat="1" applyFont="1" applyBorder="1" applyAlignment="1">
      <alignment horizontal="center"/>
    </xf>
    <xf numFmtId="167" fontId="4" fillId="0" borderId="24" xfId="78" applyNumberFormat="1" applyFont="1" applyBorder="1"/>
    <xf numFmtId="10" fontId="4" fillId="0" borderId="41" xfId="79" applyNumberFormat="1" applyFont="1" applyBorder="1" applyAlignment="1">
      <alignment horizontal="center"/>
    </xf>
    <xf numFmtId="10" fontId="4" fillId="0" borderId="48" xfId="79" applyNumberFormat="1" applyFont="1" applyBorder="1" applyAlignment="1">
      <alignment horizontal="center"/>
    </xf>
    <xf numFmtId="0" fontId="38" fillId="12" borderId="0" xfId="13" applyFont="1" applyFill="1"/>
    <xf numFmtId="0" fontId="38" fillId="12" borderId="52" xfId="13" applyFont="1" applyFill="1" applyBorder="1"/>
    <xf numFmtId="0" fontId="4" fillId="0" borderId="0" xfId="13" applyFont="1" applyAlignment="1">
      <alignment horizontal="left"/>
    </xf>
    <xf numFmtId="166" fontId="4" fillId="0" borderId="0" xfId="13" applyNumberFormat="1" applyFont="1"/>
    <xf numFmtId="0" fontId="38" fillId="12" borderId="53" xfId="13" applyFont="1" applyFill="1" applyBorder="1" applyAlignment="1">
      <alignment horizontal="left"/>
    </xf>
    <xf numFmtId="166" fontId="38" fillId="12" borderId="53" xfId="13" applyNumberFormat="1" applyFont="1" applyFill="1" applyBorder="1"/>
    <xf numFmtId="0" fontId="32" fillId="12" borderId="5" xfId="13" applyFont="1" applyFill="1" applyBorder="1"/>
    <xf numFmtId="0" fontId="32" fillId="12" borderId="36" xfId="13" applyFont="1" applyFill="1" applyBorder="1"/>
    <xf numFmtId="0" fontId="32" fillId="12" borderId="6" xfId="13" applyFont="1" applyFill="1" applyBorder="1"/>
    <xf numFmtId="0" fontId="32" fillId="12" borderId="21" xfId="13" applyFont="1" applyFill="1" applyBorder="1"/>
    <xf numFmtId="0" fontId="32" fillId="12" borderId="7" xfId="13" applyFont="1" applyFill="1" applyBorder="1"/>
    <xf numFmtId="0" fontId="32" fillId="12" borderId="22" xfId="13" applyFont="1" applyFill="1" applyBorder="1"/>
    <xf numFmtId="0" fontId="32" fillId="3" borderId="21" xfId="13" applyFont="1" applyFill="1" applyBorder="1" applyAlignment="1">
      <alignment horizontal="left"/>
    </xf>
    <xf numFmtId="0" fontId="32" fillId="3" borderId="7" xfId="13" applyNumberFormat="1" applyFont="1" applyFill="1" applyBorder="1"/>
    <xf numFmtId="0" fontId="32" fillId="3" borderId="22" xfId="13" applyNumberFormat="1" applyFont="1" applyFill="1" applyBorder="1"/>
    <xf numFmtId="0" fontId="32" fillId="2" borderId="21" xfId="13" applyFont="1" applyFill="1" applyBorder="1" applyAlignment="1">
      <alignment horizontal="left"/>
    </xf>
    <xf numFmtId="0" fontId="32" fillId="2" borderId="7" xfId="13" applyNumberFormat="1" applyFont="1" applyFill="1" applyBorder="1"/>
    <xf numFmtId="0" fontId="32" fillId="2" borderId="22" xfId="13" applyNumberFormat="1" applyFont="1" applyFill="1" applyBorder="1"/>
    <xf numFmtId="0" fontId="32" fillId="12" borderId="24" xfId="13" applyFont="1" applyFill="1" applyBorder="1" applyAlignment="1">
      <alignment horizontal="left"/>
    </xf>
    <xf numFmtId="0" fontId="32" fillId="12" borderId="25" xfId="13" applyNumberFormat="1" applyFont="1" applyFill="1" applyBorder="1"/>
    <xf numFmtId="0" fontId="32" fillId="12" borderId="41" xfId="13" applyNumberFormat="1" applyFont="1" applyFill="1" applyBorder="1"/>
    <xf numFmtId="0" fontId="32" fillId="12" borderId="8" xfId="13" applyFont="1" applyFill="1" applyBorder="1" applyAlignment="1">
      <alignment horizontal="left"/>
    </xf>
    <xf numFmtId="0" fontId="32" fillId="12" borderId="0" xfId="13" applyNumberFormat="1" applyFont="1" applyFill="1" applyBorder="1"/>
    <xf numFmtId="0" fontId="32" fillId="12" borderId="9" xfId="13" applyNumberFormat="1" applyFont="1" applyFill="1" applyBorder="1"/>
    <xf numFmtId="9" fontId="32" fillId="3" borderId="7" xfId="6" applyFont="1" applyFill="1" applyBorder="1"/>
    <xf numFmtId="9" fontId="32" fillId="2" borderId="7" xfId="6" applyFont="1" applyFill="1" applyBorder="1"/>
    <xf numFmtId="9" fontId="32" fillId="2" borderId="22" xfId="6" applyFont="1" applyFill="1" applyBorder="1"/>
    <xf numFmtId="9" fontId="32" fillId="12" borderId="25" xfId="6" applyFont="1" applyFill="1" applyBorder="1"/>
    <xf numFmtId="9" fontId="32" fillId="12" borderId="41" xfId="6" applyFont="1" applyFill="1" applyBorder="1"/>
    <xf numFmtId="167" fontId="4" fillId="0" borderId="7" xfId="78" applyNumberFormat="1" applyFont="1" applyBorder="1"/>
    <xf numFmtId="10" fontId="4" fillId="0" borderId="0" xfId="79" applyNumberFormat="1" applyFont="1" applyBorder="1" applyAlignment="1">
      <alignment horizontal="center"/>
    </xf>
    <xf numFmtId="0" fontId="4" fillId="0" borderId="0" xfId="13" applyFont="1" applyAlignment="1">
      <alignment horizontal="left" indent="1"/>
    </xf>
    <xf numFmtId="0" fontId="0" fillId="0" borderId="0" xfId="0" quotePrefix="1" applyFill="1" applyAlignment="1">
      <alignment horizontal="left"/>
    </xf>
    <xf numFmtId="0" fontId="4" fillId="0" borderId="0" xfId="0" quotePrefix="1" applyFont="1" applyFill="1" applyAlignment="1">
      <alignment horizontal="left"/>
    </xf>
    <xf numFmtId="0" fontId="0" fillId="0" borderId="0" xfId="0" applyFill="1" applyAlignment="1">
      <alignment horizontal="left"/>
    </xf>
    <xf numFmtId="44" fontId="0" fillId="0" borderId="0" xfId="3" applyFont="1" applyFill="1"/>
    <xf numFmtId="165" fontId="4" fillId="0" borderId="0" xfId="1" applyNumberFormat="1" applyFont="1"/>
    <xf numFmtId="44" fontId="4" fillId="0" borderId="0" xfId="3" applyFont="1" applyFill="1"/>
    <xf numFmtId="44" fontId="0" fillId="0" borderId="0" xfId="3" applyFont="1" applyFill="1" applyBorder="1"/>
    <xf numFmtId="0" fontId="10" fillId="0" borderId="0" xfId="0" applyFont="1" applyAlignment="1">
      <alignment horizontal="center"/>
    </xf>
    <xf numFmtId="43" fontId="4" fillId="0" borderId="0" xfId="1" applyFill="1" applyAlignment="1">
      <alignment horizontal="right"/>
    </xf>
    <xf numFmtId="0" fontId="0" fillId="0" borderId="0" xfId="0" applyFill="1" applyAlignment="1">
      <alignment horizontal="right"/>
    </xf>
    <xf numFmtId="0" fontId="10" fillId="0" borderId="0" xfId="0" applyFont="1" applyBorder="1" applyAlignment="1">
      <alignment horizontal="center"/>
    </xf>
    <xf numFmtId="14" fontId="0" fillId="0" borderId="0" xfId="0" applyNumberFormat="1"/>
    <xf numFmtId="0" fontId="10" fillId="0" borderId="0" xfId="0" applyFont="1" applyFill="1" applyBorder="1" applyAlignment="1">
      <alignment horizontal="center"/>
    </xf>
    <xf numFmtId="43" fontId="7" fillId="0" borderId="0" xfId="1" applyFont="1" applyAlignment="1">
      <alignment horizontal="center"/>
    </xf>
    <xf numFmtId="0" fontId="0" fillId="0" borderId="0" xfId="0" quotePrefix="1" applyAlignment="1">
      <alignment wrapText="1"/>
    </xf>
    <xf numFmtId="44" fontId="4" fillId="0" borderId="0" xfId="3" applyBorder="1"/>
    <xf numFmtId="0" fontId="0" fillId="0" borderId="1" xfId="0" applyBorder="1" applyAlignment="1">
      <alignment horizontal="center" wrapText="1"/>
    </xf>
    <xf numFmtId="0" fontId="0" fillId="5" borderId="0" xfId="0" quotePrefix="1" applyFill="1" applyAlignment="1">
      <alignment horizontal="left"/>
    </xf>
    <xf numFmtId="0" fontId="4" fillId="5" borderId="0" xfId="0" quotePrefix="1" applyFont="1" applyFill="1" applyAlignment="1">
      <alignment horizontal="left"/>
    </xf>
    <xf numFmtId="0" fontId="4" fillId="0" borderId="0" xfId="13" quotePrefix="1" applyFont="1" applyAlignment="1">
      <alignment horizontal="left"/>
    </xf>
    <xf numFmtId="44" fontId="4" fillId="0" borderId="0" xfId="3" applyFont="1"/>
    <xf numFmtId="44" fontId="4" fillId="0" borderId="2" xfId="3" applyFont="1" applyBorder="1"/>
    <xf numFmtId="43" fontId="4" fillId="0" borderId="0" xfId="1" applyFont="1"/>
    <xf numFmtId="0" fontId="8" fillId="5" borderId="0" xfId="0" applyFont="1" applyFill="1"/>
    <xf numFmtId="0" fontId="0" fillId="0" borderId="0" xfId="0" applyBorder="1" applyAlignment="1">
      <alignment horizontal="left"/>
    </xf>
    <xf numFmtId="9" fontId="0" fillId="0" borderId="0" xfId="6" applyFont="1" applyAlignment="1">
      <alignment horizontal="right"/>
    </xf>
    <xf numFmtId="0" fontId="6" fillId="5" borderId="0" xfId="0" applyFont="1" applyFill="1"/>
    <xf numFmtId="0" fontId="4" fillId="0" borderId="1" xfId="0" applyFont="1" applyBorder="1" applyAlignment="1">
      <alignment horizontal="center" wrapText="1"/>
    </xf>
    <xf numFmtId="8" fontId="4" fillId="0" borderId="0" xfId="13" applyNumberFormat="1" applyBorder="1"/>
    <xf numFmtId="15" fontId="4" fillId="0" borderId="0" xfId="0" applyNumberFormat="1" applyFont="1" applyBorder="1" applyAlignment="1">
      <alignment horizontal="left"/>
    </xf>
    <xf numFmtId="43" fontId="0" fillId="0" borderId="0" xfId="0" applyNumberFormat="1" applyBorder="1"/>
    <xf numFmtId="44" fontId="4" fillId="0" borderId="0" xfId="3" applyNumberFormat="1" applyFont="1"/>
    <xf numFmtId="0" fontId="4" fillId="0" borderId="0" xfId="0" applyFont="1" applyBorder="1" applyAlignment="1">
      <alignment horizontal="left"/>
    </xf>
    <xf numFmtId="43" fontId="4" fillId="0" borderId="0" xfId="0" applyNumberFormat="1" applyFont="1"/>
    <xf numFmtId="0" fontId="4" fillId="0" borderId="0" xfId="0" applyFont="1" applyFill="1" applyAlignment="1">
      <alignment horizontal="right"/>
    </xf>
    <xf numFmtId="0" fontId="4" fillId="0" borderId="0" xfId="0" applyFont="1" applyAlignment="1">
      <alignment horizontal="left"/>
    </xf>
    <xf numFmtId="0" fontId="10" fillId="0" borderId="0" xfId="0" applyFont="1" applyFill="1"/>
    <xf numFmtId="0" fontId="6" fillId="5" borderId="8" xfId="0" applyFont="1" applyFill="1" applyBorder="1"/>
    <xf numFmtId="10" fontId="4" fillId="0" borderId="0" xfId="6" applyNumberFormat="1" applyFont="1"/>
    <xf numFmtId="10" fontId="4" fillId="0" borderId="19" xfId="6" applyNumberFormat="1" applyFont="1" applyBorder="1" applyAlignment="1">
      <alignment horizontal="center"/>
    </xf>
    <xf numFmtId="44" fontId="31" fillId="0" borderId="0" xfId="3" applyFont="1" applyFill="1"/>
    <xf numFmtId="0" fontId="31" fillId="0" borderId="0" xfId="0" applyFont="1"/>
    <xf numFmtId="43" fontId="31" fillId="0" borderId="0" xfId="1" applyFont="1" applyFill="1"/>
    <xf numFmtId="0" fontId="4" fillId="0" borderId="0" xfId="0" applyFont="1" applyAlignment="1"/>
    <xf numFmtId="8" fontId="4" fillId="0" borderId="0" xfId="13" applyNumberFormat="1" applyFont="1" applyBorder="1"/>
    <xf numFmtId="43" fontId="9" fillId="0" borderId="0" xfId="5" applyNumberFormat="1"/>
    <xf numFmtId="44" fontId="9" fillId="0" borderId="0" xfId="3" applyFont="1"/>
    <xf numFmtId="44" fontId="8" fillId="0" borderId="4" xfId="3" applyFont="1" applyBorder="1" applyAlignment="1"/>
    <xf numFmtId="0" fontId="39" fillId="0" borderId="0" xfId="0" applyFont="1" applyAlignment="1">
      <alignment horizontal="right" vertical="center"/>
    </xf>
    <xf numFmtId="177" fontId="9" fillId="0" borderId="0" xfId="5" applyNumberFormat="1" applyAlignment="1">
      <alignment horizontal="center"/>
    </xf>
    <xf numFmtId="177" fontId="4" fillId="0" borderId="0" xfId="5" quotePrefix="1" applyNumberFormat="1" applyFont="1" applyAlignment="1">
      <alignment horizontal="center"/>
    </xf>
    <xf numFmtId="17" fontId="0" fillId="0" borderId="0" xfId="0" applyNumberFormat="1"/>
    <xf numFmtId="44" fontId="9" fillId="0" borderId="0" xfId="3" applyFont="1" applyBorder="1"/>
    <xf numFmtId="44" fontId="4" fillId="0" borderId="0" xfId="3" quotePrefix="1" applyFont="1"/>
    <xf numFmtId="44" fontId="9" fillId="0" borderId="2" xfId="3" applyFont="1" applyBorder="1"/>
    <xf numFmtId="0" fontId="4" fillId="0" borderId="1" xfId="5" applyFont="1" applyBorder="1" applyAlignment="1">
      <alignment horizontal="center" wrapText="1"/>
    </xf>
    <xf numFmtId="0" fontId="4" fillId="0" borderId="1" xfId="5" applyFont="1" applyBorder="1" applyAlignment="1">
      <alignment wrapText="1"/>
    </xf>
    <xf numFmtId="0" fontId="4" fillId="0" borderId="1" xfId="5" applyFont="1" applyBorder="1"/>
    <xf numFmtId="9" fontId="9" fillId="0" borderId="0" xfId="5" applyNumberFormat="1"/>
    <xf numFmtId="178" fontId="0" fillId="0" borderId="0" xfId="6" applyNumberFormat="1" applyFont="1" applyAlignment="1">
      <alignment horizontal="right"/>
    </xf>
    <xf numFmtId="10" fontId="0" fillId="0" borderId="0" xfId="0" applyNumberFormat="1"/>
    <xf numFmtId="178" fontId="4" fillId="0" borderId="0" xfId="6" applyNumberFormat="1" applyFont="1" applyAlignment="1">
      <alignment horizontal="right"/>
    </xf>
    <xf numFmtId="9" fontId="4" fillId="0" borderId="0" xfId="6"/>
    <xf numFmtId="2" fontId="4" fillId="0" borderId="0" xfId="13" applyNumberFormat="1"/>
    <xf numFmtId="44" fontId="4" fillId="0" borderId="0" xfId="3" applyFill="1" applyBorder="1"/>
    <xf numFmtId="10" fontId="4" fillId="5" borderId="0" xfId="6" applyNumberFormat="1" applyFill="1"/>
    <xf numFmtId="10" fontId="0" fillId="5" borderId="0" xfId="6" applyNumberFormat="1" applyFont="1" applyFill="1"/>
    <xf numFmtId="44" fontId="4" fillId="5" borderId="0" xfId="3" applyFont="1" applyFill="1"/>
    <xf numFmtId="43" fontId="4" fillId="0" borderId="0" xfId="1" applyFont="1" applyFill="1"/>
    <xf numFmtId="164" fontId="4" fillId="5" borderId="0" xfId="6" applyNumberFormat="1" applyFont="1" applyFill="1"/>
    <xf numFmtId="44" fontId="0" fillId="5" borderId="0" xfId="3" applyFont="1" applyFill="1"/>
    <xf numFmtId="44" fontId="4" fillId="5" borderId="0" xfId="0" applyNumberFormat="1" applyFont="1" applyFill="1"/>
    <xf numFmtId="44" fontId="4" fillId="0" borderId="0" xfId="0" applyNumberFormat="1" applyFont="1" applyFill="1"/>
    <xf numFmtId="0" fontId="40" fillId="0" borderId="0" xfId="0" applyFont="1"/>
    <xf numFmtId="44" fontId="4" fillId="5" borderId="0" xfId="3" applyFont="1" applyFill="1" applyBorder="1"/>
    <xf numFmtId="44" fontId="0" fillId="5" borderId="0" xfId="3" applyFont="1" applyFill="1" applyBorder="1"/>
    <xf numFmtId="43" fontId="4" fillId="5" borderId="0" xfId="1" applyFont="1" applyFill="1"/>
    <xf numFmtId="43" fontId="4" fillId="5" borderId="2" xfId="0" applyNumberFormat="1" applyFont="1" applyFill="1" applyBorder="1"/>
    <xf numFmtId="176" fontId="4" fillId="5" borderId="0" xfId="0" applyNumberFormat="1" applyFont="1" applyFill="1"/>
    <xf numFmtId="176" fontId="4" fillId="0" borderId="0" xfId="0" applyNumberFormat="1" applyFont="1" applyFill="1"/>
    <xf numFmtId="44" fontId="4" fillId="0" borderId="2" xfId="3" applyFill="1" applyBorder="1"/>
    <xf numFmtId="0" fontId="0" fillId="0" borderId="0" xfId="0" applyFill="1" applyBorder="1" applyAlignment="1">
      <alignment horizontal="left"/>
    </xf>
    <xf numFmtId="178" fontId="0" fillId="0" borderId="0" xfId="6" applyNumberFormat="1" applyFont="1" applyFill="1" applyAlignment="1">
      <alignment horizontal="right"/>
    </xf>
    <xf numFmtId="15" fontId="4" fillId="0" borderId="0" xfId="0" applyNumberFormat="1" applyFont="1" applyFill="1" applyBorder="1" applyAlignment="1">
      <alignment horizontal="left"/>
    </xf>
    <xf numFmtId="8" fontId="4" fillId="0" borderId="0" xfId="13" applyNumberFormat="1" applyFill="1" applyBorder="1"/>
    <xf numFmtId="0" fontId="4" fillId="0" borderId="0" xfId="0" applyFont="1" applyFill="1" applyBorder="1" applyAlignment="1">
      <alignment horizontal="left"/>
    </xf>
    <xf numFmtId="0" fontId="0" fillId="0" borderId="0" xfId="0" quotePrefix="1" applyFill="1" applyAlignment="1">
      <alignment wrapText="1"/>
    </xf>
    <xf numFmtId="43" fontId="0" fillId="0" borderId="0" xfId="1" applyFont="1" applyFill="1"/>
    <xf numFmtId="43" fontId="0" fillId="0" borderId="0" xfId="0" applyNumberFormat="1" applyFill="1"/>
    <xf numFmtId="43" fontId="0" fillId="0" borderId="2" xfId="0" applyNumberFormat="1" applyFill="1" applyBorder="1"/>
    <xf numFmtId="164" fontId="0" fillId="0" borderId="0" xfId="6" applyNumberFormat="1" applyFont="1" applyFill="1" applyBorder="1"/>
    <xf numFmtId="0" fontId="0" fillId="5" borderId="0" xfId="0" applyFill="1"/>
    <xf numFmtId="178" fontId="31" fillId="0" borderId="0" xfId="6" applyNumberFormat="1" applyFont="1" applyAlignment="1">
      <alignment horizontal="center"/>
    </xf>
    <xf numFmtId="0" fontId="31" fillId="0" borderId="0" xfId="13" applyFont="1" applyFill="1"/>
    <xf numFmtId="0" fontId="4" fillId="0" borderId="0" xfId="13" applyFill="1"/>
    <xf numFmtId="166" fontId="31" fillId="0" borderId="0" xfId="23" applyNumberFormat="1" applyFont="1" applyFill="1"/>
    <xf numFmtId="178" fontId="31" fillId="0" borderId="0" xfId="6" applyNumberFormat="1" applyFont="1" applyFill="1" applyAlignment="1">
      <alignment horizontal="center"/>
    </xf>
    <xf numFmtId="175" fontId="4" fillId="0" borderId="0" xfId="5" applyNumberFormat="1" applyFont="1"/>
    <xf numFmtId="170" fontId="4" fillId="0" borderId="0" xfId="6" applyNumberFormat="1" applyFill="1"/>
    <xf numFmtId="170" fontId="4" fillId="5" borderId="0" xfId="6" applyNumberFormat="1" applyFill="1"/>
    <xf numFmtId="0" fontId="0" fillId="0" borderId="0" xfId="0" quotePrefix="1"/>
    <xf numFmtId="44" fontId="8" fillId="0" borderId="4" xfId="3" applyFont="1" applyFill="1" applyBorder="1" applyAlignment="1"/>
    <xf numFmtId="0" fontId="4" fillId="0" borderId="1" xfId="5" applyFont="1" applyFill="1" applyBorder="1" applyAlignment="1">
      <alignment horizontal="center" wrapText="1"/>
    </xf>
    <xf numFmtId="0" fontId="0" fillId="0" borderId="0" xfId="0" applyAlignment="1">
      <alignment horizontal="center"/>
    </xf>
    <xf numFmtId="43" fontId="7" fillId="0" borderId="0" xfId="1" applyFont="1" applyAlignment="1">
      <alignment horizontal="center"/>
    </xf>
    <xf numFmtId="0" fontId="4" fillId="5" borderId="0" xfId="0" applyFont="1" applyFill="1" applyAlignment="1">
      <alignment horizontal="left"/>
    </xf>
    <xf numFmtId="0" fontId="0" fillId="5" borderId="0" xfId="0" applyFill="1" applyAlignment="1">
      <alignment horizontal="right"/>
    </xf>
    <xf numFmtId="0" fontId="8" fillId="13" borderId="28" xfId="8" applyFont="1" applyFill="1" applyBorder="1"/>
    <xf numFmtId="0" fontId="8" fillId="13" borderId="12" xfId="8" applyFont="1" applyFill="1" applyBorder="1"/>
    <xf numFmtId="9" fontId="0" fillId="0" borderId="0" xfId="6" applyFont="1"/>
    <xf numFmtId="44" fontId="0" fillId="0" borderId="1" xfId="3" applyFont="1" applyBorder="1"/>
    <xf numFmtId="0" fontId="0" fillId="0" borderId="1" xfId="0" applyBorder="1"/>
    <xf numFmtId="0" fontId="0" fillId="0" borderId="1" xfId="0" applyBorder="1" applyAlignment="1">
      <alignment horizontal="center"/>
    </xf>
    <xf numFmtId="0" fontId="8" fillId="0" borderId="0" xfId="0" applyFont="1"/>
    <xf numFmtId="0" fontId="8" fillId="14" borderId="1" xfId="0" applyFont="1" applyFill="1" applyBorder="1"/>
    <xf numFmtId="0" fontId="8" fillId="0" borderId="20" xfId="8" applyFont="1" applyFill="1" applyBorder="1"/>
    <xf numFmtId="44" fontId="4" fillId="0" borderId="21" xfId="8" applyNumberFormat="1" applyFont="1" applyFill="1" applyBorder="1" applyAlignment="1">
      <alignment horizontal="center"/>
    </xf>
    <xf numFmtId="44" fontId="4" fillId="0" borderId="7" xfId="8" applyNumberFormat="1" applyFont="1" applyFill="1" applyBorder="1" applyAlignment="1">
      <alignment horizontal="center"/>
    </xf>
    <xf numFmtId="0" fontId="4" fillId="0" borderId="15" xfId="8" applyFont="1" applyFill="1" applyBorder="1" applyAlignment="1">
      <alignment horizontal="center"/>
    </xf>
    <xf numFmtId="0" fontId="4" fillId="0" borderId="16" xfId="8" applyFont="1" applyFill="1" applyBorder="1" applyAlignment="1">
      <alignment horizontal="center"/>
    </xf>
    <xf numFmtId="44" fontId="8" fillId="0" borderId="21" xfId="8" applyNumberFormat="1" applyFont="1" applyFill="1" applyBorder="1"/>
    <xf numFmtId="44" fontId="8" fillId="0" borderId="45" xfId="8" applyNumberFormat="1" applyFont="1" applyFill="1" applyBorder="1"/>
    <xf numFmtId="0" fontId="8" fillId="0" borderId="28" xfId="8" applyFont="1" applyFill="1" applyBorder="1"/>
    <xf numFmtId="44" fontId="4" fillId="0" borderId="15" xfId="8" applyNumberFormat="1" applyFont="1" applyFill="1" applyBorder="1" applyAlignment="1">
      <alignment horizontal="center"/>
    </xf>
    <xf numFmtId="44" fontId="4" fillId="0" borderId="16" xfId="8" applyNumberFormat="1" applyFont="1" applyFill="1" applyBorder="1" applyAlignment="1">
      <alignment horizontal="center"/>
    </xf>
    <xf numFmtId="44" fontId="8" fillId="0" borderId="15" xfId="8" applyNumberFormat="1" applyFont="1" applyFill="1" applyBorder="1" applyAlignment="1">
      <alignment horizontal="center"/>
    </xf>
    <xf numFmtId="44" fontId="8" fillId="0" borderId="44" xfId="8" applyNumberFormat="1" applyFont="1" applyFill="1" applyBorder="1" applyAlignment="1">
      <alignment horizontal="center"/>
    </xf>
    <xf numFmtId="0" fontId="8" fillId="0" borderId="12" xfId="8" applyFont="1" applyFill="1" applyBorder="1"/>
    <xf numFmtId="44" fontId="4" fillId="0" borderId="33" xfId="8" applyNumberFormat="1" applyFill="1" applyBorder="1" applyAlignment="1">
      <alignment horizontal="center"/>
    </xf>
    <xf numFmtId="0" fontId="4" fillId="0" borderId="33" xfId="8" applyNumberFormat="1" applyFill="1" applyBorder="1" applyAlignment="1">
      <alignment horizontal="center"/>
    </xf>
    <xf numFmtId="44" fontId="4" fillId="0" borderId="12" xfId="8" applyNumberFormat="1" applyFill="1" applyBorder="1" applyAlignment="1">
      <alignment horizontal="center"/>
    </xf>
    <xf numFmtId="0" fontId="32" fillId="0" borderId="5" xfId="13" applyFont="1" applyFill="1" applyBorder="1"/>
    <xf numFmtId="0" fontId="32" fillId="0" borderId="36" xfId="13" applyFont="1" applyFill="1" applyBorder="1"/>
    <xf numFmtId="0" fontId="32" fillId="0" borderId="6" xfId="13" applyFont="1" applyFill="1" applyBorder="1"/>
    <xf numFmtId="0" fontId="32" fillId="0" borderId="21" xfId="13" applyFont="1" applyFill="1" applyBorder="1"/>
    <xf numFmtId="0" fontId="32" fillId="0" borderId="7" xfId="13" applyFont="1" applyFill="1" applyBorder="1"/>
    <xf numFmtId="0" fontId="32" fillId="0" borderId="22" xfId="13" applyFont="1" applyFill="1" applyBorder="1"/>
    <xf numFmtId="0" fontId="32" fillId="0" borderId="21" xfId="13" applyFont="1" applyFill="1" applyBorder="1" applyAlignment="1">
      <alignment horizontal="left"/>
    </xf>
    <xf numFmtId="165" fontId="32" fillId="0" borderId="7" xfId="1" applyNumberFormat="1" applyFont="1" applyFill="1" applyBorder="1"/>
    <xf numFmtId="165" fontId="32" fillId="0" borderId="22" xfId="1" applyNumberFormat="1" applyFont="1" applyFill="1" applyBorder="1"/>
    <xf numFmtId="0" fontId="32" fillId="0" borderId="24" xfId="13" applyFont="1" applyFill="1" applyBorder="1" applyAlignment="1">
      <alignment horizontal="left"/>
    </xf>
    <xf numFmtId="165" fontId="32" fillId="0" borderId="25" xfId="1" applyNumberFormat="1" applyFont="1" applyFill="1" applyBorder="1"/>
    <xf numFmtId="0" fontId="32" fillId="0" borderId="8" xfId="13" applyFont="1" applyFill="1" applyBorder="1" applyAlignment="1">
      <alignment horizontal="left"/>
    </xf>
    <xf numFmtId="0" fontId="32" fillId="0" borderId="0" xfId="13" applyNumberFormat="1" applyFont="1" applyFill="1" applyBorder="1"/>
    <xf numFmtId="0" fontId="32" fillId="0" borderId="9" xfId="13" applyNumberFormat="1" applyFont="1" applyFill="1" applyBorder="1"/>
    <xf numFmtId="10" fontId="32" fillId="0" borderId="7" xfId="6" applyNumberFormat="1" applyFont="1" applyFill="1" applyBorder="1"/>
    <xf numFmtId="10" fontId="32" fillId="0" borderId="22" xfId="6" applyNumberFormat="1" applyFont="1" applyFill="1" applyBorder="1"/>
    <xf numFmtId="10" fontId="32" fillId="0" borderId="25" xfId="6" applyNumberFormat="1" applyFont="1" applyFill="1" applyBorder="1"/>
    <xf numFmtId="10" fontId="32" fillId="0" borderId="41" xfId="6" applyNumberFormat="1" applyFont="1" applyFill="1" applyBorder="1"/>
    <xf numFmtId="44" fontId="0" fillId="0" borderId="2" xfId="0" applyNumberFormat="1" applyBorder="1"/>
    <xf numFmtId="44" fontId="0" fillId="15" borderId="2" xfId="0" applyNumberFormat="1" applyFill="1" applyBorder="1"/>
    <xf numFmtId="44" fontId="0" fillId="15" borderId="2" xfId="3" applyFont="1" applyFill="1" applyBorder="1"/>
    <xf numFmtId="165" fontId="0" fillId="15" borderId="2" xfId="1" applyNumberFormat="1" applyFont="1" applyFill="1" applyBorder="1"/>
    <xf numFmtId="0" fontId="0" fillId="0" borderId="1" xfId="0" applyBorder="1" applyAlignment="1">
      <alignment horizontal="right"/>
    </xf>
    <xf numFmtId="0" fontId="0" fillId="0" borderId="0" xfId="0" applyBorder="1" applyAlignment="1">
      <alignment horizontal="right"/>
    </xf>
    <xf numFmtId="9" fontId="0" fillId="0" borderId="1" xfId="6" applyFont="1" applyBorder="1"/>
    <xf numFmtId="9" fontId="0" fillId="15" borderId="0" xfId="6" applyFont="1" applyFill="1"/>
    <xf numFmtId="165" fontId="0" fillId="0" borderId="2" xfId="1" applyNumberFormat="1" applyFont="1" applyFill="1" applyBorder="1"/>
    <xf numFmtId="0" fontId="0" fillId="0" borderId="0" xfId="0" applyFill="1" applyBorder="1" applyAlignment="1">
      <alignment horizontal="right"/>
    </xf>
    <xf numFmtId="9" fontId="0" fillId="0" borderId="0" xfId="6" applyFont="1" applyFill="1"/>
    <xf numFmtId="9" fontId="0" fillId="0" borderId="1" xfId="6" applyFont="1" applyFill="1" applyBorder="1"/>
    <xf numFmtId="0" fontId="0" fillId="0" borderId="1" xfId="0" applyFill="1" applyBorder="1" applyAlignment="1">
      <alignment horizontal="right"/>
    </xf>
    <xf numFmtId="165" fontId="0" fillId="0" borderId="0" xfId="1" applyNumberFormat="1" applyFont="1" applyFill="1"/>
    <xf numFmtId="0" fontId="0" fillId="0" borderId="0" xfId="0" applyAlignment="1">
      <alignment horizontal="right"/>
    </xf>
    <xf numFmtId="44" fontId="0" fillId="0" borderId="1" xfId="3" applyFont="1" applyBorder="1" applyAlignment="1">
      <alignment horizontal="right"/>
    </xf>
    <xf numFmtId="9" fontId="0" fillId="0" borderId="0" xfId="6" applyFont="1" applyAlignment="1">
      <alignment horizontal="center"/>
    </xf>
    <xf numFmtId="9" fontId="0" fillId="0" borderId="2" xfId="6" applyFont="1" applyBorder="1" applyAlignment="1">
      <alignment horizontal="center"/>
    </xf>
    <xf numFmtId="9" fontId="0" fillId="15" borderId="2" xfId="6" applyFont="1" applyFill="1" applyBorder="1" applyAlignment="1">
      <alignment horizontal="center"/>
    </xf>
    <xf numFmtId="44" fontId="0" fillId="0" borderId="0" xfId="3" applyFont="1" applyAlignment="1">
      <alignment horizontal="center"/>
    </xf>
    <xf numFmtId="44" fontId="0" fillId="0" borderId="0" xfId="3" applyFont="1" applyAlignment="1"/>
    <xf numFmtId="44" fontId="0" fillId="0" borderId="2" xfId="3" applyFont="1" applyBorder="1" applyAlignment="1"/>
    <xf numFmtId="3" fontId="0" fillId="0" borderId="0" xfId="1" applyNumberFormat="1" applyFont="1" applyAlignment="1">
      <alignment horizontal="center"/>
    </xf>
    <xf numFmtId="3" fontId="0" fillId="0" borderId="2" xfId="1" applyNumberFormat="1" applyFont="1" applyBorder="1" applyAlignment="1">
      <alignment horizontal="center"/>
    </xf>
    <xf numFmtId="3" fontId="0" fillId="15" borderId="2" xfId="1" applyNumberFormat="1" applyFont="1" applyFill="1" applyBorder="1" applyAlignment="1">
      <alignment horizontal="center"/>
    </xf>
    <xf numFmtId="44" fontId="0" fillId="0" borderId="0" xfId="3" applyFont="1" applyAlignment="1">
      <alignment horizontal="right"/>
    </xf>
    <xf numFmtId="10" fontId="31" fillId="0" borderId="0" xfId="6" applyNumberFormat="1" applyFont="1" applyFill="1" applyAlignment="1">
      <alignment horizontal="center"/>
    </xf>
    <xf numFmtId="43" fontId="8" fillId="0" borderId="0" xfId="1" applyFont="1"/>
    <xf numFmtId="170" fontId="31" fillId="0" borderId="0" xfId="24" applyNumberFormat="1" applyFont="1"/>
    <xf numFmtId="10" fontId="31" fillId="0" borderId="1" xfId="6" applyNumberFormat="1" applyFont="1" applyBorder="1"/>
    <xf numFmtId="44" fontId="4" fillId="13" borderId="0" xfId="3" applyFont="1" applyFill="1"/>
    <xf numFmtId="10" fontId="43" fillId="0" borderId="0" xfId="81" applyNumberFormat="1" applyFont="1" applyFill="1" applyBorder="1" applyAlignment="1">
      <alignment horizontal="right" wrapText="1"/>
    </xf>
    <xf numFmtId="0" fontId="8" fillId="0" borderId="0" xfId="13" applyFont="1" applyBorder="1" applyAlignment="1">
      <alignment horizontal="right"/>
    </xf>
    <xf numFmtId="166" fontId="31" fillId="0" borderId="0" xfId="23" applyNumberFormat="1" applyFont="1" applyBorder="1"/>
    <xf numFmtId="165" fontId="31" fillId="0" borderId="0" xfId="25" applyNumberFormat="1" applyFont="1" applyBorder="1"/>
    <xf numFmtId="166" fontId="0" fillId="0" borderId="0" xfId="26" applyNumberFormat="1" applyFont="1" applyBorder="1"/>
    <xf numFmtId="165" fontId="31" fillId="0" borderId="0" xfId="1" applyNumberFormat="1" applyFont="1" applyBorder="1"/>
    <xf numFmtId="166" fontId="0" fillId="0" borderId="0" xfId="24" applyNumberFormat="1" applyFont="1" applyBorder="1"/>
    <xf numFmtId="178" fontId="0" fillId="0" borderId="0" xfId="6" applyNumberFormat="1" applyFont="1" applyBorder="1" applyAlignment="1">
      <alignment horizontal="right"/>
    </xf>
    <xf numFmtId="43" fontId="4" fillId="0" borderId="0" xfId="13" applyNumberFormat="1" applyFont="1"/>
    <xf numFmtId="178" fontId="0" fillId="0" borderId="0" xfId="6" applyNumberFormat="1" applyFont="1" applyFill="1" applyBorder="1" applyAlignment="1">
      <alignment horizontal="right"/>
    </xf>
    <xf numFmtId="0" fontId="4" fillId="0" borderId="0" xfId="0" applyFont="1" applyBorder="1"/>
    <xf numFmtId="0" fontId="10" fillId="0" borderId="0" xfId="5" applyFont="1" applyAlignment="1">
      <alignment horizontal="center" wrapText="1"/>
    </xf>
    <xf numFmtId="0" fontId="8" fillId="0" borderId="4" xfId="5" applyFont="1" applyBorder="1" applyAlignment="1">
      <alignment horizontal="center"/>
    </xf>
    <xf numFmtId="0" fontId="0" fillId="0" borderId="0" xfId="0" quotePrefix="1" applyAlignment="1">
      <alignment horizontal="justify" wrapText="1"/>
    </xf>
    <xf numFmtId="0" fontId="0" fillId="0" borderId="0" xfId="0" quotePrefix="1" applyAlignment="1">
      <alignment horizontal="center"/>
    </xf>
    <xf numFmtId="0" fontId="0" fillId="0" borderId="0" xfId="0" applyAlignment="1">
      <alignment horizontal="center"/>
    </xf>
    <xf numFmtId="0" fontId="4" fillId="0" borderId="0" xfId="0" quotePrefix="1" applyFont="1" applyAlignment="1">
      <alignment horizontal="justify" wrapText="1"/>
    </xf>
    <xf numFmtId="0" fontId="0" fillId="0" borderId="0" xfId="0" applyAlignment="1">
      <alignment horizontal="left" wrapText="1"/>
    </xf>
    <xf numFmtId="43" fontId="7" fillId="0" borderId="0" xfId="1" applyFont="1" applyAlignment="1">
      <alignment horizontal="center"/>
    </xf>
    <xf numFmtId="0" fontId="4" fillId="0" borderId="0" xfId="13" quotePrefix="1" applyAlignment="1">
      <alignment horizontal="center"/>
    </xf>
    <xf numFmtId="43" fontId="7" fillId="0" borderId="0" xfId="1" quotePrefix="1" applyFont="1" applyAlignment="1">
      <alignment horizontal="center"/>
    </xf>
    <xf numFmtId="0" fontId="8" fillId="0" borderId="1" xfId="13" applyFont="1" applyBorder="1" applyAlignment="1">
      <alignment horizontal="center"/>
    </xf>
    <xf numFmtId="0" fontId="4" fillId="0" borderId="0" xfId="0" applyFont="1" applyFill="1" applyAlignment="1">
      <alignment horizontal="left" wrapText="1"/>
    </xf>
    <xf numFmtId="0" fontId="4" fillId="0" borderId="0" xfId="0" applyFont="1" applyAlignment="1">
      <alignment horizontal="center"/>
    </xf>
    <xf numFmtId="0" fontId="4" fillId="0" borderId="0" xfId="0" applyFont="1" applyAlignment="1">
      <alignment horizontal="left" wrapText="1"/>
    </xf>
    <xf numFmtId="0" fontId="34" fillId="0" borderId="10" xfId="8" applyFont="1" applyBorder="1" applyAlignment="1">
      <alignment horizontal="left"/>
    </xf>
    <xf numFmtId="0" fontId="34" fillId="0" borderId="4" xfId="8" applyFont="1" applyBorder="1" applyAlignment="1">
      <alignment horizontal="left"/>
    </xf>
    <xf numFmtId="0" fontId="8" fillId="0" borderId="12" xfId="8" applyFont="1" applyBorder="1" applyAlignment="1">
      <alignment horizontal="center"/>
    </xf>
    <xf numFmtId="0" fontId="11" fillId="0" borderId="13" xfId="11" applyBorder="1" applyAlignment="1">
      <alignment horizontal="center"/>
    </xf>
    <xf numFmtId="0" fontId="8" fillId="0" borderId="14" xfId="8" applyFont="1" applyBorder="1" applyAlignment="1">
      <alignment horizontal="center"/>
    </xf>
    <xf numFmtId="0" fontId="36" fillId="0" borderId="12" xfId="8" applyFont="1" applyBorder="1" applyAlignment="1">
      <alignment horizontal="left"/>
    </xf>
    <xf numFmtId="0" fontId="36" fillId="0" borderId="13" xfId="8" applyFont="1" applyBorder="1" applyAlignment="1">
      <alignment horizontal="left"/>
    </xf>
    <xf numFmtId="0" fontId="36" fillId="0" borderId="14" xfId="8" applyFont="1" applyBorder="1" applyAlignment="1">
      <alignment horizontal="left"/>
    </xf>
    <xf numFmtId="43" fontId="7" fillId="0" borderId="2" xfId="1" applyFont="1" applyBorder="1" applyAlignment="1">
      <alignment horizontal="center"/>
    </xf>
    <xf numFmtId="43" fontId="41" fillId="0" borderId="0" xfId="1" applyFont="1" applyAlignment="1">
      <alignment horizontal="center"/>
    </xf>
    <xf numFmtId="43" fontId="7" fillId="0" borderId="0" xfId="1" applyFont="1" applyBorder="1" applyAlignment="1">
      <alignment horizontal="center"/>
    </xf>
    <xf numFmtId="0" fontId="8" fillId="0" borderId="10" xfId="8" applyFont="1" applyBorder="1" applyAlignment="1">
      <alignment horizontal="center"/>
    </xf>
    <xf numFmtId="0" fontId="11" fillId="0" borderId="4" xfId="11" applyBorder="1" applyAlignment="1">
      <alignment horizontal="center"/>
    </xf>
    <xf numFmtId="0" fontId="35" fillId="0" borderId="12" xfId="8" applyFont="1" applyBorder="1" applyAlignment="1">
      <alignment horizontal="left"/>
    </xf>
    <xf numFmtId="0" fontId="35" fillId="0" borderId="13" xfId="8" applyFont="1" applyBorder="1" applyAlignment="1">
      <alignment horizontal="left"/>
    </xf>
    <xf numFmtId="0" fontId="35" fillId="0" borderId="14" xfId="8" applyFont="1" applyBorder="1" applyAlignment="1">
      <alignment horizontal="left"/>
    </xf>
    <xf numFmtId="0" fontId="34" fillId="0" borderId="42" xfId="8" applyFont="1" applyBorder="1" applyAlignment="1"/>
    <xf numFmtId="0" fontId="34" fillId="0" borderId="1" xfId="8" applyFont="1" applyBorder="1" applyAlignment="1"/>
    <xf numFmtId="0" fontId="4" fillId="0" borderId="13" xfId="13" applyBorder="1" applyAlignment="1">
      <alignment horizontal="center"/>
    </xf>
    <xf numFmtId="0" fontId="33" fillId="0" borderId="12" xfId="8" applyFont="1" applyBorder="1" applyAlignment="1">
      <alignment horizontal="left"/>
    </xf>
    <xf numFmtId="0" fontId="33" fillId="0" borderId="13" xfId="8" applyFont="1" applyBorder="1" applyAlignment="1">
      <alignment horizontal="left"/>
    </xf>
    <xf numFmtId="0" fontId="33" fillId="0" borderId="14" xfId="8" applyFont="1" applyBorder="1" applyAlignment="1">
      <alignment horizontal="left"/>
    </xf>
  </cellXfs>
  <cellStyles count="82">
    <cellStyle name="ColumnAttributeAbovePrompt" xfId="27" xr:uid="{00000000-0005-0000-0000-000000000000}"/>
    <cellStyle name="ColumnAttributePrompt" xfId="28" xr:uid="{00000000-0005-0000-0000-000001000000}"/>
    <cellStyle name="ColumnAttributeValue" xfId="29" xr:uid="{00000000-0005-0000-0000-000002000000}"/>
    <cellStyle name="ColumnHeadingPrompt" xfId="30" xr:uid="{00000000-0005-0000-0000-000003000000}"/>
    <cellStyle name="ColumnHeadingValue" xfId="31" xr:uid="{00000000-0005-0000-0000-000004000000}"/>
    <cellStyle name="Comma" xfId="1" builtinId="3"/>
    <cellStyle name="Comma [0] 2 2" xfId="32" xr:uid="{00000000-0005-0000-0000-000006000000}"/>
    <cellStyle name="Comma [0] 2 3" xfId="33" xr:uid="{00000000-0005-0000-0000-000007000000}"/>
    <cellStyle name="Comma 2" xfId="2" xr:uid="{00000000-0005-0000-0000-000008000000}"/>
    <cellStyle name="Comma 2 2" xfId="25" xr:uid="{00000000-0005-0000-0000-000009000000}"/>
    <cellStyle name="Comma 2 3" xfId="34" xr:uid="{00000000-0005-0000-0000-00000A000000}"/>
    <cellStyle name="Comma 86" xfId="80" xr:uid="{C54BE928-B2B2-4395-9808-44A93E676DFB}"/>
    <cellStyle name="Comma0" xfId="35" xr:uid="{00000000-0005-0000-0000-00000B000000}"/>
    <cellStyle name="Currency" xfId="3" builtinId="4"/>
    <cellStyle name="Currency 2" xfId="4" xr:uid="{00000000-0005-0000-0000-00000D000000}"/>
    <cellStyle name="Currency 2 2" xfId="12" xr:uid="{00000000-0005-0000-0000-00000E000000}"/>
    <cellStyle name="Currency 2 2 2" xfId="9" xr:uid="{00000000-0005-0000-0000-00000F000000}"/>
    <cellStyle name="Currency 2 2 2 2" xfId="77" xr:uid="{00000000-0005-0000-0000-000010000000}"/>
    <cellStyle name="Currency 2 2 2 3" xfId="78" xr:uid="{00000000-0005-0000-0000-000011000000}"/>
    <cellStyle name="Currency 2 2 3" xfId="23" xr:uid="{00000000-0005-0000-0000-000012000000}"/>
    <cellStyle name="Currency 2 3" xfId="36" xr:uid="{00000000-0005-0000-0000-000013000000}"/>
    <cellStyle name="Currency0" xfId="37" xr:uid="{00000000-0005-0000-0000-000014000000}"/>
    <cellStyle name="Date" xfId="38" xr:uid="{00000000-0005-0000-0000-000015000000}"/>
    <cellStyle name="Euro" xfId="39" xr:uid="{00000000-0005-0000-0000-000016000000}"/>
    <cellStyle name="F2" xfId="40" xr:uid="{00000000-0005-0000-0000-000017000000}"/>
    <cellStyle name="F3" xfId="41" xr:uid="{00000000-0005-0000-0000-000018000000}"/>
    <cellStyle name="F4" xfId="42" xr:uid="{00000000-0005-0000-0000-000019000000}"/>
    <cellStyle name="F5" xfId="43" xr:uid="{00000000-0005-0000-0000-00001A000000}"/>
    <cellStyle name="F6" xfId="44" xr:uid="{00000000-0005-0000-0000-00001B000000}"/>
    <cellStyle name="F7" xfId="45" xr:uid="{00000000-0005-0000-0000-00001C000000}"/>
    <cellStyle name="F8" xfId="46" xr:uid="{00000000-0005-0000-0000-00001D000000}"/>
    <cellStyle name="Fixed" xfId="47" xr:uid="{00000000-0005-0000-0000-00001E000000}"/>
    <cellStyle name="LineItemPrompt" xfId="48" xr:uid="{00000000-0005-0000-0000-00001F000000}"/>
    <cellStyle name="LineItemValue" xfId="49" xr:uid="{00000000-0005-0000-0000-000020000000}"/>
    <cellStyle name="Normal" xfId="0" builtinId="0"/>
    <cellStyle name="Normal 2" xfId="5" xr:uid="{00000000-0005-0000-0000-000022000000}"/>
    <cellStyle name="Normal 2 2" xfId="13" xr:uid="{00000000-0005-0000-0000-000023000000}"/>
    <cellStyle name="Normal 2 2 2" xfId="8" xr:uid="{00000000-0005-0000-0000-000024000000}"/>
    <cellStyle name="Normal 2 2 3" xfId="14" xr:uid="{00000000-0005-0000-0000-000025000000}"/>
    <cellStyle name="Normal 3" xfId="11" xr:uid="{00000000-0005-0000-0000-000026000000}"/>
    <cellStyle name="Normal 4" xfId="15" xr:uid="{00000000-0005-0000-0000-000027000000}"/>
    <cellStyle name="Normal 5" xfId="16" xr:uid="{00000000-0005-0000-0000-000028000000}"/>
    <cellStyle name="Normal 6" xfId="17" xr:uid="{00000000-0005-0000-0000-000029000000}"/>
    <cellStyle name="Normal 7" xfId="18" xr:uid="{00000000-0005-0000-0000-00002A000000}"/>
    <cellStyle name="Normal 8" xfId="19" xr:uid="{00000000-0005-0000-0000-00002B000000}"/>
    <cellStyle name="Normal 9" xfId="20" xr:uid="{00000000-0005-0000-0000-00002C000000}"/>
    <cellStyle name="Output Amounts" xfId="50" xr:uid="{00000000-0005-0000-0000-00002D000000}"/>
    <cellStyle name="Output Column Headings" xfId="51" xr:uid="{00000000-0005-0000-0000-00002E000000}"/>
    <cellStyle name="Output Line Items" xfId="52" xr:uid="{00000000-0005-0000-0000-00002F000000}"/>
    <cellStyle name="Output Report Heading" xfId="53" xr:uid="{00000000-0005-0000-0000-000030000000}"/>
    <cellStyle name="Output Report Title" xfId="54" xr:uid="{00000000-0005-0000-0000-000031000000}"/>
    <cellStyle name="Percent" xfId="6" builtinId="5"/>
    <cellStyle name="Percent 15" xfId="81" xr:uid="{57ADA2B7-18A1-4018-9C51-3AFDEC67E99C}"/>
    <cellStyle name="Percent 2" xfId="7" xr:uid="{00000000-0005-0000-0000-000033000000}"/>
    <cellStyle name="Percent 2 2" xfId="21" xr:uid="{00000000-0005-0000-0000-000034000000}"/>
    <cellStyle name="Percent 2 2 2" xfId="10" xr:uid="{00000000-0005-0000-0000-000035000000}"/>
    <cellStyle name="Percent 2 2 2 2" xfId="76" xr:uid="{00000000-0005-0000-0000-000036000000}"/>
    <cellStyle name="Percent 2 2 2 3" xfId="79" xr:uid="{00000000-0005-0000-0000-000037000000}"/>
    <cellStyle name="Percent 2 2 3" xfId="26" xr:uid="{00000000-0005-0000-0000-000038000000}"/>
    <cellStyle name="Percent 2 3" xfId="24" xr:uid="{00000000-0005-0000-0000-000039000000}"/>
    <cellStyle name="Percent 3" xfId="22" xr:uid="{00000000-0005-0000-0000-00003A000000}"/>
    <cellStyle name="ReportTitlePrompt" xfId="55" xr:uid="{00000000-0005-0000-0000-00003B000000}"/>
    <cellStyle name="ReportTitleValue" xfId="56" xr:uid="{00000000-0005-0000-0000-00003C000000}"/>
    <cellStyle name="RowAcctAbovePrompt" xfId="57" xr:uid="{00000000-0005-0000-0000-00003D000000}"/>
    <cellStyle name="RowAcctSOBAbovePrompt" xfId="58" xr:uid="{00000000-0005-0000-0000-00003E000000}"/>
    <cellStyle name="RowAcctSOBValue" xfId="59" xr:uid="{00000000-0005-0000-0000-00003F000000}"/>
    <cellStyle name="RowAcctValue" xfId="60" xr:uid="{00000000-0005-0000-0000-000040000000}"/>
    <cellStyle name="RowAttrAbovePrompt" xfId="61" xr:uid="{00000000-0005-0000-0000-000041000000}"/>
    <cellStyle name="RowAttrValue" xfId="62" xr:uid="{00000000-0005-0000-0000-000042000000}"/>
    <cellStyle name="RowColSetAbovePrompt" xfId="63" xr:uid="{00000000-0005-0000-0000-000043000000}"/>
    <cellStyle name="RowColSetLeftPrompt" xfId="64" xr:uid="{00000000-0005-0000-0000-000044000000}"/>
    <cellStyle name="RowColSetValue" xfId="65" xr:uid="{00000000-0005-0000-0000-000045000000}"/>
    <cellStyle name="RowLeftPrompt" xfId="66" xr:uid="{00000000-0005-0000-0000-000046000000}"/>
    <cellStyle name="SampleUsingFormatMask" xfId="67" xr:uid="{00000000-0005-0000-0000-000047000000}"/>
    <cellStyle name="SampleWithNoFormatMask" xfId="68" xr:uid="{00000000-0005-0000-0000-000048000000}"/>
    <cellStyle name="STYL5 - Style5" xfId="69" xr:uid="{00000000-0005-0000-0000-000049000000}"/>
    <cellStyle name="STYL6 - Style6" xfId="70" xr:uid="{00000000-0005-0000-0000-00004A000000}"/>
    <cellStyle name="STYLE1 - Style1" xfId="71" xr:uid="{00000000-0005-0000-0000-00004B000000}"/>
    <cellStyle name="STYLE2 - Style2" xfId="72" xr:uid="{00000000-0005-0000-0000-00004C000000}"/>
    <cellStyle name="STYLE3 - Style3" xfId="73" xr:uid="{00000000-0005-0000-0000-00004D000000}"/>
    <cellStyle name="STYLE4 - Style4" xfId="74" xr:uid="{00000000-0005-0000-0000-00004E000000}"/>
    <cellStyle name="UploadThisRowValue" xfId="75" xr:uid="{00000000-0005-0000-0000-00004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microsoft.com/office/2017/10/relationships/person" Target="persons/person.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276225</xdr:colOff>
      <xdr:row>1</xdr:row>
      <xdr:rowOff>104775</xdr:rowOff>
    </xdr:from>
    <xdr:to>
      <xdr:col>16</xdr:col>
      <xdr:colOff>9525</xdr:colOff>
      <xdr:row>12</xdr:row>
      <xdr:rowOff>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6353175" y="333375"/>
          <a:ext cx="461010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FF0000"/>
              </a:solidFill>
            </a:rPr>
            <a:t>Validate All Capital Structure Numbers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342900</xdr:colOff>
      <xdr:row>13</xdr:row>
      <xdr:rowOff>57150</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6076950" y="552450"/>
          <a:ext cx="461010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FF0000"/>
              </a:solidFill>
            </a:rPr>
            <a:t>Validate All Capital Structure Numbers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5</xdr:row>
      <xdr:rowOff>0</xdr:rowOff>
    </xdr:from>
    <xdr:to>
      <xdr:col>17</xdr:col>
      <xdr:colOff>342900</xdr:colOff>
      <xdr:row>15</xdr:row>
      <xdr:rowOff>57150</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7296150" y="876300"/>
          <a:ext cx="461010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FF0000"/>
              </a:solidFill>
            </a:rPr>
            <a:t>Validate All Capital Structure Numbers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717203</xdr:colOff>
      <xdr:row>17</xdr:row>
      <xdr:rowOff>67008</xdr:rowOff>
    </xdr:from>
    <xdr:to>
      <xdr:col>13</xdr:col>
      <xdr:colOff>624448</xdr:colOff>
      <xdr:row>36</xdr:row>
      <xdr:rowOff>56105</xdr:rowOff>
    </xdr:to>
    <xdr:pic>
      <xdr:nvPicPr>
        <xdr:cNvPr id="2" name="Picture 1">
          <a:extLst>
            <a:ext uri="{FF2B5EF4-FFF2-40B4-BE49-F238E27FC236}">
              <a16:creationId xmlns:a16="http://schemas.microsoft.com/office/drawing/2014/main" id="{35354ED0-1ED3-49B4-8602-CFA5BC5F2E48}"/>
            </a:ext>
          </a:extLst>
        </xdr:cNvPr>
        <xdr:cNvPicPr>
          <a:picLocks noChangeAspect="1"/>
        </xdr:cNvPicPr>
      </xdr:nvPicPr>
      <xdr:blipFill>
        <a:blip xmlns:r="http://schemas.openxmlformats.org/officeDocument/2006/relationships" r:embed="rId1"/>
        <a:stretch>
          <a:fillRect/>
        </a:stretch>
      </xdr:blipFill>
      <xdr:spPr>
        <a:xfrm>
          <a:off x="11112153" y="3127708"/>
          <a:ext cx="5507945" cy="3284747"/>
        </a:xfrm>
        <a:prstGeom prst="rect">
          <a:avLst/>
        </a:prstGeom>
      </xdr:spPr>
    </xdr:pic>
    <xdr:clientData/>
  </xdr:twoCellAnchor>
  <xdr:twoCellAnchor editAs="oneCell">
    <xdr:from>
      <xdr:col>2</xdr:col>
      <xdr:colOff>450849</xdr:colOff>
      <xdr:row>39</xdr:row>
      <xdr:rowOff>101601</xdr:rowOff>
    </xdr:from>
    <xdr:to>
      <xdr:col>4</xdr:col>
      <xdr:colOff>634563</xdr:colOff>
      <xdr:row>64</xdr:row>
      <xdr:rowOff>40785</xdr:rowOff>
    </xdr:to>
    <xdr:pic>
      <xdr:nvPicPr>
        <xdr:cNvPr id="3" name="Picture 2">
          <a:extLst>
            <a:ext uri="{FF2B5EF4-FFF2-40B4-BE49-F238E27FC236}">
              <a16:creationId xmlns:a16="http://schemas.microsoft.com/office/drawing/2014/main" id="{B068CCC6-82CB-46C7-A198-C8C7C9DA00A6}"/>
            </a:ext>
          </a:extLst>
        </xdr:cNvPr>
        <xdr:cNvPicPr>
          <a:picLocks noChangeAspect="1"/>
        </xdr:cNvPicPr>
      </xdr:nvPicPr>
      <xdr:blipFill>
        <a:blip xmlns:r="http://schemas.openxmlformats.org/officeDocument/2006/relationships" r:embed="rId2"/>
        <a:stretch>
          <a:fillRect/>
        </a:stretch>
      </xdr:blipFill>
      <xdr:spPr>
        <a:xfrm>
          <a:off x="3197224" y="7031039"/>
          <a:ext cx="3485714" cy="3923809"/>
        </a:xfrm>
        <a:prstGeom prst="rect">
          <a:avLst/>
        </a:prstGeom>
      </xdr:spPr>
    </xdr:pic>
    <xdr:clientData/>
  </xdr:twoCellAnchor>
  <xdr:twoCellAnchor editAs="oneCell">
    <xdr:from>
      <xdr:col>7</xdr:col>
      <xdr:colOff>678656</xdr:colOff>
      <xdr:row>37</xdr:row>
      <xdr:rowOff>95250</xdr:rowOff>
    </xdr:from>
    <xdr:to>
      <xdr:col>18</xdr:col>
      <xdr:colOff>11681</xdr:colOff>
      <xdr:row>68</xdr:row>
      <xdr:rowOff>139045</xdr:rowOff>
    </xdr:to>
    <xdr:pic>
      <xdr:nvPicPr>
        <xdr:cNvPr id="4" name="Picture 3">
          <a:extLst>
            <a:ext uri="{FF2B5EF4-FFF2-40B4-BE49-F238E27FC236}">
              <a16:creationId xmlns:a16="http://schemas.microsoft.com/office/drawing/2014/main" id="{17271F1B-7EA8-4592-8B42-BD5D01D89D2F}"/>
            </a:ext>
          </a:extLst>
        </xdr:cNvPr>
        <xdr:cNvPicPr>
          <a:picLocks noChangeAspect="1"/>
        </xdr:cNvPicPr>
      </xdr:nvPicPr>
      <xdr:blipFill>
        <a:blip xmlns:r="http://schemas.openxmlformats.org/officeDocument/2006/relationships" r:embed="rId3"/>
        <a:stretch>
          <a:fillRect/>
        </a:stretch>
      </xdr:blipFill>
      <xdr:spPr>
        <a:xfrm>
          <a:off x="11108531" y="6631781"/>
          <a:ext cx="8155556" cy="5234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mmings\Initiatives\Transportation%20-%20Buy%20or%20lease\CEM%2020080121%20with%20UMS%20tab%20-%20H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mmings/Initiatives/Transportation%20-%20Buy%20or%20lease/CEM%2020080121%20with%20UMS%20tab%20-%20H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Help"/>
      <sheetName val="LookUp Ranges"/>
      <sheetName val="Depreciation"/>
      <sheetName val="Inputs"/>
      <sheetName val="PL and CF"/>
      <sheetName val="Summary"/>
      <sheetName val="UMS Worksheet"/>
    </sheetNames>
    <sheetDataSet>
      <sheetData sheetId="0"/>
      <sheetData sheetId="1"/>
      <sheetData sheetId="2">
        <row r="12">
          <cell r="L12">
            <v>5.6000000000000001E-2</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Help"/>
      <sheetName val="LookUp Ranges"/>
      <sheetName val="Depreciation"/>
      <sheetName val="Inputs"/>
      <sheetName val="PL and CF"/>
      <sheetName val="Summary"/>
      <sheetName val="UMS Worksheet"/>
    </sheetNames>
    <sheetDataSet>
      <sheetData sheetId="0"/>
      <sheetData sheetId="1"/>
      <sheetData sheetId="2">
        <row r="12">
          <cell r="L12">
            <v>5.6000000000000001E-2</v>
          </cell>
        </row>
      </sheetData>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Cummings, David" id="{AC80E2B7-8194-4107-82AE-B5164DF78B1A}" userId="Cummings, Davi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8" dT="2020-09-01T23:52:54.17" personId="{AC80E2B7-8194-4107-82AE-B5164DF78B1A}" id="{3B8F3E81-F050-453D-8C81-B6D8DF2802D1}">
    <text>Grade 11 after 2 yr</text>
  </threadedComment>
  <threadedComment ref="C8" dT="2020-09-01T23:53:13.49" personId="{AC80E2B7-8194-4107-82AE-B5164DF78B1A}" id="{A8CF143D-A6DB-4EB6-9A5A-D9BE992620D4}">
    <text>Meter Tech after 2 yr</text>
  </threadedComment>
  <threadedComment ref="C9" dT="2020-09-01T23:53:13.49" personId="{AC80E2B7-8194-4107-82AE-B5164DF78B1A}" id="{D944C231-AF97-41DF-89A1-82BFE7CDB73C}">
    <text>Meter Tech after 2 yr</text>
  </threadedComment>
  <threadedComment ref="C10" dT="2020-09-01T23:53:13.49" personId="{AC80E2B7-8194-4107-82AE-B5164DF78B1A}" id="{DBF16E95-C004-41FB-B7DF-711AB58DFFF3}">
    <text>Meter Tech after 2 yr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9.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0.bin"/><Relationship Id="rId4" Type="http://schemas.openxmlformats.org/officeDocument/2006/relationships/comments" Target="../comments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7">
    <pageSetUpPr fitToPage="1"/>
  </sheetPr>
  <dimension ref="A1:O65"/>
  <sheetViews>
    <sheetView tabSelected="1" view="pageBreakPreview" zoomScaleNormal="100" zoomScaleSheetLayoutView="100" workbookViewId="0"/>
  </sheetViews>
  <sheetFormatPr defaultColWidth="9.140625" defaultRowHeight="12.75" x14ac:dyDescent="0.2"/>
  <cols>
    <col min="1" max="4" width="10.85546875" style="22" customWidth="1"/>
    <col min="5" max="5" width="16.28515625" style="22" customWidth="1"/>
    <col min="6" max="6" width="16.5703125" style="22" customWidth="1"/>
    <col min="7" max="7" width="16.5703125" style="109" customWidth="1"/>
    <col min="8" max="8" width="17" style="22" customWidth="1"/>
    <col min="9" max="9" width="13.85546875" style="22" hidden="1" customWidth="1"/>
    <col min="10" max="10" width="24.42578125" style="22" hidden="1" customWidth="1"/>
    <col min="11" max="11" width="17" style="22" customWidth="1"/>
    <col min="12" max="12" width="5.85546875" style="22" bestFit="1" customWidth="1"/>
    <col min="13" max="13" width="10.28515625" style="22" bestFit="1" customWidth="1"/>
    <col min="14" max="16384" width="9.140625" style="22"/>
  </cols>
  <sheetData>
    <row r="1" spans="1:15" x14ac:dyDescent="0.2">
      <c r="A1" s="21" t="s">
        <v>69</v>
      </c>
      <c r="H1" s="109"/>
    </row>
    <row r="2" spans="1:15" x14ac:dyDescent="0.2">
      <c r="A2" s="105" t="s">
        <v>322</v>
      </c>
    </row>
    <row r="3" spans="1:15" x14ac:dyDescent="0.2">
      <c r="D3" s="30"/>
    </row>
    <row r="5" spans="1:15" ht="76.5" x14ac:dyDescent="0.2">
      <c r="A5" s="461" t="s">
        <v>39</v>
      </c>
      <c r="B5" s="461"/>
      <c r="C5" s="461"/>
      <c r="D5" s="461"/>
      <c r="E5" s="325" t="s">
        <v>287</v>
      </c>
      <c r="F5" s="325" t="s">
        <v>348</v>
      </c>
      <c r="G5" s="372" t="s">
        <v>297</v>
      </c>
      <c r="H5" s="372" t="s">
        <v>296</v>
      </c>
      <c r="I5" s="325" t="s">
        <v>205</v>
      </c>
      <c r="J5" s="325" t="s">
        <v>225</v>
      </c>
      <c r="K5" s="326" t="s">
        <v>294</v>
      </c>
      <c r="L5" s="327" t="s">
        <v>295</v>
      </c>
    </row>
    <row r="6" spans="1:15" x14ac:dyDescent="0.2">
      <c r="O6" s="328"/>
    </row>
    <row r="7" spans="1:15" ht="13.5" thickBot="1" x14ac:dyDescent="0.25">
      <c r="A7" s="229" t="s">
        <v>40</v>
      </c>
      <c r="B7" s="25"/>
      <c r="C7" s="25"/>
      <c r="D7" s="25"/>
      <c r="E7" s="229"/>
      <c r="F7" s="229"/>
      <c r="G7" s="229"/>
      <c r="H7" s="229"/>
      <c r="I7" s="229"/>
      <c r="J7" s="229"/>
      <c r="K7" s="229"/>
    </row>
    <row r="8" spans="1:15" x14ac:dyDescent="0.2">
      <c r="A8" s="22" t="s">
        <v>42</v>
      </c>
      <c r="E8" s="322">
        <v>28</v>
      </c>
      <c r="F8" s="316">
        <f>'LG&amp;E Disconnect Reconnect EX-1'!B17</f>
        <v>32.22</v>
      </c>
      <c r="G8" s="275">
        <f>ROUND(F8,0)</f>
        <v>32</v>
      </c>
      <c r="H8" s="316">
        <f t="shared" ref="H8:H16" si="0">+G8-E8</f>
        <v>4</v>
      </c>
      <c r="I8" s="316"/>
      <c r="J8" s="316">
        <f>(+G8-F8)*I8</f>
        <v>0</v>
      </c>
      <c r="K8" s="316">
        <f t="shared" ref="K8:K16" si="1">+G8-F8</f>
        <v>-0.21999999999999886</v>
      </c>
      <c r="L8" s="319">
        <v>1</v>
      </c>
      <c r="O8" s="316"/>
    </row>
    <row r="9" spans="1:15" x14ac:dyDescent="0.2">
      <c r="A9" s="105" t="s">
        <v>235</v>
      </c>
      <c r="E9" s="322">
        <v>3</v>
      </c>
      <c r="F9" s="316">
        <f>'LG&amp;E Return Check EX-5'!D22</f>
        <v>3.6999999999999997</v>
      </c>
      <c r="G9" s="449">
        <v>3.7</v>
      </c>
      <c r="H9" s="316">
        <f t="shared" si="0"/>
        <v>0.70000000000000018</v>
      </c>
      <c r="I9" s="323"/>
      <c r="J9" s="316">
        <f>(+G9-F9)*I9</f>
        <v>0</v>
      </c>
      <c r="K9" s="316">
        <f t="shared" si="1"/>
        <v>0</v>
      </c>
      <c r="L9" s="319"/>
      <c r="O9" s="316"/>
    </row>
    <row r="10" spans="1:15" x14ac:dyDescent="0.2">
      <c r="A10" s="22" t="s">
        <v>44</v>
      </c>
      <c r="E10" s="322">
        <v>75</v>
      </c>
      <c r="F10" s="316">
        <f>'LG&amp;E-E Meter Test EX-2'!B17</f>
        <v>78.849999999999994</v>
      </c>
      <c r="G10" s="275">
        <f t="shared" ref="G10:G11" si="2">ROUND(F10,0)</f>
        <v>79</v>
      </c>
      <c r="H10" s="316">
        <f t="shared" si="0"/>
        <v>4</v>
      </c>
      <c r="I10" s="316"/>
      <c r="J10" s="316">
        <f>(+G10-F10)*I10</f>
        <v>0</v>
      </c>
      <c r="K10" s="316">
        <f t="shared" si="1"/>
        <v>0.15000000000000568</v>
      </c>
      <c r="L10" s="319"/>
      <c r="O10" s="316"/>
    </row>
    <row r="11" spans="1:15" x14ac:dyDescent="0.2">
      <c r="A11" s="22" t="s">
        <v>46</v>
      </c>
      <c r="E11" s="322">
        <v>24</v>
      </c>
      <c r="F11" s="316">
        <f>'LG&amp;E-E Meter Pulse'!B26</f>
        <v>20.757041849903604</v>
      </c>
      <c r="G11" s="275">
        <f t="shared" si="2"/>
        <v>21</v>
      </c>
      <c r="H11" s="316">
        <f t="shared" si="0"/>
        <v>-3</v>
      </c>
      <c r="I11" s="316"/>
      <c r="J11" s="316">
        <f>(+G11-F11)*I11</f>
        <v>0</v>
      </c>
      <c r="K11" s="316">
        <f t="shared" si="1"/>
        <v>0.24295815009639554</v>
      </c>
      <c r="L11" s="319"/>
      <c r="O11" s="316"/>
    </row>
    <row r="12" spans="1:15" x14ac:dyDescent="0.2">
      <c r="A12" s="109" t="s">
        <v>288</v>
      </c>
      <c r="E12" s="322">
        <v>70</v>
      </c>
      <c r="F12" s="316">
        <f>'LGE-E UAR'!B19</f>
        <v>49.13</v>
      </c>
      <c r="G12" s="275">
        <f t="shared" ref="G12:G16" si="3">ROUND(F12,0)</f>
        <v>49</v>
      </c>
      <c r="H12" s="316">
        <f t="shared" si="0"/>
        <v>-21</v>
      </c>
      <c r="I12" s="316"/>
      <c r="J12" s="316"/>
      <c r="K12" s="316">
        <f t="shared" si="1"/>
        <v>-0.13000000000000256</v>
      </c>
      <c r="L12" s="320">
        <v>2</v>
      </c>
      <c r="O12" s="316"/>
    </row>
    <row r="13" spans="1:15" x14ac:dyDescent="0.2">
      <c r="A13" s="116" t="s">
        <v>273</v>
      </c>
      <c r="E13" s="322">
        <v>90</v>
      </c>
      <c r="F13" s="316">
        <f>'LGE-E UAR'!B28</f>
        <v>70.16</v>
      </c>
      <c r="G13" s="275">
        <f t="shared" si="3"/>
        <v>70</v>
      </c>
      <c r="H13" s="316">
        <f t="shared" si="0"/>
        <v>-20</v>
      </c>
      <c r="I13" s="316"/>
      <c r="J13" s="316"/>
      <c r="K13" s="316">
        <f t="shared" si="1"/>
        <v>-0.15999999999999659</v>
      </c>
      <c r="L13" s="320">
        <v>2</v>
      </c>
      <c r="O13" s="316"/>
    </row>
    <row r="14" spans="1:15" x14ac:dyDescent="0.2">
      <c r="A14" s="116" t="s">
        <v>274</v>
      </c>
      <c r="E14" s="322">
        <v>110</v>
      </c>
      <c r="F14" s="316">
        <f>'LGE-E UAR'!B35</f>
        <v>90.97</v>
      </c>
      <c r="G14" s="275">
        <f t="shared" si="3"/>
        <v>91</v>
      </c>
      <c r="H14" s="316">
        <f t="shared" si="0"/>
        <v>-19</v>
      </c>
      <c r="I14" s="316"/>
      <c r="J14" s="316"/>
      <c r="K14" s="316">
        <f t="shared" si="1"/>
        <v>3.0000000000001137E-2</v>
      </c>
      <c r="L14" s="320">
        <v>2</v>
      </c>
      <c r="O14" s="316"/>
    </row>
    <row r="15" spans="1:15" x14ac:dyDescent="0.2">
      <c r="A15" s="116" t="s">
        <v>275</v>
      </c>
      <c r="E15" s="322">
        <v>174</v>
      </c>
      <c r="F15" s="316">
        <f>'LGE-E UAR'!G42</f>
        <v>153.39416476025701</v>
      </c>
      <c r="G15" s="275">
        <f t="shared" si="3"/>
        <v>153</v>
      </c>
      <c r="H15" s="316">
        <f t="shared" si="0"/>
        <v>-21</v>
      </c>
      <c r="I15" s="316"/>
      <c r="J15" s="316"/>
      <c r="K15" s="316">
        <f t="shared" si="1"/>
        <v>-0.39416476025701286</v>
      </c>
      <c r="L15" s="320">
        <v>2</v>
      </c>
      <c r="O15" s="316"/>
    </row>
    <row r="16" spans="1:15" x14ac:dyDescent="0.2">
      <c r="A16" s="116" t="s">
        <v>276</v>
      </c>
      <c r="E16" s="322">
        <v>177</v>
      </c>
      <c r="F16" s="316">
        <f>'LGE-E UAR'!B47</f>
        <v>158.59611601478846</v>
      </c>
      <c r="G16" s="275">
        <f t="shared" si="3"/>
        <v>159</v>
      </c>
      <c r="H16" s="316">
        <f t="shared" si="0"/>
        <v>-18</v>
      </c>
      <c r="I16" s="316"/>
      <c r="J16" s="316"/>
      <c r="K16" s="316">
        <f t="shared" si="1"/>
        <v>0.4038839852115359</v>
      </c>
      <c r="L16" s="320">
        <v>2</v>
      </c>
      <c r="O16" s="316"/>
    </row>
    <row r="17" spans="1:15" x14ac:dyDescent="0.2">
      <c r="A17" s="116" t="s">
        <v>349</v>
      </c>
      <c r="E17" s="322"/>
      <c r="F17" s="316">
        <v>34.659999999999997</v>
      </c>
      <c r="G17" s="275">
        <v>35</v>
      </c>
      <c r="H17" s="316"/>
      <c r="I17" s="316"/>
      <c r="J17" s="316"/>
      <c r="K17" s="316"/>
      <c r="L17" s="320"/>
      <c r="O17" s="316"/>
    </row>
    <row r="18" spans="1:15" x14ac:dyDescent="0.2">
      <c r="A18" s="116" t="s">
        <v>350</v>
      </c>
      <c r="E18" s="322"/>
      <c r="F18" s="316">
        <v>12.38</v>
      </c>
      <c r="G18" s="275">
        <v>12</v>
      </c>
      <c r="H18" s="316"/>
      <c r="I18" s="316"/>
      <c r="J18" s="316"/>
      <c r="K18" s="316"/>
      <c r="L18" s="320"/>
      <c r="O18" s="316"/>
    </row>
    <row r="19" spans="1:15" x14ac:dyDescent="0.2">
      <c r="E19" s="316"/>
      <c r="F19" s="316"/>
      <c r="G19" s="275"/>
      <c r="H19" s="316"/>
      <c r="I19" s="316"/>
      <c r="J19" s="324">
        <f>SUM(J8:J11)</f>
        <v>0</v>
      </c>
      <c r="K19" s="316"/>
      <c r="L19" s="319"/>
      <c r="O19" s="316"/>
    </row>
    <row r="20" spans="1:15" x14ac:dyDescent="0.2">
      <c r="E20" s="316"/>
      <c r="F20" s="316"/>
      <c r="G20" s="275"/>
      <c r="H20" s="316"/>
      <c r="I20" s="316"/>
      <c r="J20" s="316"/>
      <c r="K20" s="316"/>
      <c r="L20" s="319"/>
      <c r="O20" s="316"/>
    </row>
    <row r="21" spans="1:15" ht="13.5" thickBot="1" x14ac:dyDescent="0.25">
      <c r="A21" s="229" t="s">
        <v>41</v>
      </c>
      <c r="B21" s="25"/>
      <c r="C21" s="25"/>
      <c r="D21" s="25"/>
      <c r="E21" s="317"/>
      <c r="F21" s="317"/>
      <c r="G21" s="371"/>
      <c r="H21" s="317"/>
      <c r="I21" s="317"/>
      <c r="J21" s="317"/>
      <c r="K21" s="317"/>
      <c r="L21" s="319"/>
      <c r="O21" s="316"/>
    </row>
    <row r="22" spans="1:15" x14ac:dyDescent="0.2">
      <c r="A22" s="22" t="s">
        <v>42</v>
      </c>
      <c r="E22" s="322">
        <v>28</v>
      </c>
      <c r="F22" s="316">
        <f>'LG&amp;E Disconnect Reconnect EX-1'!B17</f>
        <v>32.22</v>
      </c>
      <c r="G22" s="275">
        <f t="shared" ref="G22:G30" si="4">ROUND(F22,0)</f>
        <v>32</v>
      </c>
      <c r="H22" s="316">
        <f t="shared" ref="H22:H30" si="5">+G22-E22</f>
        <v>4</v>
      </c>
      <c r="I22" s="316"/>
      <c r="J22" s="316">
        <f t="shared" ref="J22:J28" si="6">(+G22-F22)*I22</f>
        <v>0</v>
      </c>
      <c r="K22" s="316">
        <f t="shared" ref="K22:K30" si="7">+G22-F22</f>
        <v>-0.21999999999999886</v>
      </c>
      <c r="L22" s="319">
        <v>1</v>
      </c>
      <c r="O22" s="316"/>
    </row>
    <row r="23" spans="1:15" x14ac:dyDescent="0.2">
      <c r="A23" s="105" t="s">
        <v>235</v>
      </c>
      <c r="E23" s="322">
        <v>3</v>
      </c>
      <c r="F23" s="316">
        <f>'LG&amp;E Return Check EX-5'!D22</f>
        <v>3.6999999999999997</v>
      </c>
      <c r="G23" s="275">
        <v>3.7</v>
      </c>
      <c r="H23" s="316">
        <f t="shared" si="5"/>
        <v>0.70000000000000018</v>
      </c>
      <c r="I23" s="323"/>
      <c r="J23" s="316">
        <f t="shared" si="6"/>
        <v>0</v>
      </c>
      <c r="K23" s="316">
        <f t="shared" si="7"/>
        <v>0</v>
      </c>
      <c r="L23" s="319"/>
      <c r="M23" s="315"/>
      <c r="O23" s="316"/>
    </row>
    <row r="24" spans="1:15" x14ac:dyDescent="0.2">
      <c r="A24" s="22" t="s">
        <v>44</v>
      </c>
      <c r="E24" s="322">
        <v>90</v>
      </c>
      <c r="F24" s="316">
        <f>'LG&amp;E-G Meter Test EX-3'!B17</f>
        <v>101.26</v>
      </c>
      <c r="G24" s="275">
        <f t="shared" si="4"/>
        <v>101</v>
      </c>
      <c r="H24" s="316">
        <f t="shared" si="5"/>
        <v>11</v>
      </c>
      <c r="I24" s="316"/>
      <c r="J24" s="316">
        <f t="shared" si="6"/>
        <v>0</v>
      </c>
      <c r="K24" s="316">
        <f t="shared" si="7"/>
        <v>-0.26000000000000512</v>
      </c>
      <c r="L24" s="319"/>
      <c r="O24" s="316"/>
    </row>
    <row r="25" spans="1:15" x14ac:dyDescent="0.2">
      <c r="A25" s="109" t="s">
        <v>201</v>
      </c>
      <c r="E25" s="322">
        <v>150</v>
      </c>
      <c r="F25" s="316">
        <f>'LG&amp;E-G Inspection-Add Trip'!B17</f>
        <v>155.23999999999998</v>
      </c>
      <c r="G25" s="275">
        <f t="shared" si="4"/>
        <v>155</v>
      </c>
      <c r="H25" s="316">
        <f t="shared" si="5"/>
        <v>5</v>
      </c>
      <c r="I25" s="316"/>
      <c r="J25" s="316">
        <f t="shared" si="6"/>
        <v>0</v>
      </c>
      <c r="K25" s="316">
        <f t="shared" si="7"/>
        <v>-0.23999999999998067</v>
      </c>
      <c r="L25" s="319"/>
      <c r="O25" s="316"/>
    </row>
    <row r="26" spans="1:15" x14ac:dyDescent="0.2">
      <c r="A26" s="109" t="s">
        <v>204</v>
      </c>
      <c r="E26" s="322">
        <v>24.34</v>
      </c>
      <c r="F26" s="316">
        <f>'LG&amp;E-G Meter Pulse'!B25</f>
        <v>27.521944358198706</v>
      </c>
      <c r="G26" s="275">
        <f t="shared" si="4"/>
        <v>28</v>
      </c>
      <c r="H26" s="316">
        <f t="shared" si="5"/>
        <v>3.66</v>
      </c>
      <c r="I26" s="316"/>
      <c r="J26" s="316">
        <f t="shared" si="6"/>
        <v>0</v>
      </c>
      <c r="K26" s="316">
        <f t="shared" si="7"/>
        <v>0.47805564180129423</v>
      </c>
      <c r="L26" s="319"/>
      <c r="O26" s="316"/>
    </row>
    <row r="27" spans="1:15" x14ac:dyDescent="0.2">
      <c r="A27" s="109" t="s">
        <v>200</v>
      </c>
      <c r="E27" s="322">
        <v>7.17</v>
      </c>
      <c r="F27" s="316">
        <f>'LG&amp;E-G Meter Pulse'!B41</f>
        <v>8.1918562511138955</v>
      </c>
      <c r="G27" s="275">
        <f t="shared" si="4"/>
        <v>8</v>
      </c>
      <c r="H27" s="316">
        <f t="shared" si="5"/>
        <v>0.83000000000000007</v>
      </c>
      <c r="I27" s="316"/>
      <c r="J27" s="316">
        <f t="shared" si="6"/>
        <v>0</v>
      </c>
      <c r="K27" s="316">
        <f t="shared" si="7"/>
        <v>-0.19185625111389548</v>
      </c>
      <c r="L27" s="319"/>
      <c r="O27" s="316"/>
    </row>
    <row r="28" spans="1:15" x14ac:dyDescent="0.2">
      <c r="A28" s="109" t="s">
        <v>202</v>
      </c>
      <c r="E28" s="322">
        <v>150</v>
      </c>
      <c r="F28" s="316">
        <f>+F25</f>
        <v>155.23999999999998</v>
      </c>
      <c r="G28" s="275">
        <f t="shared" si="4"/>
        <v>155</v>
      </c>
      <c r="H28" s="316">
        <f t="shared" si="5"/>
        <v>5</v>
      </c>
      <c r="I28" s="316"/>
      <c r="J28" s="316">
        <f t="shared" si="6"/>
        <v>0</v>
      </c>
      <c r="K28" s="316">
        <f t="shared" si="7"/>
        <v>-0.23999999999998067</v>
      </c>
      <c r="L28" s="319"/>
      <c r="O28" s="316"/>
    </row>
    <row r="29" spans="1:15" x14ac:dyDescent="0.2">
      <c r="A29" s="109" t="s">
        <v>288</v>
      </c>
      <c r="E29" s="322">
        <v>70</v>
      </c>
      <c r="F29" s="316">
        <f>'LGE-G UAR'!B19</f>
        <v>49.131000021663205</v>
      </c>
      <c r="G29" s="275">
        <f t="shared" si="4"/>
        <v>49</v>
      </c>
      <c r="H29" s="316">
        <f t="shared" si="5"/>
        <v>-21</v>
      </c>
      <c r="I29" s="316"/>
      <c r="J29" s="316"/>
      <c r="K29" s="316">
        <f t="shared" si="7"/>
        <v>-0.13100002166320479</v>
      </c>
      <c r="L29" s="320">
        <v>2</v>
      </c>
      <c r="O29" s="316"/>
    </row>
    <row r="30" spans="1:15" x14ac:dyDescent="0.2">
      <c r="A30" s="109" t="s">
        <v>289</v>
      </c>
      <c r="E30" s="322">
        <v>132</v>
      </c>
      <c r="F30" s="316">
        <f>'LGE-G UAR'!B28</f>
        <v>113.85948201376485</v>
      </c>
      <c r="G30" s="275">
        <f t="shared" si="4"/>
        <v>114</v>
      </c>
      <c r="H30" s="316">
        <f t="shared" si="5"/>
        <v>-18</v>
      </c>
      <c r="I30" s="316"/>
      <c r="J30" s="316"/>
      <c r="K30" s="316">
        <f t="shared" si="7"/>
        <v>0.1405179862351531</v>
      </c>
      <c r="L30" s="320">
        <v>2</v>
      </c>
      <c r="O30" s="316"/>
    </row>
    <row r="31" spans="1:15" x14ac:dyDescent="0.2">
      <c r="A31" s="116" t="s">
        <v>349</v>
      </c>
      <c r="E31" s="322"/>
      <c r="F31" s="316">
        <v>32.633721491754386</v>
      </c>
      <c r="G31" s="275">
        <v>33</v>
      </c>
      <c r="H31" s="316"/>
      <c r="I31" s="316"/>
      <c r="J31" s="316"/>
      <c r="K31" s="316"/>
      <c r="L31" s="320"/>
      <c r="O31" s="316"/>
    </row>
    <row r="32" spans="1:15" x14ac:dyDescent="0.2">
      <c r="A32" s="116" t="s">
        <v>350</v>
      </c>
      <c r="E32" s="322"/>
      <c r="F32" s="316">
        <v>5.1682141908510086</v>
      </c>
      <c r="G32" s="275">
        <v>5</v>
      </c>
      <c r="H32" s="316"/>
      <c r="I32" s="316"/>
      <c r="J32" s="316"/>
      <c r="K32" s="316"/>
      <c r="L32" s="320"/>
      <c r="O32" s="316"/>
    </row>
    <row r="33" spans="1:15" x14ac:dyDescent="0.2">
      <c r="A33" s="109"/>
      <c r="E33" s="316"/>
      <c r="F33" s="316"/>
      <c r="G33" s="275"/>
      <c r="H33" s="316"/>
      <c r="I33" s="316"/>
      <c r="J33" s="324">
        <f>SUM(J22:J28)</f>
        <v>0</v>
      </c>
      <c r="K33" s="316"/>
      <c r="L33" s="319"/>
      <c r="O33" s="316"/>
    </row>
    <row r="34" spans="1:15" x14ac:dyDescent="0.2">
      <c r="E34" s="316"/>
      <c r="F34" s="316"/>
      <c r="G34" s="275"/>
      <c r="H34" s="316"/>
      <c r="I34" s="316"/>
      <c r="J34" s="316"/>
      <c r="K34" s="316"/>
      <c r="L34" s="319"/>
      <c r="O34" s="316"/>
    </row>
    <row r="35" spans="1:15" ht="13.5" thickBot="1" x14ac:dyDescent="0.25">
      <c r="A35" s="229" t="s">
        <v>1</v>
      </c>
      <c r="B35" s="25"/>
      <c r="C35" s="25"/>
      <c r="D35" s="25"/>
      <c r="E35" s="317"/>
      <c r="F35" s="317"/>
      <c r="G35" s="371"/>
      <c r="H35" s="317"/>
      <c r="I35" s="317"/>
      <c r="J35" s="317"/>
      <c r="K35" s="317"/>
      <c r="L35" s="319"/>
      <c r="O35" s="316"/>
    </row>
    <row r="36" spans="1:15" x14ac:dyDescent="0.2">
      <c r="A36" s="22" t="s">
        <v>42</v>
      </c>
      <c r="E36" s="322">
        <v>28</v>
      </c>
      <c r="F36" s="316">
        <f>'KU Disconnect Reconnect EX-1'!B17</f>
        <v>37.229999999999997</v>
      </c>
      <c r="G36" s="275">
        <f t="shared" ref="G36:G41" si="8">ROUND(F36,0)</f>
        <v>37</v>
      </c>
      <c r="H36" s="316">
        <f t="shared" ref="H36:H44" si="9">+G36-E36</f>
        <v>9</v>
      </c>
      <c r="I36" s="316"/>
      <c r="J36" s="316">
        <f>(+G36-F36)*I36</f>
        <v>0</v>
      </c>
      <c r="K36" s="316">
        <f t="shared" ref="K36:K44" si="10">+G36-F36</f>
        <v>-0.22999999999999687</v>
      </c>
      <c r="L36" s="319">
        <v>1</v>
      </c>
      <c r="O36" s="316"/>
    </row>
    <row r="37" spans="1:15" x14ac:dyDescent="0.2">
      <c r="A37" s="105" t="s">
        <v>235</v>
      </c>
      <c r="E37" s="322">
        <v>3</v>
      </c>
      <c r="F37" s="316">
        <f>'KU Return Check EX-4'!D22</f>
        <v>3.484</v>
      </c>
      <c r="G37" s="449">
        <v>3.5</v>
      </c>
      <c r="H37" s="316">
        <f t="shared" si="9"/>
        <v>0.5</v>
      </c>
      <c r="I37" s="316"/>
      <c r="J37" s="316">
        <f>(+G37-F37)*I37</f>
        <v>0</v>
      </c>
      <c r="K37" s="316">
        <f t="shared" si="10"/>
        <v>1.6000000000000014E-2</v>
      </c>
      <c r="L37" s="319"/>
      <c r="O37" s="316"/>
    </row>
    <row r="38" spans="1:15" x14ac:dyDescent="0.2">
      <c r="A38" s="22" t="s">
        <v>44</v>
      </c>
      <c r="E38" s="322">
        <v>75</v>
      </c>
      <c r="F38" s="316">
        <f>'KU Meter Test EX-2'!B17</f>
        <v>79.489999999999995</v>
      </c>
      <c r="G38" s="275">
        <f t="shared" si="8"/>
        <v>79</v>
      </c>
      <c r="H38" s="316">
        <f t="shared" si="9"/>
        <v>4</v>
      </c>
      <c r="I38" s="316"/>
      <c r="J38" s="316">
        <f>(+G38-F38)*I38</f>
        <v>0</v>
      </c>
      <c r="K38" s="316">
        <f t="shared" si="10"/>
        <v>-0.48999999999999488</v>
      </c>
      <c r="L38" s="319"/>
      <c r="O38" s="316"/>
    </row>
    <row r="39" spans="1:15" x14ac:dyDescent="0.2">
      <c r="A39" s="22" t="s">
        <v>46</v>
      </c>
      <c r="E39" s="322">
        <v>24</v>
      </c>
      <c r="F39" s="316">
        <f>+'KU Meter Pulse'!B26</f>
        <v>20.867142182480688</v>
      </c>
      <c r="G39" s="275">
        <f t="shared" si="8"/>
        <v>21</v>
      </c>
      <c r="H39" s="316">
        <f t="shared" si="9"/>
        <v>-3</v>
      </c>
      <c r="I39" s="316"/>
      <c r="J39" s="316">
        <f>(+G39-F39)*I39</f>
        <v>0</v>
      </c>
      <c r="K39" s="316">
        <f t="shared" si="10"/>
        <v>0.13285781751931225</v>
      </c>
      <c r="L39" s="319"/>
      <c r="O39" s="316"/>
    </row>
    <row r="40" spans="1:15" x14ac:dyDescent="0.2">
      <c r="A40" s="109" t="s">
        <v>288</v>
      </c>
      <c r="E40" s="322">
        <v>70</v>
      </c>
      <c r="F40" s="316">
        <f>'KU-E UAR'!B19</f>
        <v>44.68239875087054</v>
      </c>
      <c r="G40" s="275">
        <f t="shared" si="8"/>
        <v>45</v>
      </c>
      <c r="H40" s="316">
        <f t="shared" si="9"/>
        <v>-25</v>
      </c>
      <c r="I40" s="316"/>
      <c r="J40" s="316"/>
      <c r="K40" s="316">
        <f t="shared" si="10"/>
        <v>0.31760124912945997</v>
      </c>
      <c r="L40" s="320">
        <v>2</v>
      </c>
      <c r="O40" s="316"/>
    </row>
    <row r="41" spans="1:15" x14ac:dyDescent="0.2">
      <c r="A41" s="116" t="s">
        <v>273</v>
      </c>
      <c r="E41" s="322">
        <v>90</v>
      </c>
      <c r="F41" s="316">
        <f>'KU-E UAR'!B28</f>
        <v>65.715354644414106</v>
      </c>
      <c r="G41" s="275">
        <f t="shared" si="8"/>
        <v>66</v>
      </c>
      <c r="H41" s="316">
        <f t="shared" si="9"/>
        <v>-24</v>
      </c>
      <c r="I41" s="316"/>
      <c r="J41" s="316"/>
      <c r="K41" s="316">
        <f t="shared" si="10"/>
        <v>0.28464535558589432</v>
      </c>
      <c r="L41" s="320">
        <v>2</v>
      </c>
      <c r="O41" s="316"/>
    </row>
    <row r="42" spans="1:15" x14ac:dyDescent="0.2">
      <c r="A42" s="116" t="s">
        <v>274</v>
      </c>
      <c r="E42" s="322">
        <v>110</v>
      </c>
      <c r="F42" s="316">
        <f>'KU-E UAR'!B35</f>
        <v>86.522656287148877</v>
      </c>
      <c r="G42" s="275">
        <f t="shared" ref="G42:G44" si="11">ROUND(F42,0)</f>
        <v>87</v>
      </c>
      <c r="H42" s="316">
        <f t="shared" si="9"/>
        <v>-23</v>
      </c>
      <c r="I42" s="316"/>
      <c r="J42" s="316"/>
      <c r="K42" s="316">
        <f t="shared" si="10"/>
        <v>0.47734371285112331</v>
      </c>
      <c r="L42" s="320">
        <v>2</v>
      </c>
      <c r="O42" s="316"/>
    </row>
    <row r="43" spans="1:15" x14ac:dyDescent="0.2">
      <c r="A43" s="116" t="s">
        <v>275</v>
      </c>
      <c r="E43" s="322">
        <v>174</v>
      </c>
      <c r="F43" s="316">
        <f>'KU-E UAR'!G42</f>
        <v>148.94573879448623</v>
      </c>
      <c r="G43" s="275">
        <f t="shared" si="11"/>
        <v>149</v>
      </c>
      <c r="H43" s="316">
        <f t="shared" si="9"/>
        <v>-25</v>
      </c>
      <c r="I43" s="316"/>
      <c r="J43" s="316"/>
      <c r="K43" s="316">
        <f t="shared" si="10"/>
        <v>5.4261205513768118E-2</v>
      </c>
      <c r="L43" s="320">
        <v>2</v>
      </c>
      <c r="O43" s="316"/>
    </row>
    <row r="44" spans="1:15" x14ac:dyDescent="0.2">
      <c r="A44" s="116" t="s">
        <v>276</v>
      </c>
      <c r="E44" s="322">
        <v>177</v>
      </c>
      <c r="F44" s="316">
        <f>'KU-E UAR'!B47</f>
        <v>154.1476960686993</v>
      </c>
      <c r="G44" s="275">
        <f t="shared" si="11"/>
        <v>154</v>
      </c>
      <c r="H44" s="316">
        <f t="shared" si="9"/>
        <v>-23</v>
      </c>
      <c r="I44" s="316"/>
      <c r="J44" s="316"/>
      <c r="K44" s="316">
        <f t="shared" si="10"/>
        <v>-0.14769606869930385</v>
      </c>
      <c r="L44" s="320">
        <v>2</v>
      </c>
      <c r="O44" s="316"/>
    </row>
    <row r="45" spans="1:15" x14ac:dyDescent="0.2">
      <c r="A45" s="116" t="s">
        <v>349</v>
      </c>
      <c r="E45" s="322"/>
      <c r="F45" s="316">
        <v>38.773183374554385</v>
      </c>
      <c r="G45" s="275">
        <v>39</v>
      </c>
      <c r="J45" s="221">
        <f>SUM(J36:J39)</f>
        <v>0</v>
      </c>
      <c r="L45" s="225"/>
    </row>
    <row r="46" spans="1:15" x14ac:dyDescent="0.2">
      <c r="A46" s="116" t="s">
        <v>350</v>
      </c>
      <c r="E46" s="322"/>
      <c r="F46" s="316">
        <v>14.872172416008389</v>
      </c>
      <c r="G46" s="275">
        <v>15</v>
      </c>
      <c r="L46" s="225"/>
    </row>
    <row r="47" spans="1:15" x14ac:dyDescent="0.2">
      <c r="A47" s="109"/>
      <c r="E47" s="27"/>
      <c r="J47" s="28">
        <f>+J19+J33+J45</f>
        <v>0</v>
      </c>
      <c r="L47" s="225"/>
    </row>
    <row r="48" spans="1:15" x14ac:dyDescent="0.2">
      <c r="A48" s="109" t="s">
        <v>324</v>
      </c>
      <c r="E48" s="27"/>
      <c r="L48" s="225"/>
    </row>
    <row r="49" spans="1:12" x14ac:dyDescent="0.2">
      <c r="A49" s="367" t="s">
        <v>344</v>
      </c>
      <c r="L49" s="225"/>
    </row>
    <row r="50" spans="1:12" x14ac:dyDescent="0.2">
      <c r="A50" s="367" t="s">
        <v>345</v>
      </c>
      <c r="L50" s="225"/>
    </row>
    <row r="51" spans="1:12" x14ac:dyDescent="0.2">
      <c r="A51" s="367" t="s">
        <v>325</v>
      </c>
      <c r="B51" s="109"/>
      <c r="L51" s="225"/>
    </row>
    <row r="52" spans="1:12" x14ac:dyDescent="0.2">
      <c r="A52" s="224"/>
      <c r="B52" s="119"/>
      <c r="L52" s="225"/>
    </row>
    <row r="53" spans="1:12" x14ac:dyDescent="0.2">
      <c r="A53" s="224"/>
    </row>
    <row r="54" spans="1:12" x14ac:dyDescent="0.2">
      <c r="A54" s="224"/>
      <c r="B54" s="116"/>
    </row>
    <row r="55" spans="1:12" x14ac:dyDescent="0.2">
      <c r="A55" s="224"/>
      <c r="B55" s="116"/>
    </row>
    <row r="56" spans="1:12" x14ac:dyDescent="0.2">
      <c r="A56" s="224"/>
      <c r="B56"/>
    </row>
    <row r="57" spans="1:12" x14ac:dyDescent="0.2">
      <c r="A57" s="224"/>
      <c r="B57"/>
    </row>
    <row r="58" spans="1:12" x14ac:dyDescent="0.2">
      <c r="A58" s="219"/>
    </row>
    <row r="59" spans="1:12" x14ac:dyDescent="0.2">
      <c r="B59" s="116"/>
    </row>
    <row r="61" spans="1:12" x14ac:dyDescent="0.2">
      <c r="B61"/>
    </row>
    <row r="62" spans="1:12" x14ac:dyDescent="0.2">
      <c r="B62"/>
    </row>
    <row r="63" spans="1:12" x14ac:dyDescent="0.2">
      <c r="B63"/>
    </row>
    <row r="64" spans="1:12" x14ac:dyDescent="0.2">
      <c r="B64"/>
    </row>
    <row r="65" spans="2:10" x14ac:dyDescent="0.2">
      <c r="B65"/>
      <c r="C65" s="230"/>
      <c r="D65" s="230"/>
      <c r="E65" s="230"/>
      <c r="F65" s="230"/>
      <c r="G65" s="318"/>
      <c r="H65" s="230"/>
      <c r="I65" s="230"/>
      <c r="J65" s="230"/>
    </row>
  </sheetData>
  <mergeCells count="1">
    <mergeCell ref="A5:D5"/>
  </mergeCells>
  <printOptions horizontalCentered="1"/>
  <pageMargins left="0.75" right="0.75" top="1" bottom="1" header="0.5" footer="0.5"/>
  <pageSetup scale="98" orientation="portrait" r:id="rId1"/>
  <headerFooter alignWithMargins="0">
    <oddHeader>&amp;L+&amp;R&amp;"Arial,Bold"&amp;12Exhibit WSS-19
Page &amp;P of 18</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sheetPr>
  <dimension ref="A1:C27"/>
  <sheetViews>
    <sheetView zoomScaleNormal="100" workbookViewId="0">
      <selection activeCell="B19" sqref="B19"/>
    </sheetView>
  </sheetViews>
  <sheetFormatPr defaultRowHeight="12.75" x14ac:dyDescent="0.2"/>
  <cols>
    <col min="1" max="1" width="31.42578125" bestFit="1" customWidth="1"/>
    <col min="2" max="2" width="15" customWidth="1"/>
    <col min="3" max="3" width="12.42578125" bestFit="1" customWidth="1"/>
  </cols>
  <sheetData>
    <row r="1" spans="1:3" x14ac:dyDescent="0.2">
      <c r="A1" s="9"/>
      <c r="C1" s="8"/>
    </row>
    <row r="2" spans="1:3" x14ac:dyDescent="0.2">
      <c r="A2" s="9"/>
      <c r="C2" s="8"/>
    </row>
    <row r="3" spans="1:3" x14ac:dyDescent="0.2">
      <c r="A3" s="9"/>
      <c r="C3" s="8"/>
    </row>
    <row r="4" spans="1:3" x14ac:dyDescent="0.2">
      <c r="A4" s="9"/>
      <c r="C4" s="8"/>
    </row>
    <row r="5" spans="1:3" x14ac:dyDescent="0.2">
      <c r="A5" s="9"/>
      <c r="C5" s="8"/>
    </row>
    <row r="6" spans="1:3" x14ac:dyDescent="0.2">
      <c r="A6" s="9"/>
      <c r="C6" s="8"/>
    </row>
    <row r="7" spans="1:3" x14ac:dyDescent="0.2">
      <c r="A7" s="9"/>
      <c r="C7" s="8"/>
    </row>
    <row r="9" spans="1:3" x14ac:dyDescent="0.2">
      <c r="A9" s="464" t="s">
        <v>4</v>
      </c>
      <c r="B9" s="464"/>
    </row>
    <row r="10" spans="1:3" x14ac:dyDescent="0.2">
      <c r="A10" s="465" t="s">
        <v>22</v>
      </c>
      <c r="B10" s="464"/>
    </row>
    <row r="11" spans="1:3" x14ac:dyDescent="0.2">
      <c r="A11" s="465" t="s">
        <v>7</v>
      </c>
      <c r="B11" s="465"/>
    </row>
    <row r="15" spans="1:3" x14ac:dyDescent="0.2">
      <c r="A15" t="s">
        <v>8</v>
      </c>
      <c r="B15" s="11" t="e">
        <f>+Data!#REF!+(+Data!#REF!*Data!D17)</f>
        <v>#REF!</v>
      </c>
    </row>
    <row r="16" spans="1:3" x14ac:dyDescent="0.2">
      <c r="A16" s="2" t="s">
        <v>33</v>
      </c>
      <c r="B16" s="11" t="e">
        <f>+B15/60</f>
        <v>#REF!</v>
      </c>
    </row>
    <row r="17" spans="1:2" x14ac:dyDescent="0.2">
      <c r="A17" t="s">
        <v>23</v>
      </c>
      <c r="B17" s="274" t="e">
        <f>+Data!#REF!</f>
        <v>#REF!</v>
      </c>
    </row>
    <row r="18" spans="1:2" x14ac:dyDescent="0.2">
      <c r="B18" s="11"/>
    </row>
    <row r="19" spans="1:2" x14ac:dyDescent="0.2">
      <c r="A19" s="2" t="s">
        <v>5</v>
      </c>
      <c r="B19" s="12" t="e">
        <f>+B16*B17</f>
        <v>#REF!</v>
      </c>
    </row>
    <row r="22" spans="1:2" x14ac:dyDescent="0.2">
      <c r="A22" s="463" t="e">
        <f>CONCATENATE("Average hourly rate for all employees including overheads ",TEXT(B15,"($0.00)"))</f>
        <v>#REF!</v>
      </c>
      <c r="B22" s="463"/>
    </row>
    <row r="23" spans="1:2" x14ac:dyDescent="0.2">
      <c r="A23" s="463"/>
      <c r="B23" s="463"/>
    </row>
    <row r="24" spans="1:2" x14ac:dyDescent="0.2">
      <c r="A24" s="463"/>
      <c r="B24" s="463"/>
    </row>
    <row r="25" spans="1:2" x14ac:dyDescent="0.2">
      <c r="A25" s="463"/>
      <c r="B25" s="463"/>
    </row>
    <row r="26" spans="1:2" x14ac:dyDescent="0.2">
      <c r="A26" s="463"/>
      <c r="B26" s="463"/>
    </row>
    <row r="27" spans="1:2" x14ac:dyDescent="0.2">
      <c r="A27" s="463"/>
      <c r="B27" s="463"/>
    </row>
  </sheetData>
  <mergeCells count="4">
    <mergeCell ref="A9:B9"/>
    <mergeCell ref="A10:B10"/>
    <mergeCell ref="A11:B11"/>
    <mergeCell ref="A22:B27"/>
  </mergeCells>
  <phoneticPr fontId="5" type="noConversion"/>
  <printOptions horizontalCentered="1"/>
  <pageMargins left="0.75" right="0.75" top="1" bottom="1" header="0.5" footer="0.5"/>
  <pageSetup orientation="portrait" r:id="rId1"/>
  <headerFooter alignWithMargins="0">
    <oddHeader>&amp;RSLC Exhibit 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92D050"/>
  </sheetPr>
  <dimension ref="A1:C27"/>
  <sheetViews>
    <sheetView zoomScaleNormal="100" workbookViewId="0">
      <selection activeCell="B19" sqref="B19"/>
    </sheetView>
  </sheetViews>
  <sheetFormatPr defaultRowHeight="12.75" x14ac:dyDescent="0.2"/>
  <cols>
    <col min="1" max="1" width="31.42578125" bestFit="1" customWidth="1"/>
    <col min="2" max="2" width="15" customWidth="1"/>
    <col min="3" max="3" width="12.42578125" bestFit="1" customWidth="1"/>
  </cols>
  <sheetData>
    <row r="1" spans="1:3" x14ac:dyDescent="0.2">
      <c r="A1" s="18"/>
      <c r="C1" s="8"/>
    </row>
    <row r="2" spans="1:3" x14ac:dyDescent="0.2">
      <c r="A2" s="9"/>
      <c r="C2" s="8"/>
    </row>
    <row r="3" spans="1:3" x14ac:dyDescent="0.2">
      <c r="A3" s="9"/>
      <c r="C3" s="8"/>
    </row>
    <row r="4" spans="1:3" x14ac:dyDescent="0.2">
      <c r="A4" s="9"/>
      <c r="C4" s="8"/>
    </row>
    <row r="5" spans="1:3" x14ac:dyDescent="0.2">
      <c r="A5" s="9"/>
      <c r="C5" s="8"/>
    </row>
    <row r="6" spans="1:3" x14ac:dyDescent="0.2">
      <c r="A6" s="9"/>
      <c r="C6" s="8"/>
    </row>
    <row r="7" spans="1:3" x14ac:dyDescent="0.2">
      <c r="A7" s="9"/>
      <c r="C7" s="8"/>
    </row>
    <row r="9" spans="1:3" x14ac:dyDescent="0.2">
      <c r="A9" s="465" t="s">
        <v>9</v>
      </c>
      <c r="B9" s="464"/>
    </row>
    <row r="10" spans="1:3" x14ac:dyDescent="0.2">
      <c r="A10" s="465" t="s">
        <v>22</v>
      </c>
      <c r="B10" s="464"/>
    </row>
    <row r="11" spans="1:3" x14ac:dyDescent="0.2">
      <c r="A11" s="465" t="s">
        <v>7</v>
      </c>
      <c r="B11" s="465"/>
    </row>
    <row r="15" spans="1:3" x14ac:dyDescent="0.2">
      <c r="A15" t="s">
        <v>8</v>
      </c>
      <c r="B15" s="11" t="e">
        <f>+Data!#REF!+(+Data!#REF!*Data!D17)</f>
        <v>#REF!</v>
      </c>
    </row>
    <row r="16" spans="1:3" x14ac:dyDescent="0.2">
      <c r="A16" s="2" t="s">
        <v>33</v>
      </c>
      <c r="B16" s="11" t="e">
        <f>+B15/60</f>
        <v>#REF!</v>
      </c>
    </row>
    <row r="17" spans="1:2" x14ac:dyDescent="0.2">
      <c r="A17" t="s">
        <v>23</v>
      </c>
      <c r="B17" s="19" t="e">
        <f>+Data!#REF!</f>
        <v>#REF!</v>
      </c>
    </row>
    <row r="18" spans="1:2" x14ac:dyDescent="0.2">
      <c r="B18" s="11"/>
    </row>
    <row r="19" spans="1:2" x14ac:dyDescent="0.2">
      <c r="A19" s="2" t="s">
        <v>5</v>
      </c>
      <c r="B19" s="12" t="e">
        <f>+B16*B17</f>
        <v>#REF!</v>
      </c>
    </row>
    <row r="22" spans="1:2" x14ac:dyDescent="0.2">
      <c r="A22" s="463" t="e">
        <f>CONCATENATE("Average hourly rate for all employees including overheads ",TEXT(B15,"($0.00)"))</f>
        <v>#REF!</v>
      </c>
      <c r="B22" s="463"/>
    </row>
    <row r="23" spans="1:2" x14ac:dyDescent="0.2">
      <c r="A23" s="463"/>
      <c r="B23" s="463"/>
    </row>
    <row r="24" spans="1:2" ht="12.75" customHeight="1" x14ac:dyDescent="0.2">
      <c r="A24" s="463"/>
      <c r="B24" s="463"/>
    </row>
    <row r="25" spans="1:2" x14ac:dyDescent="0.2">
      <c r="A25" s="463"/>
      <c r="B25" s="463"/>
    </row>
    <row r="26" spans="1:2" x14ac:dyDescent="0.2">
      <c r="A26" s="463"/>
      <c r="B26" s="463"/>
    </row>
    <row r="27" spans="1:2" x14ac:dyDescent="0.2">
      <c r="A27" s="463"/>
      <c r="B27" s="463"/>
    </row>
  </sheetData>
  <mergeCells count="4">
    <mergeCell ref="A9:B9"/>
    <mergeCell ref="A10:B10"/>
    <mergeCell ref="A11:B11"/>
    <mergeCell ref="A22:B27"/>
  </mergeCells>
  <phoneticPr fontId="5" type="noConversion"/>
  <printOptions horizontalCentered="1"/>
  <pageMargins left="0.75" right="0.75" top="1" bottom="1" header="0.5" footer="0.5"/>
  <pageSetup orientation="portrait" r:id="rId1"/>
  <headerFooter alignWithMargins="0">
    <oddHeader>&amp;RSLC Exhibit 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pageSetUpPr fitToPage="1"/>
  </sheetPr>
  <dimension ref="A5:J25"/>
  <sheetViews>
    <sheetView view="pageBreakPreview" zoomScaleNormal="100" zoomScaleSheetLayoutView="100" workbookViewId="0"/>
  </sheetViews>
  <sheetFormatPr defaultColWidth="9.140625" defaultRowHeight="12.75" x14ac:dyDescent="0.2"/>
  <cols>
    <col min="1" max="1" width="18.5703125" style="100" customWidth="1"/>
    <col min="2" max="2" width="58.7109375" style="100" bestFit="1" customWidth="1"/>
    <col min="3" max="3" width="11.28515625" style="100" bestFit="1" customWidth="1"/>
    <col min="4" max="4" width="10.140625" style="100" bestFit="1" customWidth="1"/>
    <col min="5" max="5" width="9.140625" style="100"/>
    <col min="6" max="7" width="9.140625" style="100" customWidth="1"/>
    <col min="8" max="16384" width="9.140625" style="100"/>
  </cols>
  <sheetData>
    <row r="5" spans="1:6" x14ac:dyDescent="0.2">
      <c r="F5" s="100" t="s">
        <v>348</v>
      </c>
    </row>
    <row r="9" spans="1:6" x14ac:dyDescent="0.2">
      <c r="A9" s="469" t="s">
        <v>9</v>
      </c>
      <c r="B9" s="469"/>
      <c r="C9" s="469"/>
      <c r="D9" s="469"/>
    </row>
    <row r="10" spans="1:6" x14ac:dyDescent="0.2">
      <c r="A10" s="469" t="s">
        <v>32</v>
      </c>
      <c r="B10" s="469"/>
      <c r="C10" s="469"/>
      <c r="D10" s="469"/>
    </row>
    <row r="11" spans="1:6" x14ac:dyDescent="0.2">
      <c r="A11" s="469" t="s">
        <v>7</v>
      </c>
      <c r="B11" s="469"/>
      <c r="C11" s="469"/>
      <c r="D11" s="469"/>
    </row>
    <row r="15" spans="1:6" ht="15" x14ac:dyDescent="0.35">
      <c r="A15" s="468" t="s">
        <v>24</v>
      </c>
      <c r="B15" s="468"/>
      <c r="C15" s="468"/>
      <c r="D15" s="468"/>
    </row>
    <row r="16" spans="1:6" ht="15" x14ac:dyDescent="0.35">
      <c r="A16" s="101"/>
      <c r="B16" s="101"/>
      <c r="C16" s="101"/>
    </row>
    <row r="17" spans="1:10" ht="15" x14ac:dyDescent="0.35">
      <c r="B17" s="31" t="s">
        <v>25</v>
      </c>
      <c r="C17" s="31" t="s">
        <v>26</v>
      </c>
      <c r="D17" s="283" t="s">
        <v>277</v>
      </c>
    </row>
    <row r="18" spans="1:10" x14ac:dyDescent="0.2">
      <c r="A18" s="289" t="s">
        <v>290</v>
      </c>
      <c r="B18" s="274">
        <v>15484</v>
      </c>
      <c r="C18" s="174">
        <v>44767</v>
      </c>
      <c r="D18" s="290">
        <v>3.01</v>
      </c>
      <c r="F18" s="332">
        <f>+D18/$D$22</f>
        <v>0.81351351351351353</v>
      </c>
      <c r="G18" s="100">
        <f>+F18*Data!E20</f>
        <v>1.6270270270270271E-2</v>
      </c>
      <c r="H18" s="163"/>
    </row>
    <row r="19" spans="1:10" x14ac:dyDescent="0.2">
      <c r="A19" s="119" t="s">
        <v>27</v>
      </c>
      <c r="B19" s="289" t="s">
        <v>330</v>
      </c>
      <c r="C19" s="119"/>
      <c r="D19" s="292">
        <v>0.06</v>
      </c>
      <c r="F19" s="332">
        <f t="shared" ref="F19:F20" si="0">+D19/$D$22</f>
        <v>1.6216216216216217E-2</v>
      </c>
      <c r="G19" s="100">
        <f>+F19*Data!E21</f>
        <v>4.8648648648648652E-4</v>
      </c>
      <c r="H19" s="133"/>
      <c r="I19" s="133"/>
      <c r="J19" s="133"/>
    </row>
    <row r="20" spans="1:10" x14ac:dyDescent="0.2">
      <c r="A20" s="119" t="s">
        <v>28</v>
      </c>
      <c r="B20" s="289" t="s">
        <v>278</v>
      </c>
      <c r="C20" s="119"/>
      <c r="D20" s="292">
        <v>0.63</v>
      </c>
      <c r="F20" s="332">
        <f t="shared" si="0"/>
        <v>0.17027027027027028</v>
      </c>
      <c r="G20" s="100">
        <f>+F20*Data!E20</f>
        <v>3.4054054054054057E-3</v>
      </c>
    </row>
    <row r="21" spans="1:10" x14ac:dyDescent="0.2">
      <c r="D21" s="102"/>
      <c r="G21" s="100">
        <f>SUM(G18:G20)</f>
        <v>2.0162162162162163E-2</v>
      </c>
    </row>
    <row r="22" spans="1:10" ht="13.5" thickBot="1" x14ac:dyDescent="0.25">
      <c r="A22" s="100" t="s">
        <v>318</v>
      </c>
      <c r="D22" s="103">
        <f>SUM(D18:D21)</f>
        <v>3.6999999999999997</v>
      </c>
      <c r="H22" s="133"/>
    </row>
    <row r="23" spans="1:10" ht="13.5" thickTop="1" x14ac:dyDescent="0.2"/>
    <row r="24" spans="1:10" x14ac:dyDescent="0.2">
      <c r="A24" s="294"/>
      <c r="D24" s="329"/>
      <c r="I24" s="100">
        <v>2.0162203357645184E-2</v>
      </c>
    </row>
    <row r="25" spans="1:10" x14ac:dyDescent="0.2">
      <c r="A25" s="299"/>
      <c r="B25" s="298"/>
      <c r="D25" s="298"/>
      <c r="I25" s="3">
        <v>3.7038620814536869</v>
      </c>
    </row>
  </sheetData>
  <mergeCells count="4">
    <mergeCell ref="A15:D15"/>
    <mergeCell ref="A9:D9"/>
    <mergeCell ref="A10:D10"/>
    <mergeCell ref="A11:D11"/>
  </mergeCells>
  <printOptions horizontalCentered="1"/>
  <pageMargins left="0.75" right="0.75" top="1" bottom="1" header="0.5" footer="0.5"/>
  <pageSetup scale="92" orientation="portrait" r:id="rId1"/>
  <headerFooter alignWithMargins="0">
    <oddHeader>&amp;L+&amp;R&amp;"Arial,Bold"&amp;12Exhibit WSS-19
Page &amp;P of 18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pageSetUpPr fitToPage="1"/>
  </sheetPr>
  <dimension ref="A5:I40"/>
  <sheetViews>
    <sheetView view="pageBreakPreview" zoomScaleNormal="100" zoomScaleSheetLayoutView="100" workbookViewId="0"/>
  </sheetViews>
  <sheetFormatPr defaultColWidth="9.140625" defaultRowHeight="12.75" x14ac:dyDescent="0.2"/>
  <cols>
    <col min="1" max="1" width="18.7109375" style="100" customWidth="1"/>
    <col min="2" max="2" width="58.7109375" style="100" bestFit="1" customWidth="1"/>
    <col min="3" max="3" width="9.85546875" style="100" bestFit="1" customWidth="1"/>
    <col min="4" max="4" width="7.7109375" style="100" bestFit="1" customWidth="1"/>
    <col min="5" max="5" width="9.140625" style="100"/>
    <col min="6" max="7" width="9.140625" style="100" hidden="1" customWidth="1"/>
    <col min="8" max="16384" width="9.140625" style="100"/>
  </cols>
  <sheetData>
    <row r="5" spans="1:6" x14ac:dyDescent="0.2">
      <c r="F5" s="100" t="s">
        <v>348</v>
      </c>
    </row>
    <row r="9" spans="1:6" x14ac:dyDescent="0.2">
      <c r="A9" s="469" t="s">
        <v>4</v>
      </c>
      <c r="B9" s="469"/>
      <c r="C9" s="469"/>
      <c r="D9" s="469"/>
    </row>
    <row r="10" spans="1:6" x14ac:dyDescent="0.2">
      <c r="A10" s="469" t="s">
        <v>32</v>
      </c>
      <c r="B10" s="469"/>
      <c r="C10" s="469"/>
      <c r="D10" s="469"/>
    </row>
    <row r="11" spans="1:6" x14ac:dyDescent="0.2">
      <c r="A11" s="469" t="s">
        <v>7</v>
      </c>
      <c r="B11" s="469"/>
      <c r="C11" s="469"/>
      <c r="D11" s="469"/>
    </row>
    <row r="15" spans="1:6" ht="15" x14ac:dyDescent="0.35">
      <c r="A15" s="470" t="s">
        <v>30</v>
      </c>
      <c r="B15" s="470"/>
      <c r="C15" s="470"/>
      <c r="D15" s="470"/>
    </row>
    <row r="16" spans="1:6" ht="15" x14ac:dyDescent="0.35">
      <c r="A16" s="101"/>
      <c r="B16" s="101"/>
      <c r="C16" s="101"/>
    </row>
    <row r="17" spans="1:9" ht="15" x14ac:dyDescent="0.35">
      <c r="B17" s="31" t="s">
        <v>25</v>
      </c>
      <c r="C17" s="31" t="s">
        <v>26</v>
      </c>
      <c r="D17" s="283" t="s">
        <v>277</v>
      </c>
    </row>
    <row r="18" spans="1:9" x14ac:dyDescent="0.2">
      <c r="A18" s="289" t="s">
        <v>290</v>
      </c>
      <c r="B18" s="274">
        <v>20041.2</v>
      </c>
      <c r="C18" s="174">
        <v>53693.5</v>
      </c>
      <c r="D18" s="290">
        <v>2.79</v>
      </c>
      <c r="F18" s="332">
        <f>+D18/$D$22</f>
        <v>0.80080367393800234</v>
      </c>
      <c r="G18" s="100">
        <f>+F18*Data!E20</f>
        <v>1.6016073478760048E-2</v>
      </c>
    </row>
    <row r="19" spans="1:9" x14ac:dyDescent="0.2">
      <c r="A19" s="119" t="s">
        <v>27</v>
      </c>
      <c r="B19" s="289" t="s">
        <v>330</v>
      </c>
      <c r="C19" s="119"/>
      <c r="D19" s="292">
        <v>0.06</v>
      </c>
      <c r="F19" s="332">
        <f t="shared" ref="F19:F20" si="0">+D19/$D$22</f>
        <v>1.7221584385763489E-2</v>
      </c>
      <c r="G19" s="100">
        <f>+F19*Data!E21</f>
        <v>5.1664753157290469E-4</v>
      </c>
      <c r="H19" s="133"/>
    </row>
    <row r="20" spans="1:9" x14ac:dyDescent="0.2">
      <c r="A20" s="119" t="s">
        <v>28</v>
      </c>
      <c r="B20" s="289" t="s">
        <v>278</v>
      </c>
      <c r="C20" s="119"/>
      <c r="D20" s="292">
        <v>0.63400000000000001</v>
      </c>
      <c r="F20" s="332">
        <f t="shared" si="0"/>
        <v>0.1819747416762342</v>
      </c>
      <c r="G20" s="100">
        <f>+F20*Data!E20</f>
        <v>3.6394948335246842E-3</v>
      </c>
    </row>
    <row r="21" spans="1:9" x14ac:dyDescent="0.2">
      <c r="D21" s="102"/>
      <c r="G21" s="100">
        <f>SUM(G18:G20)</f>
        <v>2.0172215843857637E-2</v>
      </c>
    </row>
    <row r="22" spans="1:9" ht="13.5" thickBot="1" x14ac:dyDescent="0.25">
      <c r="A22" s="100" t="s">
        <v>318</v>
      </c>
      <c r="D22" s="103">
        <f>SUM(D18:D21)</f>
        <v>3.484</v>
      </c>
    </row>
    <row r="23" spans="1:9" ht="13.5" thickTop="1" x14ac:dyDescent="0.2"/>
    <row r="24" spans="1:9" x14ac:dyDescent="0.2">
      <c r="A24" s="294"/>
      <c r="D24" s="329"/>
      <c r="I24" s="100">
        <v>2.0172478796938346E-2</v>
      </c>
    </row>
    <row r="25" spans="1:9" x14ac:dyDescent="0.2">
      <c r="A25" s="299"/>
      <c r="D25" s="298"/>
      <c r="I25" s="3">
        <v>3.4832743450908197</v>
      </c>
    </row>
    <row r="26" spans="1:9" x14ac:dyDescent="0.2">
      <c r="A26" s="294"/>
      <c r="B26" s="104"/>
      <c r="D26" s="295"/>
    </row>
    <row r="33" spans="2:4" x14ac:dyDescent="0.2">
      <c r="B33" s="163"/>
      <c r="C33" s="154"/>
      <c r="D33" s="133"/>
    </row>
    <row r="40" spans="2:4" x14ac:dyDescent="0.2">
      <c r="B40" s="333"/>
    </row>
  </sheetData>
  <mergeCells count="4">
    <mergeCell ref="A15:D15"/>
    <mergeCell ref="A9:D9"/>
    <mergeCell ref="A10:D10"/>
    <mergeCell ref="A11:D11"/>
  </mergeCells>
  <printOptions horizontalCentered="1"/>
  <pageMargins left="0.75" right="0.75" top="1" bottom="1" header="0.5" footer="0.5"/>
  <pageSetup scale="95" orientation="portrait" r:id="rId1"/>
  <headerFooter alignWithMargins="0">
    <oddHeader>&amp;L+&amp;R&amp;"Arial,Bold"&amp;12Exhibit WSS-19
Page &amp;P of 18</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92D050"/>
    <pageSetUpPr fitToPage="1"/>
  </sheetPr>
  <dimension ref="A5:G33"/>
  <sheetViews>
    <sheetView view="pageBreakPreview" zoomScaleNormal="100" zoomScaleSheetLayoutView="100" workbookViewId="0"/>
  </sheetViews>
  <sheetFormatPr defaultRowHeight="12.75" x14ac:dyDescent="0.2"/>
  <cols>
    <col min="1" max="1" width="48.28515625" bestFit="1" customWidth="1"/>
    <col min="2" max="2" width="8.7109375" customWidth="1"/>
    <col min="3" max="3" width="9.28515625" bestFit="1" customWidth="1"/>
    <col min="4" max="4" width="10.28515625" hidden="1" customWidth="1"/>
    <col min="5" max="5" width="9.28515625" hidden="1" customWidth="1"/>
    <col min="6" max="6" width="11.28515625" hidden="1" customWidth="1"/>
  </cols>
  <sheetData>
    <row r="5" spans="1:7" x14ac:dyDescent="0.2">
      <c r="F5" t="s">
        <v>348</v>
      </c>
    </row>
    <row r="9" spans="1:7" x14ac:dyDescent="0.2">
      <c r="A9" s="464" t="s">
        <v>9</v>
      </c>
      <c r="B9" s="464"/>
      <c r="C9" s="20"/>
      <c r="D9" s="20"/>
      <c r="E9" s="20"/>
      <c r="F9" s="20"/>
      <c r="G9" s="20"/>
    </row>
    <row r="10" spans="1:7" x14ac:dyDescent="0.2">
      <c r="A10" s="464" t="s">
        <v>49</v>
      </c>
      <c r="B10" s="464"/>
      <c r="C10" s="20"/>
      <c r="D10" s="20"/>
      <c r="E10" s="20"/>
      <c r="F10" s="20"/>
      <c r="G10" s="20"/>
    </row>
    <row r="11" spans="1:7" x14ac:dyDescent="0.2">
      <c r="A11" s="464" t="s">
        <v>7</v>
      </c>
      <c r="B11" s="464"/>
      <c r="C11" s="20"/>
      <c r="D11" s="20"/>
      <c r="E11" s="20"/>
      <c r="F11" s="20"/>
      <c r="G11" s="20"/>
    </row>
    <row r="13" spans="1:7" x14ac:dyDescent="0.2">
      <c r="B13" s="297" t="s">
        <v>26</v>
      </c>
    </row>
    <row r="14" spans="1:7" x14ac:dyDescent="0.2">
      <c r="A14" t="s">
        <v>82</v>
      </c>
    </row>
    <row r="15" spans="1:7" x14ac:dyDescent="0.2">
      <c r="A15" t="s">
        <v>37</v>
      </c>
      <c r="B15" s="1">
        <v>57.84</v>
      </c>
      <c r="C15" s="5"/>
      <c r="D15" s="5">
        <f>+B15+B16+B17</f>
        <v>305</v>
      </c>
      <c r="E15" s="5">
        <f>+D15/B20</f>
        <v>0.4469637241310585</v>
      </c>
      <c r="F15">
        <f>+E15*Data!E22</f>
        <v>8.939274482621171E-3</v>
      </c>
    </row>
    <row r="16" spans="1:7" x14ac:dyDescent="0.2">
      <c r="A16" t="s">
        <v>34</v>
      </c>
      <c r="B16" s="1">
        <v>157.76</v>
      </c>
    </row>
    <row r="17" spans="1:7" x14ac:dyDescent="0.2">
      <c r="A17" t="s">
        <v>35</v>
      </c>
      <c r="B17" s="1">
        <v>89.4</v>
      </c>
    </row>
    <row r="18" spans="1:7" x14ac:dyDescent="0.2">
      <c r="A18" t="s">
        <v>68</v>
      </c>
      <c r="B18" s="1">
        <v>364.46</v>
      </c>
      <c r="C18" s="5"/>
      <c r="D18" s="5">
        <f>+B18+B19</f>
        <v>377.38200000000001</v>
      </c>
      <c r="E18" s="5">
        <f>+D18/B20</f>
        <v>0.55303627586894144</v>
      </c>
      <c r="F18">
        <f>+E18*Data!E21</f>
        <v>1.6591088276068242E-2</v>
      </c>
    </row>
    <row r="19" spans="1:7" x14ac:dyDescent="0.2">
      <c r="A19" s="116" t="s">
        <v>91</v>
      </c>
      <c r="B19" s="1">
        <v>12.922000000000001</v>
      </c>
    </row>
    <row r="20" spans="1:7" x14ac:dyDescent="0.2">
      <c r="A20" s="172" t="s">
        <v>317</v>
      </c>
      <c r="B20" s="13">
        <f>SUM(B15:B19)</f>
        <v>682.38200000000006</v>
      </c>
      <c r="F20">
        <f>+F15+F18</f>
        <v>2.5530362758689411E-2</v>
      </c>
    </row>
    <row r="22" spans="1:7" x14ac:dyDescent="0.2">
      <c r="A22" s="294"/>
      <c r="B22" s="457"/>
      <c r="G22">
        <v>2.5530422532517513E-2</v>
      </c>
    </row>
    <row r="23" spans="1:7" x14ac:dyDescent="0.2">
      <c r="A23" s="299"/>
      <c r="B23" s="298"/>
      <c r="G23" s="1">
        <v>682.38367050456498</v>
      </c>
    </row>
    <row r="25" spans="1:7" x14ac:dyDescent="0.2">
      <c r="A25" s="172" t="s">
        <v>81</v>
      </c>
    </row>
    <row r="26" spans="1:7" x14ac:dyDescent="0.2">
      <c r="A26" s="116" t="s">
        <v>346</v>
      </c>
      <c r="B26" s="6">
        <f>+'LGE-E Meter Pulse - 5-Year'!G46</f>
        <v>20.757041849903604</v>
      </c>
    </row>
    <row r="29" spans="1:7" x14ac:dyDescent="0.2">
      <c r="A29" s="114"/>
      <c r="B29" s="6"/>
    </row>
    <row r="30" spans="1:7" x14ac:dyDescent="0.2">
      <c r="A30" s="114"/>
    </row>
    <row r="31" spans="1:7" x14ac:dyDescent="0.2">
      <c r="A31" s="114"/>
    </row>
    <row r="32" spans="1:7" x14ac:dyDescent="0.2">
      <c r="A32" s="114"/>
    </row>
    <row r="33" spans="1:1" x14ac:dyDescent="0.2">
      <c r="A33" s="114"/>
    </row>
  </sheetData>
  <mergeCells count="3">
    <mergeCell ref="A9:B9"/>
    <mergeCell ref="A10:B10"/>
    <mergeCell ref="A11:B11"/>
  </mergeCells>
  <phoneticPr fontId="5" type="noConversion"/>
  <printOptions horizontalCentered="1"/>
  <pageMargins left="0.75" right="0.75" top="1" bottom="1" header="0.5" footer="0.5"/>
  <pageSetup orientation="portrait" r:id="rId1"/>
  <headerFooter alignWithMargins="0">
    <oddHeader>&amp;L+&amp;R&amp;"Arial,Bold"&amp;12Exhibit WSS-19
Page &amp;P of 18</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J46"/>
  <sheetViews>
    <sheetView zoomScaleNormal="100" workbookViewId="0"/>
  </sheetViews>
  <sheetFormatPr defaultRowHeight="12.75" x14ac:dyDescent="0.2"/>
  <cols>
    <col min="1" max="1" width="8.5703125" style="100" customWidth="1"/>
    <col min="2" max="9" width="16" style="100" customWidth="1"/>
    <col min="10" max="256" width="9.140625" style="100"/>
    <col min="257" max="257" width="8.5703125" style="100" customWidth="1"/>
    <col min="258" max="265" width="16" style="100" customWidth="1"/>
    <col min="266" max="512" width="9.140625" style="100"/>
    <col min="513" max="513" width="8.5703125" style="100" customWidth="1"/>
    <col min="514" max="521" width="16" style="100" customWidth="1"/>
    <col min="522" max="768" width="9.140625" style="100"/>
    <col min="769" max="769" width="8.5703125" style="100" customWidth="1"/>
    <col min="770" max="777" width="16" style="100" customWidth="1"/>
    <col min="778" max="1024" width="9.140625" style="100"/>
    <col min="1025" max="1025" width="8.5703125" style="100" customWidth="1"/>
    <col min="1026" max="1033" width="16" style="100" customWidth="1"/>
    <col min="1034" max="1280" width="9.140625" style="100"/>
    <col min="1281" max="1281" width="8.5703125" style="100" customWidth="1"/>
    <col min="1282" max="1289" width="16" style="100" customWidth="1"/>
    <col min="1290" max="1536" width="9.140625" style="100"/>
    <col min="1537" max="1537" width="8.5703125" style="100" customWidth="1"/>
    <col min="1538" max="1545" width="16" style="100" customWidth="1"/>
    <col min="1546" max="1792" width="9.140625" style="100"/>
    <col min="1793" max="1793" width="8.5703125" style="100" customWidth="1"/>
    <col min="1794" max="1801" width="16" style="100" customWidth="1"/>
    <col min="1802" max="2048" width="9.140625" style="100"/>
    <col min="2049" max="2049" width="8.5703125" style="100" customWidth="1"/>
    <col min="2050" max="2057" width="16" style="100" customWidth="1"/>
    <col min="2058" max="2304" width="9.140625" style="100"/>
    <col min="2305" max="2305" width="8.5703125" style="100" customWidth="1"/>
    <col min="2306" max="2313" width="16" style="100" customWidth="1"/>
    <col min="2314" max="2560" width="9.140625" style="100"/>
    <col min="2561" max="2561" width="8.5703125" style="100" customWidth="1"/>
    <col min="2562" max="2569" width="16" style="100" customWidth="1"/>
    <col min="2570" max="2816" width="9.140625" style="100"/>
    <col min="2817" max="2817" width="8.5703125" style="100" customWidth="1"/>
    <col min="2818" max="2825" width="16" style="100" customWidth="1"/>
    <col min="2826" max="3072" width="9.140625" style="100"/>
    <col min="3073" max="3073" width="8.5703125" style="100" customWidth="1"/>
    <col min="3074" max="3081" width="16" style="100" customWidth="1"/>
    <col min="3082" max="3328" width="9.140625" style="100"/>
    <col min="3329" max="3329" width="8.5703125" style="100" customWidth="1"/>
    <col min="3330" max="3337" width="16" style="100" customWidth="1"/>
    <col min="3338" max="3584" width="9.140625" style="100"/>
    <col min="3585" max="3585" width="8.5703125" style="100" customWidth="1"/>
    <col min="3586" max="3593" width="16" style="100" customWidth="1"/>
    <col min="3594" max="3840" width="9.140625" style="100"/>
    <col min="3841" max="3841" width="8.5703125" style="100" customWidth="1"/>
    <col min="3842" max="3849" width="16" style="100" customWidth="1"/>
    <col min="3850" max="4096" width="9.140625" style="100"/>
    <col min="4097" max="4097" width="8.5703125" style="100" customWidth="1"/>
    <col min="4098" max="4105" width="16" style="100" customWidth="1"/>
    <col min="4106" max="4352" width="9.140625" style="100"/>
    <col min="4353" max="4353" width="8.5703125" style="100" customWidth="1"/>
    <col min="4354" max="4361" width="16" style="100" customWidth="1"/>
    <col min="4362" max="4608" width="9.140625" style="100"/>
    <col min="4609" max="4609" width="8.5703125" style="100" customWidth="1"/>
    <col min="4610" max="4617" width="16" style="100" customWidth="1"/>
    <col min="4618" max="4864" width="9.140625" style="100"/>
    <col min="4865" max="4865" width="8.5703125" style="100" customWidth="1"/>
    <col min="4866" max="4873" width="16" style="100" customWidth="1"/>
    <col min="4874" max="5120" width="9.140625" style="100"/>
    <col min="5121" max="5121" width="8.5703125" style="100" customWidth="1"/>
    <col min="5122" max="5129" width="16" style="100" customWidth="1"/>
    <col min="5130" max="5376" width="9.140625" style="100"/>
    <col min="5377" max="5377" width="8.5703125" style="100" customWidth="1"/>
    <col min="5378" max="5385" width="16" style="100" customWidth="1"/>
    <col min="5386" max="5632" width="9.140625" style="100"/>
    <col min="5633" max="5633" width="8.5703125" style="100" customWidth="1"/>
    <col min="5634" max="5641" width="16" style="100" customWidth="1"/>
    <col min="5642" max="5888" width="9.140625" style="100"/>
    <col min="5889" max="5889" width="8.5703125" style="100" customWidth="1"/>
    <col min="5890" max="5897" width="16" style="100" customWidth="1"/>
    <col min="5898" max="6144" width="9.140625" style="100"/>
    <col min="6145" max="6145" width="8.5703125" style="100" customWidth="1"/>
    <col min="6146" max="6153" width="16" style="100" customWidth="1"/>
    <col min="6154" max="6400" width="9.140625" style="100"/>
    <col min="6401" max="6401" width="8.5703125" style="100" customWidth="1"/>
    <col min="6402" max="6409" width="16" style="100" customWidth="1"/>
    <col min="6410" max="6656" width="9.140625" style="100"/>
    <col min="6657" max="6657" width="8.5703125" style="100" customWidth="1"/>
    <col min="6658" max="6665" width="16" style="100" customWidth="1"/>
    <col min="6666" max="6912" width="9.140625" style="100"/>
    <col min="6913" max="6913" width="8.5703125" style="100" customWidth="1"/>
    <col min="6914" max="6921" width="16" style="100" customWidth="1"/>
    <col min="6922" max="7168" width="9.140625" style="100"/>
    <col min="7169" max="7169" width="8.5703125" style="100" customWidth="1"/>
    <col min="7170" max="7177" width="16" style="100" customWidth="1"/>
    <col min="7178" max="7424" width="9.140625" style="100"/>
    <col min="7425" max="7425" width="8.5703125" style="100" customWidth="1"/>
    <col min="7426" max="7433" width="16" style="100" customWidth="1"/>
    <col min="7434" max="7680" width="9.140625" style="100"/>
    <col min="7681" max="7681" width="8.5703125" style="100" customWidth="1"/>
    <col min="7682" max="7689" width="16" style="100" customWidth="1"/>
    <col min="7690" max="7936" width="9.140625" style="100"/>
    <col min="7937" max="7937" width="8.5703125" style="100" customWidth="1"/>
    <col min="7938" max="7945" width="16" style="100" customWidth="1"/>
    <col min="7946" max="8192" width="9.140625" style="100"/>
    <col min="8193" max="8193" width="8.5703125" style="100" customWidth="1"/>
    <col min="8194" max="8201" width="16" style="100" customWidth="1"/>
    <col min="8202" max="8448" width="9.140625" style="100"/>
    <col min="8449" max="8449" width="8.5703125" style="100" customWidth="1"/>
    <col min="8450" max="8457" width="16" style="100" customWidth="1"/>
    <col min="8458" max="8704" width="9.140625" style="100"/>
    <col min="8705" max="8705" width="8.5703125" style="100" customWidth="1"/>
    <col min="8706" max="8713" width="16" style="100" customWidth="1"/>
    <col min="8714" max="8960" width="9.140625" style="100"/>
    <col min="8961" max="8961" width="8.5703125" style="100" customWidth="1"/>
    <col min="8962" max="8969" width="16" style="100" customWidth="1"/>
    <col min="8970" max="9216" width="9.140625" style="100"/>
    <col min="9217" max="9217" width="8.5703125" style="100" customWidth="1"/>
    <col min="9218" max="9225" width="16" style="100" customWidth="1"/>
    <col min="9226" max="9472" width="9.140625" style="100"/>
    <col min="9473" max="9473" width="8.5703125" style="100" customWidth="1"/>
    <col min="9474" max="9481" width="16" style="100" customWidth="1"/>
    <col min="9482" max="9728" width="9.140625" style="100"/>
    <col min="9729" max="9729" width="8.5703125" style="100" customWidth="1"/>
    <col min="9730" max="9737" width="16" style="100" customWidth="1"/>
    <col min="9738" max="9984" width="9.140625" style="100"/>
    <col min="9985" max="9985" width="8.5703125" style="100" customWidth="1"/>
    <col min="9986" max="9993" width="16" style="100" customWidth="1"/>
    <col min="9994" max="10240" width="9.140625" style="100"/>
    <col min="10241" max="10241" width="8.5703125" style="100" customWidth="1"/>
    <col min="10242" max="10249" width="16" style="100" customWidth="1"/>
    <col min="10250" max="10496" width="9.140625" style="100"/>
    <col min="10497" max="10497" width="8.5703125" style="100" customWidth="1"/>
    <col min="10498" max="10505" width="16" style="100" customWidth="1"/>
    <col min="10506" max="10752" width="9.140625" style="100"/>
    <col min="10753" max="10753" width="8.5703125" style="100" customWidth="1"/>
    <col min="10754" max="10761" width="16" style="100" customWidth="1"/>
    <col min="10762" max="11008" width="9.140625" style="100"/>
    <col min="11009" max="11009" width="8.5703125" style="100" customWidth="1"/>
    <col min="11010" max="11017" width="16" style="100" customWidth="1"/>
    <col min="11018" max="11264" width="9.140625" style="100"/>
    <col min="11265" max="11265" width="8.5703125" style="100" customWidth="1"/>
    <col min="11266" max="11273" width="16" style="100" customWidth="1"/>
    <col min="11274" max="11520" width="9.140625" style="100"/>
    <col min="11521" max="11521" width="8.5703125" style="100" customWidth="1"/>
    <col min="11522" max="11529" width="16" style="100" customWidth="1"/>
    <col min="11530" max="11776" width="9.140625" style="100"/>
    <col min="11777" max="11777" width="8.5703125" style="100" customWidth="1"/>
    <col min="11778" max="11785" width="16" style="100" customWidth="1"/>
    <col min="11786" max="12032" width="9.140625" style="100"/>
    <col min="12033" max="12033" width="8.5703125" style="100" customWidth="1"/>
    <col min="12034" max="12041" width="16" style="100" customWidth="1"/>
    <col min="12042" max="12288" width="9.140625" style="100"/>
    <col min="12289" max="12289" width="8.5703125" style="100" customWidth="1"/>
    <col min="12290" max="12297" width="16" style="100" customWidth="1"/>
    <col min="12298" max="12544" width="9.140625" style="100"/>
    <col min="12545" max="12545" width="8.5703125" style="100" customWidth="1"/>
    <col min="12546" max="12553" width="16" style="100" customWidth="1"/>
    <col min="12554" max="12800" width="9.140625" style="100"/>
    <col min="12801" max="12801" width="8.5703125" style="100" customWidth="1"/>
    <col min="12802" max="12809" width="16" style="100" customWidth="1"/>
    <col min="12810" max="13056" width="9.140625" style="100"/>
    <col min="13057" max="13057" width="8.5703125" style="100" customWidth="1"/>
    <col min="13058" max="13065" width="16" style="100" customWidth="1"/>
    <col min="13066" max="13312" width="9.140625" style="100"/>
    <col min="13313" max="13313" width="8.5703125" style="100" customWidth="1"/>
    <col min="13314" max="13321" width="16" style="100" customWidth="1"/>
    <col min="13322" max="13568" width="9.140625" style="100"/>
    <col min="13569" max="13569" width="8.5703125" style="100" customWidth="1"/>
    <col min="13570" max="13577" width="16" style="100" customWidth="1"/>
    <col min="13578" max="13824" width="9.140625" style="100"/>
    <col min="13825" max="13825" width="8.5703125" style="100" customWidth="1"/>
    <col min="13826" max="13833" width="16" style="100" customWidth="1"/>
    <col min="13834" max="14080" width="9.140625" style="100"/>
    <col min="14081" max="14081" width="8.5703125" style="100" customWidth="1"/>
    <col min="14082" max="14089" width="16" style="100" customWidth="1"/>
    <col min="14090" max="14336" width="9.140625" style="100"/>
    <col min="14337" max="14337" width="8.5703125" style="100" customWidth="1"/>
    <col min="14338" max="14345" width="16" style="100" customWidth="1"/>
    <col min="14346" max="14592" width="9.140625" style="100"/>
    <col min="14593" max="14593" width="8.5703125" style="100" customWidth="1"/>
    <col min="14594" max="14601" width="16" style="100" customWidth="1"/>
    <col min="14602" max="14848" width="9.140625" style="100"/>
    <col min="14849" max="14849" width="8.5703125" style="100" customWidth="1"/>
    <col min="14850" max="14857" width="16" style="100" customWidth="1"/>
    <col min="14858" max="15104" width="9.140625" style="100"/>
    <col min="15105" max="15105" width="8.5703125" style="100" customWidth="1"/>
    <col min="15106" max="15113" width="16" style="100" customWidth="1"/>
    <col min="15114" max="15360" width="9.140625" style="100"/>
    <col min="15361" max="15361" width="8.5703125" style="100" customWidth="1"/>
    <col min="15362" max="15369" width="16" style="100" customWidth="1"/>
    <col min="15370" max="15616" width="9.140625" style="100"/>
    <col min="15617" max="15617" width="8.5703125" style="100" customWidth="1"/>
    <col min="15618" max="15625" width="16" style="100" customWidth="1"/>
    <col min="15626" max="15872" width="9.140625" style="100"/>
    <col min="15873" max="15873" width="8.5703125" style="100" customWidth="1"/>
    <col min="15874" max="15881" width="16" style="100" customWidth="1"/>
    <col min="15882" max="16128" width="9.140625" style="100"/>
    <col min="16129" max="16129" width="8.5703125" style="100" customWidth="1"/>
    <col min="16130" max="16137" width="16" style="100" customWidth="1"/>
    <col min="16138" max="16384" width="9.140625" style="100"/>
  </cols>
  <sheetData>
    <row r="1" spans="1:9" ht="18" x14ac:dyDescent="0.25">
      <c r="A1" s="117" t="s">
        <v>92</v>
      </c>
      <c r="I1" s="118"/>
    </row>
    <row r="2" spans="1:9" x14ac:dyDescent="0.2">
      <c r="A2" s="119" t="s">
        <v>93</v>
      </c>
      <c r="I2" s="120"/>
    </row>
    <row r="3" spans="1:9" x14ac:dyDescent="0.2">
      <c r="I3" s="121"/>
    </row>
    <row r="4" spans="1:9" x14ac:dyDescent="0.2">
      <c r="I4" s="121"/>
    </row>
    <row r="6" spans="1:9" x14ac:dyDescent="0.2">
      <c r="I6" s="122" t="s">
        <v>94</v>
      </c>
    </row>
    <row r="7" spans="1:9" x14ac:dyDescent="0.2">
      <c r="D7" s="122"/>
      <c r="E7" s="122"/>
      <c r="F7" s="122"/>
      <c r="G7" s="122"/>
      <c r="H7" s="122" t="s">
        <v>95</v>
      </c>
      <c r="I7" s="122" t="s">
        <v>95</v>
      </c>
    </row>
    <row r="8" spans="1:9" x14ac:dyDescent="0.2">
      <c r="B8" s="123" t="s">
        <v>96</v>
      </c>
      <c r="D8" s="122"/>
      <c r="E8" s="122" t="s">
        <v>97</v>
      </c>
      <c r="F8" s="122"/>
      <c r="G8" s="122" t="s">
        <v>98</v>
      </c>
      <c r="H8" s="122" t="s">
        <v>99</v>
      </c>
      <c r="I8" s="122" t="s">
        <v>99</v>
      </c>
    </row>
    <row r="9" spans="1:9" x14ac:dyDescent="0.2">
      <c r="B9" s="122" t="s">
        <v>100</v>
      </c>
      <c r="C9" s="122" t="s">
        <v>101</v>
      </c>
      <c r="D9" s="122" t="s">
        <v>94</v>
      </c>
      <c r="E9" s="122" t="s">
        <v>102</v>
      </c>
      <c r="F9" s="124" t="s">
        <v>103</v>
      </c>
      <c r="G9" s="122" t="s">
        <v>102</v>
      </c>
      <c r="H9" s="122" t="s">
        <v>101</v>
      </c>
      <c r="I9" s="122" t="s">
        <v>101</v>
      </c>
    </row>
    <row r="10" spans="1:9" x14ac:dyDescent="0.2">
      <c r="B10" s="122" t="s">
        <v>104</v>
      </c>
      <c r="C10" s="122" t="s">
        <v>105</v>
      </c>
      <c r="D10" s="122" t="s">
        <v>105</v>
      </c>
      <c r="E10" s="366">
        <f>'LG&amp;E-E Meter Pulse'!G22</f>
        <v>2.5530422532517513E-2</v>
      </c>
      <c r="F10" s="122" t="s">
        <v>105</v>
      </c>
      <c r="G10" s="445">
        <f>+'LGE-E Meter Pu WACOC-Tax Table'!G13</f>
        <v>6.7044673513633468E-2</v>
      </c>
      <c r="H10" s="122" t="s">
        <v>105</v>
      </c>
      <c r="I10" s="122" t="s">
        <v>106</v>
      </c>
    </row>
    <row r="11" spans="1:9" x14ac:dyDescent="0.2">
      <c r="A11" s="122" t="s">
        <v>107</v>
      </c>
      <c r="B11" s="122" t="s">
        <v>108</v>
      </c>
      <c r="C11" s="122" t="s">
        <v>109</v>
      </c>
      <c r="D11" s="122" t="s">
        <v>109</v>
      </c>
      <c r="E11" s="122" t="s">
        <v>110</v>
      </c>
      <c r="F11" s="122" t="s">
        <v>26</v>
      </c>
      <c r="G11" s="122" t="s">
        <v>111</v>
      </c>
      <c r="H11" s="122" t="s">
        <v>26</v>
      </c>
      <c r="I11" s="122" t="s">
        <v>26</v>
      </c>
    </row>
    <row r="12" spans="1:9" x14ac:dyDescent="0.2">
      <c r="A12" s="125" t="s">
        <v>112</v>
      </c>
      <c r="B12" s="125" t="s">
        <v>113</v>
      </c>
      <c r="C12" s="125" t="s">
        <v>114</v>
      </c>
      <c r="D12" s="125" t="s">
        <v>115</v>
      </c>
      <c r="E12" s="125" t="s">
        <v>116</v>
      </c>
      <c r="F12" s="125" t="s">
        <v>117</v>
      </c>
      <c r="G12" s="125" t="s">
        <v>118</v>
      </c>
      <c r="H12" s="125" t="s">
        <v>119</v>
      </c>
      <c r="I12" s="125" t="s">
        <v>120</v>
      </c>
    </row>
    <row r="13" spans="1:9" x14ac:dyDescent="0.2">
      <c r="A13" s="113"/>
      <c r="B13" s="113"/>
      <c r="C13" s="113"/>
      <c r="D13" s="113"/>
      <c r="E13" s="113"/>
      <c r="F13" s="122" t="s">
        <v>121</v>
      </c>
      <c r="G13" s="113"/>
      <c r="H13" s="113" t="s">
        <v>122</v>
      </c>
    </row>
    <row r="14" spans="1:9" x14ac:dyDescent="0.2">
      <c r="A14" s="113"/>
      <c r="B14" s="113"/>
      <c r="C14" s="113"/>
      <c r="D14" s="113"/>
      <c r="E14" s="113"/>
      <c r="F14" s="113"/>
      <c r="G14" s="113"/>
      <c r="H14" s="113"/>
    </row>
    <row r="15" spans="1:9" x14ac:dyDescent="0.2">
      <c r="A15" s="113">
        <v>0</v>
      </c>
      <c r="B15" s="126">
        <v>100</v>
      </c>
      <c r="C15" s="113"/>
      <c r="D15" s="113"/>
      <c r="E15" s="113"/>
      <c r="F15" s="113"/>
      <c r="G15" s="113"/>
      <c r="H15" s="113"/>
    </row>
    <row r="16" spans="1:9" x14ac:dyDescent="0.2">
      <c r="A16" s="122">
        <v>1</v>
      </c>
      <c r="B16" s="126">
        <v>99.298854758402257</v>
      </c>
      <c r="C16" s="127">
        <f>B15-B16</f>
        <v>0.70114524159774305</v>
      </c>
      <c r="D16" s="127">
        <f>D15+C16</f>
        <v>0.70114524159774305</v>
      </c>
      <c r="E16" s="127">
        <f>(1+$E$10)^A16</f>
        <v>1.0255304225325175</v>
      </c>
      <c r="F16" s="127">
        <f>C16*E16</f>
        <v>0.71904577587239749</v>
      </c>
      <c r="G16" s="127">
        <f>1/(1+$G$10)^A16</f>
        <v>0.93716788511500237</v>
      </c>
      <c r="H16" s="126">
        <f>G16*F16</f>
        <v>0.67386660907521079</v>
      </c>
      <c r="I16" s="127">
        <f>I15+H16</f>
        <v>0.67386660907521079</v>
      </c>
    </row>
    <row r="17" spans="1:9" x14ac:dyDescent="0.2">
      <c r="A17" s="122">
        <v>2</v>
      </c>
      <c r="B17" s="126">
        <v>96.895344714681357</v>
      </c>
      <c r="C17" s="127">
        <f>B16-B17</f>
        <v>2.4035100437208996</v>
      </c>
      <c r="D17" s="127">
        <f>D16+C17</f>
        <v>3.1046552853186427</v>
      </c>
      <c r="E17" s="127">
        <f>(1+$E$10)^A17</f>
        <v>1.0517126475397238</v>
      </c>
      <c r="F17" s="127">
        <f>C17*E17</f>
        <v>2.5278019114700245</v>
      </c>
      <c r="G17" s="127">
        <f>1/(1+$G$10)^A17</f>
        <v>0.87828364489092625</v>
      </c>
      <c r="H17" s="126">
        <f>G17*F17</f>
        <v>2.2201270763681435</v>
      </c>
      <c r="I17" s="127">
        <f>I16+H17</f>
        <v>2.8939936854433546</v>
      </c>
    </row>
    <row r="18" spans="1:9" x14ac:dyDescent="0.2">
      <c r="A18" s="122">
        <v>3</v>
      </c>
      <c r="B18" s="126">
        <v>90.799033242460922</v>
      </c>
      <c r="C18" s="127">
        <f>B17-B18</f>
        <v>6.0963114722204352</v>
      </c>
      <c r="D18" s="127">
        <f>D17+C18</f>
        <v>9.2009667575390779</v>
      </c>
      <c r="E18" s="127">
        <f>(1+$E$10)^A18</f>
        <v>1.0785633158142056</v>
      </c>
      <c r="F18" s="127">
        <f>C18*E18</f>
        <v>6.5752579157142543</v>
      </c>
      <c r="G18" s="127">
        <f>1/(1+$G$10)^A18</f>
        <v>0.82309922601352514</v>
      </c>
      <c r="H18" s="126">
        <f>G18*F18</f>
        <v>5.4120897012637075</v>
      </c>
      <c r="I18" s="127">
        <f>I17+H18</f>
        <v>8.306083386707062</v>
      </c>
    </row>
    <row r="19" spans="1:9" x14ac:dyDescent="0.2">
      <c r="A19" s="122">
        <v>4</v>
      </c>
      <c r="B19" s="126">
        <v>78.027274518593032</v>
      </c>
      <c r="C19" s="127">
        <f>B18-B19</f>
        <v>12.77175872386789</v>
      </c>
      <c r="D19" s="127">
        <f>D18+C19</f>
        <v>21.972725481406968</v>
      </c>
      <c r="E19" s="127">
        <f>(1+$E$10)^A19</f>
        <v>1.1060994929950154</v>
      </c>
      <c r="F19" s="127">
        <f>C19*E19</f>
        <v>14.126835849124939</v>
      </c>
      <c r="G19" s="127">
        <f>1/(1+$G$10)^A19</f>
        <v>0.77138216088289069</v>
      </c>
      <c r="H19" s="126">
        <f>G19*F19</f>
        <v>10.897189163735881</v>
      </c>
      <c r="I19" s="127">
        <f>I18+H19</f>
        <v>19.203272550442943</v>
      </c>
    </row>
    <row r="20" spans="1:9" x14ac:dyDescent="0.2">
      <c r="A20" s="122">
        <v>5</v>
      </c>
      <c r="B20" s="126">
        <v>54.741527548555055</v>
      </c>
      <c r="C20" s="127">
        <f>B19-B20</f>
        <v>23.285746970037977</v>
      </c>
      <c r="D20" s="127">
        <f>D19+C20</f>
        <v>45.258472451444945</v>
      </c>
      <c r="E20" s="127">
        <f>(1+$E$10)^A20</f>
        <v>1.1343386804141815</v>
      </c>
      <c r="F20" s="127">
        <f>C20*E20</f>
        <v>26.413923490451403</v>
      </c>
      <c r="G20" s="127">
        <f>1/(1+$G$10)^A20</f>
        <v>0.72291458833005917</v>
      </c>
      <c r="H20" s="126">
        <f>G20*F20</f>
        <v>19.095010626281354</v>
      </c>
      <c r="I20" s="127">
        <f>I19+H20</f>
        <v>38.298283176724297</v>
      </c>
    </row>
    <row r="22" spans="1:9" x14ac:dyDescent="0.2">
      <c r="D22" s="119" t="s">
        <v>93</v>
      </c>
      <c r="I22" s="128">
        <f>I20</f>
        <v>38.298283176724297</v>
      </c>
    </row>
    <row r="23" spans="1:9" ht="18" x14ac:dyDescent="0.25">
      <c r="A23" s="117" t="s">
        <v>92</v>
      </c>
      <c r="I23" s="118"/>
    </row>
    <row r="24" spans="1:9" x14ac:dyDescent="0.2">
      <c r="A24" s="119" t="s">
        <v>123</v>
      </c>
      <c r="I24" s="120"/>
    </row>
    <row r="25" spans="1:9" x14ac:dyDescent="0.2">
      <c r="I25" s="121"/>
    </row>
    <row r="26" spans="1:9" x14ac:dyDescent="0.2">
      <c r="I26" s="121"/>
    </row>
    <row r="27" spans="1:9" x14ac:dyDescent="0.2">
      <c r="A27" s="122">
        <v>1</v>
      </c>
      <c r="B27" s="119" t="s">
        <v>93</v>
      </c>
      <c r="G27" s="129">
        <f>I22</f>
        <v>38.298283176724297</v>
      </c>
      <c r="H27" s="129"/>
    </row>
    <row r="28" spans="1:9" x14ac:dyDescent="0.2">
      <c r="A28" s="122"/>
      <c r="B28" s="119"/>
      <c r="H28" s="130"/>
    </row>
    <row r="29" spans="1:9" x14ac:dyDescent="0.2">
      <c r="A29" s="122">
        <v>2</v>
      </c>
      <c r="B29" s="119" t="s">
        <v>124</v>
      </c>
      <c r="G29" s="131">
        <v>100</v>
      </c>
      <c r="H29" s="132"/>
    </row>
    <row r="30" spans="1:9" x14ac:dyDescent="0.2">
      <c r="A30" s="122"/>
      <c r="B30" s="119"/>
      <c r="G30" s="133"/>
      <c r="H30" s="130"/>
    </row>
    <row r="31" spans="1:9" x14ac:dyDescent="0.2">
      <c r="A31" s="122">
        <v>3</v>
      </c>
      <c r="B31" s="119" t="s">
        <v>125</v>
      </c>
      <c r="G31" s="133">
        <f>G27+G29</f>
        <v>138.29828317672428</v>
      </c>
      <c r="H31" s="129"/>
    </row>
    <row r="32" spans="1:9" x14ac:dyDescent="0.2">
      <c r="A32" s="122"/>
      <c r="B32" s="119"/>
      <c r="H32" s="130"/>
    </row>
    <row r="33" spans="1:10" x14ac:dyDescent="0.2">
      <c r="A33" s="122">
        <v>4</v>
      </c>
      <c r="B33" s="119" t="s">
        <v>126</v>
      </c>
      <c r="G33" s="134">
        <f>'LGE-E Meter Pulse - NPV'!E20/12</f>
        <v>1.9982882765148459E-2</v>
      </c>
      <c r="H33" s="135"/>
      <c r="J33" s="133"/>
    </row>
    <row r="34" spans="1:10" x14ac:dyDescent="0.2">
      <c r="A34" s="122"/>
      <c r="H34" s="130"/>
    </row>
    <row r="35" spans="1:10" x14ac:dyDescent="0.2">
      <c r="A35" s="122">
        <v>5</v>
      </c>
      <c r="B35" s="119" t="s">
        <v>127</v>
      </c>
      <c r="G35" s="136">
        <f>G33*G31/100</f>
        <v>2.7635983793417848E-2</v>
      </c>
      <c r="H35" s="137"/>
    </row>
    <row r="36" spans="1:10" x14ac:dyDescent="0.2">
      <c r="A36" s="122"/>
      <c r="H36" s="130"/>
    </row>
    <row r="37" spans="1:10" x14ac:dyDescent="0.2">
      <c r="A37" s="122">
        <v>6</v>
      </c>
      <c r="B37" s="100" t="s">
        <v>128</v>
      </c>
      <c r="G37" s="136">
        <f>F39/F40/12</f>
        <v>2.782523508802323E-3</v>
      </c>
      <c r="H37" s="138"/>
    </row>
    <row r="38" spans="1:10" x14ac:dyDescent="0.2">
      <c r="A38" s="122"/>
      <c r="H38" s="130"/>
    </row>
    <row r="39" spans="1:10" x14ac:dyDescent="0.2">
      <c r="A39" s="122">
        <v>7</v>
      </c>
      <c r="B39" s="363" t="s">
        <v>320</v>
      </c>
      <c r="C39" s="364"/>
      <c r="D39" s="364"/>
      <c r="E39" s="364"/>
      <c r="F39" s="365">
        <v>50438067.450000003</v>
      </c>
      <c r="H39" s="130"/>
    </row>
    <row r="40" spans="1:10" x14ac:dyDescent="0.2">
      <c r="A40" s="122">
        <v>8</v>
      </c>
      <c r="B40" s="363" t="s">
        <v>321</v>
      </c>
      <c r="C40" s="364"/>
      <c r="D40" s="364"/>
      <c r="E40" s="364"/>
      <c r="F40" s="168">
        <v>1510561285.1800001</v>
      </c>
      <c r="H40" s="130"/>
    </row>
    <row r="41" spans="1:10" x14ac:dyDescent="0.2">
      <c r="A41" s="122"/>
      <c r="H41" s="130"/>
    </row>
    <row r="42" spans="1:10" x14ac:dyDescent="0.2">
      <c r="A42" s="122">
        <v>9</v>
      </c>
      <c r="B42" s="119" t="s">
        <v>129</v>
      </c>
      <c r="G42" s="140">
        <f>G37+G35</f>
        <v>3.041850730222017E-2</v>
      </c>
      <c r="H42" s="138"/>
    </row>
    <row r="43" spans="1:10" x14ac:dyDescent="0.2">
      <c r="H43" s="130"/>
    </row>
    <row r="44" spans="1:10" x14ac:dyDescent="0.2">
      <c r="A44" s="122">
        <v>10</v>
      </c>
      <c r="B44" s="119" t="s">
        <v>130</v>
      </c>
      <c r="G44" s="458">
        <f>'LG&amp;E-E Meter Pulse'!B20</f>
        <v>682.38200000000006</v>
      </c>
      <c r="H44" s="130"/>
    </row>
    <row r="45" spans="1:10" x14ac:dyDescent="0.2">
      <c r="H45" s="130"/>
    </row>
    <row r="46" spans="1:10" x14ac:dyDescent="0.2">
      <c r="A46" s="122">
        <v>11</v>
      </c>
      <c r="B46" s="119" t="s">
        <v>131</v>
      </c>
      <c r="G46" s="6">
        <f>G44*G42</f>
        <v>20.757041849903604</v>
      </c>
      <c r="H46" s="130"/>
    </row>
  </sheetData>
  <pageMargins left="0.75" right="0.75" top="1" bottom="1" header="0.5" footer="0.5"/>
  <pageSetup scale="75" orientation="landscape" r:id="rId1"/>
  <headerFooter differentOddEven="1" differentFirst="1" alignWithMargins="0"/>
  <rowBreaks count="1" manualBreakCount="1">
    <brk id="2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I53"/>
  <sheetViews>
    <sheetView zoomScaleNormal="100" workbookViewId="0">
      <selection activeCell="G46" sqref="G46"/>
    </sheetView>
  </sheetViews>
  <sheetFormatPr defaultRowHeight="12.75" x14ac:dyDescent="0.2"/>
  <cols>
    <col min="1" max="1" width="18.5703125" style="100" customWidth="1"/>
    <col min="2" max="2" width="16.42578125" style="100" bestFit="1" customWidth="1"/>
    <col min="3" max="4" width="9.140625" style="100"/>
    <col min="5" max="5" width="12.5703125" style="100" customWidth="1"/>
    <col min="6" max="6" width="10.28515625" style="100" customWidth="1"/>
    <col min="7" max="256" width="9.140625" style="100"/>
    <col min="257" max="257" width="18.5703125" style="100" customWidth="1"/>
    <col min="258" max="258" width="13.140625" style="100" customWidth="1"/>
    <col min="259" max="260" width="9.140625" style="100"/>
    <col min="261" max="261" width="12.5703125" style="100" customWidth="1"/>
    <col min="262" max="262" width="10.28515625" style="100" customWidth="1"/>
    <col min="263" max="512" width="9.140625" style="100"/>
    <col min="513" max="513" width="18.5703125" style="100" customWidth="1"/>
    <col min="514" max="514" width="13.140625" style="100" customWidth="1"/>
    <col min="515" max="516" width="9.140625" style="100"/>
    <col min="517" max="517" width="12.5703125" style="100" customWidth="1"/>
    <col min="518" max="518" width="10.28515625" style="100" customWidth="1"/>
    <col min="519" max="768" width="9.140625" style="100"/>
    <col min="769" max="769" width="18.5703125" style="100" customWidth="1"/>
    <col min="770" max="770" width="13.140625" style="100" customWidth="1"/>
    <col min="771" max="772" width="9.140625" style="100"/>
    <col min="773" max="773" width="12.5703125" style="100" customWidth="1"/>
    <col min="774" max="774" width="10.28515625" style="100" customWidth="1"/>
    <col min="775" max="1024" width="9.140625" style="100"/>
    <col min="1025" max="1025" width="18.5703125" style="100" customWidth="1"/>
    <col min="1026" max="1026" width="13.140625" style="100" customWidth="1"/>
    <col min="1027" max="1028" width="9.140625" style="100"/>
    <col min="1029" max="1029" width="12.5703125" style="100" customWidth="1"/>
    <col min="1030" max="1030" width="10.28515625" style="100" customWidth="1"/>
    <col min="1031" max="1280" width="9.140625" style="100"/>
    <col min="1281" max="1281" width="18.5703125" style="100" customWidth="1"/>
    <col min="1282" max="1282" width="13.140625" style="100" customWidth="1"/>
    <col min="1283" max="1284" width="9.140625" style="100"/>
    <col min="1285" max="1285" width="12.5703125" style="100" customWidth="1"/>
    <col min="1286" max="1286" width="10.28515625" style="100" customWidth="1"/>
    <col min="1287" max="1536" width="9.140625" style="100"/>
    <col min="1537" max="1537" width="18.5703125" style="100" customWidth="1"/>
    <col min="1538" max="1538" width="13.140625" style="100" customWidth="1"/>
    <col min="1539" max="1540" width="9.140625" style="100"/>
    <col min="1541" max="1541" width="12.5703125" style="100" customWidth="1"/>
    <col min="1542" max="1542" width="10.28515625" style="100" customWidth="1"/>
    <col min="1543" max="1792" width="9.140625" style="100"/>
    <col min="1793" max="1793" width="18.5703125" style="100" customWidth="1"/>
    <col min="1794" max="1794" width="13.140625" style="100" customWidth="1"/>
    <col min="1795" max="1796" width="9.140625" style="100"/>
    <col min="1797" max="1797" width="12.5703125" style="100" customWidth="1"/>
    <col min="1798" max="1798" width="10.28515625" style="100" customWidth="1"/>
    <col min="1799" max="2048" width="9.140625" style="100"/>
    <col min="2049" max="2049" width="18.5703125" style="100" customWidth="1"/>
    <col min="2050" max="2050" width="13.140625" style="100" customWidth="1"/>
    <col min="2051" max="2052" width="9.140625" style="100"/>
    <col min="2053" max="2053" width="12.5703125" style="100" customWidth="1"/>
    <col min="2054" max="2054" width="10.28515625" style="100" customWidth="1"/>
    <col min="2055" max="2304" width="9.140625" style="100"/>
    <col min="2305" max="2305" width="18.5703125" style="100" customWidth="1"/>
    <col min="2306" max="2306" width="13.140625" style="100" customWidth="1"/>
    <col min="2307" max="2308" width="9.140625" style="100"/>
    <col min="2309" max="2309" width="12.5703125" style="100" customWidth="1"/>
    <col min="2310" max="2310" width="10.28515625" style="100" customWidth="1"/>
    <col min="2311" max="2560" width="9.140625" style="100"/>
    <col min="2561" max="2561" width="18.5703125" style="100" customWidth="1"/>
    <col min="2562" max="2562" width="13.140625" style="100" customWidth="1"/>
    <col min="2563" max="2564" width="9.140625" style="100"/>
    <col min="2565" max="2565" width="12.5703125" style="100" customWidth="1"/>
    <col min="2566" max="2566" width="10.28515625" style="100" customWidth="1"/>
    <col min="2567" max="2816" width="9.140625" style="100"/>
    <col min="2817" max="2817" width="18.5703125" style="100" customWidth="1"/>
    <col min="2818" max="2818" width="13.140625" style="100" customWidth="1"/>
    <col min="2819" max="2820" width="9.140625" style="100"/>
    <col min="2821" max="2821" width="12.5703125" style="100" customWidth="1"/>
    <col min="2822" max="2822" width="10.28515625" style="100" customWidth="1"/>
    <col min="2823" max="3072" width="9.140625" style="100"/>
    <col min="3073" max="3073" width="18.5703125" style="100" customWidth="1"/>
    <col min="3074" max="3074" width="13.140625" style="100" customWidth="1"/>
    <col min="3075" max="3076" width="9.140625" style="100"/>
    <col min="3077" max="3077" width="12.5703125" style="100" customWidth="1"/>
    <col min="3078" max="3078" width="10.28515625" style="100" customWidth="1"/>
    <col min="3079" max="3328" width="9.140625" style="100"/>
    <col min="3329" max="3329" width="18.5703125" style="100" customWidth="1"/>
    <col min="3330" max="3330" width="13.140625" style="100" customWidth="1"/>
    <col min="3331" max="3332" width="9.140625" style="100"/>
    <col min="3333" max="3333" width="12.5703125" style="100" customWidth="1"/>
    <col min="3334" max="3334" width="10.28515625" style="100" customWidth="1"/>
    <col min="3335" max="3584" width="9.140625" style="100"/>
    <col min="3585" max="3585" width="18.5703125" style="100" customWidth="1"/>
    <col min="3586" max="3586" width="13.140625" style="100" customWidth="1"/>
    <col min="3587" max="3588" width="9.140625" style="100"/>
    <col min="3589" max="3589" width="12.5703125" style="100" customWidth="1"/>
    <col min="3590" max="3590" width="10.28515625" style="100" customWidth="1"/>
    <col min="3591" max="3840" width="9.140625" style="100"/>
    <col min="3841" max="3841" width="18.5703125" style="100" customWidth="1"/>
    <col min="3842" max="3842" width="13.140625" style="100" customWidth="1"/>
    <col min="3843" max="3844" width="9.140625" style="100"/>
    <col min="3845" max="3845" width="12.5703125" style="100" customWidth="1"/>
    <col min="3846" max="3846" width="10.28515625" style="100" customWidth="1"/>
    <col min="3847" max="4096" width="9.140625" style="100"/>
    <col min="4097" max="4097" width="18.5703125" style="100" customWidth="1"/>
    <col min="4098" max="4098" width="13.140625" style="100" customWidth="1"/>
    <col min="4099" max="4100" width="9.140625" style="100"/>
    <col min="4101" max="4101" width="12.5703125" style="100" customWidth="1"/>
    <col min="4102" max="4102" width="10.28515625" style="100" customWidth="1"/>
    <col min="4103" max="4352" width="9.140625" style="100"/>
    <col min="4353" max="4353" width="18.5703125" style="100" customWidth="1"/>
    <col min="4354" max="4354" width="13.140625" style="100" customWidth="1"/>
    <col min="4355" max="4356" width="9.140625" style="100"/>
    <col min="4357" max="4357" width="12.5703125" style="100" customWidth="1"/>
    <col min="4358" max="4358" width="10.28515625" style="100" customWidth="1"/>
    <col min="4359" max="4608" width="9.140625" style="100"/>
    <col min="4609" max="4609" width="18.5703125" style="100" customWidth="1"/>
    <col min="4610" max="4610" width="13.140625" style="100" customWidth="1"/>
    <col min="4611" max="4612" width="9.140625" style="100"/>
    <col min="4613" max="4613" width="12.5703125" style="100" customWidth="1"/>
    <col min="4614" max="4614" width="10.28515625" style="100" customWidth="1"/>
    <col min="4615" max="4864" width="9.140625" style="100"/>
    <col min="4865" max="4865" width="18.5703125" style="100" customWidth="1"/>
    <col min="4866" max="4866" width="13.140625" style="100" customWidth="1"/>
    <col min="4867" max="4868" width="9.140625" style="100"/>
    <col min="4869" max="4869" width="12.5703125" style="100" customWidth="1"/>
    <col min="4870" max="4870" width="10.28515625" style="100" customWidth="1"/>
    <col min="4871" max="5120" width="9.140625" style="100"/>
    <col min="5121" max="5121" width="18.5703125" style="100" customWidth="1"/>
    <col min="5122" max="5122" width="13.140625" style="100" customWidth="1"/>
    <col min="5123" max="5124" width="9.140625" style="100"/>
    <col min="5125" max="5125" width="12.5703125" style="100" customWidth="1"/>
    <col min="5126" max="5126" width="10.28515625" style="100" customWidth="1"/>
    <col min="5127" max="5376" width="9.140625" style="100"/>
    <col min="5377" max="5377" width="18.5703125" style="100" customWidth="1"/>
    <col min="5378" max="5378" width="13.140625" style="100" customWidth="1"/>
    <col min="5379" max="5380" width="9.140625" style="100"/>
    <col min="5381" max="5381" width="12.5703125" style="100" customWidth="1"/>
    <col min="5382" max="5382" width="10.28515625" style="100" customWidth="1"/>
    <col min="5383" max="5632" width="9.140625" style="100"/>
    <col min="5633" max="5633" width="18.5703125" style="100" customWidth="1"/>
    <col min="5634" max="5634" width="13.140625" style="100" customWidth="1"/>
    <col min="5635" max="5636" width="9.140625" style="100"/>
    <col min="5637" max="5637" width="12.5703125" style="100" customWidth="1"/>
    <col min="5638" max="5638" width="10.28515625" style="100" customWidth="1"/>
    <col min="5639" max="5888" width="9.140625" style="100"/>
    <col min="5889" max="5889" width="18.5703125" style="100" customWidth="1"/>
    <col min="5890" max="5890" width="13.140625" style="100" customWidth="1"/>
    <col min="5891" max="5892" width="9.140625" style="100"/>
    <col min="5893" max="5893" width="12.5703125" style="100" customWidth="1"/>
    <col min="5894" max="5894" width="10.28515625" style="100" customWidth="1"/>
    <col min="5895" max="6144" width="9.140625" style="100"/>
    <col min="6145" max="6145" width="18.5703125" style="100" customWidth="1"/>
    <col min="6146" max="6146" width="13.140625" style="100" customWidth="1"/>
    <col min="6147" max="6148" width="9.140625" style="100"/>
    <col min="6149" max="6149" width="12.5703125" style="100" customWidth="1"/>
    <col min="6150" max="6150" width="10.28515625" style="100" customWidth="1"/>
    <col min="6151" max="6400" width="9.140625" style="100"/>
    <col min="6401" max="6401" width="18.5703125" style="100" customWidth="1"/>
    <col min="6402" max="6402" width="13.140625" style="100" customWidth="1"/>
    <col min="6403" max="6404" width="9.140625" style="100"/>
    <col min="6405" max="6405" width="12.5703125" style="100" customWidth="1"/>
    <col min="6406" max="6406" width="10.28515625" style="100" customWidth="1"/>
    <col min="6407" max="6656" width="9.140625" style="100"/>
    <col min="6657" max="6657" width="18.5703125" style="100" customWidth="1"/>
    <col min="6658" max="6658" width="13.140625" style="100" customWidth="1"/>
    <col min="6659" max="6660" width="9.140625" style="100"/>
    <col min="6661" max="6661" width="12.5703125" style="100" customWidth="1"/>
    <col min="6662" max="6662" width="10.28515625" style="100" customWidth="1"/>
    <col min="6663" max="6912" width="9.140625" style="100"/>
    <col min="6913" max="6913" width="18.5703125" style="100" customWidth="1"/>
    <col min="6914" max="6914" width="13.140625" style="100" customWidth="1"/>
    <col min="6915" max="6916" width="9.140625" style="100"/>
    <col min="6917" max="6917" width="12.5703125" style="100" customWidth="1"/>
    <col min="6918" max="6918" width="10.28515625" style="100" customWidth="1"/>
    <col min="6919" max="7168" width="9.140625" style="100"/>
    <col min="7169" max="7169" width="18.5703125" style="100" customWidth="1"/>
    <col min="7170" max="7170" width="13.140625" style="100" customWidth="1"/>
    <col min="7171" max="7172" width="9.140625" style="100"/>
    <col min="7173" max="7173" width="12.5703125" style="100" customWidth="1"/>
    <col min="7174" max="7174" width="10.28515625" style="100" customWidth="1"/>
    <col min="7175" max="7424" width="9.140625" style="100"/>
    <col min="7425" max="7425" width="18.5703125" style="100" customWidth="1"/>
    <col min="7426" max="7426" width="13.140625" style="100" customWidth="1"/>
    <col min="7427" max="7428" width="9.140625" style="100"/>
    <col min="7429" max="7429" width="12.5703125" style="100" customWidth="1"/>
    <col min="7430" max="7430" width="10.28515625" style="100" customWidth="1"/>
    <col min="7431" max="7680" width="9.140625" style="100"/>
    <col min="7681" max="7681" width="18.5703125" style="100" customWidth="1"/>
    <col min="7682" max="7682" width="13.140625" style="100" customWidth="1"/>
    <col min="7683" max="7684" width="9.140625" style="100"/>
    <col min="7685" max="7685" width="12.5703125" style="100" customWidth="1"/>
    <col min="7686" max="7686" width="10.28515625" style="100" customWidth="1"/>
    <col min="7687" max="7936" width="9.140625" style="100"/>
    <col min="7937" max="7937" width="18.5703125" style="100" customWidth="1"/>
    <col min="7938" max="7938" width="13.140625" style="100" customWidth="1"/>
    <col min="7939" max="7940" width="9.140625" style="100"/>
    <col min="7941" max="7941" width="12.5703125" style="100" customWidth="1"/>
    <col min="7942" max="7942" width="10.28515625" style="100" customWidth="1"/>
    <col min="7943" max="8192" width="9.140625" style="100"/>
    <col min="8193" max="8193" width="18.5703125" style="100" customWidth="1"/>
    <col min="8194" max="8194" width="13.140625" style="100" customWidth="1"/>
    <col min="8195" max="8196" width="9.140625" style="100"/>
    <col min="8197" max="8197" width="12.5703125" style="100" customWidth="1"/>
    <col min="8198" max="8198" width="10.28515625" style="100" customWidth="1"/>
    <col min="8199" max="8448" width="9.140625" style="100"/>
    <col min="8449" max="8449" width="18.5703125" style="100" customWidth="1"/>
    <col min="8450" max="8450" width="13.140625" style="100" customWidth="1"/>
    <col min="8451" max="8452" width="9.140625" style="100"/>
    <col min="8453" max="8453" width="12.5703125" style="100" customWidth="1"/>
    <col min="8454" max="8454" width="10.28515625" style="100" customWidth="1"/>
    <col min="8455" max="8704" width="9.140625" style="100"/>
    <col min="8705" max="8705" width="18.5703125" style="100" customWidth="1"/>
    <col min="8706" max="8706" width="13.140625" style="100" customWidth="1"/>
    <col min="8707" max="8708" width="9.140625" style="100"/>
    <col min="8709" max="8709" width="12.5703125" style="100" customWidth="1"/>
    <col min="8710" max="8710" width="10.28515625" style="100" customWidth="1"/>
    <col min="8711" max="8960" width="9.140625" style="100"/>
    <col min="8961" max="8961" width="18.5703125" style="100" customWidth="1"/>
    <col min="8962" max="8962" width="13.140625" style="100" customWidth="1"/>
    <col min="8963" max="8964" width="9.140625" style="100"/>
    <col min="8965" max="8965" width="12.5703125" style="100" customWidth="1"/>
    <col min="8966" max="8966" width="10.28515625" style="100" customWidth="1"/>
    <col min="8967" max="9216" width="9.140625" style="100"/>
    <col min="9217" max="9217" width="18.5703125" style="100" customWidth="1"/>
    <col min="9218" max="9218" width="13.140625" style="100" customWidth="1"/>
    <col min="9219" max="9220" width="9.140625" style="100"/>
    <col min="9221" max="9221" width="12.5703125" style="100" customWidth="1"/>
    <col min="9222" max="9222" width="10.28515625" style="100" customWidth="1"/>
    <col min="9223" max="9472" width="9.140625" style="100"/>
    <col min="9473" max="9473" width="18.5703125" style="100" customWidth="1"/>
    <col min="9474" max="9474" width="13.140625" style="100" customWidth="1"/>
    <col min="9475" max="9476" width="9.140625" style="100"/>
    <col min="9477" max="9477" width="12.5703125" style="100" customWidth="1"/>
    <col min="9478" max="9478" width="10.28515625" style="100" customWidth="1"/>
    <col min="9479" max="9728" width="9.140625" style="100"/>
    <col min="9729" max="9729" width="18.5703125" style="100" customWidth="1"/>
    <col min="9730" max="9730" width="13.140625" style="100" customWidth="1"/>
    <col min="9731" max="9732" width="9.140625" style="100"/>
    <col min="9733" max="9733" width="12.5703125" style="100" customWidth="1"/>
    <col min="9734" max="9734" width="10.28515625" style="100" customWidth="1"/>
    <col min="9735" max="9984" width="9.140625" style="100"/>
    <col min="9985" max="9985" width="18.5703125" style="100" customWidth="1"/>
    <col min="9986" max="9986" width="13.140625" style="100" customWidth="1"/>
    <col min="9987" max="9988" width="9.140625" style="100"/>
    <col min="9989" max="9989" width="12.5703125" style="100" customWidth="1"/>
    <col min="9990" max="9990" width="10.28515625" style="100" customWidth="1"/>
    <col min="9991" max="10240" width="9.140625" style="100"/>
    <col min="10241" max="10241" width="18.5703125" style="100" customWidth="1"/>
    <col min="10242" max="10242" width="13.140625" style="100" customWidth="1"/>
    <col min="10243" max="10244" width="9.140625" style="100"/>
    <col min="10245" max="10245" width="12.5703125" style="100" customWidth="1"/>
    <col min="10246" max="10246" width="10.28515625" style="100" customWidth="1"/>
    <col min="10247" max="10496" width="9.140625" style="100"/>
    <col min="10497" max="10497" width="18.5703125" style="100" customWidth="1"/>
    <col min="10498" max="10498" width="13.140625" style="100" customWidth="1"/>
    <col min="10499" max="10500" width="9.140625" style="100"/>
    <col min="10501" max="10501" width="12.5703125" style="100" customWidth="1"/>
    <col min="10502" max="10502" width="10.28515625" style="100" customWidth="1"/>
    <col min="10503" max="10752" width="9.140625" style="100"/>
    <col min="10753" max="10753" width="18.5703125" style="100" customWidth="1"/>
    <col min="10754" max="10754" width="13.140625" style="100" customWidth="1"/>
    <col min="10755" max="10756" width="9.140625" style="100"/>
    <col min="10757" max="10757" width="12.5703125" style="100" customWidth="1"/>
    <col min="10758" max="10758" width="10.28515625" style="100" customWidth="1"/>
    <col min="10759" max="11008" width="9.140625" style="100"/>
    <col min="11009" max="11009" width="18.5703125" style="100" customWidth="1"/>
    <col min="11010" max="11010" width="13.140625" style="100" customWidth="1"/>
    <col min="11011" max="11012" width="9.140625" style="100"/>
    <col min="11013" max="11013" width="12.5703125" style="100" customWidth="1"/>
    <col min="11014" max="11014" width="10.28515625" style="100" customWidth="1"/>
    <col min="11015" max="11264" width="9.140625" style="100"/>
    <col min="11265" max="11265" width="18.5703125" style="100" customWidth="1"/>
    <col min="11266" max="11266" width="13.140625" style="100" customWidth="1"/>
    <col min="11267" max="11268" width="9.140625" style="100"/>
    <col min="11269" max="11269" width="12.5703125" style="100" customWidth="1"/>
    <col min="11270" max="11270" width="10.28515625" style="100" customWidth="1"/>
    <col min="11271" max="11520" width="9.140625" style="100"/>
    <col min="11521" max="11521" width="18.5703125" style="100" customWidth="1"/>
    <col min="11522" max="11522" width="13.140625" style="100" customWidth="1"/>
    <col min="11523" max="11524" width="9.140625" style="100"/>
    <col min="11525" max="11525" width="12.5703125" style="100" customWidth="1"/>
    <col min="11526" max="11526" width="10.28515625" style="100" customWidth="1"/>
    <col min="11527" max="11776" width="9.140625" style="100"/>
    <col min="11777" max="11777" width="18.5703125" style="100" customWidth="1"/>
    <col min="11778" max="11778" width="13.140625" style="100" customWidth="1"/>
    <col min="11779" max="11780" width="9.140625" style="100"/>
    <col min="11781" max="11781" width="12.5703125" style="100" customWidth="1"/>
    <col min="11782" max="11782" width="10.28515625" style="100" customWidth="1"/>
    <col min="11783" max="12032" width="9.140625" style="100"/>
    <col min="12033" max="12033" width="18.5703125" style="100" customWidth="1"/>
    <col min="12034" max="12034" width="13.140625" style="100" customWidth="1"/>
    <col min="12035" max="12036" width="9.140625" style="100"/>
    <col min="12037" max="12037" width="12.5703125" style="100" customWidth="1"/>
    <col min="12038" max="12038" width="10.28515625" style="100" customWidth="1"/>
    <col min="12039" max="12288" width="9.140625" style="100"/>
    <col min="12289" max="12289" width="18.5703125" style="100" customWidth="1"/>
    <col min="12290" max="12290" width="13.140625" style="100" customWidth="1"/>
    <col min="12291" max="12292" width="9.140625" style="100"/>
    <col min="12293" max="12293" width="12.5703125" style="100" customWidth="1"/>
    <col min="12294" max="12294" width="10.28515625" style="100" customWidth="1"/>
    <col min="12295" max="12544" width="9.140625" style="100"/>
    <col min="12545" max="12545" width="18.5703125" style="100" customWidth="1"/>
    <col min="12546" max="12546" width="13.140625" style="100" customWidth="1"/>
    <col min="12547" max="12548" width="9.140625" style="100"/>
    <col min="12549" max="12549" width="12.5703125" style="100" customWidth="1"/>
    <col min="12550" max="12550" width="10.28515625" style="100" customWidth="1"/>
    <col min="12551" max="12800" width="9.140625" style="100"/>
    <col min="12801" max="12801" width="18.5703125" style="100" customWidth="1"/>
    <col min="12802" max="12802" width="13.140625" style="100" customWidth="1"/>
    <col min="12803" max="12804" width="9.140625" style="100"/>
    <col min="12805" max="12805" width="12.5703125" style="100" customWidth="1"/>
    <col min="12806" max="12806" width="10.28515625" style="100" customWidth="1"/>
    <col min="12807" max="13056" width="9.140625" style="100"/>
    <col min="13057" max="13057" width="18.5703125" style="100" customWidth="1"/>
    <col min="13058" max="13058" width="13.140625" style="100" customWidth="1"/>
    <col min="13059" max="13060" width="9.140625" style="100"/>
    <col min="13061" max="13061" width="12.5703125" style="100" customWidth="1"/>
    <col min="13062" max="13062" width="10.28515625" style="100" customWidth="1"/>
    <col min="13063" max="13312" width="9.140625" style="100"/>
    <col min="13313" max="13313" width="18.5703125" style="100" customWidth="1"/>
    <col min="13314" max="13314" width="13.140625" style="100" customWidth="1"/>
    <col min="13315" max="13316" width="9.140625" style="100"/>
    <col min="13317" max="13317" width="12.5703125" style="100" customWidth="1"/>
    <col min="13318" max="13318" width="10.28515625" style="100" customWidth="1"/>
    <col min="13319" max="13568" width="9.140625" style="100"/>
    <col min="13569" max="13569" width="18.5703125" style="100" customWidth="1"/>
    <col min="13570" max="13570" width="13.140625" style="100" customWidth="1"/>
    <col min="13571" max="13572" width="9.140625" style="100"/>
    <col min="13573" max="13573" width="12.5703125" style="100" customWidth="1"/>
    <col min="13574" max="13574" width="10.28515625" style="100" customWidth="1"/>
    <col min="13575" max="13824" width="9.140625" style="100"/>
    <col min="13825" max="13825" width="18.5703125" style="100" customWidth="1"/>
    <col min="13826" max="13826" width="13.140625" style="100" customWidth="1"/>
    <col min="13827" max="13828" width="9.140625" style="100"/>
    <col min="13829" max="13829" width="12.5703125" style="100" customWidth="1"/>
    <col min="13830" max="13830" width="10.28515625" style="100" customWidth="1"/>
    <col min="13831" max="14080" width="9.140625" style="100"/>
    <col min="14081" max="14081" width="18.5703125" style="100" customWidth="1"/>
    <col min="14082" max="14082" width="13.140625" style="100" customWidth="1"/>
    <col min="14083" max="14084" width="9.140625" style="100"/>
    <col min="14085" max="14085" width="12.5703125" style="100" customWidth="1"/>
    <col min="14086" max="14086" width="10.28515625" style="100" customWidth="1"/>
    <col min="14087" max="14336" width="9.140625" style="100"/>
    <col min="14337" max="14337" width="18.5703125" style="100" customWidth="1"/>
    <col min="14338" max="14338" width="13.140625" style="100" customWidth="1"/>
    <col min="14339" max="14340" width="9.140625" style="100"/>
    <col min="14341" max="14341" width="12.5703125" style="100" customWidth="1"/>
    <col min="14342" max="14342" width="10.28515625" style="100" customWidth="1"/>
    <col min="14343" max="14592" width="9.140625" style="100"/>
    <col min="14593" max="14593" width="18.5703125" style="100" customWidth="1"/>
    <col min="14594" max="14594" width="13.140625" style="100" customWidth="1"/>
    <col min="14595" max="14596" width="9.140625" style="100"/>
    <col min="14597" max="14597" width="12.5703125" style="100" customWidth="1"/>
    <col min="14598" max="14598" width="10.28515625" style="100" customWidth="1"/>
    <col min="14599" max="14848" width="9.140625" style="100"/>
    <col min="14849" max="14849" width="18.5703125" style="100" customWidth="1"/>
    <col min="14850" max="14850" width="13.140625" style="100" customWidth="1"/>
    <col min="14851" max="14852" width="9.140625" style="100"/>
    <col min="14853" max="14853" width="12.5703125" style="100" customWidth="1"/>
    <col min="14854" max="14854" width="10.28515625" style="100" customWidth="1"/>
    <col min="14855" max="15104" width="9.140625" style="100"/>
    <col min="15105" max="15105" width="18.5703125" style="100" customWidth="1"/>
    <col min="15106" max="15106" width="13.140625" style="100" customWidth="1"/>
    <col min="15107" max="15108" width="9.140625" style="100"/>
    <col min="15109" max="15109" width="12.5703125" style="100" customWidth="1"/>
    <col min="15110" max="15110" width="10.28515625" style="100" customWidth="1"/>
    <col min="15111" max="15360" width="9.140625" style="100"/>
    <col min="15361" max="15361" width="18.5703125" style="100" customWidth="1"/>
    <col min="15362" max="15362" width="13.140625" style="100" customWidth="1"/>
    <col min="15363" max="15364" width="9.140625" style="100"/>
    <col min="15365" max="15365" width="12.5703125" style="100" customWidth="1"/>
    <col min="15366" max="15366" width="10.28515625" style="100" customWidth="1"/>
    <col min="15367" max="15616" width="9.140625" style="100"/>
    <col min="15617" max="15617" width="18.5703125" style="100" customWidth="1"/>
    <col min="15618" max="15618" width="13.140625" style="100" customWidth="1"/>
    <col min="15619" max="15620" width="9.140625" style="100"/>
    <col min="15621" max="15621" width="12.5703125" style="100" customWidth="1"/>
    <col min="15622" max="15622" width="10.28515625" style="100" customWidth="1"/>
    <col min="15623" max="15872" width="9.140625" style="100"/>
    <col min="15873" max="15873" width="18.5703125" style="100" customWidth="1"/>
    <col min="15874" max="15874" width="13.140625" style="100" customWidth="1"/>
    <col min="15875" max="15876" width="9.140625" style="100"/>
    <col min="15877" max="15877" width="12.5703125" style="100" customWidth="1"/>
    <col min="15878" max="15878" width="10.28515625" style="100" customWidth="1"/>
    <col min="15879" max="16128" width="9.140625" style="100"/>
    <col min="16129" max="16129" width="18.5703125" style="100" customWidth="1"/>
    <col min="16130" max="16130" width="13.140625" style="100" customWidth="1"/>
    <col min="16131" max="16132" width="9.140625" style="100"/>
    <col min="16133" max="16133" width="12.5703125" style="100" customWidth="1"/>
    <col min="16134" max="16134" width="10.28515625" style="100" customWidth="1"/>
    <col min="16135" max="16384" width="9.140625" style="100"/>
  </cols>
  <sheetData>
    <row r="1" spans="1:7" ht="18" x14ac:dyDescent="0.25">
      <c r="A1" s="117" t="s">
        <v>92</v>
      </c>
      <c r="G1" s="118"/>
    </row>
    <row r="2" spans="1:7" x14ac:dyDescent="0.2">
      <c r="A2" s="104" t="s">
        <v>132</v>
      </c>
      <c r="G2" s="120"/>
    </row>
    <row r="3" spans="1:7" x14ac:dyDescent="0.2">
      <c r="A3" s="104"/>
      <c r="G3" s="121"/>
    </row>
    <row r="4" spans="1:7" x14ac:dyDescent="0.2">
      <c r="G4" s="121"/>
    </row>
    <row r="7" spans="1:7" x14ac:dyDescent="0.2">
      <c r="A7" s="104" t="s">
        <v>133</v>
      </c>
    </row>
    <row r="8" spans="1:7" x14ac:dyDescent="0.2">
      <c r="B8" s="446"/>
      <c r="C8" s="104"/>
      <c r="D8" s="104"/>
      <c r="E8" s="141" t="s">
        <v>134</v>
      </c>
      <c r="G8" s="141" t="s">
        <v>135</v>
      </c>
    </row>
    <row r="9" spans="1:7" x14ac:dyDescent="0.2">
      <c r="B9" s="451"/>
      <c r="C9" s="142" t="s">
        <v>136</v>
      </c>
      <c r="D9" s="142" t="s">
        <v>31</v>
      </c>
      <c r="E9" s="142" t="s">
        <v>137</v>
      </c>
      <c r="F9" s="142" t="s">
        <v>138</v>
      </c>
      <c r="G9" s="143" t="s">
        <v>31</v>
      </c>
    </row>
    <row r="10" spans="1:7" x14ac:dyDescent="0.2">
      <c r="A10" s="100" t="s">
        <v>181</v>
      </c>
      <c r="B10" s="452"/>
      <c r="C10" s="144">
        <v>1.2724441454179317E-2</v>
      </c>
      <c r="D10" s="447">
        <v>4.6014989982342287E-3</v>
      </c>
      <c r="E10" s="144">
        <f>C10*D10</f>
        <v>5.8551504604496218E-5</v>
      </c>
      <c r="F10" s="171">
        <v>0.2495</v>
      </c>
      <c r="G10" s="144">
        <f>E10*(1-F10)</f>
        <v>4.3942904205674406E-5</v>
      </c>
    </row>
    <row r="11" spans="1:7" x14ac:dyDescent="0.2">
      <c r="A11" s="100" t="s">
        <v>182</v>
      </c>
      <c r="B11" s="455"/>
      <c r="C11" s="144">
        <v>0.45540799186533276</v>
      </c>
      <c r="D11" s="447">
        <v>4.0417299088459008E-2</v>
      </c>
      <c r="E11" s="144">
        <f>C11*D11</f>
        <v>1.8406361014495661E-2</v>
      </c>
      <c r="F11" s="171">
        <f>+F10</f>
        <v>0.2495</v>
      </c>
      <c r="G11" s="144">
        <f>E11*(1-F11)</f>
        <v>1.3813973941378992E-2</v>
      </c>
    </row>
    <row r="12" spans="1:7" x14ac:dyDescent="0.2">
      <c r="A12" s="100" t="s">
        <v>139</v>
      </c>
      <c r="B12" s="455"/>
      <c r="C12" s="144">
        <v>0.53186756668048796</v>
      </c>
      <c r="D12" s="170">
        <v>0.1</v>
      </c>
      <c r="E12" s="147">
        <f>C12*D12</f>
        <v>5.3186756668048799E-2</v>
      </c>
      <c r="G12" s="148">
        <f>E12</f>
        <v>5.3186756668048799E-2</v>
      </c>
    </row>
    <row r="13" spans="1:7" x14ac:dyDescent="0.2">
      <c r="B13" s="456"/>
      <c r="E13" s="140">
        <f>SUM(E10:E12)</f>
        <v>7.1651669187148964E-2</v>
      </c>
      <c r="G13" s="140">
        <f>SUM(G10:G12)</f>
        <v>6.7044673513633468E-2</v>
      </c>
    </row>
    <row r="14" spans="1:7" x14ac:dyDescent="0.2">
      <c r="B14" s="19"/>
    </row>
    <row r="15" spans="1:7" x14ac:dyDescent="0.2">
      <c r="B15" s="471" t="s">
        <v>140</v>
      </c>
      <c r="C15" s="471"/>
      <c r="D15" s="471"/>
      <c r="E15" s="471"/>
    </row>
    <row r="17" spans="1:9" x14ac:dyDescent="0.2">
      <c r="B17" s="100">
        <v>5</v>
      </c>
      <c r="C17" s="100">
        <v>10</v>
      </c>
      <c r="D17" s="100">
        <v>15</v>
      </c>
      <c r="E17" s="100">
        <v>20</v>
      </c>
      <c r="I17" s="450"/>
    </row>
    <row r="18" spans="1:9" x14ac:dyDescent="0.2">
      <c r="A18" s="100">
        <v>1</v>
      </c>
      <c r="B18" s="145">
        <v>0.2</v>
      </c>
      <c r="C18" s="145">
        <v>0.1</v>
      </c>
      <c r="D18" s="145">
        <v>0.05</v>
      </c>
      <c r="E18" s="145">
        <v>3.7499999999999999E-2</v>
      </c>
      <c r="F18" s="144"/>
    </row>
    <row r="19" spans="1:9" x14ac:dyDescent="0.2">
      <c r="A19" s="100">
        <v>2</v>
      </c>
      <c r="B19" s="145">
        <v>0.32</v>
      </c>
      <c r="C19" s="145">
        <v>0.18</v>
      </c>
      <c r="D19" s="145">
        <v>9.5000000000000001E-2</v>
      </c>
      <c r="E19" s="145">
        <v>7.2190000000000004E-2</v>
      </c>
      <c r="F19" s="144"/>
    </row>
    <row r="20" spans="1:9" x14ac:dyDescent="0.2">
      <c r="A20" s="100">
        <v>3</v>
      </c>
      <c r="B20" s="145">
        <v>0.192</v>
      </c>
      <c r="C20" s="145">
        <v>0.14399999999999999</v>
      </c>
      <c r="D20" s="145">
        <v>8.5500000000000007E-2</v>
      </c>
      <c r="E20" s="145">
        <v>6.6769999999999996E-2</v>
      </c>
      <c r="F20" s="144"/>
    </row>
    <row r="21" spans="1:9" x14ac:dyDescent="0.2">
      <c r="A21" s="100">
        <v>4</v>
      </c>
      <c r="B21" s="145">
        <v>0.1152</v>
      </c>
      <c r="C21" s="145">
        <v>0.1152</v>
      </c>
      <c r="D21" s="145">
        <v>7.6999999999999999E-2</v>
      </c>
      <c r="E21" s="145">
        <v>6.1769999999999999E-2</v>
      </c>
      <c r="F21" s="144"/>
    </row>
    <row r="22" spans="1:9" x14ac:dyDescent="0.2">
      <c r="A22" s="100">
        <v>5</v>
      </c>
      <c r="B22" s="145">
        <v>0.1152</v>
      </c>
      <c r="C22" s="145">
        <v>9.2200000000000004E-2</v>
      </c>
      <c r="D22" s="145">
        <v>6.93E-2</v>
      </c>
      <c r="E22" s="145">
        <v>5.713E-2</v>
      </c>
      <c r="F22" s="144"/>
    </row>
    <row r="23" spans="1:9" x14ac:dyDescent="0.2">
      <c r="A23" s="100">
        <v>6</v>
      </c>
      <c r="B23" s="150">
        <v>5.7600000000000047E-2</v>
      </c>
      <c r="C23" s="145">
        <v>7.3700000000000002E-2</v>
      </c>
      <c r="D23" s="145">
        <v>6.2300000000000001E-2</v>
      </c>
      <c r="E23" s="145">
        <v>5.2850000000000001E-2</v>
      </c>
      <c r="F23" s="144"/>
    </row>
    <row r="24" spans="1:9" x14ac:dyDescent="0.2">
      <c r="A24" s="100">
        <v>7</v>
      </c>
      <c r="B24" s="145">
        <v>0</v>
      </c>
      <c r="C24" s="145">
        <v>6.5500000000000003E-2</v>
      </c>
      <c r="D24" s="145">
        <v>5.8999999999999997E-2</v>
      </c>
      <c r="E24" s="145">
        <v>4.888E-2</v>
      </c>
      <c r="F24" s="144"/>
    </row>
    <row r="25" spans="1:9" x14ac:dyDescent="0.2">
      <c r="A25" s="100">
        <v>8</v>
      </c>
      <c r="B25" s="145">
        <v>0</v>
      </c>
      <c r="C25" s="145">
        <v>6.5500000000000003E-2</v>
      </c>
      <c r="D25" s="145">
        <v>5.8999999999999997E-2</v>
      </c>
      <c r="E25" s="145">
        <v>4.5220000000000003E-2</v>
      </c>
      <c r="F25" s="144"/>
    </row>
    <row r="26" spans="1:9" x14ac:dyDescent="0.2">
      <c r="A26" s="100">
        <v>9</v>
      </c>
      <c r="B26" s="145">
        <v>0</v>
      </c>
      <c r="C26" s="145">
        <v>6.5600000000000006E-2</v>
      </c>
      <c r="D26" s="145">
        <v>5.91E-2</v>
      </c>
      <c r="E26" s="145">
        <v>4.462E-2</v>
      </c>
      <c r="F26" s="144"/>
    </row>
    <row r="27" spans="1:9" x14ac:dyDescent="0.2">
      <c r="A27" s="100">
        <v>10</v>
      </c>
      <c r="B27" s="145">
        <v>0</v>
      </c>
      <c r="C27" s="145">
        <v>6.5500000000000003E-2</v>
      </c>
      <c r="D27" s="145">
        <v>5.8999999999999997E-2</v>
      </c>
      <c r="E27" s="145">
        <v>4.4609999999999997E-2</v>
      </c>
      <c r="F27" s="144"/>
    </row>
    <row r="28" spans="1:9" x14ac:dyDescent="0.2">
      <c r="A28" s="100">
        <v>11</v>
      </c>
      <c r="B28" s="145">
        <v>0</v>
      </c>
      <c r="C28" s="145">
        <v>3.2800000000000003E-2</v>
      </c>
      <c r="D28" s="145">
        <v>5.91E-2</v>
      </c>
      <c r="E28" s="145">
        <v>4.462E-2</v>
      </c>
      <c r="F28" s="144"/>
    </row>
    <row r="29" spans="1:9" x14ac:dyDescent="0.2">
      <c r="A29" s="100">
        <v>12</v>
      </c>
      <c r="B29" s="145">
        <v>0</v>
      </c>
      <c r="C29" s="145">
        <v>0</v>
      </c>
      <c r="D29" s="145">
        <v>5.8999999999999997E-2</v>
      </c>
      <c r="E29" s="145">
        <v>4.4609999999999997E-2</v>
      </c>
      <c r="F29" s="144"/>
    </row>
    <row r="30" spans="1:9" x14ac:dyDescent="0.2">
      <c r="A30" s="100">
        <v>13</v>
      </c>
      <c r="B30" s="145">
        <v>0</v>
      </c>
      <c r="C30" s="145">
        <v>0</v>
      </c>
      <c r="D30" s="145">
        <v>5.91E-2</v>
      </c>
      <c r="E30" s="145">
        <v>4.462E-2</v>
      </c>
      <c r="F30" s="144"/>
    </row>
    <row r="31" spans="1:9" x14ac:dyDescent="0.2">
      <c r="A31" s="100">
        <v>14</v>
      </c>
      <c r="B31" s="145">
        <v>0</v>
      </c>
      <c r="C31" s="145">
        <v>0</v>
      </c>
      <c r="D31" s="145">
        <v>5.8999999999999997E-2</v>
      </c>
      <c r="E31" s="145">
        <v>4.4609999999999997E-2</v>
      </c>
      <c r="F31" s="144"/>
    </row>
    <row r="32" spans="1:9" x14ac:dyDescent="0.2">
      <c r="A32" s="100">
        <v>15</v>
      </c>
      <c r="B32" s="145">
        <v>0</v>
      </c>
      <c r="C32" s="145">
        <v>0</v>
      </c>
      <c r="D32" s="145">
        <v>5.91E-2</v>
      </c>
      <c r="E32" s="145">
        <v>4.462E-2</v>
      </c>
      <c r="F32" s="144"/>
    </row>
    <row r="33" spans="1:6" x14ac:dyDescent="0.2">
      <c r="A33" s="100">
        <v>16</v>
      </c>
      <c r="B33" s="145">
        <v>0</v>
      </c>
      <c r="C33" s="145">
        <v>0</v>
      </c>
      <c r="D33" s="145">
        <v>2.9499999999999998E-2</v>
      </c>
      <c r="E33" s="145">
        <v>4.4609999999999997E-2</v>
      </c>
      <c r="F33" s="144"/>
    </row>
    <row r="34" spans="1:6" x14ac:dyDescent="0.2">
      <c r="A34" s="100">
        <v>17</v>
      </c>
      <c r="B34" s="145">
        <v>0</v>
      </c>
      <c r="C34" s="145">
        <v>0</v>
      </c>
      <c r="D34" s="145">
        <v>0</v>
      </c>
      <c r="E34" s="145">
        <v>4.462E-2</v>
      </c>
      <c r="F34" s="144"/>
    </row>
    <row r="35" spans="1:6" x14ac:dyDescent="0.2">
      <c r="A35" s="100">
        <v>18</v>
      </c>
      <c r="B35" s="145">
        <v>0</v>
      </c>
      <c r="C35" s="145">
        <v>0</v>
      </c>
      <c r="D35" s="145">
        <v>0</v>
      </c>
      <c r="E35" s="145">
        <v>4.4609999999999997E-2</v>
      </c>
      <c r="F35" s="144"/>
    </row>
    <row r="36" spans="1:6" x14ac:dyDescent="0.2">
      <c r="A36" s="100">
        <v>19</v>
      </c>
      <c r="B36" s="145">
        <v>0</v>
      </c>
      <c r="C36" s="145">
        <v>0</v>
      </c>
      <c r="D36" s="145">
        <v>0</v>
      </c>
      <c r="E36" s="145">
        <v>4.462E-2</v>
      </c>
      <c r="F36" s="144"/>
    </row>
    <row r="37" spans="1:6" x14ac:dyDescent="0.2">
      <c r="A37" s="100">
        <v>20</v>
      </c>
      <c r="B37" s="145">
        <v>0</v>
      </c>
      <c r="C37" s="145">
        <v>0</v>
      </c>
      <c r="D37" s="145">
        <v>0</v>
      </c>
      <c r="E37" s="145">
        <v>4.4609999999999997E-2</v>
      </c>
      <c r="F37" s="144"/>
    </row>
    <row r="38" spans="1:6" x14ac:dyDescent="0.2">
      <c r="A38" s="100">
        <v>21</v>
      </c>
      <c r="B38" s="145">
        <v>0</v>
      </c>
      <c r="C38" s="145">
        <v>0</v>
      </c>
      <c r="D38" s="145">
        <v>0</v>
      </c>
      <c r="E38" s="145">
        <v>2.231E-2</v>
      </c>
      <c r="F38" s="144"/>
    </row>
    <row r="39" spans="1:6" x14ac:dyDescent="0.2">
      <c r="A39" s="100">
        <v>22</v>
      </c>
      <c r="B39" s="145">
        <v>0</v>
      </c>
      <c r="C39" s="145">
        <v>0</v>
      </c>
      <c r="D39" s="145">
        <v>0</v>
      </c>
      <c r="E39" s="145">
        <v>0</v>
      </c>
    </row>
    <row r="40" spans="1:6" x14ac:dyDescent="0.2">
      <c r="A40" s="100">
        <v>23</v>
      </c>
      <c r="B40" s="145">
        <v>0</v>
      </c>
      <c r="C40" s="145">
        <v>0</v>
      </c>
      <c r="D40" s="145">
        <v>0</v>
      </c>
      <c r="E40" s="145">
        <v>0</v>
      </c>
    </row>
    <row r="41" spans="1:6" x14ac:dyDescent="0.2">
      <c r="A41" s="100">
        <v>24</v>
      </c>
      <c r="B41" s="145">
        <v>0</v>
      </c>
      <c r="C41" s="145">
        <v>0</v>
      </c>
      <c r="D41" s="145">
        <v>0</v>
      </c>
      <c r="E41" s="145">
        <v>0</v>
      </c>
    </row>
    <row r="42" spans="1:6" x14ac:dyDescent="0.2">
      <c r="A42" s="100">
        <v>25</v>
      </c>
      <c r="B42" s="145">
        <v>0</v>
      </c>
      <c r="C42" s="145">
        <v>0</v>
      </c>
      <c r="D42" s="145">
        <v>0</v>
      </c>
      <c r="E42" s="145">
        <v>0</v>
      </c>
    </row>
    <row r="43" spans="1:6" x14ac:dyDescent="0.2">
      <c r="A43" s="100">
        <v>26</v>
      </c>
      <c r="B43" s="145">
        <v>0</v>
      </c>
      <c r="C43" s="145">
        <v>0</v>
      </c>
      <c r="D43" s="145">
        <v>0</v>
      </c>
      <c r="E43" s="145">
        <v>0</v>
      </c>
    </row>
    <row r="44" spans="1:6" x14ac:dyDescent="0.2">
      <c r="A44" s="100">
        <v>27</v>
      </c>
      <c r="B44" s="145">
        <v>0</v>
      </c>
      <c r="C44" s="145">
        <v>0</v>
      </c>
      <c r="D44" s="145">
        <v>0</v>
      </c>
      <c r="E44" s="145">
        <v>0</v>
      </c>
    </row>
    <row r="45" spans="1:6" x14ac:dyDescent="0.2">
      <c r="A45" s="100">
        <v>28</v>
      </c>
      <c r="B45" s="145">
        <v>0</v>
      </c>
      <c r="C45" s="145">
        <v>0</v>
      </c>
      <c r="D45" s="145">
        <v>0</v>
      </c>
      <c r="E45" s="145">
        <v>0</v>
      </c>
    </row>
    <row r="46" spans="1:6" x14ac:dyDescent="0.2">
      <c r="A46" s="100">
        <v>29</v>
      </c>
      <c r="B46" s="145">
        <v>0</v>
      </c>
      <c r="C46" s="145">
        <v>0</v>
      </c>
      <c r="D46" s="145">
        <v>0</v>
      </c>
      <c r="E46" s="145">
        <v>0</v>
      </c>
    </row>
    <row r="47" spans="1:6" x14ac:dyDescent="0.2">
      <c r="A47" s="100">
        <v>30</v>
      </c>
      <c r="B47" s="145">
        <v>0</v>
      </c>
      <c r="C47" s="145">
        <v>0</v>
      </c>
      <c r="D47" s="145">
        <v>0</v>
      </c>
      <c r="E47" s="145">
        <v>0</v>
      </c>
    </row>
    <row r="48" spans="1:6" x14ac:dyDescent="0.2">
      <c r="A48" s="100">
        <v>31</v>
      </c>
      <c r="B48" s="145">
        <v>0</v>
      </c>
      <c r="C48" s="145">
        <v>0</v>
      </c>
      <c r="D48" s="145">
        <v>0</v>
      </c>
      <c r="E48" s="145">
        <v>0</v>
      </c>
    </row>
    <row r="49" spans="1:5" x14ac:dyDescent="0.2">
      <c r="A49" s="100">
        <v>31</v>
      </c>
      <c r="B49" s="145">
        <v>0</v>
      </c>
      <c r="C49" s="145">
        <v>0</v>
      </c>
      <c r="D49" s="145">
        <v>0</v>
      </c>
      <c r="E49" s="145">
        <v>0</v>
      </c>
    </row>
    <row r="51" spans="1:5" x14ac:dyDescent="0.2">
      <c r="B51" s="149"/>
    </row>
    <row r="53" spans="1:5" x14ac:dyDescent="0.2">
      <c r="B53" s="149"/>
    </row>
  </sheetData>
  <mergeCells count="1">
    <mergeCell ref="B15:E15"/>
  </mergeCells>
  <pageMargins left="0.75" right="0.75" top="1" bottom="1" header="0.5" footer="0.5"/>
  <pageSetup orientation="portrait" verticalDpi="12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T86"/>
  <sheetViews>
    <sheetView zoomScaleNormal="100" workbookViewId="0">
      <selection activeCell="G46" sqref="G46"/>
    </sheetView>
  </sheetViews>
  <sheetFormatPr defaultRowHeight="12.75" x14ac:dyDescent="0.2"/>
  <cols>
    <col min="1" max="1" width="9.140625" style="100"/>
    <col min="2" max="2" width="12.28515625" style="100" customWidth="1"/>
    <col min="3" max="3" width="13.5703125" style="100" customWidth="1"/>
    <col min="4" max="4" width="12.5703125" style="100" customWidth="1"/>
    <col min="5" max="5" width="13" style="100" customWidth="1"/>
    <col min="6" max="7" width="12.85546875" style="100" customWidth="1"/>
    <col min="8" max="8" width="14" style="100" customWidth="1"/>
    <col min="9" max="9" width="13.140625" style="100" customWidth="1"/>
    <col min="10" max="10" width="12.85546875" style="100" customWidth="1"/>
    <col min="11" max="11" width="12.140625" style="100" customWidth="1"/>
    <col min="12" max="12" width="12" style="100" hidden="1" customWidth="1"/>
    <col min="13" max="13" width="11" style="100" hidden="1" customWidth="1"/>
    <col min="14" max="14" width="11.85546875" style="100" customWidth="1"/>
    <col min="15" max="15" width="14.28515625" style="100" customWidth="1"/>
    <col min="16" max="16" width="12.28515625" style="100" customWidth="1"/>
    <col min="17" max="17" width="13.85546875" style="100" customWidth="1"/>
    <col min="18" max="18" width="15" style="100" customWidth="1"/>
    <col min="19" max="257" width="9.140625" style="100"/>
    <col min="258" max="258" width="12.28515625" style="100" customWidth="1"/>
    <col min="259" max="259" width="13.5703125" style="100" customWidth="1"/>
    <col min="260" max="260" width="12.5703125" style="100" customWidth="1"/>
    <col min="261" max="261" width="13" style="100" customWidth="1"/>
    <col min="262" max="263" width="12.85546875" style="100" customWidth="1"/>
    <col min="264" max="264" width="14" style="100" customWidth="1"/>
    <col min="265" max="265" width="13.140625" style="100" customWidth="1"/>
    <col min="266" max="266" width="12.85546875" style="100" customWidth="1"/>
    <col min="267" max="267" width="12.140625" style="100" customWidth="1"/>
    <col min="268" max="269" width="0" style="100" hidden="1" customWidth="1"/>
    <col min="270" max="270" width="11.85546875" style="100" customWidth="1"/>
    <col min="271" max="271" width="14.28515625" style="100" customWidth="1"/>
    <col min="272" max="272" width="12.28515625" style="100" customWidth="1"/>
    <col min="273" max="273" width="13.85546875" style="100" customWidth="1"/>
    <col min="274" max="274" width="15" style="100" customWidth="1"/>
    <col min="275" max="513" width="9.140625" style="100"/>
    <col min="514" max="514" width="12.28515625" style="100" customWidth="1"/>
    <col min="515" max="515" width="13.5703125" style="100" customWidth="1"/>
    <col min="516" max="516" width="12.5703125" style="100" customWidth="1"/>
    <col min="517" max="517" width="13" style="100" customWidth="1"/>
    <col min="518" max="519" width="12.85546875" style="100" customWidth="1"/>
    <col min="520" max="520" width="14" style="100" customWidth="1"/>
    <col min="521" max="521" width="13.140625" style="100" customWidth="1"/>
    <col min="522" max="522" width="12.85546875" style="100" customWidth="1"/>
    <col min="523" max="523" width="12.140625" style="100" customWidth="1"/>
    <col min="524" max="525" width="0" style="100" hidden="1" customWidth="1"/>
    <col min="526" max="526" width="11.85546875" style="100" customWidth="1"/>
    <col min="527" max="527" width="14.28515625" style="100" customWidth="1"/>
    <col min="528" max="528" width="12.28515625" style="100" customWidth="1"/>
    <col min="529" max="529" width="13.85546875" style="100" customWidth="1"/>
    <col min="530" max="530" width="15" style="100" customWidth="1"/>
    <col min="531" max="769" width="9.140625" style="100"/>
    <col min="770" max="770" width="12.28515625" style="100" customWidth="1"/>
    <col min="771" max="771" width="13.5703125" style="100" customWidth="1"/>
    <col min="772" max="772" width="12.5703125" style="100" customWidth="1"/>
    <col min="773" max="773" width="13" style="100" customWidth="1"/>
    <col min="774" max="775" width="12.85546875" style="100" customWidth="1"/>
    <col min="776" max="776" width="14" style="100" customWidth="1"/>
    <col min="777" max="777" width="13.140625" style="100" customWidth="1"/>
    <col min="778" max="778" width="12.85546875" style="100" customWidth="1"/>
    <col min="779" max="779" width="12.140625" style="100" customWidth="1"/>
    <col min="780" max="781" width="0" style="100" hidden="1" customWidth="1"/>
    <col min="782" max="782" width="11.85546875" style="100" customWidth="1"/>
    <col min="783" max="783" width="14.28515625" style="100" customWidth="1"/>
    <col min="784" max="784" width="12.28515625" style="100" customWidth="1"/>
    <col min="785" max="785" width="13.85546875" style="100" customWidth="1"/>
    <col min="786" max="786" width="15" style="100" customWidth="1"/>
    <col min="787" max="1025" width="9.140625" style="100"/>
    <col min="1026" max="1026" width="12.28515625" style="100" customWidth="1"/>
    <col min="1027" max="1027" width="13.5703125" style="100" customWidth="1"/>
    <col min="1028" max="1028" width="12.5703125" style="100" customWidth="1"/>
    <col min="1029" max="1029" width="13" style="100" customWidth="1"/>
    <col min="1030" max="1031" width="12.85546875" style="100" customWidth="1"/>
    <col min="1032" max="1032" width="14" style="100" customWidth="1"/>
    <col min="1033" max="1033" width="13.140625" style="100" customWidth="1"/>
    <col min="1034" max="1034" width="12.85546875" style="100" customWidth="1"/>
    <col min="1035" max="1035" width="12.140625" style="100" customWidth="1"/>
    <col min="1036" max="1037" width="0" style="100" hidden="1" customWidth="1"/>
    <col min="1038" max="1038" width="11.85546875" style="100" customWidth="1"/>
    <col min="1039" max="1039" width="14.28515625" style="100" customWidth="1"/>
    <col min="1040" max="1040" width="12.28515625" style="100" customWidth="1"/>
    <col min="1041" max="1041" width="13.85546875" style="100" customWidth="1"/>
    <col min="1042" max="1042" width="15" style="100" customWidth="1"/>
    <col min="1043" max="1281" width="9.140625" style="100"/>
    <col min="1282" max="1282" width="12.28515625" style="100" customWidth="1"/>
    <col min="1283" max="1283" width="13.5703125" style="100" customWidth="1"/>
    <col min="1284" max="1284" width="12.5703125" style="100" customWidth="1"/>
    <col min="1285" max="1285" width="13" style="100" customWidth="1"/>
    <col min="1286" max="1287" width="12.85546875" style="100" customWidth="1"/>
    <col min="1288" max="1288" width="14" style="100" customWidth="1"/>
    <col min="1289" max="1289" width="13.140625" style="100" customWidth="1"/>
    <col min="1290" max="1290" width="12.85546875" style="100" customWidth="1"/>
    <col min="1291" max="1291" width="12.140625" style="100" customWidth="1"/>
    <col min="1292" max="1293" width="0" style="100" hidden="1" customWidth="1"/>
    <col min="1294" max="1294" width="11.85546875" style="100" customWidth="1"/>
    <col min="1295" max="1295" width="14.28515625" style="100" customWidth="1"/>
    <col min="1296" max="1296" width="12.28515625" style="100" customWidth="1"/>
    <col min="1297" max="1297" width="13.85546875" style="100" customWidth="1"/>
    <col min="1298" max="1298" width="15" style="100" customWidth="1"/>
    <col min="1299" max="1537" width="9.140625" style="100"/>
    <col min="1538" max="1538" width="12.28515625" style="100" customWidth="1"/>
    <col min="1539" max="1539" width="13.5703125" style="100" customWidth="1"/>
    <col min="1540" max="1540" width="12.5703125" style="100" customWidth="1"/>
    <col min="1541" max="1541" width="13" style="100" customWidth="1"/>
    <col min="1542" max="1543" width="12.85546875" style="100" customWidth="1"/>
    <col min="1544" max="1544" width="14" style="100" customWidth="1"/>
    <col min="1545" max="1545" width="13.140625" style="100" customWidth="1"/>
    <col min="1546" max="1546" width="12.85546875" style="100" customWidth="1"/>
    <col min="1547" max="1547" width="12.140625" style="100" customWidth="1"/>
    <col min="1548" max="1549" width="0" style="100" hidden="1" customWidth="1"/>
    <col min="1550" max="1550" width="11.85546875" style="100" customWidth="1"/>
    <col min="1551" max="1551" width="14.28515625" style="100" customWidth="1"/>
    <col min="1552" max="1552" width="12.28515625" style="100" customWidth="1"/>
    <col min="1553" max="1553" width="13.85546875" style="100" customWidth="1"/>
    <col min="1554" max="1554" width="15" style="100" customWidth="1"/>
    <col min="1555" max="1793" width="9.140625" style="100"/>
    <col min="1794" max="1794" width="12.28515625" style="100" customWidth="1"/>
    <col min="1795" max="1795" width="13.5703125" style="100" customWidth="1"/>
    <col min="1796" max="1796" width="12.5703125" style="100" customWidth="1"/>
    <col min="1797" max="1797" width="13" style="100" customWidth="1"/>
    <col min="1798" max="1799" width="12.85546875" style="100" customWidth="1"/>
    <col min="1800" max="1800" width="14" style="100" customWidth="1"/>
    <col min="1801" max="1801" width="13.140625" style="100" customWidth="1"/>
    <col min="1802" max="1802" width="12.85546875" style="100" customWidth="1"/>
    <col min="1803" max="1803" width="12.140625" style="100" customWidth="1"/>
    <col min="1804" max="1805" width="0" style="100" hidden="1" customWidth="1"/>
    <col min="1806" max="1806" width="11.85546875" style="100" customWidth="1"/>
    <col min="1807" max="1807" width="14.28515625" style="100" customWidth="1"/>
    <col min="1808" max="1808" width="12.28515625" style="100" customWidth="1"/>
    <col min="1809" max="1809" width="13.85546875" style="100" customWidth="1"/>
    <col min="1810" max="1810" width="15" style="100" customWidth="1"/>
    <col min="1811" max="2049" width="9.140625" style="100"/>
    <col min="2050" max="2050" width="12.28515625" style="100" customWidth="1"/>
    <col min="2051" max="2051" width="13.5703125" style="100" customWidth="1"/>
    <col min="2052" max="2052" width="12.5703125" style="100" customWidth="1"/>
    <col min="2053" max="2053" width="13" style="100" customWidth="1"/>
    <col min="2054" max="2055" width="12.85546875" style="100" customWidth="1"/>
    <col min="2056" max="2056" width="14" style="100" customWidth="1"/>
    <col min="2057" max="2057" width="13.140625" style="100" customWidth="1"/>
    <col min="2058" max="2058" width="12.85546875" style="100" customWidth="1"/>
    <col min="2059" max="2059" width="12.140625" style="100" customWidth="1"/>
    <col min="2060" max="2061" width="0" style="100" hidden="1" customWidth="1"/>
    <col min="2062" max="2062" width="11.85546875" style="100" customWidth="1"/>
    <col min="2063" max="2063" width="14.28515625" style="100" customWidth="1"/>
    <col min="2064" max="2064" width="12.28515625" style="100" customWidth="1"/>
    <col min="2065" max="2065" width="13.85546875" style="100" customWidth="1"/>
    <col min="2066" max="2066" width="15" style="100" customWidth="1"/>
    <col min="2067" max="2305" width="9.140625" style="100"/>
    <col min="2306" max="2306" width="12.28515625" style="100" customWidth="1"/>
    <col min="2307" max="2307" width="13.5703125" style="100" customWidth="1"/>
    <col min="2308" max="2308" width="12.5703125" style="100" customWidth="1"/>
    <col min="2309" max="2309" width="13" style="100" customWidth="1"/>
    <col min="2310" max="2311" width="12.85546875" style="100" customWidth="1"/>
    <col min="2312" max="2312" width="14" style="100" customWidth="1"/>
    <col min="2313" max="2313" width="13.140625" style="100" customWidth="1"/>
    <col min="2314" max="2314" width="12.85546875" style="100" customWidth="1"/>
    <col min="2315" max="2315" width="12.140625" style="100" customWidth="1"/>
    <col min="2316" max="2317" width="0" style="100" hidden="1" customWidth="1"/>
    <col min="2318" max="2318" width="11.85546875" style="100" customWidth="1"/>
    <col min="2319" max="2319" width="14.28515625" style="100" customWidth="1"/>
    <col min="2320" max="2320" width="12.28515625" style="100" customWidth="1"/>
    <col min="2321" max="2321" width="13.85546875" style="100" customWidth="1"/>
    <col min="2322" max="2322" width="15" style="100" customWidth="1"/>
    <col min="2323" max="2561" width="9.140625" style="100"/>
    <col min="2562" max="2562" width="12.28515625" style="100" customWidth="1"/>
    <col min="2563" max="2563" width="13.5703125" style="100" customWidth="1"/>
    <col min="2564" max="2564" width="12.5703125" style="100" customWidth="1"/>
    <col min="2565" max="2565" width="13" style="100" customWidth="1"/>
    <col min="2566" max="2567" width="12.85546875" style="100" customWidth="1"/>
    <col min="2568" max="2568" width="14" style="100" customWidth="1"/>
    <col min="2569" max="2569" width="13.140625" style="100" customWidth="1"/>
    <col min="2570" max="2570" width="12.85546875" style="100" customWidth="1"/>
    <col min="2571" max="2571" width="12.140625" style="100" customWidth="1"/>
    <col min="2572" max="2573" width="0" style="100" hidden="1" customWidth="1"/>
    <col min="2574" max="2574" width="11.85546875" style="100" customWidth="1"/>
    <col min="2575" max="2575" width="14.28515625" style="100" customWidth="1"/>
    <col min="2576" max="2576" width="12.28515625" style="100" customWidth="1"/>
    <col min="2577" max="2577" width="13.85546875" style="100" customWidth="1"/>
    <col min="2578" max="2578" width="15" style="100" customWidth="1"/>
    <col min="2579" max="2817" width="9.140625" style="100"/>
    <col min="2818" max="2818" width="12.28515625" style="100" customWidth="1"/>
    <col min="2819" max="2819" width="13.5703125" style="100" customWidth="1"/>
    <col min="2820" max="2820" width="12.5703125" style="100" customWidth="1"/>
    <col min="2821" max="2821" width="13" style="100" customWidth="1"/>
    <col min="2822" max="2823" width="12.85546875" style="100" customWidth="1"/>
    <col min="2824" max="2824" width="14" style="100" customWidth="1"/>
    <col min="2825" max="2825" width="13.140625" style="100" customWidth="1"/>
    <col min="2826" max="2826" width="12.85546875" style="100" customWidth="1"/>
    <col min="2827" max="2827" width="12.140625" style="100" customWidth="1"/>
    <col min="2828" max="2829" width="0" style="100" hidden="1" customWidth="1"/>
    <col min="2830" max="2830" width="11.85546875" style="100" customWidth="1"/>
    <col min="2831" max="2831" width="14.28515625" style="100" customWidth="1"/>
    <col min="2832" max="2832" width="12.28515625" style="100" customWidth="1"/>
    <col min="2833" max="2833" width="13.85546875" style="100" customWidth="1"/>
    <col min="2834" max="2834" width="15" style="100" customWidth="1"/>
    <col min="2835" max="3073" width="9.140625" style="100"/>
    <col min="3074" max="3074" width="12.28515625" style="100" customWidth="1"/>
    <col min="3075" max="3075" width="13.5703125" style="100" customWidth="1"/>
    <col min="3076" max="3076" width="12.5703125" style="100" customWidth="1"/>
    <col min="3077" max="3077" width="13" style="100" customWidth="1"/>
    <col min="3078" max="3079" width="12.85546875" style="100" customWidth="1"/>
    <col min="3080" max="3080" width="14" style="100" customWidth="1"/>
    <col min="3081" max="3081" width="13.140625" style="100" customWidth="1"/>
    <col min="3082" max="3082" width="12.85546875" style="100" customWidth="1"/>
    <col min="3083" max="3083" width="12.140625" style="100" customWidth="1"/>
    <col min="3084" max="3085" width="0" style="100" hidden="1" customWidth="1"/>
    <col min="3086" max="3086" width="11.85546875" style="100" customWidth="1"/>
    <col min="3087" max="3087" width="14.28515625" style="100" customWidth="1"/>
    <col min="3088" max="3088" width="12.28515625" style="100" customWidth="1"/>
    <col min="3089" max="3089" width="13.85546875" style="100" customWidth="1"/>
    <col min="3090" max="3090" width="15" style="100" customWidth="1"/>
    <col min="3091" max="3329" width="9.140625" style="100"/>
    <col min="3330" max="3330" width="12.28515625" style="100" customWidth="1"/>
    <col min="3331" max="3331" width="13.5703125" style="100" customWidth="1"/>
    <col min="3332" max="3332" width="12.5703125" style="100" customWidth="1"/>
    <col min="3333" max="3333" width="13" style="100" customWidth="1"/>
    <col min="3334" max="3335" width="12.85546875" style="100" customWidth="1"/>
    <col min="3336" max="3336" width="14" style="100" customWidth="1"/>
    <col min="3337" max="3337" width="13.140625" style="100" customWidth="1"/>
    <col min="3338" max="3338" width="12.85546875" style="100" customWidth="1"/>
    <col min="3339" max="3339" width="12.140625" style="100" customWidth="1"/>
    <col min="3340" max="3341" width="0" style="100" hidden="1" customWidth="1"/>
    <col min="3342" max="3342" width="11.85546875" style="100" customWidth="1"/>
    <col min="3343" max="3343" width="14.28515625" style="100" customWidth="1"/>
    <col min="3344" max="3344" width="12.28515625" style="100" customWidth="1"/>
    <col min="3345" max="3345" width="13.85546875" style="100" customWidth="1"/>
    <col min="3346" max="3346" width="15" style="100" customWidth="1"/>
    <col min="3347" max="3585" width="9.140625" style="100"/>
    <col min="3586" max="3586" width="12.28515625" style="100" customWidth="1"/>
    <col min="3587" max="3587" width="13.5703125" style="100" customWidth="1"/>
    <col min="3588" max="3588" width="12.5703125" style="100" customWidth="1"/>
    <col min="3589" max="3589" width="13" style="100" customWidth="1"/>
    <col min="3590" max="3591" width="12.85546875" style="100" customWidth="1"/>
    <col min="3592" max="3592" width="14" style="100" customWidth="1"/>
    <col min="3593" max="3593" width="13.140625" style="100" customWidth="1"/>
    <col min="3594" max="3594" width="12.85546875" style="100" customWidth="1"/>
    <col min="3595" max="3595" width="12.140625" style="100" customWidth="1"/>
    <col min="3596" max="3597" width="0" style="100" hidden="1" customWidth="1"/>
    <col min="3598" max="3598" width="11.85546875" style="100" customWidth="1"/>
    <col min="3599" max="3599" width="14.28515625" style="100" customWidth="1"/>
    <col min="3600" max="3600" width="12.28515625" style="100" customWidth="1"/>
    <col min="3601" max="3601" width="13.85546875" style="100" customWidth="1"/>
    <col min="3602" max="3602" width="15" style="100" customWidth="1"/>
    <col min="3603" max="3841" width="9.140625" style="100"/>
    <col min="3842" max="3842" width="12.28515625" style="100" customWidth="1"/>
    <col min="3843" max="3843" width="13.5703125" style="100" customWidth="1"/>
    <col min="3844" max="3844" width="12.5703125" style="100" customWidth="1"/>
    <col min="3845" max="3845" width="13" style="100" customWidth="1"/>
    <col min="3846" max="3847" width="12.85546875" style="100" customWidth="1"/>
    <col min="3848" max="3848" width="14" style="100" customWidth="1"/>
    <col min="3849" max="3849" width="13.140625" style="100" customWidth="1"/>
    <col min="3850" max="3850" width="12.85546875" style="100" customWidth="1"/>
    <col min="3851" max="3851" width="12.140625" style="100" customWidth="1"/>
    <col min="3852" max="3853" width="0" style="100" hidden="1" customWidth="1"/>
    <col min="3854" max="3854" width="11.85546875" style="100" customWidth="1"/>
    <col min="3855" max="3855" width="14.28515625" style="100" customWidth="1"/>
    <col min="3856" max="3856" width="12.28515625" style="100" customWidth="1"/>
    <col min="3857" max="3857" width="13.85546875" style="100" customWidth="1"/>
    <col min="3858" max="3858" width="15" style="100" customWidth="1"/>
    <col min="3859" max="4097" width="9.140625" style="100"/>
    <col min="4098" max="4098" width="12.28515625" style="100" customWidth="1"/>
    <col min="4099" max="4099" width="13.5703125" style="100" customWidth="1"/>
    <col min="4100" max="4100" width="12.5703125" style="100" customWidth="1"/>
    <col min="4101" max="4101" width="13" style="100" customWidth="1"/>
    <col min="4102" max="4103" width="12.85546875" style="100" customWidth="1"/>
    <col min="4104" max="4104" width="14" style="100" customWidth="1"/>
    <col min="4105" max="4105" width="13.140625" style="100" customWidth="1"/>
    <col min="4106" max="4106" width="12.85546875" style="100" customWidth="1"/>
    <col min="4107" max="4107" width="12.140625" style="100" customWidth="1"/>
    <col min="4108" max="4109" width="0" style="100" hidden="1" customWidth="1"/>
    <col min="4110" max="4110" width="11.85546875" style="100" customWidth="1"/>
    <col min="4111" max="4111" width="14.28515625" style="100" customWidth="1"/>
    <col min="4112" max="4112" width="12.28515625" style="100" customWidth="1"/>
    <col min="4113" max="4113" width="13.85546875" style="100" customWidth="1"/>
    <col min="4114" max="4114" width="15" style="100" customWidth="1"/>
    <col min="4115" max="4353" width="9.140625" style="100"/>
    <col min="4354" max="4354" width="12.28515625" style="100" customWidth="1"/>
    <col min="4355" max="4355" width="13.5703125" style="100" customWidth="1"/>
    <col min="4356" max="4356" width="12.5703125" style="100" customWidth="1"/>
    <col min="4357" max="4357" width="13" style="100" customWidth="1"/>
    <col min="4358" max="4359" width="12.85546875" style="100" customWidth="1"/>
    <col min="4360" max="4360" width="14" style="100" customWidth="1"/>
    <col min="4361" max="4361" width="13.140625" style="100" customWidth="1"/>
    <col min="4362" max="4362" width="12.85546875" style="100" customWidth="1"/>
    <col min="4363" max="4363" width="12.140625" style="100" customWidth="1"/>
    <col min="4364" max="4365" width="0" style="100" hidden="1" customWidth="1"/>
    <col min="4366" max="4366" width="11.85546875" style="100" customWidth="1"/>
    <col min="4367" max="4367" width="14.28515625" style="100" customWidth="1"/>
    <col min="4368" max="4368" width="12.28515625" style="100" customWidth="1"/>
    <col min="4369" max="4369" width="13.85546875" style="100" customWidth="1"/>
    <col min="4370" max="4370" width="15" style="100" customWidth="1"/>
    <col min="4371" max="4609" width="9.140625" style="100"/>
    <col min="4610" max="4610" width="12.28515625" style="100" customWidth="1"/>
    <col min="4611" max="4611" width="13.5703125" style="100" customWidth="1"/>
    <col min="4612" max="4612" width="12.5703125" style="100" customWidth="1"/>
    <col min="4613" max="4613" width="13" style="100" customWidth="1"/>
    <col min="4614" max="4615" width="12.85546875" style="100" customWidth="1"/>
    <col min="4616" max="4616" width="14" style="100" customWidth="1"/>
    <col min="4617" max="4617" width="13.140625" style="100" customWidth="1"/>
    <col min="4618" max="4618" width="12.85546875" style="100" customWidth="1"/>
    <col min="4619" max="4619" width="12.140625" style="100" customWidth="1"/>
    <col min="4620" max="4621" width="0" style="100" hidden="1" customWidth="1"/>
    <col min="4622" max="4622" width="11.85546875" style="100" customWidth="1"/>
    <col min="4623" max="4623" width="14.28515625" style="100" customWidth="1"/>
    <col min="4624" max="4624" width="12.28515625" style="100" customWidth="1"/>
    <col min="4625" max="4625" width="13.85546875" style="100" customWidth="1"/>
    <col min="4626" max="4626" width="15" style="100" customWidth="1"/>
    <col min="4627" max="4865" width="9.140625" style="100"/>
    <col min="4866" max="4866" width="12.28515625" style="100" customWidth="1"/>
    <col min="4867" max="4867" width="13.5703125" style="100" customWidth="1"/>
    <col min="4868" max="4868" width="12.5703125" style="100" customWidth="1"/>
    <col min="4869" max="4869" width="13" style="100" customWidth="1"/>
    <col min="4870" max="4871" width="12.85546875" style="100" customWidth="1"/>
    <col min="4872" max="4872" width="14" style="100" customWidth="1"/>
    <col min="4873" max="4873" width="13.140625" style="100" customWidth="1"/>
    <col min="4874" max="4874" width="12.85546875" style="100" customWidth="1"/>
    <col min="4875" max="4875" width="12.140625" style="100" customWidth="1"/>
    <col min="4876" max="4877" width="0" style="100" hidden="1" customWidth="1"/>
    <col min="4878" max="4878" width="11.85546875" style="100" customWidth="1"/>
    <col min="4879" max="4879" width="14.28515625" style="100" customWidth="1"/>
    <col min="4880" max="4880" width="12.28515625" style="100" customWidth="1"/>
    <col min="4881" max="4881" width="13.85546875" style="100" customWidth="1"/>
    <col min="4882" max="4882" width="15" style="100" customWidth="1"/>
    <col min="4883" max="5121" width="9.140625" style="100"/>
    <col min="5122" max="5122" width="12.28515625" style="100" customWidth="1"/>
    <col min="5123" max="5123" width="13.5703125" style="100" customWidth="1"/>
    <col min="5124" max="5124" width="12.5703125" style="100" customWidth="1"/>
    <col min="5125" max="5125" width="13" style="100" customWidth="1"/>
    <col min="5126" max="5127" width="12.85546875" style="100" customWidth="1"/>
    <col min="5128" max="5128" width="14" style="100" customWidth="1"/>
    <col min="5129" max="5129" width="13.140625" style="100" customWidth="1"/>
    <col min="5130" max="5130" width="12.85546875" style="100" customWidth="1"/>
    <col min="5131" max="5131" width="12.140625" style="100" customWidth="1"/>
    <col min="5132" max="5133" width="0" style="100" hidden="1" customWidth="1"/>
    <col min="5134" max="5134" width="11.85546875" style="100" customWidth="1"/>
    <col min="5135" max="5135" width="14.28515625" style="100" customWidth="1"/>
    <col min="5136" max="5136" width="12.28515625" style="100" customWidth="1"/>
    <col min="5137" max="5137" width="13.85546875" style="100" customWidth="1"/>
    <col min="5138" max="5138" width="15" style="100" customWidth="1"/>
    <col min="5139" max="5377" width="9.140625" style="100"/>
    <col min="5378" max="5378" width="12.28515625" style="100" customWidth="1"/>
    <col min="5379" max="5379" width="13.5703125" style="100" customWidth="1"/>
    <col min="5380" max="5380" width="12.5703125" style="100" customWidth="1"/>
    <col min="5381" max="5381" width="13" style="100" customWidth="1"/>
    <col min="5382" max="5383" width="12.85546875" style="100" customWidth="1"/>
    <col min="5384" max="5384" width="14" style="100" customWidth="1"/>
    <col min="5385" max="5385" width="13.140625" style="100" customWidth="1"/>
    <col min="5386" max="5386" width="12.85546875" style="100" customWidth="1"/>
    <col min="5387" max="5387" width="12.140625" style="100" customWidth="1"/>
    <col min="5388" max="5389" width="0" style="100" hidden="1" customWidth="1"/>
    <col min="5390" max="5390" width="11.85546875" style="100" customWidth="1"/>
    <col min="5391" max="5391" width="14.28515625" style="100" customWidth="1"/>
    <col min="5392" max="5392" width="12.28515625" style="100" customWidth="1"/>
    <col min="5393" max="5393" width="13.85546875" style="100" customWidth="1"/>
    <col min="5394" max="5394" width="15" style="100" customWidth="1"/>
    <col min="5395" max="5633" width="9.140625" style="100"/>
    <col min="5634" max="5634" width="12.28515625" style="100" customWidth="1"/>
    <col min="5635" max="5635" width="13.5703125" style="100" customWidth="1"/>
    <col min="5636" max="5636" width="12.5703125" style="100" customWidth="1"/>
    <col min="5637" max="5637" width="13" style="100" customWidth="1"/>
    <col min="5638" max="5639" width="12.85546875" style="100" customWidth="1"/>
    <col min="5640" max="5640" width="14" style="100" customWidth="1"/>
    <col min="5641" max="5641" width="13.140625" style="100" customWidth="1"/>
    <col min="5642" max="5642" width="12.85546875" style="100" customWidth="1"/>
    <col min="5643" max="5643" width="12.140625" style="100" customWidth="1"/>
    <col min="5644" max="5645" width="0" style="100" hidden="1" customWidth="1"/>
    <col min="5646" max="5646" width="11.85546875" style="100" customWidth="1"/>
    <col min="5647" max="5647" width="14.28515625" style="100" customWidth="1"/>
    <col min="5648" max="5648" width="12.28515625" style="100" customWidth="1"/>
    <col min="5649" max="5649" width="13.85546875" style="100" customWidth="1"/>
    <col min="5650" max="5650" width="15" style="100" customWidth="1"/>
    <col min="5651" max="5889" width="9.140625" style="100"/>
    <col min="5890" max="5890" width="12.28515625" style="100" customWidth="1"/>
    <col min="5891" max="5891" width="13.5703125" style="100" customWidth="1"/>
    <col min="5892" max="5892" width="12.5703125" style="100" customWidth="1"/>
    <col min="5893" max="5893" width="13" style="100" customWidth="1"/>
    <col min="5894" max="5895" width="12.85546875" style="100" customWidth="1"/>
    <col min="5896" max="5896" width="14" style="100" customWidth="1"/>
    <col min="5897" max="5897" width="13.140625" style="100" customWidth="1"/>
    <col min="5898" max="5898" width="12.85546875" style="100" customWidth="1"/>
    <col min="5899" max="5899" width="12.140625" style="100" customWidth="1"/>
    <col min="5900" max="5901" width="0" style="100" hidden="1" customWidth="1"/>
    <col min="5902" max="5902" width="11.85546875" style="100" customWidth="1"/>
    <col min="5903" max="5903" width="14.28515625" style="100" customWidth="1"/>
    <col min="5904" max="5904" width="12.28515625" style="100" customWidth="1"/>
    <col min="5905" max="5905" width="13.85546875" style="100" customWidth="1"/>
    <col min="5906" max="5906" width="15" style="100" customWidth="1"/>
    <col min="5907" max="6145" width="9.140625" style="100"/>
    <col min="6146" max="6146" width="12.28515625" style="100" customWidth="1"/>
    <col min="6147" max="6147" width="13.5703125" style="100" customWidth="1"/>
    <col min="6148" max="6148" width="12.5703125" style="100" customWidth="1"/>
    <col min="6149" max="6149" width="13" style="100" customWidth="1"/>
    <col min="6150" max="6151" width="12.85546875" style="100" customWidth="1"/>
    <col min="6152" max="6152" width="14" style="100" customWidth="1"/>
    <col min="6153" max="6153" width="13.140625" style="100" customWidth="1"/>
    <col min="6154" max="6154" width="12.85546875" style="100" customWidth="1"/>
    <col min="6155" max="6155" width="12.140625" style="100" customWidth="1"/>
    <col min="6156" max="6157" width="0" style="100" hidden="1" customWidth="1"/>
    <col min="6158" max="6158" width="11.85546875" style="100" customWidth="1"/>
    <col min="6159" max="6159" width="14.28515625" style="100" customWidth="1"/>
    <col min="6160" max="6160" width="12.28515625" style="100" customWidth="1"/>
    <col min="6161" max="6161" width="13.85546875" style="100" customWidth="1"/>
    <col min="6162" max="6162" width="15" style="100" customWidth="1"/>
    <col min="6163" max="6401" width="9.140625" style="100"/>
    <col min="6402" max="6402" width="12.28515625" style="100" customWidth="1"/>
    <col min="6403" max="6403" width="13.5703125" style="100" customWidth="1"/>
    <col min="6404" max="6404" width="12.5703125" style="100" customWidth="1"/>
    <col min="6405" max="6405" width="13" style="100" customWidth="1"/>
    <col min="6406" max="6407" width="12.85546875" style="100" customWidth="1"/>
    <col min="6408" max="6408" width="14" style="100" customWidth="1"/>
    <col min="6409" max="6409" width="13.140625" style="100" customWidth="1"/>
    <col min="6410" max="6410" width="12.85546875" style="100" customWidth="1"/>
    <col min="6411" max="6411" width="12.140625" style="100" customWidth="1"/>
    <col min="6412" max="6413" width="0" style="100" hidden="1" customWidth="1"/>
    <col min="6414" max="6414" width="11.85546875" style="100" customWidth="1"/>
    <col min="6415" max="6415" width="14.28515625" style="100" customWidth="1"/>
    <col min="6416" max="6416" width="12.28515625" style="100" customWidth="1"/>
    <col min="6417" max="6417" width="13.85546875" style="100" customWidth="1"/>
    <col min="6418" max="6418" width="15" style="100" customWidth="1"/>
    <col min="6419" max="6657" width="9.140625" style="100"/>
    <col min="6658" max="6658" width="12.28515625" style="100" customWidth="1"/>
    <col min="6659" max="6659" width="13.5703125" style="100" customWidth="1"/>
    <col min="6660" max="6660" width="12.5703125" style="100" customWidth="1"/>
    <col min="6661" max="6661" width="13" style="100" customWidth="1"/>
    <col min="6662" max="6663" width="12.85546875" style="100" customWidth="1"/>
    <col min="6664" max="6664" width="14" style="100" customWidth="1"/>
    <col min="6665" max="6665" width="13.140625" style="100" customWidth="1"/>
    <col min="6666" max="6666" width="12.85546875" style="100" customWidth="1"/>
    <col min="6667" max="6667" width="12.140625" style="100" customWidth="1"/>
    <col min="6668" max="6669" width="0" style="100" hidden="1" customWidth="1"/>
    <col min="6670" max="6670" width="11.85546875" style="100" customWidth="1"/>
    <col min="6671" max="6671" width="14.28515625" style="100" customWidth="1"/>
    <col min="6672" max="6672" width="12.28515625" style="100" customWidth="1"/>
    <col min="6673" max="6673" width="13.85546875" style="100" customWidth="1"/>
    <col min="6674" max="6674" width="15" style="100" customWidth="1"/>
    <col min="6675" max="6913" width="9.140625" style="100"/>
    <col min="6914" max="6914" width="12.28515625" style="100" customWidth="1"/>
    <col min="6915" max="6915" width="13.5703125" style="100" customWidth="1"/>
    <col min="6916" max="6916" width="12.5703125" style="100" customWidth="1"/>
    <col min="6917" max="6917" width="13" style="100" customWidth="1"/>
    <col min="6918" max="6919" width="12.85546875" style="100" customWidth="1"/>
    <col min="6920" max="6920" width="14" style="100" customWidth="1"/>
    <col min="6921" max="6921" width="13.140625" style="100" customWidth="1"/>
    <col min="6922" max="6922" width="12.85546875" style="100" customWidth="1"/>
    <col min="6923" max="6923" width="12.140625" style="100" customWidth="1"/>
    <col min="6924" max="6925" width="0" style="100" hidden="1" customWidth="1"/>
    <col min="6926" max="6926" width="11.85546875" style="100" customWidth="1"/>
    <col min="6927" max="6927" width="14.28515625" style="100" customWidth="1"/>
    <col min="6928" max="6928" width="12.28515625" style="100" customWidth="1"/>
    <col min="6929" max="6929" width="13.85546875" style="100" customWidth="1"/>
    <col min="6930" max="6930" width="15" style="100" customWidth="1"/>
    <col min="6931" max="7169" width="9.140625" style="100"/>
    <col min="7170" max="7170" width="12.28515625" style="100" customWidth="1"/>
    <col min="7171" max="7171" width="13.5703125" style="100" customWidth="1"/>
    <col min="7172" max="7172" width="12.5703125" style="100" customWidth="1"/>
    <col min="7173" max="7173" width="13" style="100" customWidth="1"/>
    <col min="7174" max="7175" width="12.85546875" style="100" customWidth="1"/>
    <col min="7176" max="7176" width="14" style="100" customWidth="1"/>
    <col min="7177" max="7177" width="13.140625" style="100" customWidth="1"/>
    <col min="7178" max="7178" width="12.85546875" style="100" customWidth="1"/>
    <col min="7179" max="7179" width="12.140625" style="100" customWidth="1"/>
    <col min="7180" max="7181" width="0" style="100" hidden="1" customWidth="1"/>
    <col min="7182" max="7182" width="11.85546875" style="100" customWidth="1"/>
    <col min="7183" max="7183" width="14.28515625" style="100" customWidth="1"/>
    <col min="7184" max="7184" width="12.28515625" style="100" customWidth="1"/>
    <col min="7185" max="7185" width="13.85546875" style="100" customWidth="1"/>
    <col min="7186" max="7186" width="15" style="100" customWidth="1"/>
    <col min="7187" max="7425" width="9.140625" style="100"/>
    <col min="7426" max="7426" width="12.28515625" style="100" customWidth="1"/>
    <col min="7427" max="7427" width="13.5703125" style="100" customWidth="1"/>
    <col min="7428" max="7428" width="12.5703125" style="100" customWidth="1"/>
    <col min="7429" max="7429" width="13" style="100" customWidth="1"/>
    <col min="7430" max="7431" width="12.85546875" style="100" customWidth="1"/>
    <col min="7432" max="7432" width="14" style="100" customWidth="1"/>
    <col min="7433" max="7433" width="13.140625" style="100" customWidth="1"/>
    <col min="7434" max="7434" width="12.85546875" style="100" customWidth="1"/>
    <col min="7435" max="7435" width="12.140625" style="100" customWidth="1"/>
    <col min="7436" max="7437" width="0" style="100" hidden="1" customWidth="1"/>
    <col min="7438" max="7438" width="11.85546875" style="100" customWidth="1"/>
    <col min="7439" max="7439" width="14.28515625" style="100" customWidth="1"/>
    <col min="7440" max="7440" width="12.28515625" style="100" customWidth="1"/>
    <col min="7441" max="7441" width="13.85546875" style="100" customWidth="1"/>
    <col min="7442" max="7442" width="15" style="100" customWidth="1"/>
    <col min="7443" max="7681" width="9.140625" style="100"/>
    <col min="7682" max="7682" width="12.28515625" style="100" customWidth="1"/>
    <col min="7683" max="7683" width="13.5703125" style="100" customWidth="1"/>
    <col min="7684" max="7684" width="12.5703125" style="100" customWidth="1"/>
    <col min="7685" max="7685" width="13" style="100" customWidth="1"/>
    <col min="7686" max="7687" width="12.85546875" style="100" customWidth="1"/>
    <col min="7688" max="7688" width="14" style="100" customWidth="1"/>
    <col min="7689" max="7689" width="13.140625" style="100" customWidth="1"/>
    <col min="7690" max="7690" width="12.85546875" style="100" customWidth="1"/>
    <col min="7691" max="7691" width="12.140625" style="100" customWidth="1"/>
    <col min="7692" max="7693" width="0" style="100" hidden="1" customWidth="1"/>
    <col min="7694" max="7694" width="11.85546875" style="100" customWidth="1"/>
    <col min="7695" max="7695" width="14.28515625" style="100" customWidth="1"/>
    <col min="7696" max="7696" width="12.28515625" style="100" customWidth="1"/>
    <col min="7697" max="7697" width="13.85546875" style="100" customWidth="1"/>
    <col min="7698" max="7698" width="15" style="100" customWidth="1"/>
    <col min="7699" max="7937" width="9.140625" style="100"/>
    <col min="7938" max="7938" width="12.28515625" style="100" customWidth="1"/>
    <col min="7939" max="7939" width="13.5703125" style="100" customWidth="1"/>
    <col min="7940" max="7940" width="12.5703125" style="100" customWidth="1"/>
    <col min="7941" max="7941" width="13" style="100" customWidth="1"/>
    <col min="7942" max="7943" width="12.85546875" style="100" customWidth="1"/>
    <col min="7944" max="7944" width="14" style="100" customWidth="1"/>
    <col min="7945" max="7945" width="13.140625" style="100" customWidth="1"/>
    <col min="7946" max="7946" width="12.85546875" style="100" customWidth="1"/>
    <col min="7947" max="7947" width="12.140625" style="100" customWidth="1"/>
    <col min="7948" max="7949" width="0" style="100" hidden="1" customWidth="1"/>
    <col min="7950" max="7950" width="11.85546875" style="100" customWidth="1"/>
    <col min="7951" max="7951" width="14.28515625" style="100" customWidth="1"/>
    <col min="7952" max="7952" width="12.28515625" style="100" customWidth="1"/>
    <col min="7953" max="7953" width="13.85546875" style="100" customWidth="1"/>
    <col min="7954" max="7954" width="15" style="100" customWidth="1"/>
    <col min="7955" max="8193" width="9.140625" style="100"/>
    <col min="8194" max="8194" width="12.28515625" style="100" customWidth="1"/>
    <col min="8195" max="8195" width="13.5703125" style="100" customWidth="1"/>
    <col min="8196" max="8196" width="12.5703125" style="100" customWidth="1"/>
    <col min="8197" max="8197" width="13" style="100" customWidth="1"/>
    <col min="8198" max="8199" width="12.85546875" style="100" customWidth="1"/>
    <col min="8200" max="8200" width="14" style="100" customWidth="1"/>
    <col min="8201" max="8201" width="13.140625" style="100" customWidth="1"/>
    <col min="8202" max="8202" width="12.85546875" style="100" customWidth="1"/>
    <col min="8203" max="8203" width="12.140625" style="100" customWidth="1"/>
    <col min="8204" max="8205" width="0" style="100" hidden="1" customWidth="1"/>
    <col min="8206" max="8206" width="11.85546875" style="100" customWidth="1"/>
    <col min="8207" max="8207" width="14.28515625" style="100" customWidth="1"/>
    <col min="8208" max="8208" width="12.28515625" style="100" customWidth="1"/>
    <col min="8209" max="8209" width="13.85546875" style="100" customWidth="1"/>
    <col min="8210" max="8210" width="15" style="100" customWidth="1"/>
    <col min="8211" max="8449" width="9.140625" style="100"/>
    <col min="8450" max="8450" width="12.28515625" style="100" customWidth="1"/>
    <col min="8451" max="8451" width="13.5703125" style="100" customWidth="1"/>
    <col min="8452" max="8452" width="12.5703125" style="100" customWidth="1"/>
    <col min="8453" max="8453" width="13" style="100" customWidth="1"/>
    <col min="8454" max="8455" width="12.85546875" style="100" customWidth="1"/>
    <col min="8456" max="8456" width="14" style="100" customWidth="1"/>
    <col min="8457" max="8457" width="13.140625" style="100" customWidth="1"/>
    <col min="8458" max="8458" width="12.85546875" style="100" customWidth="1"/>
    <col min="8459" max="8459" width="12.140625" style="100" customWidth="1"/>
    <col min="8460" max="8461" width="0" style="100" hidden="1" customWidth="1"/>
    <col min="8462" max="8462" width="11.85546875" style="100" customWidth="1"/>
    <col min="8463" max="8463" width="14.28515625" style="100" customWidth="1"/>
    <col min="8464" max="8464" width="12.28515625" style="100" customWidth="1"/>
    <col min="8465" max="8465" width="13.85546875" style="100" customWidth="1"/>
    <col min="8466" max="8466" width="15" style="100" customWidth="1"/>
    <col min="8467" max="8705" width="9.140625" style="100"/>
    <col min="8706" max="8706" width="12.28515625" style="100" customWidth="1"/>
    <col min="8707" max="8707" width="13.5703125" style="100" customWidth="1"/>
    <col min="8708" max="8708" width="12.5703125" style="100" customWidth="1"/>
    <col min="8709" max="8709" width="13" style="100" customWidth="1"/>
    <col min="8710" max="8711" width="12.85546875" style="100" customWidth="1"/>
    <col min="8712" max="8712" width="14" style="100" customWidth="1"/>
    <col min="8713" max="8713" width="13.140625" style="100" customWidth="1"/>
    <col min="8714" max="8714" width="12.85546875" style="100" customWidth="1"/>
    <col min="8715" max="8715" width="12.140625" style="100" customWidth="1"/>
    <col min="8716" max="8717" width="0" style="100" hidden="1" customWidth="1"/>
    <col min="8718" max="8718" width="11.85546875" style="100" customWidth="1"/>
    <col min="8719" max="8719" width="14.28515625" style="100" customWidth="1"/>
    <col min="8720" max="8720" width="12.28515625" style="100" customWidth="1"/>
    <col min="8721" max="8721" width="13.85546875" style="100" customWidth="1"/>
    <col min="8722" max="8722" width="15" style="100" customWidth="1"/>
    <col min="8723" max="8961" width="9.140625" style="100"/>
    <col min="8962" max="8962" width="12.28515625" style="100" customWidth="1"/>
    <col min="8963" max="8963" width="13.5703125" style="100" customWidth="1"/>
    <col min="8964" max="8964" width="12.5703125" style="100" customWidth="1"/>
    <col min="8965" max="8965" width="13" style="100" customWidth="1"/>
    <col min="8966" max="8967" width="12.85546875" style="100" customWidth="1"/>
    <col min="8968" max="8968" width="14" style="100" customWidth="1"/>
    <col min="8969" max="8969" width="13.140625" style="100" customWidth="1"/>
    <col min="8970" max="8970" width="12.85546875" style="100" customWidth="1"/>
    <col min="8971" max="8971" width="12.140625" style="100" customWidth="1"/>
    <col min="8972" max="8973" width="0" style="100" hidden="1" customWidth="1"/>
    <col min="8974" max="8974" width="11.85546875" style="100" customWidth="1"/>
    <col min="8975" max="8975" width="14.28515625" style="100" customWidth="1"/>
    <col min="8976" max="8976" width="12.28515625" style="100" customWidth="1"/>
    <col min="8977" max="8977" width="13.85546875" style="100" customWidth="1"/>
    <col min="8978" max="8978" width="15" style="100" customWidth="1"/>
    <col min="8979" max="9217" width="9.140625" style="100"/>
    <col min="9218" max="9218" width="12.28515625" style="100" customWidth="1"/>
    <col min="9219" max="9219" width="13.5703125" style="100" customWidth="1"/>
    <col min="9220" max="9220" width="12.5703125" style="100" customWidth="1"/>
    <col min="9221" max="9221" width="13" style="100" customWidth="1"/>
    <col min="9222" max="9223" width="12.85546875" style="100" customWidth="1"/>
    <col min="9224" max="9224" width="14" style="100" customWidth="1"/>
    <col min="9225" max="9225" width="13.140625" style="100" customWidth="1"/>
    <col min="9226" max="9226" width="12.85546875" style="100" customWidth="1"/>
    <col min="9227" max="9227" width="12.140625" style="100" customWidth="1"/>
    <col min="9228" max="9229" width="0" style="100" hidden="1" customWidth="1"/>
    <col min="9230" max="9230" width="11.85546875" style="100" customWidth="1"/>
    <col min="9231" max="9231" width="14.28515625" style="100" customWidth="1"/>
    <col min="9232" max="9232" width="12.28515625" style="100" customWidth="1"/>
    <col min="9233" max="9233" width="13.85546875" style="100" customWidth="1"/>
    <col min="9234" max="9234" width="15" style="100" customWidth="1"/>
    <col min="9235" max="9473" width="9.140625" style="100"/>
    <col min="9474" max="9474" width="12.28515625" style="100" customWidth="1"/>
    <col min="9475" max="9475" width="13.5703125" style="100" customWidth="1"/>
    <col min="9476" max="9476" width="12.5703125" style="100" customWidth="1"/>
    <col min="9477" max="9477" width="13" style="100" customWidth="1"/>
    <col min="9478" max="9479" width="12.85546875" style="100" customWidth="1"/>
    <col min="9480" max="9480" width="14" style="100" customWidth="1"/>
    <col min="9481" max="9481" width="13.140625" style="100" customWidth="1"/>
    <col min="9482" max="9482" width="12.85546875" style="100" customWidth="1"/>
    <col min="9483" max="9483" width="12.140625" style="100" customWidth="1"/>
    <col min="9484" max="9485" width="0" style="100" hidden="1" customWidth="1"/>
    <col min="9486" max="9486" width="11.85546875" style="100" customWidth="1"/>
    <col min="9487" max="9487" width="14.28515625" style="100" customWidth="1"/>
    <col min="9488" max="9488" width="12.28515625" style="100" customWidth="1"/>
    <col min="9489" max="9489" width="13.85546875" style="100" customWidth="1"/>
    <col min="9490" max="9490" width="15" style="100" customWidth="1"/>
    <col min="9491" max="9729" width="9.140625" style="100"/>
    <col min="9730" max="9730" width="12.28515625" style="100" customWidth="1"/>
    <col min="9731" max="9731" width="13.5703125" style="100" customWidth="1"/>
    <col min="9732" max="9732" width="12.5703125" style="100" customWidth="1"/>
    <col min="9733" max="9733" width="13" style="100" customWidth="1"/>
    <col min="9734" max="9735" width="12.85546875" style="100" customWidth="1"/>
    <col min="9736" max="9736" width="14" style="100" customWidth="1"/>
    <col min="9737" max="9737" width="13.140625" style="100" customWidth="1"/>
    <col min="9738" max="9738" width="12.85546875" style="100" customWidth="1"/>
    <col min="9739" max="9739" width="12.140625" style="100" customWidth="1"/>
    <col min="9740" max="9741" width="0" style="100" hidden="1" customWidth="1"/>
    <col min="9742" max="9742" width="11.85546875" style="100" customWidth="1"/>
    <col min="9743" max="9743" width="14.28515625" style="100" customWidth="1"/>
    <col min="9744" max="9744" width="12.28515625" style="100" customWidth="1"/>
    <col min="9745" max="9745" width="13.85546875" style="100" customWidth="1"/>
    <col min="9746" max="9746" width="15" style="100" customWidth="1"/>
    <col min="9747" max="9985" width="9.140625" style="100"/>
    <col min="9986" max="9986" width="12.28515625" style="100" customWidth="1"/>
    <col min="9987" max="9987" width="13.5703125" style="100" customWidth="1"/>
    <col min="9988" max="9988" width="12.5703125" style="100" customWidth="1"/>
    <col min="9989" max="9989" width="13" style="100" customWidth="1"/>
    <col min="9990" max="9991" width="12.85546875" style="100" customWidth="1"/>
    <col min="9992" max="9992" width="14" style="100" customWidth="1"/>
    <col min="9993" max="9993" width="13.140625" style="100" customWidth="1"/>
    <col min="9994" max="9994" width="12.85546875" style="100" customWidth="1"/>
    <col min="9995" max="9995" width="12.140625" style="100" customWidth="1"/>
    <col min="9996" max="9997" width="0" style="100" hidden="1" customWidth="1"/>
    <col min="9998" max="9998" width="11.85546875" style="100" customWidth="1"/>
    <col min="9999" max="9999" width="14.28515625" style="100" customWidth="1"/>
    <col min="10000" max="10000" width="12.28515625" style="100" customWidth="1"/>
    <col min="10001" max="10001" width="13.85546875" style="100" customWidth="1"/>
    <col min="10002" max="10002" width="15" style="100" customWidth="1"/>
    <col min="10003" max="10241" width="9.140625" style="100"/>
    <col min="10242" max="10242" width="12.28515625" style="100" customWidth="1"/>
    <col min="10243" max="10243" width="13.5703125" style="100" customWidth="1"/>
    <col min="10244" max="10244" width="12.5703125" style="100" customWidth="1"/>
    <col min="10245" max="10245" width="13" style="100" customWidth="1"/>
    <col min="10246" max="10247" width="12.85546875" style="100" customWidth="1"/>
    <col min="10248" max="10248" width="14" style="100" customWidth="1"/>
    <col min="10249" max="10249" width="13.140625" style="100" customWidth="1"/>
    <col min="10250" max="10250" width="12.85546875" style="100" customWidth="1"/>
    <col min="10251" max="10251" width="12.140625" style="100" customWidth="1"/>
    <col min="10252" max="10253" width="0" style="100" hidden="1" customWidth="1"/>
    <col min="10254" max="10254" width="11.85546875" style="100" customWidth="1"/>
    <col min="10255" max="10255" width="14.28515625" style="100" customWidth="1"/>
    <col min="10256" max="10256" width="12.28515625" style="100" customWidth="1"/>
    <col min="10257" max="10257" width="13.85546875" style="100" customWidth="1"/>
    <col min="10258" max="10258" width="15" style="100" customWidth="1"/>
    <col min="10259" max="10497" width="9.140625" style="100"/>
    <col min="10498" max="10498" width="12.28515625" style="100" customWidth="1"/>
    <col min="10499" max="10499" width="13.5703125" style="100" customWidth="1"/>
    <col min="10500" max="10500" width="12.5703125" style="100" customWidth="1"/>
    <col min="10501" max="10501" width="13" style="100" customWidth="1"/>
    <col min="10502" max="10503" width="12.85546875" style="100" customWidth="1"/>
    <col min="10504" max="10504" width="14" style="100" customWidth="1"/>
    <col min="10505" max="10505" width="13.140625" style="100" customWidth="1"/>
    <col min="10506" max="10506" width="12.85546875" style="100" customWidth="1"/>
    <col min="10507" max="10507" width="12.140625" style="100" customWidth="1"/>
    <col min="10508" max="10509" width="0" style="100" hidden="1" customWidth="1"/>
    <col min="10510" max="10510" width="11.85546875" style="100" customWidth="1"/>
    <col min="10511" max="10511" width="14.28515625" style="100" customWidth="1"/>
    <col min="10512" max="10512" width="12.28515625" style="100" customWidth="1"/>
    <col min="10513" max="10513" width="13.85546875" style="100" customWidth="1"/>
    <col min="10514" max="10514" width="15" style="100" customWidth="1"/>
    <col min="10515" max="10753" width="9.140625" style="100"/>
    <col min="10754" max="10754" width="12.28515625" style="100" customWidth="1"/>
    <col min="10755" max="10755" width="13.5703125" style="100" customWidth="1"/>
    <col min="10756" max="10756" width="12.5703125" style="100" customWidth="1"/>
    <col min="10757" max="10757" width="13" style="100" customWidth="1"/>
    <col min="10758" max="10759" width="12.85546875" style="100" customWidth="1"/>
    <col min="10760" max="10760" width="14" style="100" customWidth="1"/>
    <col min="10761" max="10761" width="13.140625" style="100" customWidth="1"/>
    <col min="10762" max="10762" width="12.85546875" style="100" customWidth="1"/>
    <col min="10763" max="10763" width="12.140625" style="100" customWidth="1"/>
    <col min="10764" max="10765" width="0" style="100" hidden="1" customWidth="1"/>
    <col min="10766" max="10766" width="11.85546875" style="100" customWidth="1"/>
    <col min="10767" max="10767" width="14.28515625" style="100" customWidth="1"/>
    <col min="10768" max="10768" width="12.28515625" style="100" customWidth="1"/>
    <col min="10769" max="10769" width="13.85546875" style="100" customWidth="1"/>
    <col min="10770" max="10770" width="15" style="100" customWidth="1"/>
    <col min="10771" max="11009" width="9.140625" style="100"/>
    <col min="11010" max="11010" width="12.28515625" style="100" customWidth="1"/>
    <col min="11011" max="11011" width="13.5703125" style="100" customWidth="1"/>
    <col min="11012" max="11012" width="12.5703125" style="100" customWidth="1"/>
    <col min="11013" max="11013" width="13" style="100" customWidth="1"/>
    <col min="11014" max="11015" width="12.85546875" style="100" customWidth="1"/>
    <col min="11016" max="11016" width="14" style="100" customWidth="1"/>
    <col min="11017" max="11017" width="13.140625" style="100" customWidth="1"/>
    <col min="11018" max="11018" width="12.85546875" style="100" customWidth="1"/>
    <col min="11019" max="11019" width="12.140625" style="100" customWidth="1"/>
    <col min="11020" max="11021" width="0" style="100" hidden="1" customWidth="1"/>
    <col min="11022" max="11022" width="11.85546875" style="100" customWidth="1"/>
    <col min="11023" max="11023" width="14.28515625" style="100" customWidth="1"/>
    <col min="11024" max="11024" width="12.28515625" style="100" customWidth="1"/>
    <col min="11025" max="11025" width="13.85546875" style="100" customWidth="1"/>
    <col min="11026" max="11026" width="15" style="100" customWidth="1"/>
    <col min="11027" max="11265" width="9.140625" style="100"/>
    <col min="11266" max="11266" width="12.28515625" style="100" customWidth="1"/>
    <col min="11267" max="11267" width="13.5703125" style="100" customWidth="1"/>
    <col min="11268" max="11268" width="12.5703125" style="100" customWidth="1"/>
    <col min="11269" max="11269" width="13" style="100" customWidth="1"/>
    <col min="11270" max="11271" width="12.85546875" style="100" customWidth="1"/>
    <col min="11272" max="11272" width="14" style="100" customWidth="1"/>
    <col min="11273" max="11273" width="13.140625" style="100" customWidth="1"/>
    <col min="11274" max="11274" width="12.85546875" style="100" customWidth="1"/>
    <col min="11275" max="11275" width="12.140625" style="100" customWidth="1"/>
    <col min="11276" max="11277" width="0" style="100" hidden="1" customWidth="1"/>
    <col min="11278" max="11278" width="11.85546875" style="100" customWidth="1"/>
    <col min="11279" max="11279" width="14.28515625" style="100" customWidth="1"/>
    <col min="11280" max="11280" width="12.28515625" style="100" customWidth="1"/>
    <col min="11281" max="11281" width="13.85546875" style="100" customWidth="1"/>
    <col min="11282" max="11282" width="15" style="100" customWidth="1"/>
    <col min="11283" max="11521" width="9.140625" style="100"/>
    <col min="11522" max="11522" width="12.28515625" style="100" customWidth="1"/>
    <col min="11523" max="11523" width="13.5703125" style="100" customWidth="1"/>
    <col min="11524" max="11524" width="12.5703125" style="100" customWidth="1"/>
    <col min="11525" max="11525" width="13" style="100" customWidth="1"/>
    <col min="11526" max="11527" width="12.85546875" style="100" customWidth="1"/>
    <col min="11528" max="11528" width="14" style="100" customWidth="1"/>
    <col min="11529" max="11529" width="13.140625" style="100" customWidth="1"/>
    <col min="11530" max="11530" width="12.85546875" style="100" customWidth="1"/>
    <col min="11531" max="11531" width="12.140625" style="100" customWidth="1"/>
    <col min="11532" max="11533" width="0" style="100" hidden="1" customWidth="1"/>
    <col min="11534" max="11534" width="11.85546875" style="100" customWidth="1"/>
    <col min="11535" max="11535" width="14.28515625" style="100" customWidth="1"/>
    <col min="11536" max="11536" width="12.28515625" style="100" customWidth="1"/>
    <col min="11537" max="11537" width="13.85546875" style="100" customWidth="1"/>
    <col min="11538" max="11538" width="15" style="100" customWidth="1"/>
    <col min="11539" max="11777" width="9.140625" style="100"/>
    <col min="11778" max="11778" width="12.28515625" style="100" customWidth="1"/>
    <col min="11779" max="11779" width="13.5703125" style="100" customWidth="1"/>
    <col min="11780" max="11780" width="12.5703125" style="100" customWidth="1"/>
    <col min="11781" max="11781" width="13" style="100" customWidth="1"/>
    <col min="11782" max="11783" width="12.85546875" style="100" customWidth="1"/>
    <col min="11784" max="11784" width="14" style="100" customWidth="1"/>
    <col min="11785" max="11785" width="13.140625" style="100" customWidth="1"/>
    <col min="11786" max="11786" width="12.85546875" style="100" customWidth="1"/>
    <col min="11787" max="11787" width="12.140625" style="100" customWidth="1"/>
    <col min="11788" max="11789" width="0" style="100" hidden="1" customWidth="1"/>
    <col min="11790" max="11790" width="11.85546875" style="100" customWidth="1"/>
    <col min="11791" max="11791" width="14.28515625" style="100" customWidth="1"/>
    <col min="11792" max="11792" width="12.28515625" style="100" customWidth="1"/>
    <col min="11793" max="11793" width="13.85546875" style="100" customWidth="1"/>
    <col min="11794" max="11794" width="15" style="100" customWidth="1"/>
    <col min="11795" max="12033" width="9.140625" style="100"/>
    <col min="12034" max="12034" width="12.28515625" style="100" customWidth="1"/>
    <col min="12035" max="12035" width="13.5703125" style="100" customWidth="1"/>
    <col min="12036" max="12036" width="12.5703125" style="100" customWidth="1"/>
    <col min="12037" max="12037" width="13" style="100" customWidth="1"/>
    <col min="12038" max="12039" width="12.85546875" style="100" customWidth="1"/>
    <col min="12040" max="12040" width="14" style="100" customWidth="1"/>
    <col min="12041" max="12041" width="13.140625" style="100" customWidth="1"/>
    <col min="12042" max="12042" width="12.85546875" style="100" customWidth="1"/>
    <col min="12043" max="12043" width="12.140625" style="100" customWidth="1"/>
    <col min="12044" max="12045" width="0" style="100" hidden="1" customWidth="1"/>
    <col min="12046" max="12046" width="11.85546875" style="100" customWidth="1"/>
    <col min="12047" max="12047" width="14.28515625" style="100" customWidth="1"/>
    <col min="12048" max="12048" width="12.28515625" style="100" customWidth="1"/>
    <col min="12049" max="12049" width="13.85546875" style="100" customWidth="1"/>
    <col min="12050" max="12050" width="15" style="100" customWidth="1"/>
    <col min="12051" max="12289" width="9.140625" style="100"/>
    <col min="12290" max="12290" width="12.28515625" style="100" customWidth="1"/>
    <col min="12291" max="12291" width="13.5703125" style="100" customWidth="1"/>
    <col min="12292" max="12292" width="12.5703125" style="100" customWidth="1"/>
    <col min="12293" max="12293" width="13" style="100" customWidth="1"/>
    <col min="12294" max="12295" width="12.85546875" style="100" customWidth="1"/>
    <col min="12296" max="12296" width="14" style="100" customWidth="1"/>
    <col min="12297" max="12297" width="13.140625" style="100" customWidth="1"/>
    <col min="12298" max="12298" width="12.85546875" style="100" customWidth="1"/>
    <col min="12299" max="12299" width="12.140625" style="100" customWidth="1"/>
    <col min="12300" max="12301" width="0" style="100" hidden="1" customWidth="1"/>
    <col min="12302" max="12302" width="11.85546875" style="100" customWidth="1"/>
    <col min="12303" max="12303" width="14.28515625" style="100" customWidth="1"/>
    <col min="12304" max="12304" width="12.28515625" style="100" customWidth="1"/>
    <col min="12305" max="12305" width="13.85546875" style="100" customWidth="1"/>
    <col min="12306" max="12306" width="15" style="100" customWidth="1"/>
    <col min="12307" max="12545" width="9.140625" style="100"/>
    <col min="12546" max="12546" width="12.28515625" style="100" customWidth="1"/>
    <col min="12547" max="12547" width="13.5703125" style="100" customWidth="1"/>
    <col min="12548" max="12548" width="12.5703125" style="100" customWidth="1"/>
    <col min="12549" max="12549" width="13" style="100" customWidth="1"/>
    <col min="12550" max="12551" width="12.85546875" style="100" customWidth="1"/>
    <col min="12552" max="12552" width="14" style="100" customWidth="1"/>
    <col min="12553" max="12553" width="13.140625" style="100" customWidth="1"/>
    <col min="12554" max="12554" width="12.85546875" style="100" customWidth="1"/>
    <col min="12555" max="12555" width="12.140625" style="100" customWidth="1"/>
    <col min="12556" max="12557" width="0" style="100" hidden="1" customWidth="1"/>
    <col min="12558" max="12558" width="11.85546875" style="100" customWidth="1"/>
    <col min="12559" max="12559" width="14.28515625" style="100" customWidth="1"/>
    <col min="12560" max="12560" width="12.28515625" style="100" customWidth="1"/>
    <col min="12561" max="12561" width="13.85546875" style="100" customWidth="1"/>
    <col min="12562" max="12562" width="15" style="100" customWidth="1"/>
    <col min="12563" max="12801" width="9.140625" style="100"/>
    <col min="12802" max="12802" width="12.28515625" style="100" customWidth="1"/>
    <col min="12803" max="12803" width="13.5703125" style="100" customWidth="1"/>
    <col min="12804" max="12804" width="12.5703125" style="100" customWidth="1"/>
    <col min="12805" max="12805" width="13" style="100" customWidth="1"/>
    <col min="12806" max="12807" width="12.85546875" style="100" customWidth="1"/>
    <col min="12808" max="12808" width="14" style="100" customWidth="1"/>
    <col min="12809" max="12809" width="13.140625" style="100" customWidth="1"/>
    <col min="12810" max="12810" width="12.85546875" style="100" customWidth="1"/>
    <col min="12811" max="12811" width="12.140625" style="100" customWidth="1"/>
    <col min="12812" max="12813" width="0" style="100" hidden="1" customWidth="1"/>
    <col min="12814" max="12814" width="11.85546875" style="100" customWidth="1"/>
    <col min="12815" max="12815" width="14.28515625" style="100" customWidth="1"/>
    <col min="12816" max="12816" width="12.28515625" style="100" customWidth="1"/>
    <col min="12817" max="12817" width="13.85546875" style="100" customWidth="1"/>
    <col min="12818" max="12818" width="15" style="100" customWidth="1"/>
    <col min="12819" max="13057" width="9.140625" style="100"/>
    <col min="13058" max="13058" width="12.28515625" style="100" customWidth="1"/>
    <col min="13059" max="13059" width="13.5703125" style="100" customWidth="1"/>
    <col min="13060" max="13060" width="12.5703125" style="100" customWidth="1"/>
    <col min="13061" max="13061" width="13" style="100" customWidth="1"/>
    <col min="13062" max="13063" width="12.85546875" style="100" customWidth="1"/>
    <col min="13064" max="13064" width="14" style="100" customWidth="1"/>
    <col min="13065" max="13065" width="13.140625" style="100" customWidth="1"/>
    <col min="13066" max="13066" width="12.85546875" style="100" customWidth="1"/>
    <col min="13067" max="13067" width="12.140625" style="100" customWidth="1"/>
    <col min="13068" max="13069" width="0" style="100" hidden="1" customWidth="1"/>
    <col min="13070" max="13070" width="11.85546875" style="100" customWidth="1"/>
    <col min="13071" max="13071" width="14.28515625" style="100" customWidth="1"/>
    <col min="13072" max="13072" width="12.28515625" style="100" customWidth="1"/>
    <col min="13073" max="13073" width="13.85546875" style="100" customWidth="1"/>
    <col min="13074" max="13074" width="15" style="100" customWidth="1"/>
    <col min="13075" max="13313" width="9.140625" style="100"/>
    <col min="13314" max="13314" width="12.28515625" style="100" customWidth="1"/>
    <col min="13315" max="13315" width="13.5703125" style="100" customWidth="1"/>
    <col min="13316" max="13316" width="12.5703125" style="100" customWidth="1"/>
    <col min="13317" max="13317" width="13" style="100" customWidth="1"/>
    <col min="13318" max="13319" width="12.85546875" style="100" customWidth="1"/>
    <col min="13320" max="13320" width="14" style="100" customWidth="1"/>
    <col min="13321" max="13321" width="13.140625" style="100" customWidth="1"/>
    <col min="13322" max="13322" width="12.85546875" style="100" customWidth="1"/>
    <col min="13323" max="13323" width="12.140625" style="100" customWidth="1"/>
    <col min="13324" max="13325" width="0" style="100" hidden="1" customWidth="1"/>
    <col min="13326" max="13326" width="11.85546875" style="100" customWidth="1"/>
    <col min="13327" max="13327" width="14.28515625" style="100" customWidth="1"/>
    <col min="13328" max="13328" width="12.28515625" style="100" customWidth="1"/>
    <col min="13329" max="13329" width="13.85546875" style="100" customWidth="1"/>
    <col min="13330" max="13330" width="15" style="100" customWidth="1"/>
    <col min="13331" max="13569" width="9.140625" style="100"/>
    <col min="13570" max="13570" width="12.28515625" style="100" customWidth="1"/>
    <col min="13571" max="13571" width="13.5703125" style="100" customWidth="1"/>
    <col min="13572" max="13572" width="12.5703125" style="100" customWidth="1"/>
    <col min="13573" max="13573" width="13" style="100" customWidth="1"/>
    <col min="13574" max="13575" width="12.85546875" style="100" customWidth="1"/>
    <col min="13576" max="13576" width="14" style="100" customWidth="1"/>
    <col min="13577" max="13577" width="13.140625" style="100" customWidth="1"/>
    <col min="13578" max="13578" width="12.85546875" style="100" customWidth="1"/>
    <col min="13579" max="13579" width="12.140625" style="100" customWidth="1"/>
    <col min="13580" max="13581" width="0" style="100" hidden="1" customWidth="1"/>
    <col min="13582" max="13582" width="11.85546875" style="100" customWidth="1"/>
    <col min="13583" max="13583" width="14.28515625" style="100" customWidth="1"/>
    <col min="13584" max="13584" width="12.28515625" style="100" customWidth="1"/>
    <col min="13585" max="13585" width="13.85546875" style="100" customWidth="1"/>
    <col min="13586" max="13586" width="15" style="100" customWidth="1"/>
    <col min="13587" max="13825" width="9.140625" style="100"/>
    <col min="13826" max="13826" width="12.28515625" style="100" customWidth="1"/>
    <col min="13827" max="13827" width="13.5703125" style="100" customWidth="1"/>
    <col min="13828" max="13828" width="12.5703125" style="100" customWidth="1"/>
    <col min="13829" max="13829" width="13" style="100" customWidth="1"/>
    <col min="13830" max="13831" width="12.85546875" style="100" customWidth="1"/>
    <col min="13832" max="13832" width="14" style="100" customWidth="1"/>
    <col min="13833" max="13833" width="13.140625" style="100" customWidth="1"/>
    <col min="13834" max="13834" width="12.85546875" style="100" customWidth="1"/>
    <col min="13835" max="13835" width="12.140625" style="100" customWidth="1"/>
    <col min="13836" max="13837" width="0" style="100" hidden="1" customWidth="1"/>
    <col min="13838" max="13838" width="11.85546875" style="100" customWidth="1"/>
    <col min="13839" max="13839" width="14.28515625" style="100" customWidth="1"/>
    <col min="13840" max="13840" width="12.28515625" style="100" customWidth="1"/>
    <col min="13841" max="13841" width="13.85546875" style="100" customWidth="1"/>
    <col min="13842" max="13842" width="15" style="100" customWidth="1"/>
    <col min="13843" max="14081" width="9.140625" style="100"/>
    <col min="14082" max="14082" width="12.28515625" style="100" customWidth="1"/>
    <col min="14083" max="14083" width="13.5703125" style="100" customWidth="1"/>
    <col min="14084" max="14084" width="12.5703125" style="100" customWidth="1"/>
    <col min="14085" max="14085" width="13" style="100" customWidth="1"/>
    <col min="14086" max="14087" width="12.85546875" style="100" customWidth="1"/>
    <col min="14088" max="14088" width="14" style="100" customWidth="1"/>
    <col min="14089" max="14089" width="13.140625" style="100" customWidth="1"/>
    <col min="14090" max="14090" width="12.85546875" style="100" customWidth="1"/>
    <col min="14091" max="14091" width="12.140625" style="100" customWidth="1"/>
    <col min="14092" max="14093" width="0" style="100" hidden="1" customWidth="1"/>
    <col min="14094" max="14094" width="11.85546875" style="100" customWidth="1"/>
    <col min="14095" max="14095" width="14.28515625" style="100" customWidth="1"/>
    <col min="14096" max="14096" width="12.28515625" style="100" customWidth="1"/>
    <col min="14097" max="14097" width="13.85546875" style="100" customWidth="1"/>
    <col min="14098" max="14098" width="15" style="100" customWidth="1"/>
    <col min="14099" max="14337" width="9.140625" style="100"/>
    <col min="14338" max="14338" width="12.28515625" style="100" customWidth="1"/>
    <col min="14339" max="14339" width="13.5703125" style="100" customWidth="1"/>
    <col min="14340" max="14340" width="12.5703125" style="100" customWidth="1"/>
    <col min="14341" max="14341" width="13" style="100" customWidth="1"/>
    <col min="14342" max="14343" width="12.85546875" style="100" customWidth="1"/>
    <col min="14344" max="14344" width="14" style="100" customWidth="1"/>
    <col min="14345" max="14345" width="13.140625" style="100" customWidth="1"/>
    <col min="14346" max="14346" width="12.85546875" style="100" customWidth="1"/>
    <col min="14347" max="14347" width="12.140625" style="100" customWidth="1"/>
    <col min="14348" max="14349" width="0" style="100" hidden="1" customWidth="1"/>
    <col min="14350" max="14350" width="11.85546875" style="100" customWidth="1"/>
    <col min="14351" max="14351" width="14.28515625" style="100" customWidth="1"/>
    <col min="14352" max="14352" width="12.28515625" style="100" customWidth="1"/>
    <col min="14353" max="14353" width="13.85546875" style="100" customWidth="1"/>
    <col min="14354" max="14354" width="15" style="100" customWidth="1"/>
    <col min="14355" max="14593" width="9.140625" style="100"/>
    <col min="14594" max="14594" width="12.28515625" style="100" customWidth="1"/>
    <col min="14595" max="14595" width="13.5703125" style="100" customWidth="1"/>
    <col min="14596" max="14596" width="12.5703125" style="100" customWidth="1"/>
    <col min="14597" max="14597" width="13" style="100" customWidth="1"/>
    <col min="14598" max="14599" width="12.85546875" style="100" customWidth="1"/>
    <col min="14600" max="14600" width="14" style="100" customWidth="1"/>
    <col min="14601" max="14601" width="13.140625" style="100" customWidth="1"/>
    <col min="14602" max="14602" width="12.85546875" style="100" customWidth="1"/>
    <col min="14603" max="14603" width="12.140625" style="100" customWidth="1"/>
    <col min="14604" max="14605" width="0" style="100" hidden="1" customWidth="1"/>
    <col min="14606" max="14606" width="11.85546875" style="100" customWidth="1"/>
    <col min="14607" max="14607" width="14.28515625" style="100" customWidth="1"/>
    <col min="14608" max="14608" width="12.28515625" style="100" customWidth="1"/>
    <col min="14609" max="14609" width="13.85546875" style="100" customWidth="1"/>
    <col min="14610" max="14610" width="15" style="100" customWidth="1"/>
    <col min="14611" max="14849" width="9.140625" style="100"/>
    <col min="14850" max="14850" width="12.28515625" style="100" customWidth="1"/>
    <col min="14851" max="14851" width="13.5703125" style="100" customWidth="1"/>
    <col min="14852" max="14852" width="12.5703125" style="100" customWidth="1"/>
    <col min="14853" max="14853" width="13" style="100" customWidth="1"/>
    <col min="14854" max="14855" width="12.85546875" style="100" customWidth="1"/>
    <col min="14856" max="14856" width="14" style="100" customWidth="1"/>
    <col min="14857" max="14857" width="13.140625" style="100" customWidth="1"/>
    <col min="14858" max="14858" width="12.85546875" style="100" customWidth="1"/>
    <col min="14859" max="14859" width="12.140625" style="100" customWidth="1"/>
    <col min="14860" max="14861" width="0" style="100" hidden="1" customWidth="1"/>
    <col min="14862" max="14862" width="11.85546875" style="100" customWidth="1"/>
    <col min="14863" max="14863" width="14.28515625" style="100" customWidth="1"/>
    <col min="14864" max="14864" width="12.28515625" style="100" customWidth="1"/>
    <col min="14865" max="14865" width="13.85546875" style="100" customWidth="1"/>
    <col min="14866" max="14866" width="15" style="100" customWidth="1"/>
    <col min="14867" max="15105" width="9.140625" style="100"/>
    <col min="15106" max="15106" width="12.28515625" style="100" customWidth="1"/>
    <col min="15107" max="15107" width="13.5703125" style="100" customWidth="1"/>
    <col min="15108" max="15108" width="12.5703125" style="100" customWidth="1"/>
    <col min="15109" max="15109" width="13" style="100" customWidth="1"/>
    <col min="15110" max="15111" width="12.85546875" style="100" customWidth="1"/>
    <col min="15112" max="15112" width="14" style="100" customWidth="1"/>
    <col min="15113" max="15113" width="13.140625" style="100" customWidth="1"/>
    <col min="15114" max="15114" width="12.85546875" style="100" customWidth="1"/>
    <col min="15115" max="15115" width="12.140625" style="100" customWidth="1"/>
    <col min="15116" max="15117" width="0" style="100" hidden="1" customWidth="1"/>
    <col min="15118" max="15118" width="11.85546875" style="100" customWidth="1"/>
    <col min="15119" max="15119" width="14.28515625" style="100" customWidth="1"/>
    <col min="15120" max="15120" width="12.28515625" style="100" customWidth="1"/>
    <col min="15121" max="15121" width="13.85546875" style="100" customWidth="1"/>
    <col min="15122" max="15122" width="15" style="100" customWidth="1"/>
    <col min="15123" max="15361" width="9.140625" style="100"/>
    <col min="15362" max="15362" width="12.28515625" style="100" customWidth="1"/>
    <col min="15363" max="15363" width="13.5703125" style="100" customWidth="1"/>
    <col min="15364" max="15364" width="12.5703125" style="100" customWidth="1"/>
    <col min="15365" max="15365" width="13" style="100" customWidth="1"/>
    <col min="15366" max="15367" width="12.85546875" style="100" customWidth="1"/>
    <col min="15368" max="15368" width="14" style="100" customWidth="1"/>
    <col min="15369" max="15369" width="13.140625" style="100" customWidth="1"/>
    <col min="15370" max="15370" width="12.85546875" style="100" customWidth="1"/>
    <col min="15371" max="15371" width="12.140625" style="100" customWidth="1"/>
    <col min="15372" max="15373" width="0" style="100" hidden="1" customWidth="1"/>
    <col min="15374" max="15374" width="11.85546875" style="100" customWidth="1"/>
    <col min="15375" max="15375" width="14.28515625" style="100" customWidth="1"/>
    <col min="15376" max="15376" width="12.28515625" style="100" customWidth="1"/>
    <col min="15377" max="15377" width="13.85546875" style="100" customWidth="1"/>
    <col min="15378" max="15378" width="15" style="100" customWidth="1"/>
    <col min="15379" max="15617" width="9.140625" style="100"/>
    <col min="15618" max="15618" width="12.28515625" style="100" customWidth="1"/>
    <col min="15619" max="15619" width="13.5703125" style="100" customWidth="1"/>
    <col min="15620" max="15620" width="12.5703125" style="100" customWidth="1"/>
    <col min="15621" max="15621" width="13" style="100" customWidth="1"/>
    <col min="15622" max="15623" width="12.85546875" style="100" customWidth="1"/>
    <col min="15624" max="15624" width="14" style="100" customWidth="1"/>
    <col min="15625" max="15625" width="13.140625" style="100" customWidth="1"/>
    <col min="15626" max="15626" width="12.85546875" style="100" customWidth="1"/>
    <col min="15627" max="15627" width="12.140625" style="100" customWidth="1"/>
    <col min="15628" max="15629" width="0" style="100" hidden="1" customWidth="1"/>
    <col min="15630" max="15630" width="11.85546875" style="100" customWidth="1"/>
    <col min="15631" max="15631" width="14.28515625" style="100" customWidth="1"/>
    <col min="15632" max="15632" width="12.28515625" style="100" customWidth="1"/>
    <col min="15633" max="15633" width="13.85546875" style="100" customWidth="1"/>
    <col min="15634" max="15634" width="15" style="100" customWidth="1"/>
    <col min="15635" max="15873" width="9.140625" style="100"/>
    <col min="15874" max="15874" width="12.28515625" style="100" customWidth="1"/>
    <col min="15875" max="15875" width="13.5703125" style="100" customWidth="1"/>
    <col min="15876" max="15876" width="12.5703125" style="100" customWidth="1"/>
    <col min="15877" max="15877" width="13" style="100" customWidth="1"/>
    <col min="15878" max="15879" width="12.85546875" style="100" customWidth="1"/>
    <col min="15880" max="15880" width="14" style="100" customWidth="1"/>
    <col min="15881" max="15881" width="13.140625" style="100" customWidth="1"/>
    <col min="15882" max="15882" width="12.85546875" style="100" customWidth="1"/>
    <col min="15883" max="15883" width="12.140625" style="100" customWidth="1"/>
    <col min="15884" max="15885" width="0" style="100" hidden="1" customWidth="1"/>
    <col min="15886" max="15886" width="11.85546875" style="100" customWidth="1"/>
    <col min="15887" max="15887" width="14.28515625" style="100" customWidth="1"/>
    <col min="15888" max="15888" width="12.28515625" style="100" customWidth="1"/>
    <col min="15889" max="15889" width="13.85546875" style="100" customWidth="1"/>
    <col min="15890" max="15890" width="15" style="100" customWidth="1"/>
    <col min="15891" max="16129" width="9.140625" style="100"/>
    <col min="16130" max="16130" width="12.28515625" style="100" customWidth="1"/>
    <col min="16131" max="16131" width="13.5703125" style="100" customWidth="1"/>
    <col min="16132" max="16132" width="12.5703125" style="100" customWidth="1"/>
    <col min="16133" max="16133" width="13" style="100" customWidth="1"/>
    <col min="16134" max="16135" width="12.85546875" style="100" customWidth="1"/>
    <col min="16136" max="16136" width="14" style="100" customWidth="1"/>
    <col min="16137" max="16137" width="13.140625" style="100" customWidth="1"/>
    <col min="16138" max="16138" width="12.85546875" style="100" customWidth="1"/>
    <col min="16139" max="16139" width="12.140625" style="100" customWidth="1"/>
    <col min="16140" max="16141" width="0" style="100" hidden="1" customWidth="1"/>
    <col min="16142" max="16142" width="11.85546875" style="100" customWidth="1"/>
    <col min="16143" max="16143" width="14.28515625" style="100" customWidth="1"/>
    <col min="16144" max="16144" width="12.28515625" style="100" customWidth="1"/>
    <col min="16145" max="16145" width="13.85546875" style="100" customWidth="1"/>
    <col min="16146" max="16146" width="15" style="100" customWidth="1"/>
    <col min="16147" max="16384" width="9.140625" style="100"/>
  </cols>
  <sheetData>
    <row r="1" spans="2:17" ht="18" x14ac:dyDescent="0.25">
      <c r="B1" s="117" t="s">
        <v>92</v>
      </c>
      <c r="H1" s="118"/>
      <c r="I1" s="117" t="s">
        <v>92</v>
      </c>
      <c r="Q1" s="118"/>
    </row>
    <row r="2" spans="2:17" x14ac:dyDescent="0.2">
      <c r="B2" s="104" t="s">
        <v>132</v>
      </c>
      <c r="H2" s="120"/>
      <c r="I2" s="104" t="s">
        <v>132</v>
      </c>
      <c r="Q2" s="120"/>
    </row>
    <row r="3" spans="2:17" x14ac:dyDescent="0.2">
      <c r="B3" s="104"/>
      <c r="H3" s="121"/>
      <c r="I3" s="104"/>
      <c r="Q3" s="121"/>
    </row>
    <row r="4" spans="2:17" x14ac:dyDescent="0.2">
      <c r="B4" s="104"/>
      <c r="H4" s="121"/>
      <c r="I4" s="104"/>
      <c r="Q4" s="121"/>
    </row>
    <row r="7" spans="2:17" x14ac:dyDescent="0.2">
      <c r="B7" s="104" t="s">
        <v>141</v>
      </c>
      <c r="I7" s="104" t="s">
        <v>141</v>
      </c>
    </row>
    <row r="8" spans="2:17" x14ac:dyDescent="0.2">
      <c r="B8" s="151" t="s">
        <v>142</v>
      </c>
      <c r="E8" s="139">
        <v>1000</v>
      </c>
      <c r="I8" s="151" t="s">
        <v>142</v>
      </c>
      <c r="L8" s="139">
        <v>1000</v>
      </c>
      <c r="O8" s="139">
        <f t="shared" ref="O8:O14" si="0">E8</f>
        <v>1000</v>
      </c>
    </row>
    <row r="9" spans="2:17" x14ac:dyDescent="0.2">
      <c r="B9" s="151" t="s">
        <v>143</v>
      </c>
      <c r="E9" s="100">
        <v>5</v>
      </c>
      <c r="I9" s="151" t="s">
        <v>143</v>
      </c>
      <c r="L9" s="100">
        <v>30</v>
      </c>
      <c r="O9" s="100">
        <f t="shared" si="0"/>
        <v>5</v>
      </c>
    </row>
    <row r="10" spans="2:17" x14ac:dyDescent="0.2">
      <c r="B10" s="151" t="s">
        <v>144</v>
      </c>
      <c r="E10" s="100">
        <v>5</v>
      </c>
      <c r="I10" s="151" t="s">
        <v>144</v>
      </c>
      <c r="L10" s="100">
        <v>20</v>
      </c>
      <c r="O10" s="100">
        <f t="shared" si="0"/>
        <v>5</v>
      </c>
    </row>
    <row r="11" spans="2:17" x14ac:dyDescent="0.2">
      <c r="B11" s="151" t="s">
        <v>145</v>
      </c>
      <c r="E11" s="152">
        <f>'LGE-E Meter Pu WACOC-Tax Table'!F10</f>
        <v>0.2495</v>
      </c>
      <c r="I11" s="151" t="s">
        <v>145</v>
      </c>
      <c r="L11" s="153">
        <v>0.37602808360000001</v>
      </c>
      <c r="O11" s="152">
        <f t="shared" si="0"/>
        <v>0.2495</v>
      </c>
    </row>
    <row r="12" spans="2:17" x14ac:dyDescent="0.2">
      <c r="B12" s="151" t="s">
        <v>146</v>
      </c>
      <c r="E12" s="152">
        <v>0</v>
      </c>
      <c r="I12" s="151" t="s">
        <v>146</v>
      </c>
      <c r="L12" s="152">
        <v>0</v>
      </c>
      <c r="O12" s="152">
        <f t="shared" si="0"/>
        <v>0</v>
      </c>
    </row>
    <row r="13" spans="2:17" x14ac:dyDescent="0.2">
      <c r="B13" s="151" t="s">
        <v>147</v>
      </c>
      <c r="E13" s="100">
        <v>5</v>
      </c>
      <c r="I13" s="151" t="s">
        <v>147</v>
      </c>
      <c r="L13" s="100">
        <v>35</v>
      </c>
      <c r="O13" s="100">
        <f t="shared" si="0"/>
        <v>5</v>
      </c>
    </row>
    <row r="14" spans="2:17" x14ac:dyDescent="0.2">
      <c r="B14" s="151" t="s">
        <v>148</v>
      </c>
      <c r="E14" s="152">
        <v>0</v>
      </c>
      <c r="I14" s="151" t="s">
        <v>148</v>
      </c>
      <c r="L14" s="152">
        <v>0</v>
      </c>
      <c r="O14" s="152">
        <f t="shared" si="0"/>
        <v>0</v>
      </c>
    </row>
    <row r="15" spans="2:17" x14ac:dyDescent="0.2">
      <c r="B15" s="151"/>
      <c r="E15" s="152"/>
      <c r="I15" s="151"/>
      <c r="L15" s="152"/>
      <c r="O15" s="152"/>
    </row>
    <row r="17" spans="1:20" x14ac:dyDescent="0.2">
      <c r="B17" s="104" t="s">
        <v>149</v>
      </c>
      <c r="I17" s="104" t="s">
        <v>149</v>
      </c>
    </row>
    <row r="18" spans="1:20" x14ac:dyDescent="0.2">
      <c r="B18" s="151" t="s">
        <v>150</v>
      </c>
      <c r="E18" s="154">
        <f>Q71</f>
        <v>978.87231863975524</v>
      </c>
      <c r="I18" s="151" t="s">
        <v>150</v>
      </c>
      <c r="L18" s="154">
        <f>X71</f>
        <v>0</v>
      </c>
      <c r="O18" s="154">
        <f>E18</f>
        <v>978.87231863975524</v>
      </c>
    </row>
    <row r="19" spans="1:20" x14ac:dyDescent="0.2">
      <c r="B19" s="151" t="s">
        <v>151</v>
      </c>
      <c r="E19" s="155">
        <f>PMT('LGE-E Meter Pu WACOC-Tax Table'!E13,E13,Q71)*-1</f>
        <v>239.79459318178149</v>
      </c>
      <c r="I19" s="151" t="s">
        <v>151</v>
      </c>
      <c r="L19" s="155">
        <f>PMT('LGE-E Meter Pu WACOC-Tax Table'!L13,L13,X71)*-1</f>
        <v>0</v>
      </c>
      <c r="O19" s="155">
        <f>E19</f>
        <v>239.79459318178149</v>
      </c>
    </row>
    <row r="20" spans="1:20" x14ac:dyDescent="0.2">
      <c r="B20" s="151" t="s">
        <v>152</v>
      </c>
      <c r="E20" s="152">
        <f>E19/E8</f>
        <v>0.23979459318178151</v>
      </c>
      <c r="I20" s="151" t="s">
        <v>152</v>
      </c>
      <c r="L20" s="152">
        <f>L19/L8</f>
        <v>0</v>
      </c>
      <c r="O20" s="152">
        <f>E20</f>
        <v>0.23979459318178151</v>
      </c>
    </row>
    <row r="21" spans="1:20" x14ac:dyDescent="0.2">
      <c r="B21" s="151" t="s">
        <v>153</v>
      </c>
      <c r="E21" s="156">
        <f>1/E20</f>
        <v>4.170235811955644</v>
      </c>
      <c r="F21" s="100" t="s">
        <v>154</v>
      </c>
      <c r="I21" s="151" t="s">
        <v>153</v>
      </c>
      <c r="L21" s="156" t="e">
        <f>1/L20</f>
        <v>#DIV/0!</v>
      </c>
      <c r="M21" s="100" t="s">
        <v>154</v>
      </c>
      <c r="O21" s="156">
        <f>E21</f>
        <v>4.170235811955644</v>
      </c>
      <c r="P21" s="100" t="s">
        <v>154</v>
      </c>
    </row>
    <row r="22" spans="1:20" x14ac:dyDescent="0.2">
      <c r="C22" s="156"/>
    </row>
    <row r="23" spans="1:20" x14ac:dyDescent="0.2">
      <c r="C23" s="156"/>
    </row>
    <row r="24" spans="1:20" x14ac:dyDescent="0.2">
      <c r="A24" s="120"/>
      <c r="B24" s="120"/>
      <c r="C24" s="120"/>
      <c r="D24" s="120"/>
      <c r="E24" s="120"/>
      <c r="F24" s="120"/>
      <c r="G24" s="120"/>
      <c r="H24" s="120"/>
      <c r="I24" s="120"/>
      <c r="J24" s="120"/>
      <c r="K24" s="120"/>
      <c r="L24" s="120"/>
      <c r="M24" s="120"/>
      <c r="N24" s="120"/>
      <c r="O24" s="120"/>
      <c r="P24" s="141"/>
      <c r="Q24" s="120"/>
      <c r="R24" s="141" t="s">
        <v>94</v>
      </c>
      <c r="S24" s="120"/>
    </row>
    <row r="25" spans="1:20" x14ac:dyDescent="0.2">
      <c r="A25" s="120"/>
      <c r="B25" s="120"/>
      <c r="C25" s="120"/>
      <c r="D25" s="120"/>
      <c r="E25" s="120"/>
      <c r="F25" s="120"/>
      <c r="G25" s="120"/>
      <c r="H25" s="120"/>
      <c r="I25" s="141"/>
      <c r="J25" s="120"/>
      <c r="K25" s="120"/>
      <c r="L25" s="120"/>
      <c r="M25" s="120"/>
      <c r="N25" s="141"/>
      <c r="O25" s="141"/>
      <c r="P25" s="141" t="s">
        <v>95</v>
      </c>
      <c r="Q25" s="141" t="s">
        <v>95</v>
      </c>
      <c r="R25" s="141" t="s">
        <v>95</v>
      </c>
      <c r="S25" s="141" t="s">
        <v>101</v>
      </c>
    </row>
    <row r="26" spans="1:20" x14ac:dyDescent="0.2">
      <c r="A26" s="120"/>
      <c r="B26" s="120"/>
      <c r="C26" s="120"/>
      <c r="D26" s="120"/>
      <c r="E26" s="120"/>
      <c r="F26" s="120"/>
      <c r="G26" s="120"/>
      <c r="H26" s="141" t="s">
        <v>155</v>
      </c>
      <c r="I26" s="141"/>
      <c r="J26" s="120"/>
      <c r="K26" s="120"/>
      <c r="L26" s="120"/>
      <c r="M26" s="120"/>
      <c r="N26" s="141"/>
      <c r="O26" s="141" t="s">
        <v>101</v>
      </c>
      <c r="P26" s="141" t="s">
        <v>156</v>
      </c>
      <c r="Q26" s="141" t="s">
        <v>156</v>
      </c>
      <c r="R26" s="141" t="s">
        <v>156</v>
      </c>
      <c r="S26" s="141" t="s">
        <v>157</v>
      </c>
    </row>
    <row r="27" spans="1:20" x14ac:dyDescent="0.2">
      <c r="A27" s="120"/>
      <c r="B27" s="141"/>
      <c r="C27" s="141" t="s">
        <v>158</v>
      </c>
      <c r="D27" s="141" t="s">
        <v>159</v>
      </c>
      <c r="E27" s="141" t="s">
        <v>160</v>
      </c>
      <c r="F27" s="141" t="s">
        <v>159</v>
      </c>
      <c r="G27" s="141" t="s">
        <v>161</v>
      </c>
      <c r="H27" s="141" t="s">
        <v>161</v>
      </c>
      <c r="I27" s="141"/>
      <c r="J27" s="141"/>
      <c r="K27" s="141"/>
      <c r="L27" s="141"/>
      <c r="M27" s="141" t="s">
        <v>162</v>
      </c>
      <c r="N27" s="141" t="s">
        <v>163</v>
      </c>
      <c r="O27" s="141" t="s">
        <v>164</v>
      </c>
      <c r="P27" s="141" t="s">
        <v>165</v>
      </c>
      <c r="Q27" s="141" t="s">
        <v>164</v>
      </c>
      <c r="R27" s="141" t="s">
        <v>164</v>
      </c>
      <c r="S27" s="141" t="s">
        <v>166</v>
      </c>
    </row>
    <row r="28" spans="1:20" x14ac:dyDescent="0.2">
      <c r="A28" s="141" t="s">
        <v>107</v>
      </c>
      <c r="B28" s="141" t="s">
        <v>167</v>
      </c>
      <c r="C28" s="141" t="s">
        <v>168</v>
      </c>
      <c r="D28" s="141" t="s">
        <v>169</v>
      </c>
      <c r="E28" s="141" t="s">
        <v>168</v>
      </c>
      <c r="F28" s="141" t="s">
        <v>169</v>
      </c>
      <c r="G28" s="141" t="s">
        <v>170</v>
      </c>
      <c r="H28" s="141" t="s">
        <v>170</v>
      </c>
      <c r="I28" s="141" t="s">
        <v>171</v>
      </c>
      <c r="J28" s="141" t="s">
        <v>165</v>
      </c>
      <c r="K28" s="141" t="s">
        <v>172</v>
      </c>
      <c r="L28" s="141" t="s">
        <v>173</v>
      </c>
      <c r="M28" s="141" t="s">
        <v>174</v>
      </c>
      <c r="N28" s="141" t="s">
        <v>174</v>
      </c>
      <c r="O28" s="141" t="s">
        <v>175</v>
      </c>
      <c r="P28" s="141" t="s">
        <v>176</v>
      </c>
      <c r="Q28" s="141" t="s">
        <v>175</v>
      </c>
      <c r="R28" s="141" t="s">
        <v>175</v>
      </c>
      <c r="S28" s="141" t="s">
        <v>31</v>
      </c>
    </row>
    <row r="30" spans="1:20" x14ac:dyDescent="0.2">
      <c r="A30" s="100">
        <v>0</v>
      </c>
      <c r="B30" s="139">
        <f>E8</f>
        <v>1000</v>
      </c>
      <c r="C30" s="157"/>
      <c r="D30" s="157"/>
      <c r="E30" s="157"/>
      <c r="F30" s="157"/>
      <c r="G30" s="157"/>
      <c r="H30" s="157"/>
      <c r="I30" s="154">
        <v>0</v>
      </c>
      <c r="J30" s="133">
        <f>'LGE-E Meter Pu WACOC-Tax Table'!$E$10*I30</f>
        <v>0</v>
      </c>
      <c r="K30" s="139">
        <f>I30*('LGE-E Meter Pu WACOC-Tax Table'!$E$11+'LGE-E Meter Pu WACOC-Tax Table'!$E$12)</f>
        <v>0</v>
      </c>
      <c r="M30" s="154">
        <f t="shared" ref="M30:M70" si="1">$E$12*D30</f>
        <v>0</v>
      </c>
      <c r="N30" s="146">
        <f t="shared" ref="N30:N70" si="2">($E$11/(1-$E$11))*K30</f>
        <v>0</v>
      </c>
      <c r="O30" s="139">
        <f t="shared" ref="O30:O70" si="3">C30+J30+K30+L30+M30+N30</f>
        <v>0</v>
      </c>
      <c r="P30" s="158">
        <f>1/(1+'LGE-E Meter Pu WACOC-Tax Table'!$E$13)^A30</f>
        <v>1</v>
      </c>
      <c r="Q30" s="159">
        <f t="shared" ref="Q30:Q70" si="4">O30*P30</f>
        <v>0</v>
      </c>
      <c r="R30" s="154">
        <f>Q30</f>
        <v>0</v>
      </c>
    </row>
    <row r="31" spans="1:20" x14ac:dyDescent="0.2">
      <c r="A31" s="100">
        <v>1</v>
      </c>
      <c r="C31" s="146">
        <f>(1/$E$9)*$B$30</f>
        <v>200</v>
      </c>
      <c r="D31" s="146">
        <f>$B$30-C31</f>
        <v>800</v>
      </c>
      <c r="E31" s="146">
        <f>HLOOKUP($E$10,'LGE-E Meter Pu WACOC-Tax Table'!$B$17:$E$58,A32)*$B$30</f>
        <v>200</v>
      </c>
      <c r="F31" s="146">
        <f>B30-E31</f>
        <v>800</v>
      </c>
      <c r="G31" s="146">
        <f t="shared" ref="G31:G70" si="5">(E31-C31)*$E$11</f>
        <v>0</v>
      </c>
      <c r="H31" s="146">
        <f>G31</f>
        <v>0</v>
      </c>
      <c r="I31" s="146">
        <f t="shared" ref="I31:I36" si="6">D31-H31</f>
        <v>800</v>
      </c>
      <c r="J31" s="146">
        <f>'LGE-E Meter Pu WACOC-Tax Table'!$E$10*I31</f>
        <v>4.6841203683596976E-2</v>
      </c>
      <c r="K31" s="146">
        <f>I31*('LGE-E Meter Pu WACOC-Tax Table'!$E$11+'LGE-E Meter Pu WACOC-Tax Table'!$E$12)</f>
        <v>57.274494146035572</v>
      </c>
      <c r="L31" s="146">
        <f>$E$14*$E$8</f>
        <v>0</v>
      </c>
      <c r="M31" s="146">
        <f t="shared" si="1"/>
        <v>0</v>
      </c>
      <c r="N31" s="146">
        <f t="shared" si="2"/>
        <v>19.040621305044471</v>
      </c>
      <c r="O31" s="146">
        <f t="shared" si="3"/>
        <v>276.36195665476362</v>
      </c>
      <c r="P31" s="158">
        <f>1/(1+'LGE-E Meter Pu WACOC-Tax Table'!$E$13)^A31</f>
        <v>0.9331390308555233</v>
      </c>
      <c r="Q31" s="160">
        <f t="shared" si="4"/>
        <v>257.88412839816226</v>
      </c>
      <c r="R31" s="146">
        <f t="shared" ref="R31:R69" si="7">R30+Q31</f>
        <v>257.88412839816226</v>
      </c>
      <c r="S31" s="152">
        <f t="shared" ref="S31:S70" si="8">O31/$B$30</f>
        <v>0.2763619566547636</v>
      </c>
      <c r="T31" s="155"/>
    </row>
    <row r="32" spans="1:20" x14ac:dyDescent="0.2">
      <c r="A32" s="100">
        <v>2</v>
      </c>
      <c r="C32" s="146">
        <f t="shared" ref="C32:C69" si="9">IF(D31&lt;=0.001,0,(1/$E$9)*$B$30)</f>
        <v>200</v>
      </c>
      <c r="D32" s="146">
        <f t="shared" ref="D32:D69" si="10">D31-C32</f>
        <v>600</v>
      </c>
      <c r="E32" s="146">
        <f>HLOOKUP($E$10,'LGE-E Meter Pu WACOC-Tax Table'!$B$17:$E$58,A33)*$B$30</f>
        <v>320</v>
      </c>
      <c r="F32" s="146">
        <f t="shared" ref="F32:F69" si="11">F31-E32</f>
        <v>480</v>
      </c>
      <c r="G32" s="146">
        <f t="shared" si="5"/>
        <v>29.94</v>
      </c>
      <c r="H32" s="146">
        <f t="shared" ref="H32:H69" si="12">H31+G32</f>
        <v>29.94</v>
      </c>
      <c r="I32" s="146">
        <f t="shared" si="6"/>
        <v>570.05999999999995</v>
      </c>
      <c r="J32" s="146">
        <f>'LGE-E Meter Pu WACOC-Tax Table'!$E$10*I32</f>
        <v>3.3377870714839109E-2</v>
      </c>
      <c r="K32" s="146">
        <f>I32*('LGE-E Meter Pu WACOC-Tax Table'!$E$11+'LGE-E Meter Pu WACOC-Tax Table'!$E$12)</f>
        <v>40.812372666111294</v>
      </c>
      <c r="L32" s="146">
        <f t="shared" ref="L32:L65" si="13">$E$14*$E$8*(1+$E$15)^A31</f>
        <v>0</v>
      </c>
      <c r="M32" s="146">
        <f t="shared" si="1"/>
        <v>0</v>
      </c>
      <c r="N32" s="146">
        <f t="shared" si="2"/>
        <v>13.567870726442063</v>
      </c>
      <c r="O32" s="146">
        <f t="shared" si="3"/>
        <v>254.4136212632682</v>
      </c>
      <c r="P32" s="158">
        <f>1/(1+'LGE-E Meter Pu WACOC-Tax Table'!$E$13)^A32</f>
        <v>0.87074845090598518</v>
      </c>
      <c r="Q32" s="160">
        <f t="shared" si="4"/>
        <v>221.5302666043728</v>
      </c>
      <c r="R32" s="146">
        <f t="shared" si="7"/>
        <v>479.41439500253506</v>
      </c>
      <c r="S32" s="152">
        <f t="shared" si="8"/>
        <v>0.25441362126326822</v>
      </c>
      <c r="T32" s="155"/>
    </row>
    <row r="33" spans="1:20" x14ac:dyDescent="0.2">
      <c r="A33" s="100">
        <v>3</v>
      </c>
      <c r="C33" s="146">
        <f t="shared" si="9"/>
        <v>200</v>
      </c>
      <c r="D33" s="146">
        <f t="shared" si="10"/>
        <v>400</v>
      </c>
      <c r="E33" s="146">
        <f>HLOOKUP($E$10,'LGE-E Meter Pu WACOC-Tax Table'!$B$17:$E$58,A34)*$B$30</f>
        <v>192</v>
      </c>
      <c r="F33" s="146">
        <f t="shared" si="11"/>
        <v>288</v>
      </c>
      <c r="G33" s="146">
        <f t="shared" si="5"/>
        <v>-1.996</v>
      </c>
      <c r="H33" s="146">
        <f t="shared" si="12"/>
        <v>27.944000000000003</v>
      </c>
      <c r="I33" s="146">
        <f t="shared" si="6"/>
        <v>372.05599999999998</v>
      </c>
      <c r="J33" s="146">
        <f>'LGE-E Meter Pu WACOC-Tax Table'!$E$10*I33</f>
        <v>2.1784438597130442E-2</v>
      </c>
      <c r="K33" s="146">
        <f>I33*('LGE-E Meter Pu WACOC-Tax Table'!$E$11+'LGE-E Meter Pu WACOC-Tax Table'!$E$12)</f>
        <v>26.636648992496763</v>
      </c>
      <c r="L33" s="146">
        <f t="shared" si="13"/>
        <v>0</v>
      </c>
      <c r="M33" s="146">
        <f t="shared" si="1"/>
        <v>0</v>
      </c>
      <c r="N33" s="146">
        <f t="shared" si="2"/>
        <v>8.8552217503370318</v>
      </c>
      <c r="O33" s="146">
        <f t="shared" si="3"/>
        <v>235.51365518143092</v>
      </c>
      <c r="P33" s="158">
        <f>1/(1+'LGE-E Meter Pu WACOC-Tax Table'!$E$13)^A33</f>
        <v>0.81252936559735911</v>
      </c>
      <c r="Q33" s="160">
        <f t="shared" si="4"/>
        <v>191.36176083408324</v>
      </c>
      <c r="R33" s="146">
        <f t="shared" si="7"/>
        <v>670.77615583661827</v>
      </c>
      <c r="S33" s="152">
        <f t="shared" si="8"/>
        <v>0.23551365518143091</v>
      </c>
      <c r="T33" s="155"/>
    </row>
    <row r="34" spans="1:20" x14ac:dyDescent="0.2">
      <c r="A34" s="100">
        <v>4</v>
      </c>
      <c r="C34" s="146">
        <f t="shared" si="9"/>
        <v>200</v>
      </c>
      <c r="D34" s="146">
        <f t="shared" si="10"/>
        <v>200</v>
      </c>
      <c r="E34" s="146">
        <f>HLOOKUP($E$10,'LGE-E Meter Pu WACOC-Tax Table'!$B$17:$E$58,A35)*$B$30</f>
        <v>115.2</v>
      </c>
      <c r="F34" s="146">
        <f t="shared" si="11"/>
        <v>172.8</v>
      </c>
      <c r="G34" s="146">
        <f t="shared" si="5"/>
        <v>-21.157599999999999</v>
      </c>
      <c r="H34" s="146">
        <f t="shared" si="12"/>
        <v>6.786400000000004</v>
      </c>
      <c r="I34" s="146">
        <f t="shared" si="6"/>
        <v>193.21359999999999</v>
      </c>
      <c r="J34" s="146">
        <f>'LGE-E Meter Pu WACOC-Tax Table'!$E$10*I34</f>
        <v>1.131294699005129E-2</v>
      </c>
      <c r="K34" s="146">
        <f>I34*('LGE-E Meter Pu WACOC-Tax Table'!$E$11+'LGE-E Meter Pu WACOC-Tax Table'!$E$12)</f>
        <v>13.832764002668071</v>
      </c>
      <c r="L34" s="146">
        <f t="shared" si="13"/>
        <v>0</v>
      </c>
      <c r="M34" s="146">
        <f t="shared" si="1"/>
        <v>0</v>
      </c>
      <c r="N34" s="146">
        <f t="shared" si="2"/>
        <v>4.5986337357304246</v>
      </c>
      <c r="O34" s="146">
        <f t="shared" si="3"/>
        <v>218.44271068538856</v>
      </c>
      <c r="P34" s="158">
        <f>1/(1+'LGE-E Meter Pu WACOC-Tax Table'!$E$13)^A34</f>
        <v>0.75820286475517285</v>
      </c>
      <c r="Q34" s="160">
        <f t="shared" si="4"/>
        <v>165.623889026547</v>
      </c>
      <c r="R34" s="146">
        <f t="shared" si="7"/>
        <v>836.40004486316525</v>
      </c>
      <c r="S34" s="152">
        <f t="shared" si="8"/>
        <v>0.21844271068538856</v>
      </c>
      <c r="T34" s="155"/>
    </row>
    <row r="35" spans="1:20" x14ac:dyDescent="0.2">
      <c r="A35" s="100">
        <v>5</v>
      </c>
      <c r="C35" s="146">
        <f t="shared" si="9"/>
        <v>200</v>
      </c>
      <c r="D35" s="146">
        <f t="shared" si="10"/>
        <v>0</v>
      </c>
      <c r="E35" s="146">
        <f>HLOOKUP($E$10,'LGE-E Meter Pu WACOC-Tax Table'!$B$17:$E$58,A36)*$B$30</f>
        <v>115.2</v>
      </c>
      <c r="F35" s="146">
        <f t="shared" si="11"/>
        <v>57.600000000000009</v>
      </c>
      <c r="G35" s="146">
        <f t="shared" si="5"/>
        <v>-21.157599999999999</v>
      </c>
      <c r="H35" s="146">
        <f t="shared" si="12"/>
        <v>-14.371199999999995</v>
      </c>
      <c r="I35" s="146">
        <f t="shared" si="6"/>
        <v>14.371199999999995</v>
      </c>
      <c r="J35" s="146">
        <f>'LGE-E Meter Pu WACOC-Tax Table'!$E$10*I35</f>
        <v>8.4145538297213573E-4</v>
      </c>
      <c r="K35" s="146">
        <f>I35*('LGE-E Meter Pu WACOC-Tax Table'!$E$11+'LGE-E Meter Pu WACOC-Tax Table'!$E$12)</f>
        <v>1.0288790128393825</v>
      </c>
      <c r="L35" s="146">
        <f t="shared" si="13"/>
        <v>0</v>
      </c>
      <c r="M35" s="146">
        <f t="shared" si="1"/>
        <v>0</v>
      </c>
      <c r="N35" s="146">
        <f t="shared" si="2"/>
        <v>0.3420457211238187</v>
      </c>
      <c r="O35" s="146">
        <f t="shared" si="3"/>
        <v>201.37176618934618</v>
      </c>
      <c r="P35" s="158">
        <f>1/(1+'LGE-E Meter Pu WACOC-Tax Table'!$E$13)^A35</f>
        <v>0.70750868640952347</v>
      </c>
      <c r="Q35" s="160">
        <f t="shared" si="4"/>
        <v>142.47227377659001</v>
      </c>
      <c r="R35" s="146">
        <f t="shared" si="7"/>
        <v>978.87231863975524</v>
      </c>
      <c r="S35" s="152">
        <f t="shared" si="8"/>
        <v>0.20137176618934619</v>
      </c>
      <c r="T35" s="155"/>
    </row>
    <row r="36" spans="1:20" x14ac:dyDescent="0.2">
      <c r="A36" s="100">
        <v>6</v>
      </c>
      <c r="C36" s="146">
        <f t="shared" si="9"/>
        <v>0</v>
      </c>
      <c r="D36" s="146">
        <f t="shared" si="10"/>
        <v>0</v>
      </c>
      <c r="E36" s="146">
        <f>HLOOKUP($E$10,'LGE-E Meter Pu WACOC-Tax Table'!$B$17:$E$58,A37)*$B$30</f>
        <v>57.600000000000044</v>
      </c>
      <c r="F36" s="146">
        <f t="shared" si="11"/>
        <v>0</v>
      </c>
      <c r="G36" s="146">
        <f t="shared" si="5"/>
        <v>14.371200000000011</v>
      </c>
      <c r="H36" s="146">
        <f t="shared" si="12"/>
        <v>1.5987211554602254E-14</v>
      </c>
      <c r="I36" s="146">
        <f t="shared" si="6"/>
        <v>-1.5987211554602254E-14</v>
      </c>
      <c r="J36" s="146">
        <f>'LGE-E Meter Pu WACOC-Tax Table'!$E$10*I36</f>
        <v>-9.360752909523491E-19</v>
      </c>
      <c r="K36" s="146">
        <f>I36*('LGE-E Meter Pu WACOC-Tax Table'!$E$11+'LGE-E Meter Pu WACOC-Tax Table'!$E$12)</f>
        <v>-1.1445743182443739E-15</v>
      </c>
      <c r="L36" s="146">
        <f t="shared" si="13"/>
        <v>0</v>
      </c>
      <c r="M36" s="146">
        <f t="shared" si="1"/>
        <v>0</v>
      </c>
      <c r="N36" s="146">
        <f t="shared" si="2"/>
        <v>-3.8050805116851604E-16</v>
      </c>
      <c r="O36" s="146">
        <f t="shared" si="3"/>
        <v>-1.5260184447038423E-15</v>
      </c>
      <c r="P36" s="158">
        <f>1/(1+'LGE-E Meter Pu WACOC-Tax Table'!$E$13)^A36</f>
        <v>0.66020396995804687</v>
      </c>
      <c r="Q36" s="160">
        <f t="shared" si="4"/>
        <v>-1.0074834354226809E-15</v>
      </c>
      <c r="R36" s="146">
        <f t="shared" si="7"/>
        <v>978.87231863975524</v>
      </c>
      <c r="S36" s="152">
        <f t="shared" si="8"/>
        <v>-1.5260184447038423E-18</v>
      </c>
      <c r="T36" s="155"/>
    </row>
    <row r="37" spans="1:20" ht="10.5" hidden="1" customHeight="1" x14ac:dyDescent="0.2">
      <c r="A37" s="100">
        <v>7</v>
      </c>
      <c r="C37" s="146">
        <f t="shared" si="9"/>
        <v>0</v>
      </c>
      <c r="D37" s="146">
        <f t="shared" si="10"/>
        <v>0</v>
      </c>
      <c r="E37" s="146">
        <f>HLOOKUP($E$10,'LGE-E Meter Pu WACOC-Tax Table'!$B$17:$E$58,A38)*$B$30</f>
        <v>0</v>
      </c>
      <c r="F37" s="146">
        <f t="shared" si="11"/>
        <v>0</v>
      </c>
      <c r="G37" s="146">
        <f t="shared" si="5"/>
        <v>0</v>
      </c>
      <c r="H37" s="146">
        <f t="shared" si="12"/>
        <v>1.5987211554602254E-14</v>
      </c>
      <c r="I37" s="146">
        <f t="shared" ref="I37:I70" si="14">D37</f>
        <v>0</v>
      </c>
      <c r="J37" s="146">
        <f>'LGE-E Meter Pu WACOC-Tax Table'!$E$10*I37</f>
        <v>0</v>
      </c>
      <c r="K37" s="146">
        <f>I37*('LGE-E Meter Pu WACOC-Tax Table'!$E$11+'LGE-E Meter Pu WACOC-Tax Table'!$E$12)</f>
        <v>0</v>
      </c>
      <c r="L37" s="146">
        <f t="shared" si="13"/>
        <v>0</v>
      </c>
      <c r="M37" s="146">
        <f t="shared" si="1"/>
        <v>0</v>
      </c>
      <c r="N37" s="146">
        <f t="shared" si="2"/>
        <v>0</v>
      </c>
      <c r="O37" s="146">
        <f t="shared" si="3"/>
        <v>0</v>
      </c>
      <c r="P37" s="158">
        <f>1/(1+'LGE-E Meter Pu WACOC-Tax Table'!$E$13)^A37</f>
        <v>0.61606209269362089</v>
      </c>
      <c r="Q37" s="160">
        <f t="shared" si="4"/>
        <v>0</v>
      </c>
      <c r="R37" s="146">
        <f t="shared" si="7"/>
        <v>978.87231863975524</v>
      </c>
      <c r="S37" s="152">
        <f t="shared" si="8"/>
        <v>0</v>
      </c>
      <c r="T37" s="155"/>
    </row>
    <row r="38" spans="1:20" hidden="1" x14ac:dyDescent="0.2">
      <c r="A38" s="100">
        <v>8</v>
      </c>
      <c r="C38" s="146">
        <f t="shared" si="9"/>
        <v>0</v>
      </c>
      <c r="D38" s="146">
        <f t="shared" si="10"/>
        <v>0</v>
      </c>
      <c r="E38" s="146">
        <f>HLOOKUP($E$10,'LGE-E Meter Pu WACOC-Tax Table'!$B$17:$E$58,A39)*$B$30</f>
        <v>0</v>
      </c>
      <c r="F38" s="146">
        <f t="shared" si="11"/>
        <v>0</v>
      </c>
      <c r="G38" s="146">
        <f t="shared" si="5"/>
        <v>0</v>
      </c>
      <c r="H38" s="146">
        <f t="shared" si="12"/>
        <v>1.5987211554602254E-14</v>
      </c>
      <c r="I38" s="146">
        <f t="shared" si="14"/>
        <v>0</v>
      </c>
      <c r="J38" s="146">
        <f>'LGE-E Meter Pu WACOC-Tax Table'!$E$10*I38</f>
        <v>0</v>
      </c>
      <c r="K38" s="146">
        <f>I38*('LGE-E Meter Pu WACOC-Tax Table'!$E$11+'LGE-E Meter Pu WACOC-Tax Table'!$E$12)</f>
        <v>0</v>
      </c>
      <c r="L38" s="146">
        <f t="shared" si="13"/>
        <v>0</v>
      </c>
      <c r="M38" s="146">
        <f t="shared" si="1"/>
        <v>0</v>
      </c>
      <c r="N38" s="146">
        <f t="shared" si="2"/>
        <v>0</v>
      </c>
      <c r="O38" s="146">
        <f t="shared" si="3"/>
        <v>0</v>
      </c>
      <c r="P38" s="158">
        <f>1/(1+'LGE-E Meter Pu WACOC-Tax Table'!$E$13)^A38</f>
        <v>0.57487158412295092</v>
      </c>
      <c r="Q38" s="160">
        <f t="shared" si="4"/>
        <v>0</v>
      </c>
      <c r="R38" s="146">
        <f t="shared" si="7"/>
        <v>978.87231863975524</v>
      </c>
      <c r="S38" s="152">
        <f t="shared" si="8"/>
        <v>0</v>
      </c>
      <c r="T38" s="155"/>
    </row>
    <row r="39" spans="1:20" hidden="1" x14ac:dyDescent="0.2">
      <c r="A39" s="100">
        <v>9</v>
      </c>
      <c r="C39" s="146">
        <f t="shared" si="9"/>
        <v>0</v>
      </c>
      <c r="D39" s="146">
        <f t="shared" si="10"/>
        <v>0</v>
      </c>
      <c r="E39" s="146">
        <f>HLOOKUP($E$10,'LGE-E Meter Pu WACOC-Tax Table'!$B$17:$E$58,A40)*$B$30</f>
        <v>0</v>
      </c>
      <c r="F39" s="146">
        <f t="shared" si="11"/>
        <v>0</v>
      </c>
      <c r="G39" s="146">
        <f t="shared" si="5"/>
        <v>0</v>
      </c>
      <c r="H39" s="146">
        <f t="shared" si="12"/>
        <v>1.5987211554602254E-14</v>
      </c>
      <c r="I39" s="146">
        <f t="shared" si="14"/>
        <v>0</v>
      </c>
      <c r="J39" s="146">
        <f>'LGE-E Meter Pu WACOC-Tax Table'!$E$10*I39</f>
        <v>0</v>
      </c>
      <c r="K39" s="146">
        <f>I39*('LGE-E Meter Pu WACOC-Tax Table'!$E$11+'LGE-E Meter Pu WACOC-Tax Table'!$E$12)</f>
        <v>0</v>
      </c>
      <c r="L39" s="146">
        <f t="shared" si="13"/>
        <v>0</v>
      </c>
      <c r="M39" s="146">
        <f t="shared" si="1"/>
        <v>0</v>
      </c>
      <c r="N39" s="146">
        <f t="shared" si="2"/>
        <v>0</v>
      </c>
      <c r="O39" s="146">
        <f t="shared" si="3"/>
        <v>0</v>
      </c>
      <c r="P39" s="158">
        <f>1/(1+'LGE-E Meter Pu WACOC-Tax Table'!$E$13)^A39</f>
        <v>0.53643511287486978</v>
      </c>
      <c r="Q39" s="160">
        <f t="shared" si="4"/>
        <v>0</v>
      </c>
      <c r="R39" s="146">
        <f t="shared" si="7"/>
        <v>978.87231863975524</v>
      </c>
      <c r="S39" s="152">
        <f t="shared" si="8"/>
        <v>0</v>
      </c>
      <c r="T39" s="155"/>
    </row>
    <row r="40" spans="1:20" hidden="1" x14ac:dyDescent="0.2">
      <c r="A40" s="100">
        <v>10</v>
      </c>
      <c r="C40" s="146">
        <f t="shared" si="9"/>
        <v>0</v>
      </c>
      <c r="D40" s="146">
        <f t="shared" si="10"/>
        <v>0</v>
      </c>
      <c r="E40" s="146">
        <f>HLOOKUP($E$10,'LGE-E Meter Pu WACOC-Tax Table'!$B$17:$E$58,A41)*$B$30</f>
        <v>0</v>
      </c>
      <c r="F40" s="146">
        <f t="shared" si="11"/>
        <v>0</v>
      </c>
      <c r="G40" s="146">
        <f t="shared" si="5"/>
        <v>0</v>
      </c>
      <c r="H40" s="146">
        <f t="shared" si="12"/>
        <v>1.5987211554602254E-14</v>
      </c>
      <c r="I40" s="146">
        <f t="shared" si="14"/>
        <v>0</v>
      </c>
      <c r="J40" s="146">
        <f>'LGE-E Meter Pu WACOC-Tax Table'!$E$10*I40</f>
        <v>0</v>
      </c>
      <c r="K40" s="146">
        <f>I40*('LGE-E Meter Pu WACOC-Tax Table'!$E$11+'LGE-E Meter Pu WACOC-Tax Table'!$E$12)</f>
        <v>0</v>
      </c>
      <c r="L40" s="146">
        <f t="shared" si="13"/>
        <v>0</v>
      </c>
      <c r="M40" s="146">
        <f t="shared" si="1"/>
        <v>0</v>
      </c>
      <c r="N40" s="146">
        <f t="shared" si="2"/>
        <v>0</v>
      </c>
      <c r="O40" s="146">
        <f t="shared" si="3"/>
        <v>0</v>
      </c>
      <c r="P40" s="158">
        <f>1/(1+'LGE-E Meter Pu WACOC-Tax Table'!$E$13)^A40</f>
        <v>0.50056854134492923</v>
      </c>
      <c r="Q40" s="160">
        <f t="shared" si="4"/>
        <v>0</v>
      </c>
      <c r="R40" s="146">
        <f t="shared" si="7"/>
        <v>978.87231863975524</v>
      </c>
      <c r="S40" s="152">
        <f t="shared" si="8"/>
        <v>0</v>
      </c>
      <c r="T40" s="155"/>
    </row>
    <row r="41" spans="1:20" hidden="1" x14ac:dyDescent="0.2">
      <c r="A41" s="100">
        <v>11</v>
      </c>
      <c r="C41" s="146">
        <f t="shared" si="9"/>
        <v>0</v>
      </c>
      <c r="D41" s="146">
        <f t="shared" si="10"/>
        <v>0</v>
      </c>
      <c r="E41" s="146">
        <f>HLOOKUP($E$10,'LGE-E Meter Pu WACOC-Tax Table'!$B$17:$E$58,A42)*$B$30</f>
        <v>0</v>
      </c>
      <c r="F41" s="146">
        <f t="shared" si="11"/>
        <v>0</v>
      </c>
      <c r="G41" s="146">
        <f t="shared" si="5"/>
        <v>0</v>
      </c>
      <c r="H41" s="146">
        <f t="shared" si="12"/>
        <v>1.5987211554602254E-14</v>
      </c>
      <c r="I41" s="146">
        <f t="shared" si="14"/>
        <v>0</v>
      </c>
      <c r="J41" s="146">
        <f>'LGE-E Meter Pu WACOC-Tax Table'!$E$10*I41</f>
        <v>0</v>
      </c>
      <c r="K41" s="146">
        <f>I41*('LGE-E Meter Pu WACOC-Tax Table'!$E$11+'LGE-E Meter Pu WACOC-Tax Table'!$E$12)</f>
        <v>0</v>
      </c>
      <c r="L41" s="146">
        <f t="shared" si="13"/>
        <v>0</v>
      </c>
      <c r="M41" s="146">
        <f t="shared" si="1"/>
        <v>0</v>
      </c>
      <c r="N41" s="146">
        <f t="shared" si="2"/>
        <v>0</v>
      </c>
      <c r="O41" s="146">
        <f t="shared" si="3"/>
        <v>0</v>
      </c>
      <c r="P41" s="158">
        <f>1/(1+'LGE-E Meter Pu WACOC-Tax Table'!$E$13)^A41</f>
        <v>0.46710004354737017</v>
      </c>
      <c r="Q41" s="160">
        <f t="shared" si="4"/>
        <v>0</v>
      </c>
      <c r="R41" s="146">
        <f t="shared" si="7"/>
        <v>978.87231863975524</v>
      </c>
      <c r="S41" s="152">
        <f t="shared" si="8"/>
        <v>0</v>
      </c>
      <c r="T41" s="155"/>
    </row>
    <row r="42" spans="1:20" hidden="1" x14ac:dyDescent="0.2">
      <c r="A42" s="100">
        <v>12</v>
      </c>
      <c r="C42" s="146">
        <f t="shared" si="9"/>
        <v>0</v>
      </c>
      <c r="D42" s="146">
        <f t="shared" si="10"/>
        <v>0</v>
      </c>
      <c r="E42" s="146">
        <f>HLOOKUP($E$10,'LGE-E Meter Pu WACOC-Tax Table'!$B$17:$E$58,A43)*$B$30</f>
        <v>0</v>
      </c>
      <c r="F42" s="146">
        <f t="shared" si="11"/>
        <v>0</v>
      </c>
      <c r="G42" s="146">
        <f t="shared" si="5"/>
        <v>0</v>
      </c>
      <c r="H42" s="146">
        <f t="shared" si="12"/>
        <v>1.5987211554602254E-14</v>
      </c>
      <c r="I42" s="146">
        <f t="shared" si="14"/>
        <v>0</v>
      </c>
      <c r="J42" s="146">
        <f>'LGE-E Meter Pu WACOC-Tax Table'!$E$10*I42</f>
        <v>0</v>
      </c>
      <c r="K42" s="146">
        <f>I42*('LGE-E Meter Pu WACOC-Tax Table'!$E$11+'LGE-E Meter Pu WACOC-Tax Table'!$E$12)</f>
        <v>0</v>
      </c>
      <c r="L42" s="146">
        <f t="shared" si="13"/>
        <v>0</v>
      </c>
      <c r="M42" s="146">
        <f t="shared" si="1"/>
        <v>0</v>
      </c>
      <c r="N42" s="146">
        <f t="shared" si="2"/>
        <v>0</v>
      </c>
      <c r="O42" s="146">
        <f t="shared" si="3"/>
        <v>0</v>
      </c>
      <c r="P42" s="158">
        <f>1/(1+'LGE-E Meter Pu WACOC-Tax Table'!$E$13)^A42</f>
        <v>0.43586928194836577</v>
      </c>
      <c r="Q42" s="160">
        <f t="shared" si="4"/>
        <v>0</v>
      </c>
      <c r="R42" s="146">
        <f t="shared" si="7"/>
        <v>978.87231863975524</v>
      </c>
      <c r="S42" s="152">
        <f t="shared" si="8"/>
        <v>0</v>
      </c>
      <c r="T42" s="155"/>
    </row>
    <row r="43" spans="1:20" hidden="1" x14ac:dyDescent="0.2">
      <c r="A43" s="100">
        <v>13</v>
      </c>
      <c r="C43" s="146">
        <f t="shared" si="9"/>
        <v>0</v>
      </c>
      <c r="D43" s="146">
        <f t="shared" si="10"/>
        <v>0</v>
      </c>
      <c r="E43" s="146">
        <f>HLOOKUP($E$10,'LGE-E Meter Pu WACOC-Tax Table'!$B$17:$E$58,A44)*$B$30</f>
        <v>0</v>
      </c>
      <c r="F43" s="146">
        <f t="shared" si="11"/>
        <v>0</v>
      </c>
      <c r="G43" s="146">
        <f t="shared" si="5"/>
        <v>0</v>
      </c>
      <c r="H43" s="146">
        <f t="shared" si="12"/>
        <v>1.5987211554602254E-14</v>
      </c>
      <c r="I43" s="146">
        <f t="shared" si="14"/>
        <v>0</v>
      </c>
      <c r="J43" s="146">
        <f>'LGE-E Meter Pu WACOC-Tax Table'!$E$10*I43</f>
        <v>0</v>
      </c>
      <c r="K43" s="146">
        <f>I43*('LGE-E Meter Pu WACOC-Tax Table'!$E$11+'LGE-E Meter Pu WACOC-Tax Table'!$E$12)</f>
        <v>0</v>
      </c>
      <c r="L43" s="146">
        <f t="shared" si="13"/>
        <v>0</v>
      </c>
      <c r="M43" s="146">
        <f t="shared" si="1"/>
        <v>0</v>
      </c>
      <c r="N43" s="146">
        <f t="shared" si="2"/>
        <v>0</v>
      </c>
      <c r="O43" s="146">
        <f t="shared" si="3"/>
        <v>0</v>
      </c>
      <c r="P43" s="158">
        <f>1/(1+'LGE-E Meter Pu WACOC-Tax Table'!$E$13)^A43</f>
        <v>0.40672663933699088</v>
      </c>
      <c r="Q43" s="160">
        <f t="shared" si="4"/>
        <v>0</v>
      </c>
      <c r="R43" s="146">
        <f t="shared" si="7"/>
        <v>978.87231863975524</v>
      </c>
      <c r="S43" s="152">
        <f t="shared" si="8"/>
        <v>0</v>
      </c>
      <c r="T43" s="155"/>
    </row>
    <row r="44" spans="1:20" hidden="1" x14ac:dyDescent="0.2">
      <c r="A44" s="100">
        <v>14</v>
      </c>
      <c r="C44" s="146">
        <f t="shared" si="9"/>
        <v>0</v>
      </c>
      <c r="D44" s="146">
        <f t="shared" si="10"/>
        <v>0</v>
      </c>
      <c r="E44" s="146">
        <f>HLOOKUP($E$10,'LGE-E Meter Pu WACOC-Tax Table'!$B$17:$E$58,A45)*$B$30</f>
        <v>0</v>
      </c>
      <c r="F44" s="146">
        <f t="shared" si="11"/>
        <v>0</v>
      </c>
      <c r="G44" s="146">
        <f t="shared" si="5"/>
        <v>0</v>
      </c>
      <c r="H44" s="146">
        <f t="shared" si="12"/>
        <v>1.5987211554602254E-14</v>
      </c>
      <c r="I44" s="146">
        <f t="shared" si="14"/>
        <v>0</v>
      </c>
      <c r="J44" s="146">
        <f>'LGE-E Meter Pu WACOC-Tax Table'!$E$10*I44</f>
        <v>0</v>
      </c>
      <c r="K44" s="146">
        <f>I44*('LGE-E Meter Pu WACOC-Tax Table'!$E$11+'LGE-E Meter Pu WACOC-Tax Table'!$E$12)</f>
        <v>0</v>
      </c>
      <c r="L44" s="146">
        <f t="shared" si="13"/>
        <v>0</v>
      </c>
      <c r="M44" s="146">
        <f t="shared" si="1"/>
        <v>0</v>
      </c>
      <c r="N44" s="146">
        <f t="shared" si="2"/>
        <v>0</v>
      </c>
      <c r="O44" s="146">
        <f t="shared" si="3"/>
        <v>0</v>
      </c>
      <c r="P44" s="158">
        <f>1/(1+'LGE-E Meter Pu WACOC-Tax Table'!$E$13)^A44</f>
        <v>0.37953250205404349</v>
      </c>
      <c r="Q44" s="160">
        <f t="shared" si="4"/>
        <v>0</v>
      </c>
      <c r="R44" s="146">
        <f t="shared" si="7"/>
        <v>978.87231863975524</v>
      </c>
      <c r="S44" s="152">
        <f t="shared" si="8"/>
        <v>0</v>
      </c>
      <c r="T44" s="155"/>
    </row>
    <row r="45" spans="1:20" hidden="1" x14ac:dyDescent="0.2">
      <c r="A45" s="100">
        <v>15</v>
      </c>
      <c r="C45" s="146">
        <f t="shared" si="9"/>
        <v>0</v>
      </c>
      <c r="D45" s="146">
        <f t="shared" si="10"/>
        <v>0</v>
      </c>
      <c r="E45" s="146">
        <f>HLOOKUP($E$10,'LGE-E Meter Pu WACOC-Tax Table'!$B$17:$E$58,A46)*$B$30</f>
        <v>0</v>
      </c>
      <c r="F45" s="146">
        <f t="shared" si="11"/>
        <v>0</v>
      </c>
      <c r="G45" s="146">
        <f t="shared" si="5"/>
        <v>0</v>
      </c>
      <c r="H45" s="146">
        <f t="shared" si="12"/>
        <v>1.5987211554602254E-14</v>
      </c>
      <c r="I45" s="146">
        <f t="shared" si="14"/>
        <v>0</v>
      </c>
      <c r="J45" s="146">
        <f>'LGE-E Meter Pu WACOC-Tax Table'!$E$10*I45</f>
        <v>0</v>
      </c>
      <c r="K45" s="146">
        <f>I45*('LGE-E Meter Pu WACOC-Tax Table'!$E$11+'LGE-E Meter Pu WACOC-Tax Table'!$E$12)</f>
        <v>0</v>
      </c>
      <c r="L45" s="146">
        <f t="shared" si="13"/>
        <v>0</v>
      </c>
      <c r="M45" s="146">
        <f t="shared" si="1"/>
        <v>0</v>
      </c>
      <c r="N45" s="146">
        <f t="shared" si="2"/>
        <v>0</v>
      </c>
      <c r="O45" s="146">
        <f t="shared" si="3"/>
        <v>0</v>
      </c>
      <c r="P45" s="158">
        <f>1/(1+'LGE-E Meter Pu WACOC-Tax Table'!$E$13)^A45</f>
        <v>0.35415659114488207</v>
      </c>
      <c r="Q45" s="160">
        <f t="shared" si="4"/>
        <v>0</v>
      </c>
      <c r="R45" s="146">
        <f t="shared" si="7"/>
        <v>978.87231863975524</v>
      </c>
      <c r="S45" s="152">
        <f t="shared" si="8"/>
        <v>0</v>
      </c>
      <c r="T45" s="155"/>
    </row>
    <row r="46" spans="1:20" hidden="1" x14ac:dyDescent="0.2">
      <c r="A46" s="100">
        <v>16</v>
      </c>
      <c r="C46" s="146">
        <f t="shared" si="9"/>
        <v>0</v>
      </c>
      <c r="D46" s="146">
        <f t="shared" si="10"/>
        <v>0</v>
      </c>
      <c r="E46" s="146">
        <f>HLOOKUP($E$10,'LGE-E Meter Pu WACOC-Tax Table'!$B$17:$E$58,A47)*$B$30</f>
        <v>0</v>
      </c>
      <c r="F46" s="146">
        <f t="shared" si="11"/>
        <v>0</v>
      </c>
      <c r="G46" s="146">
        <f t="shared" si="5"/>
        <v>0</v>
      </c>
      <c r="H46" s="146">
        <f t="shared" si="12"/>
        <v>1.5987211554602254E-14</v>
      </c>
      <c r="I46" s="146">
        <f t="shared" si="14"/>
        <v>0</v>
      </c>
      <c r="J46" s="146">
        <f>'LGE-E Meter Pu WACOC-Tax Table'!$E$10*I46</f>
        <v>0</v>
      </c>
      <c r="K46" s="146">
        <f>I46*('LGE-E Meter Pu WACOC-Tax Table'!$E$11+'LGE-E Meter Pu WACOC-Tax Table'!$E$12)</f>
        <v>0</v>
      </c>
      <c r="L46" s="146">
        <f t="shared" si="13"/>
        <v>0</v>
      </c>
      <c r="M46" s="146">
        <f t="shared" si="1"/>
        <v>0</v>
      </c>
      <c r="N46" s="146">
        <f t="shared" si="2"/>
        <v>0</v>
      </c>
      <c r="O46" s="146">
        <f t="shared" si="3"/>
        <v>0</v>
      </c>
      <c r="P46" s="158">
        <f>1/(1+'LGE-E Meter Pu WACOC-Tax Table'!$E$13)^A46</f>
        <v>0.33047733823203107</v>
      </c>
      <c r="Q46" s="160">
        <f t="shared" si="4"/>
        <v>0</v>
      </c>
      <c r="R46" s="146">
        <f t="shared" si="7"/>
        <v>978.87231863975524</v>
      </c>
      <c r="S46" s="152">
        <f t="shared" si="8"/>
        <v>0</v>
      </c>
      <c r="T46" s="155"/>
    </row>
    <row r="47" spans="1:20" hidden="1" x14ac:dyDescent="0.2">
      <c r="A47" s="100">
        <v>17</v>
      </c>
      <c r="C47" s="146">
        <f t="shared" si="9"/>
        <v>0</v>
      </c>
      <c r="D47" s="146">
        <f t="shared" si="10"/>
        <v>0</v>
      </c>
      <c r="E47" s="146">
        <f>HLOOKUP($E$10,'LGE-E Meter Pu WACOC-Tax Table'!$B$17:$E$58,A48)*$B$30</f>
        <v>0</v>
      </c>
      <c r="F47" s="146">
        <f t="shared" si="11"/>
        <v>0</v>
      </c>
      <c r="G47" s="146">
        <f t="shared" si="5"/>
        <v>0</v>
      </c>
      <c r="H47" s="146">
        <f t="shared" si="12"/>
        <v>1.5987211554602254E-14</v>
      </c>
      <c r="I47" s="146">
        <f t="shared" si="14"/>
        <v>0</v>
      </c>
      <c r="J47" s="146">
        <f>'LGE-E Meter Pu WACOC-Tax Table'!$E$10*I47</f>
        <v>0</v>
      </c>
      <c r="K47" s="146">
        <f>I47*('LGE-E Meter Pu WACOC-Tax Table'!$E$11+'LGE-E Meter Pu WACOC-Tax Table'!$E$12)</f>
        <v>0</v>
      </c>
      <c r="L47" s="146">
        <f t="shared" si="13"/>
        <v>0</v>
      </c>
      <c r="M47" s="146">
        <f t="shared" si="1"/>
        <v>0</v>
      </c>
      <c r="N47" s="146">
        <f t="shared" si="2"/>
        <v>0</v>
      </c>
      <c r="O47" s="146">
        <f t="shared" si="3"/>
        <v>0</v>
      </c>
      <c r="P47" s="158">
        <f>1/(1+'LGE-E Meter Pu WACOC-Tax Table'!$E$13)^A47</f>
        <v>0.30838130311755046</v>
      </c>
      <c r="Q47" s="160">
        <f t="shared" si="4"/>
        <v>0</v>
      </c>
      <c r="R47" s="146">
        <f t="shared" si="7"/>
        <v>978.87231863975524</v>
      </c>
      <c r="S47" s="152">
        <f t="shared" si="8"/>
        <v>0</v>
      </c>
      <c r="T47" s="155"/>
    </row>
    <row r="48" spans="1:20" hidden="1" x14ac:dyDescent="0.2">
      <c r="A48" s="100">
        <v>18</v>
      </c>
      <c r="C48" s="146">
        <f t="shared" si="9"/>
        <v>0</v>
      </c>
      <c r="D48" s="146">
        <f t="shared" si="10"/>
        <v>0</v>
      </c>
      <c r="E48" s="146">
        <f>HLOOKUP($E$10,'LGE-E Meter Pu WACOC-Tax Table'!$B$17:$E$58,A49)*$B$30</f>
        <v>0</v>
      </c>
      <c r="F48" s="146">
        <f t="shared" si="11"/>
        <v>0</v>
      </c>
      <c r="G48" s="146">
        <f t="shared" si="5"/>
        <v>0</v>
      </c>
      <c r="H48" s="146">
        <f t="shared" si="12"/>
        <v>1.5987211554602254E-14</v>
      </c>
      <c r="I48" s="146">
        <f t="shared" si="14"/>
        <v>0</v>
      </c>
      <c r="J48" s="146">
        <f>'LGE-E Meter Pu WACOC-Tax Table'!$E$10*I48</f>
        <v>0</v>
      </c>
      <c r="K48" s="146">
        <f>I48*('LGE-E Meter Pu WACOC-Tax Table'!$E$11+'LGE-E Meter Pu WACOC-Tax Table'!$E$12)</f>
        <v>0</v>
      </c>
      <c r="L48" s="146">
        <f t="shared" si="13"/>
        <v>0</v>
      </c>
      <c r="M48" s="146">
        <f t="shared" si="1"/>
        <v>0</v>
      </c>
      <c r="N48" s="146">
        <f t="shared" si="2"/>
        <v>0</v>
      </c>
      <c r="O48" s="146">
        <f t="shared" si="3"/>
        <v>0</v>
      </c>
      <c r="P48" s="158">
        <f>1/(1+'LGE-E Meter Pu WACOC-Tax Table'!$E$13)^A48</f>
        <v>0.28776263032507438</v>
      </c>
      <c r="Q48" s="160">
        <f t="shared" si="4"/>
        <v>0</v>
      </c>
      <c r="R48" s="146">
        <f t="shared" si="7"/>
        <v>978.87231863975524</v>
      </c>
      <c r="S48" s="152">
        <f t="shared" si="8"/>
        <v>0</v>
      </c>
      <c r="T48" s="155"/>
    </row>
    <row r="49" spans="1:20" hidden="1" x14ac:dyDescent="0.2">
      <c r="A49" s="100">
        <v>19</v>
      </c>
      <c r="C49" s="146">
        <f t="shared" si="9"/>
        <v>0</v>
      </c>
      <c r="D49" s="146">
        <f t="shared" si="10"/>
        <v>0</v>
      </c>
      <c r="E49" s="146">
        <f>HLOOKUP($E$10,'LGE-E Meter Pu WACOC-Tax Table'!$B$17:$E$58,A50)*$B$30</f>
        <v>0</v>
      </c>
      <c r="F49" s="146">
        <f t="shared" si="11"/>
        <v>0</v>
      </c>
      <c r="G49" s="146">
        <f t="shared" si="5"/>
        <v>0</v>
      </c>
      <c r="H49" s="146">
        <f t="shared" si="12"/>
        <v>1.5987211554602254E-14</v>
      </c>
      <c r="I49" s="146">
        <f t="shared" si="14"/>
        <v>0</v>
      </c>
      <c r="J49" s="146">
        <f>'LGE-E Meter Pu WACOC-Tax Table'!$E$10*I49</f>
        <v>0</v>
      </c>
      <c r="K49" s="146">
        <f>I49*('LGE-E Meter Pu WACOC-Tax Table'!$E$11+'LGE-E Meter Pu WACOC-Tax Table'!$E$12)</f>
        <v>0</v>
      </c>
      <c r="L49" s="146">
        <f t="shared" si="13"/>
        <v>0</v>
      </c>
      <c r="M49" s="146">
        <f t="shared" si="1"/>
        <v>0</v>
      </c>
      <c r="N49" s="146">
        <f t="shared" si="2"/>
        <v>0</v>
      </c>
      <c r="O49" s="146">
        <f t="shared" si="3"/>
        <v>0</v>
      </c>
      <c r="P49" s="158">
        <f>1/(1+'LGE-E Meter Pu WACOC-Tax Table'!$E$13)^A49</f>
        <v>0.26852254197797609</v>
      </c>
      <c r="Q49" s="160">
        <f t="shared" si="4"/>
        <v>0</v>
      </c>
      <c r="R49" s="146">
        <f t="shared" si="7"/>
        <v>978.87231863975524</v>
      </c>
      <c r="S49" s="152">
        <f t="shared" si="8"/>
        <v>0</v>
      </c>
      <c r="T49" s="155"/>
    </row>
    <row r="50" spans="1:20" hidden="1" x14ac:dyDescent="0.2">
      <c r="A50" s="100">
        <v>20</v>
      </c>
      <c r="C50" s="146">
        <f t="shared" si="9"/>
        <v>0</v>
      </c>
      <c r="D50" s="146">
        <f t="shared" si="10"/>
        <v>0</v>
      </c>
      <c r="E50" s="146">
        <f>HLOOKUP($E$10,'LGE-E Meter Pu WACOC-Tax Table'!$B$17:$E$58,A51)*$B$30</f>
        <v>0</v>
      </c>
      <c r="F50" s="146">
        <f t="shared" si="11"/>
        <v>0</v>
      </c>
      <c r="G50" s="146">
        <f t="shared" si="5"/>
        <v>0</v>
      </c>
      <c r="H50" s="146">
        <f t="shared" si="12"/>
        <v>1.5987211554602254E-14</v>
      </c>
      <c r="I50" s="146">
        <f t="shared" si="14"/>
        <v>0</v>
      </c>
      <c r="J50" s="146">
        <f>'LGE-E Meter Pu WACOC-Tax Table'!$E$10*I50</f>
        <v>0</v>
      </c>
      <c r="K50" s="146">
        <f>I50*('LGE-E Meter Pu WACOC-Tax Table'!$E$11+'LGE-E Meter Pu WACOC-Tax Table'!$E$12)</f>
        <v>0</v>
      </c>
      <c r="L50" s="146">
        <f t="shared" si="13"/>
        <v>0</v>
      </c>
      <c r="M50" s="146">
        <f t="shared" si="1"/>
        <v>0</v>
      </c>
      <c r="N50" s="146">
        <f t="shared" si="2"/>
        <v>0</v>
      </c>
      <c r="O50" s="146">
        <f t="shared" si="3"/>
        <v>0</v>
      </c>
      <c r="P50" s="158">
        <f>1/(1+'LGE-E Meter Pu WACOC-Tax Table'!$E$13)^A50</f>
        <v>0.2505688645841902</v>
      </c>
      <c r="Q50" s="160">
        <f t="shared" si="4"/>
        <v>0</v>
      </c>
      <c r="R50" s="146">
        <f t="shared" si="7"/>
        <v>978.87231863975524</v>
      </c>
      <c r="S50" s="152">
        <f t="shared" si="8"/>
        <v>0</v>
      </c>
      <c r="T50" s="155"/>
    </row>
    <row r="51" spans="1:20" hidden="1" x14ac:dyDescent="0.2">
      <c r="A51" s="100">
        <v>21</v>
      </c>
      <c r="C51" s="146">
        <f t="shared" si="9"/>
        <v>0</v>
      </c>
      <c r="D51" s="146">
        <f t="shared" si="10"/>
        <v>0</v>
      </c>
      <c r="E51" s="146">
        <f>HLOOKUP($E$10,'LGE-E Meter Pu WACOC-Tax Table'!$B$17:$E$58,A52)*$B$30</f>
        <v>0</v>
      </c>
      <c r="F51" s="146">
        <f t="shared" si="11"/>
        <v>0</v>
      </c>
      <c r="G51" s="146">
        <f t="shared" si="5"/>
        <v>0</v>
      </c>
      <c r="H51" s="146">
        <f t="shared" si="12"/>
        <v>1.5987211554602254E-14</v>
      </c>
      <c r="I51" s="146">
        <f t="shared" si="14"/>
        <v>0</v>
      </c>
      <c r="J51" s="146">
        <f>'LGE-E Meter Pu WACOC-Tax Table'!$E$10*I51</f>
        <v>0</v>
      </c>
      <c r="K51" s="146">
        <f>I51*('LGE-E Meter Pu WACOC-Tax Table'!$E$11+'LGE-E Meter Pu WACOC-Tax Table'!$E$12)</f>
        <v>0</v>
      </c>
      <c r="L51" s="146">
        <f t="shared" si="13"/>
        <v>0</v>
      </c>
      <c r="M51" s="146">
        <f t="shared" si="1"/>
        <v>0</v>
      </c>
      <c r="N51" s="146">
        <f t="shared" si="2"/>
        <v>0</v>
      </c>
      <c r="O51" s="146">
        <f t="shared" si="3"/>
        <v>0</v>
      </c>
      <c r="P51" s="158">
        <f>1/(1+'LGE-E Meter Pu WACOC-Tax Table'!$E$13)^A51</f>
        <v>0.23381558746066008</v>
      </c>
      <c r="Q51" s="160">
        <f t="shared" si="4"/>
        <v>0</v>
      </c>
      <c r="R51" s="146">
        <f t="shared" si="7"/>
        <v>978.87231863975524</v>
      </c>
      <c r="S51" s="152">
        <f t="shared" si="8"/>
        <v>0</v>
      </c>
      <c r="T51" s="155"/>
    </row>
    <row r="52" spans="1:20" hidden="1" x14ac:dyDescent="0.2">
      <c r="A52" s="100">
        <v>22</v>
      </c>
      <c r="C52" s="146">
        <f t="shared" si="9"/>
        <v>0</v>
      </c>
      <c r="D52" s="146">
        <f t="shared" si="10"/>
        <v>0</v>
      </c>
      <c r="E52" s="146">
        <f>HLOOKUP($E$10,'LGE-E Meter Pu WACOC-Tax Table'!$B$17:$E$58,A53)*$B$30</f>
        <v>0</v>
      </c>
      <c r="F52" s="146">
        <f t="shared" si="11"/>
        <v>0</v>
      </c>
      <c r="G52" s="146">
        <f t="shared" si="5"/>
        <v>0</v>
      </c>
      <c r="H52" s="146">
        <f t="shared" si="12"/>
        <v>1.5987211554602254E-14</v>
      </c>
      <c r="I52" s="146">
        <f t="shared" si="14"/>
        <v>0</v>
      </c>
      <c r="J52" s="146">
        <f>'LGE-E Meter Pu WACOC-Tax Table'!$E$10*I52</f>
        <v>0</v>
      </c>
      <c r="K52" s="146">
        <f>I52*('LGE-E Meter Pu WACOC-Tax Table'!$E$11+'LGE-E Meter Pu WACOC-Tax Table'!$E$12)</f>
        <v>0</v>
      </c>
      <c r="L52" s="146">
        <f t="shared" si="13"/>
        <v>0</v>
      </c>
      <c r="M52" s="146">
        <f t="shared" si="1"/>
        <v>0</v>
      </c>
      <c r="N52" s="146">
        <f t="shared" si="2"/>
        <v>0</v>
      </c>
      <c r="O52" s="146">
        <f t="shared" si="3"/>
        <v>0</v>
      </c>
      <c r="P52" s="158">
        <f>1/(1+'LGE-E Meter Pu WACOC-Tax Table'!$E$13)^A52</f>
        <v>0.21818245068195513</v>
      </c>
      <c r="Q52" s="160">
        <f t="shared" si="4"/>
        <v>0</v>
      </c>
      <c r="R52" s="146">
        <f t="shared" si="7"/>
        <v>978.87231863975524</v>
      </c>
      <c r="S52" s="152">
        <f t="shared" si="8"/>
        <v>0</v>
      </c>
      <c r="T52" s="155"/>
    </row>
    <row r="53" spans="1:20" hidden="1" x14ac:dyDescent="0.2">
      <c r="A53" s="100">
        <v>23</v>
      </c>
      <c r="C53" s="146">
        <f t="shared" si="9"/>
        <v>0</v>
      </c>
      <c r="D53" s="146">
        <f t="shared" si="10"/>
        <v>0</v>
      </c>
      <c r="E53" s="146">
        <f>HLOOKUP($E$10,'LGE-E Meter Pu WACOC-Tax Table'!$B$17:$E$58,A54)*$B$30</f>
        <v>0</v>
      </c>
      <c r="F53" s="146">
        <f t="shared" si="11"/>
        <v>0</v>
      </c>
      <c r="G53" s="146">
        <f t="shared" si="5"/>
        <v>0</v>
      </c>
      <c r="H53" s="146">
        <f t="shared" si="12"/>
        <v>1.5987211554602254E-14</v>
      </c>
      <c r="I53" s="146">
        <f t="shared" si="14"/>
        <v>0</v>
      </c>
      <c r="J53" s="146">
        <f>'LGE-E Meter Pu WACOC-Tax Table'!$E$10*I53</f>
        <v>0</v>
      </c>
      <c r="K53" s="146">
        <f>I53*('LGE-E Meter Pu WACOC-Tax Table'!$E$11+'LGE-E Meter Pu WACOC-Tax Table'!$E$12)</f>
        <v>0</v>
      </c>
      <c r="L53" s="146">
        <f t="shared" si="13"/>
        <v>0</v>
      </c>
      <c r="M53" s="146">
        <f t="shared" si="1"/>
        <v>0</v>
      </c>
      <c r="N53" s="146">
        <f t="shared" si="2"/>
        <v>0</v>
      </c>
      <c r="O53" s="146">
        <f t="shared" si="3"/>
        <v>0</v>
      </c>
      <c r="P53" s="158">
        <f>1/(1+'LGE-E Meter Pu WACOC-Tax Table'!$E$13)^A53</f>
        <v>0.2035945605790426</v>
      </c>
      <c r="Q53" s="160">
        <f t="shared" si="4"/>
        <v>0</v>
      </c>
      <c r="R53" s="146">
        <f t="shared" si="7"/>
        <v>978.87231863975524</v>
      </c>
      <c r="S53" s="152">
        <f t="shared" si="8"/>
        <v>0</v>
      </c>
      <c r="T53" s="155"/>
    </row>
    <row r="54" spans="1:20" hidden="1" x14ac:dyDescent="0.2">
      <c r="A54" s="100">
        <v>24</v>
      </c>
      <c r="C54" s="146">
        <f t="shared" si="9"/>
        <v>0</v>
      </c>
      <c r="D54" s="146">
        <f t="shared" si="10"/>
        <v>0</v>
      </c>
      <c r="E54" s="146">
        <f>HLOOKUP($E$10,'LGE-E Meter Pu WACOC-Tax Table'!$B$17:$E$58,A55)*$B$30</f>
        <v>0</v>
      </c>
      <c r="F54" s="146">
        <f t="shared" si="11"/>
        <v>0</v>
      </c>
      <c r="G54" s="146">
        <f t="shared" si="5"/>
        <v>0</v>
      </c>
      <c r="H54" s="146">
        <f t="shared" si="12"/>
        <v>1.5987211554602254E-14</v>
      </c>
      <c r="I54" s="146">
        <f t="shared" si="14"/>
        <v>0</v>
      </c>
      <c r="J54" s="146">
        <f>'LGE-E Meter Pu WACOC-Tax Table'!$E$10*I54</f>
        <v>0</v>
      </c>
      <c r="K54" s="146">
        <f>I54*('LGE-E Meter Pu WACOC-Tax Table'!$E$11+'LGE-E Meter Pu WACOC-Tax Table'!$E$12)</f>
        <v>0</v>
      </c>
      <c r="L54" s="146">
        <f t="shared" si="13"/>
        <v>0</v>
      </c>
      <c r="M54" s="146">
        <f t="shared" si="1"/>
        <v>0</v>
      </c>
      <c r="N54" s="146">
        <f t="shared" si="2"/>
        <v>0</v>
      </c>
      <c r="O54" s="146">
        <f t="shared" si="3"/>
        <v>0</v>
      </c>
      <c r="P54" s="158">
        <f>1/(1+'LGE-E Meter Pu WACOC-Tax Table'!$E$13)^A54</f>
        <v>0.18998203094618393</v>
      </c>
      <c r="Q54" s="160">
        <f t="shared" si="4"/>
        <v>0</v>
      </c>
      <c r="R54" s="146">
        <f t="shared" si="7"/>
        <v>978.87231863975524</v>
      </c>
      <c r="S54" s="152">
        <f t="shared" si="8"/>
        <v>0</v>
      </c>
      <c r="T54" s="155"/>
    </row>
    <row r="55" spans="1:20" hidden="1" x14ac:dyDescent="0.2">
      <c r="A55" s="100">
        <v>25</v>
      </c>
      <c r="C55" s="146">
        <f t="shared" si="9"/>
        <v>0</v>
      </c>
      <c r="D55" s="146">
        <f t="shared" si="10"/>
        <v>0</v>
      </c>
      <c r="E55" s="146">
        <f>HLOOKUP($E$10,'LGE-E Meter Pu WACOC-Tax Table'!$B$17:$E$58,A56)*$B$30</f>
        <v>0</v>
      </c>
      <c r="F55" s="146">
        <f t="shared" si="11"/>
        <v>0</v>
      </c>
      <c r="G55" s="146">
        <f t="shared" si="5"/>
        <v>0</v>
      </c>
      <c r="H55" s="146">
        <f t="shared" si="12"/>
        <v>1.5987211554602254E-14</v>
      </c>
      <c r="I55" s="146">
        <f t="shared" si="14"/>
        <v>0</v>
      </c>
      <c r="J55" s="146">
        <f>'LGE-E Meter Pu WACOC-Tax Table'!$E$10*I55</f>
        <v>0</v>
      </c>
      <c r="K55" s="146">
        <f>I55*('LGE-E Meter Pu WACOC-Tax Table'!$E$11+'LGE-E Meter Pu WACOC-Tax Table'!$E$12)</f>
        <v>0</v>
      </c>
      <c r="L55" s="146">
        <f t="shared" si="13"/>
        <v>0</v>
      </c>
      <c r="M55" s="146">
        <f t="shared" si="1"/>
        <v>0</v>
      </c>
      <c r="N55" s="146">
        <f t="shared" si="2"/>
        <v>0</v>
      </c>
      <c r="O55" s="146">
        <f t="shared" si="3"/>
        <v>0</v>
      </c>
      <c r="P55" s="158">
        <f>1/(1+'LGE-E Meter Pu WACOC-Tax Table'!$E$13)^A55</f>
        <v>0.17727964823708611</v>
      </c>
      <c r="Q55" s="160">
        <f t="shared" si="4"/>
        <v>0</v>
      </c>
      <c r="R55" s="146">
        <f t="shared" si="7"/>
        <v>978.87231863975524</v>
      </c>
      <c r="S55" s="152">
        <f t="shared" si="8"/>
        <v>0</v>
      </c>
      <c r="T55" s="155"/>
    </row>
    <row r="56" spans="1:20" hidden="1" x14ac:dyDescent="0.2">
      <c r="A56" s="100">
        <v>26</v>
      </c>
      <c r="C56" s="146">
        <f t="shared" si="9"/>
        <v>0</v>
      </c>
      <c r="D56" s="146">
        <f t="shared" si="10"/>
        <v>0</v>
      </c>
      <c r="E56" s="146">
        <f>HLOOKUP($E$10,'LGE-E Meter Pu WACOC-Tax Table'!$B$17:$E$58,A57)*$B$30</f>
        <v>0</v>
      </c>
      <c r="F56" s="146">
        <f t="shared" si="11"/>
        <v>0</v>
      </c>
      <c r="G56" s="146">
        <f t="shared" si="5"/>
        <v>0</v>
      </c>
      <c r="H56" s="146">
        <f t="shared" si="12"/>
        <v>1.5987211554602254E-14</v>
      </c>
      <c r="I56" s="146">
        <f t="shared" si="14"/>
        <v>0</v>
      </c>
      <c r="J56" s="146">
        <f>'LGE-E Meter Pu WACOC-Tax Table'!$E$10*I56</f>
        <v>0</v>
      </c>
      <c r="K56" s="146">
        <f>I56*('LGE-E Meter Pu WACOC-Tax Table'!$E$11+'LGE-E Meter Pu WACOC-Tax Table'!$E$12)</f>
        <v>0</v>
      </c>
      <c r="L56" s="146">
        <f t="shared" si="13"/>
        <v>0</v>
      </c>
      <c r="M56" s="146">
        <f t="shared" si="1"/>
        <v>0</v>
      </c>
      <c r="N56" s="146">
        <f t="shared" si="2"/>
        <v>0</v>
      </c>
      <c r="O56" s="146">
        <f t="shared" si="3"/>
        <v>0</v>
      </c>
      <c r="P56" s="158">
        <f>1/(1+'LGE-E Meter Pu WACOC-Tax Table'!$E$13)^A56</f>
        <v>0.16542655914636259</v>
      </c>
      <c r="Q56" s="160">
        <f t="shared" si="4"/>
        <v>0</v>
      </c>
      <c r="R56" s="146">
        <f t="shared" si="7"/>
        <v>978.87231863975524</v>
      </c>
      <c r="S56" s="152">
        <f t="shared" si="8"/>
        <v>0</v>
      </c>
      <c r="T56" s="155"/>
    </row>
    <row r="57" spans="1:20" hidden="1" x14ac:dyDescent="0.2">
      <c r="A57" s="100">
        <v>27</v>
      </c>
      <c r="C57" s="146">
        <f t="shared" si="9"/>
        <v>0</v>
      </c>
      <c r="D57" s="146">
        <f t="shared" si="10"/>
        <v>0</v>
      </c>
      <c r="E57" s="146">
        <f>HLOOKUP($E$10,'LGE-E Meter Pu WACOC-Tax Table'!$B$17:$E$58,A58)*$B$30</f>
        <v>0</v>
      </c>
      <c r="F57" s="146">
        <f t="shared" si="11"/>
        <v>0</v>
      </c>
      <c r="G57" s="146">
        <f t="shared" si="5"/>
        <v>0</v>
      </c>
      <c r="H57" s="146">
        <f t="shared" si="12"/>
        <v>1.5987211554602254E-14</v>
      </c>
      <c r="I57" s="146">
        <f t="shared" si="14"/>
        <v>0</v>
      </c>
      <c r="J57" s="146">
        <f>'LGE-E Meter Pu WACOC-Tax Table'!$E$10*I57</f>
        <v>0</v>
      </c>
      <c r="K57" s="146">
        <f>I57*('LGE-E Meter Pu WACOC-Tax Table'!$E$11+'LGE-E Meter Pu WACOC-Tax Table'!$E$12)</f>
        <v>0</v>
      </c>
      <c r="L57" s="146">
        <f t="shared" si="13"/>
        <v>0</v>
      </c>
      <c r="M57" s="146">
        <f t="shared" si="1"/>
        <v>0</v>
      </c>
      <c r="N57" s="146">
        <f t="shared" si="2"/>
        <v>0</v>
      </c>
      <c r="O57" s="146">
        <f t="shared" si="3"/>
        <v>0</v>
      </c>
      <c r="P57" s="158">
        <f>1/(1+'LGE-E Meter Pu WACOC-Tax Table'!$E$13)^A57</f>
        <v>0.1543659790796007</v>
      </c>
      <c r="Q57" s="160">
        <f t="shared" si="4"/>
        <v>0</v>
      </c>
      <c r="R57" s="146">
        <f t="shared" si="7"/>
        <v>978.87231863975524</v>
      </c>
      <c r="S57" s="152">
        <f t="shared" si="8"/>
        <v>0</v>
      </c>
      <c r="T57" s="155"/>
    </row>
    <row r="58" spans="1:20" hidden="1" x14ac:dyDescent="0.2">
      <c r="A58" s="100">
        <v>28</v>
      </c>
      <c r="C58" s="146">
        <f t="shared" si="9"/>
        <v>0</v>
      </c>
      <c r="D58" s="146">
        <f t="shared" si="10"/>
        <v>0</v>
      </c>
      <c r="E58" s="146">
        <f>HLOOKUP($E$10,'LGE-E Meter Pu WACOC-Tax Table'!$B$17:$E$58,A59)*$B$30</f>
        <v>0</v>
      </c>
      <c r="F58" s="146">
        <f t="shared" si="11"/>
        <v>0</v>
      </c>
      <c r="G58" s="146">
        <f t="shared" si="5"/>
        <v>0</v>
      </c>
      <c r="H58" s="146">
        <f t="shared" si="12"/>
        <v>1.5987211554602254E-14</v>
      </c>
      <c r="I58" s="146">
        <f t="shared" si="14"/>
        <v>0</v>
      </c>
      <c r="J58" s="146">
        <f>'LGE-E Meter Pu WACOC-Tax Table'!$E$10*I58</f>
        <v>0</v>
      </c>
      <c r="K58" s="146">
        <f>I58*('LGE-E Meter Pu WACOC-Tax Table'!$E$11+'LGE-E Meter Pu WACOC-Tax Table'!$E$12)</f>
        <v>0</v>
      </c>
      <c r="L58" s="146">
        <f t="shared" si="13"/>
        <v>0</v>
      </c>
      <c r="M58" s="146">
        <f t="shared" si="1"/>
        <v>0</v>
      </c>
      <c r="N58" s="146">
        <f t="shared" si="2"/>
        <v>0</v>
      </c>
      <c r="O58" s="146">
        <f t="shared" si="3"/>
        <v>0</v>
      </c>
      <c r="P58" s="158">
        <f>1/(1+'LGE-E Meter Pu WACOC-Tax Table'!$E$13)^A58</f>
        <v>0.14404492011540257</v>
      </c>
      <c r="Q58" s="160">
        <f t="shared" si="4"/>
        <v>0</v>
      </c>
      <c r="R58" s="146">
        <f t="shared" si="7"/>
        <v>978.87231863975524</v>
      </c>
      <c r="S58" s="152">
        <f t="shared" si="8"/>
        <v>0</v>
      </c>
      <c r="T58" s="155"/>
    </row>
    <row r="59" spans="1:20" hidden="1" x14ac:dyDescent="0.2">
      <c r="A59" s="100">
        <v>29</v>
      </c>
      <c r="C59" s="146">
        <f t="shared" si="9"/>
        <v>0</v>
      </c>
      <c r="D59" s="146">
        <f t="shared" si="10"/>
        <v>0</v>
      </c>
      <c r="E59" s="146">
        <f>HLOOKUP($E$10,'LGE-E Meter Pu WACOC-Tax Table'!$B$17:$E$58,A60)*$B$30</f>
        <v>0</v>
      </c>
      <c r="F59" s="146">
        <f t="shared" si="11"/>
        <v>0</v>
      </c>
      <c r="G59" s="146">
        <f t="shared" si="5"/>
        <v>0</v>
      </c>
      <c r="H59" s="146">
        <f t="shared" si="12"/>
        <v>1.5987211554602254E-14</v>
      </c>
      <c r="I59" s="146">
        <f t="shared" si="14"/>
        <v>0</v>
      </c>
      <c r="J59" s="146">
        <f>'LGE-E Meter Pu WACOC-Tax Table'!$E$10*I59</f>
        <v>0</v>
      </c>
      <c r="K59" s="146">
        <f>I59*('LGE-E Meter Pu WACOC-Tax Table'!$E$11+'LGE-E Meter Pu WACOC-Tax Table'!$E$12)</f>
        <v>0</v>
      </c>
      <c r="L59" s="146">
        <f t="shared" si="13"/>
        <v>0</v>
      </c>
      <c r="M59" s="146">
        <f t="shared" si="1"/>
        <v>0</v>
      </c>
      <c r="N59" s="146">
        <f t="shared" si="2"/>
        <v>0</v>
      </c>
      <c r="O59" s="146">
        <f t="shared" si="3"/>
        <v>0</v>
      </c>
      <c r="P59" s="158">
        <f>1/(1+'LGE-E Meter Pu WACOC-Tax Table'!$E$13)^A59</f>
        <v>0.13441393715614805</v>
      </c>
      <c r="Q59" s="160">
        <f t="shared" si="4"/>
        <v>0</v>
      </c>
      <c r="R59" s="146">
        <f t="shared" si="7"/>
        <v>978.87231863975524</v>
      </c>
      <c r="S59" s="152">
        <f t="shared" si="8"/>
        <v>0</v>
      </c>
      <c r="T59" s="155"/>
    </row>
    <row r="60" spans="1:20" hidden="1" x14ac:dyDescent="0.2">
      <c r="A60" s="100">
        <v>30</v>
      </c>
      <c r="C60" s="146">
        <f t="shared" si="9"/>
        <v>0</v>
      </c>
      <c r="D60" s="146">
        <f t="shared" si="10"/>
        <v>0</v>
      </c>
      <c r="E60" s="146">
        <f>HLOOKUP($E$10,'LGE-E Meter Pu WACOC-Tax Table'!$B$17:$E$58,A61)*$B$30</f>
        <v>0</v>
      </c>
      <c r="F60" s="146">
        <f t="shared" si="11"/>
        <v>0</v>
      </c>
      <c r="G60" s="146">
        <f t="shared" si="5"/>
        <v>0</v>
      </c>
      <c r="H60" s="146">
        <f t="shared" si="12"/>
        <v>1.5987211554602254E-14</v>
      </c>
      <c r="I60" s="146">
        <f t="shared" si="14"/>
        <v>0</v>
      </c>
      <c r="J60" s="146">
        <f>'LGE-E Meter Pu WACOC-Tax Table'!$E$10*I60</f>
        <v>0</v>
      </c>
      <c r="K60" s="146">
        <f>I60*('LGE-E Meter Pu WACOC-Tax Table'!$E$11+'LGE-E Meter Pu WACOC-Tax Table'!$E$12)</f>
        <v>0</v>
      </c>
      <c r="L60" s="146">
        <f t="shared" si="13"/>
        <v>0</v>
      </c>
      <c r="M60" s="146">
        <f t="shared" si="1"/>
        <v>0</v>
      </c>
      <c r="N60" s="146">
        <f t="shared" si="2"/>
        <v>0</v>
      </c>
      <c r="O60" s="146">
        <f t="shared" si="3"/>
        <v>0</v>
      </c>
      <c r="P60" s="158">
        <f>1/(1+'LGE-E Meter Pu WACOC-Tax Table'!$E$13)^A60</f>
        <v>0.12542689105136315</v>
      </c>
      <c r="Q60" s="160">
        <f t="shared" si="4"/>
        <v>0</v>
      </c>
      <c r="R60" s="146">
        <f t="shared" si="7"/>
        <v>978.87231863975524</v>
      </c>
      <c r="S60" s="152">
        <f t="shared" si="8"/>
        <v>0</v>
      </c>
      <c r="T60" s="155"/>
    </row>
    <row r="61" spans="1:20" hidden="1" x14ac:dyDescent="0.2">
      <c r="A61" s="100">
        <v>31</v>
      </c>
      <c r="C61" s="146">
        <f>IF(D60&lt;=0.001,0,(1/$E$9)*$B$30)</f>
        <v>0</v>
      </c>
      <c r="D61" s="146">
        <f>D60-C61</f>
        <v>0</v>
      </c>
      <c r="E61" s="139">
        <f>HLOOKUP($E$10,'LGE-E Meter Pu WACOC-Tax Table'!$B$17:$E$58,A62)*$B$30</f>
        <v>0</v>
      </c>
      <c r="F61" s="146">
        <f>F60-E61</f>
        <v>0</v>
      </c>
      <c r="G61" s="139">
        <f t="shared" si="5"/>
        <v>0</v>
      </c>
      <c r="H61" s="154">
        <f>H60+G61</f>
        <v>1.5987211554602254E-14</v>
      </c>
      <c r="I61" s="154">
        <f t="shared" si="14"/>
        <v>0</v>
      </c>
      <c r="J61" s="133">
        <f>'LGE-E Meter Pu WACOC-Tax Table'!$E$10*I61</f>
        <v>0</v>
      </c>
      <c r="K61" s="139">
        <f>I61*('LGE-E Meter Pu WACOC-Tax Table'!$E$11+'LGE-E Meter Pu WACOC-Tax Table'!$E$12)</f>
        <v>0</v>
      </c>
      <c r="L61" s="139">
        <f>$E$14*$E$8*(1+$E$15)^A60</f>
        <v>0</v>
      </c>
      <c r="M61" s="154">
        <f t="shared" si="1"/>
        <v>0</v>
      </c>
      <c r="N61" s="146">
        <f t="shared" si="2"/>
        <v>0</v>
      </c>
      <c r="O61" s="139">
        <f t="shared" si="3"/>
        <v>0</v>
      </c>
      <c r="P61" s="161">
        <f>1/(1+'LGE-E Meter Pu WACOC-Tax Table'!$E$13)^A61</f>
        <v>0.11704072755889032</v>
      </c>
      <c r="Q61" s="159">
        <f t="shared" si="4"/>
        <v>0</v>
      </c>
      <c r="R61" s="154">
        <f>R60+Q61</f>
        <v>978.87231863975524</v>
      </c>
      <c r="S61" s="152">
        <f t="shared" si="8"/>
        <v>0</v>
      </c>
      <c r="T61" s="155"/>
    </row>
    <row r="62" spans="1:20" hidden="1" x14ac:dyDescent="0.2">
      <c r="A62" s="100">
        <v>32</v>
      </c>
      <c r="C62" s="146">
        <f t="shared" si="9"/>
        <v>0</v>
      </c>
      <c r="D62" s="146">
        <f t="shared" si="10"/>
        <v>0</v>
      </c>
      <c r="E62" s="139">
        <f>HLOOKUP($E$10,'LGE-E Meter Pu WACOC-Tax Table'!$B$17:$E$58,A63)*$B$30</f>
        <v>0</v>
      </c>
      <c r="F62" s="146">
        <f t="shared" si="11"/>
        <v>0</v>
      </c>
      <c r="G62" s="139">
        <f t="shared" si="5"/>
        <v>0</v>
      </c>
      <c r="H62" s="154">
        <f t="shared" si="12"/>
        <v>1.5987211554602254E-14</v>
      </c>
      <c r="I62" s="154">
        <f t="shared" si="14"/>
        <v>0</v>
      </c>
      <c r="J62" s="133">
        <f>'LGE-E Meter Pu WACOC-Tax Table'!$E$10*I62</f>
        <v>0</v>
      </c>
      <c r="K62" s="139">
        <f>I62*('LGE-E Meter Pu WACOC-Tax Table'!$E$11+'LGE-E Meter Pu WACOC-Tax Table'!$E$12)</f>
        <v>0</v>
      </c>
      <c r="L62" s="139">
        <f t="shared" si="13"/>
        <v>0</v>
      </c>
      <c r="M62" s="154">
        <f t="shared" si="1"/>
        <v>0</v>
      </c>
      <c r="N62" s="146">
        <f t="shared" si="2"/>
        <v>0</v>
      </c>
      <c r="O62" s="139">
        <f t="shared" si="3"/>
        <v>0</v>
      </c>
      <c r="P62" s="161">
        <f>1/(1+'LGE-E Meter Pu WACOC-Tax Table'!$E$13)^A62</f>
        <v>0.10921527108492825</v>
      </c>
      <c r="Q62" s="159">
        <f t="shared" si="4"/>
        <v>0</v>
      </c>
      <c r="R62" s="154">
        <f t="shared" si="7"/>
        <v>978.87231863975524</v>
      </c>
      <c r="S62" s="152">
        <f t="shared" si="8"/>
        <v>0</v>
      </c>
      <c r="T62" s="155"/>
    </row>
    <row r="63" spans="1:20" hidden="1" x14ac:dyDescent="0.2">
      <c r="A63" s="100">
        <v>33</v>
      </c>
      <c r="C63" s="146">
        <f t="shared" si="9"/>
        <v>0</v>
      </c>
      <c r="D63" s="146">
        <f t="shared" si="10"/>
        <v>0</v>
      </c>
      <c r="E63" s="139">
        <f>HLOOKUP($E$10,'LGE-E Meter Pu WACOC-Tax Table'!$B$17:$E$58,A64)*$B$30</f>
        <v>0</v>
      </c>
      <c r="F63" s="146">
        <f t="shared" si="11"/>
        <v>0</v>
      </c>
      <c r="G63" s="139">
        <f t="shared" si="5"/>
        <v>0</v>
      </c>
      <c r="H63" s="154">
        <f t="shared" si="12"/>
        <v>1.5987211554602254E-14</v>
      </c>
      <c r="I63" s="154">
        <f t="shared" si="14"/>
        <v>0</v>
      </c>
      <c r="J63" s="133">
        <f>'LGE-E Meter Pu WACOC-Tax Table'!$E$10*I63</f>
        <v>0</v>
      </c>
      <c r="K63" s="139">
        <f>I63*('LGE-E Meter Pu WACOC-Tax Table'!$E$11+'LGE-E Meter Pu WACOC-Tax Table'!$E$12)</f>
        <v>0</v>
      </c>
      <c r="L63" s="139">
        <f t="shared" si="13"/>
        <v>0</v>
      </c>
      <c r="M63" s="154">
        <f t="shared" si="1"/>
        <v>0</v>
      </c>
      <c r="N63" s="146">
        <f t="shared" si="2"/>
        <v>0</v>
      </c>
      <c r="O63" s="139">
        <f t="shared" si="3"/>
        <v>0</v>
      </c>
      <c r="P63" s="161">
        <f>1/(1+'LGE-E Meter Pu WACOC-Tax Table'!$E$13)^A63</f>
        <v>0.10191303221481321</v>
      </c>
      <c r="Q63" s="159">
        <f t="shared" si="4"/>
        <v>0</v>
      </c>
      <c r="R63" s="154">
        <f t="shared" si="7"/>
        <v>978.87231863975524</v>
      </c>
      <c r="S63" s="152">
        <f t="shared" si="8"/>
        <v>0</v>
      </c>
      <c r="T63" s="155"/>
    </row>
    <row r="64" spans="1:20" hidden="1" x14ac:dyDescent="0.2">
      <c r="A64" s="100">
        <v>34</v>
      </c>
      <c r="C64" s="146">
        <f t="shared" si="9"/>
        <v>0</v>
      </c>
      <c r="D64" s="146">
        <f t="shared" si="10"/>
        <v>0</v>
      </c>
      <c r="E64" s="139">
        <f>HLOOKUP($E$10,'LGE-E Meter Pu WACOC-Tax Table'!$B$17:$E$58,A65)*$B$30</f>
        <v>0</v>
      </c>
      <c r="F64" s="146">
        <f t="shared" si="11"/>
        <v>0</v>
      </c>
      <c r="G64" s="139">
        <f t="shared" si="5"/>
        <v>0</v>
      </c>
      <c r="H64" s="154">
        <f t="shared" si="12"/>
        <v>1.5987211554602254E-14</v>
      </c>
      <c r="I64" s="154">
        <f t="shared" si="14"/>
        <v>0</v>
      </c>
      <c r="J64" s="133">
        <f>'LGE-E Meter Pu WACOC-Tax Table'!$E$10*I64</f>
        <v>0</v>
      </c>
      <c r="K64" s="139">
        <f>I64*('LGE-E Meter Pu WACOC-Tax Table'!$E$11+'LGE-E Meter Pu WACOC-Tax Table'!$E$12)</f>
        <v>0</v>
      </c>
      <c r="L64" s="139">
        <f t="shared" si="13"/>
        <v>0</v>
      </c>
      <c r="M64" s="154">
        <f t="shared" si="1"/>
        <v>0</v>
      </c>
      <c r="N64" s="146">
        <f t="shared" si="2"/>
        <v>0</v>
      </c>
      <c r="O64" s="139">
        <f t="shared" si="3"/>
        <v>0</v>
      </c>
      <c r="P64" s="161">
        <f>1/(1+'LGE-E Meter Pu WACOC-Tax Table'!$E$13)^A64</f>
        <v>9.5099028112478515E-2</v>
      </c>
      <c r="Q64" s="159">
        <f t="shared" si="4"/>
        <v>0</v>
      </c>
      <c r="R64" s="154">
        <f t="shared" si="7"/>
        <v>978.87231863975524</v>
      </c>
      <c r="S64" s="152">
        <f t="shared" si="8"/>
        <v>0</v>
      </c>
      <c r="T64" s="155"/>
    </row>
    <row r="65" spans="1:20" hidden="1" x14ac:dyDescent="0.2">
      <c r="A65" s="100">
        <v>35</v>
      </c>
      <c r="C65" s="146">
        <f t="shared" si="9"/>
        <v>0</v>
      </c>
      <c r="D65" s="146">
        <f t="shared" si="10"/>
        <v>0</v>
      </c>
      <c r="E65" s="139">
        <f>HLOOKUP($E$10,'LGE-E Meter Pu WACOC-Tax Table'!$B$17:$E$58,A66)*$B$30</f>
        <v>0</v>
      </c>
      <c r="F65" s="146">
        <f t="shared" si="11"/>
        <v>0</v>
      </c>
      <c r="G65" s="139">
        <f t="shared" si="5"/>
        <v>0</v>
      </c>
      <c r="H65" s="154">
        <f t="shared" si="12"/>
        <v>1.5987211554602254E-14</v>
      </c>
      <c r="I65" s="154">
        <f t="shared" si="14"/>
        <v>0</v>
      </c>
      <c r="J65" s="133">
        <f>'LGE-E Meter Pu WACOC-Tax Table'!$E$10*I65</f>
        <v>0</v>
      </c>
      <c r="K65" s="139">
        <f>I65*('LGE-E Meter Pu WACOC-Tax Table'!$E$11+'LGE-E Meter Pu WACOC-Tax Table'!$E$12)</f>
        <v>0</v>
      </c>
      <c r="L65" s="139">
        <f t="shared" si="13"/>
        <v>0</v>
      </c>
      <c r="M65" s="154">
        <f t="shared" si="1"/>
        <v>0</v>
      </c>
      <c r="N65" s="146">
        <f t="shared" si="2"/>
        <v>0</v>
      </c>
      <c r="O65" s="139">
        <f t="shared" si="3"/>
        <v>0</v>
      </c>
      <c r="P65" s="161">
        <f>1/(1+'LGE-E Meter Pu WACOC-Tax Table'!$E$13)^A65</f>
        <v>8.8740614928180361E-2</v>
      </c>
      <c r="Q65" s="159">
        <f t="shared" si="4"/>
        <v>0</v>
      </c>
      <c r="R65" s="154">
        <f t="shared" si="7"/>
        <v>978.87231863975524</v>
      </c>
      <c r="S65" s="152">
        <f t="shared" si="8"/>
        <v>0</v>
      </c>
      <c r="T65" s="155"/>
    </row>
    <row r="66" spans="1:20" hidden="1" x14ac:dyDescent="0.2">
      <c r="A66" s="100">
        <v>36</v>
      </c>
      <c r="C66" s="146">
        <f t="shared" si="9"/>
        <v>0</v>
      </c>
      <c r="D66" s="146">
        <f t="shared" si="10"/>
        <v>0</v>
      </c>
      <c r="E66" s="139">
        <f>HLOOKUP($E$10,'LGE-E Meter Pu WACOC-Tax Table'!$B$17:$E$58,A67)*$B$30</f>
        <v>0</v>
      </c>
      <c r="F66" s="146">
        <f t="shared" si="11"/>
        <v>0</v>
      </c>
      <c r="G66" s="139">
        <f t="shared" si="5"/>
        <v>0</v>
      </c>
      <c r="H66" s="154">
        <f t="shared" si="12"/>
        <v>1.5987211554602254E-14</v>
      </c>
      <c r="I66" s="154">
        <f t="shared" si="14"/>
        <v>0</v>
      </c>
      <c r="J66" s="133">
        <f>'LGE-E Meter Pu WACOC-Tax Table'!$E$10*I66</f>
        <v>0</v>
      </c>
      <c r="K66" s="139">
        <f>I66*('LGE-E Meter Pu WACOC-Tax Table'!$E$11+'LGE-E Meter Pu WACOC-Tax Table'!$E$12)</f>
        <v>0</v>
      </c>
      <c r="L66" s="146">
        <v>0</v>
      </c>
      <c r="M66" s="154">
        <f t="shared" si="1"/>
        <v>0</v>
      </c>
      <c r="N66" s="146">
        <f t="shared" si="2"/>
        <v>0</v>
      </c>
      <c r="O66" s="139">
        <f t="shared" si="3"/>
        <v>0</v>
      </c>
      <c r="P66" s="161">
        <f>1/(1+'LGE-E Meter Pu WACOC-Tax Table'!$E$13)^A66</f>
        <v>8.2807331411605387E-2</v>
      </c>
      <c r="Q66" s="159">
        <f t="shared" si="4"/>
        <v>0</v>
      </c>
      <c r="R66" s="154">
        <f t="shared" si="7"/>
        <v>978.87231863975524</v>
      </c>
      <c r="S66" s="152">
        <f t="shared" si="8"/>
        <v>0</v>
      </c>
      <c r="T66" s="140"/>
    </row>
    <row r="67" spans="1:20" hidden="1" x14ac:dyDescent="0.2">
      <c r="A67" s="100">
        <v>37</v>
      </c>
      <c r="C67" s="146">
        <f t="shared" si="9"/>
        <v>0</v>
      </c>
      <c r="D67" s="146">
        <f t="shared" si="10"/>
        <v>0</v>
      </c>
      <c r="E67" s="139">
        <f>HLOOKUP($E$10,'LGE-E Meter Pu WACOC-Tax Table'!$B$17:$E$58,A68)*$B$30</f>
        <v>0</v>
      </c>
      <c r="F67" s="146">
        <f t="shared" si="11"/>
        <v>0</v>
      </c>
      <c r="G67" s="139">
        <f t="shared" si="5"/>
        <v>0</v>
      </c>
      <c r="H67" s="154">
        <f t="shared" si="12"/>
        <v>1.5987211554602254E-14</v>
      </c>
      <c r="I67" s="154">
        <f t="shared" si="14"/>
        <v>0</v>
      </c>
      <c r="J67" s="133">
        <f>'LGE-E Meter Pu WACOC-Tax Table'!$E$10*I67</f>
        <v>0</v>
      </c>
      <c r="K67" s="139">
        <f>I67*('LGE-E Meter Pu WACOC-Tax Table'!$E$11+'LGE-E Meter Pu WACOC-Tax Table'!$E$12)</f>
        <v>0</v>
      </c>
      <c r="L67" s="146">
        <v>0</v>
      </c>
      <c r="M67" s="154">
        <f t="shared" si="1"/>
        <v>0</v>
      </c>
      <c r="N67" s="146">
        <f t="shared" si="2"/>
        <v>0</v>
      </c>
      <c r="O67" s="139">
        <f t="shared" si="3"/>
        <v>0</v>
      </c>
      <c r="P67" s="161">
        <f>1/(1+'LGE-E Meter Pu WACOC-Tax Table'!$E$13)^A67</f>
        <v>7.7270752981157598E-2</v>
      </c>
      <c r="Q67" s="159">
        <f t="shared" si="4"/>
        <v>0</v>
      </c>
      <c r="R67" s="154">
        <f t="shared" si="7"/>
        <v>978.87231863975524</v>
      </c>
      <c r="S67" s="152">
        <f t="shared" si="8"/>
        <v>0</v>
      </c>
      <c r="T67" s="140"/>
    </row>
    <row r="68" spans="1:20" hidden="1" x14ac:dyDescent="0.2">
      <c r="A68" s="100">
        <v>38</v>
      </c>
      <c r="C68" s="146">
        <f t="shared" si="9"/>
        <v>0</v>
      </c>
      <c r="D68" s="146">
        <f t="shared" si="10"/>
        <v>0</v>
      </c>
      <c r="E68" s="139">
        <f>HLOOKUP($E$10,'LGE-E Meter Pu WACOC-Tax Table'!$B$17:$E$58,A69)*$B$30</f>
        <v>0</v>
      </c>
      <c r="F68" s="146">
        <f t="shared" si="11"/>
        <v>0</v>
      </c>
      <c r="G68" s="139">
        <f t="shared" si="5"/>
        <v>0</v>
      </c>
      <c r="H68" s="154">
        <f t="shared" si="12"/>
        <v>1.5987211554602254E-14</v>
      </c>
      <c r="I68" s="154">
        <f t="shared" si="14"/>
        <v>0</v>
      </c>
      <c r="J68" s="133">
        <f>'LGE-E Meter Pu WACOC-Tax Table'!$E$10*I68</f>
        <v>0</v>
      </c>
      <c r="K68" s="139">
        <f>I68*('LGE-E Meter Pu WACOC-Tax Table'!$E$11+'LGE-E Meter Pu WACOC-Tax Table'!$E$12)</f>
        <v>0</v>
      </c>
      <c r="L68" s="146">
        <v>0</v>
      </c>
      <c r="M68" s="154">
        <f t="shared" si="1"/>
        <v>0</v>
      </c>
      <c r="N68" s="146">
        <f t="shared" si="2"/>
        <v>0</v>
      </c>
      <c r="O68" s="139">
        <f t="shared" si="3"/>
        <v>0</v>
      </c>
      <c r="P68" s="161">
        <f>1/(1+'LGE-E Meter Pu WACOC-Tax Table'!$E$13)^A68</f>
        <v>7.2104355550313914E-2</v>
      </c>
      <c r="Q68" s="159">
        <f t="shared" si="4"/>
        <v>0</v>
      </c>
      <c r="R68" s="154">
        <f t="shared" si="7"/>
        <v>978.87231863975524</v>
      </c>
      <c r="S68" s="152">
        <f t="shared" si="8"/>
        <v>0</v>
      </c>
      <c r="T68" s="140"/>
    </row>
    <row r="69" spans="1:20" hidden="1" x14ac:dyDescent="0.2">
      <c r="A69" s="100">
        <v>39</v>
      </c>
      <c r="C69" s="146">
        <f t="shared" si="9"/>
        <v>0</v>
      </c>
      <c r="D69" s="146">
        <f t="shared" si="10"/>
        <v>0</v>
      </c>
      <c r="E69" s="139">
        <f>HLOOKUP($E$10,'LGE-E Meter Pu WACOC-Tax Table'!$B$17:$E$58,A70)*$B$30</f>
        <v>0</v>
      </c>
      <c r="F69" s="146">
        <f t="shared" si="11"/>
        <v>0</v>
      </c>
      <c r="G69" s="139">
        <f t="shared" si="5"/>
        <v>0</v>
      </c>
      <c r="H69" s="154">
        <f t="shared" si="12"/>
        <v>1.5987211554602254E-14</v>
      </c>
      <c r="I69" s="154">
        <f t="shared" si="14"/>
        <v>0</v>
      </c>
      <c r="J69" s="133">
        <f>'LGE-E Meter Pu WACOC-Tax Table'!$E$10*I69</f>
        <v>0</v>
      </c>
      <c r="K69" s="139">
        <f>I69*('LGE-E Meter Pu WACOC-Tax Table'!$E$11+'LGE-E Meter Pu WACOC-Tax Table'!$E$12)</f>
        <v>0</v>
      </c>
      <c r="L69" s="146">
        <v>0</v>
      </c>
      <c r="M69" s="154">
        <f t="shared" si="1"/>
        <v>0</v>
      </c>
      <c r="N69" s="146">
        <f t="shared" si="2"/>
        <v>0</v>
      </c>
      <c r="O69" s="139">
        <f t="shared" si="3"/>
        <v>0</v>
      </c>
      <c r="P69" s="161">
        <f>1/(1+'LGE-E Meter Pu WACOC-Tax Table'!$E$13)^A69</f>
        <v>6.7283388458682009E-2</v>
      </c>
      <c r="Q69" s="159">
        <f t="shared" si="4"/>
        <v>0</v>
      </c>
      <c r="R69" s="154">
        <f t="shared" si="7"/>
        <v>978.87231863975524</v>
      </c>
      <c r="S69" s="152">
        <f t="shared" si="8"/>
        <v>0</v>
      </c>
      <c r="T69" s="140"/>
    </row>
    <row r="70" spans="1:20" hidden="1" x14ac:dyDescent="0.2">
      <c r="A70" s="100">
        <v>40</v>
      </c>
      <c r="C70" s="146">
        <f>IF(D69&lt;=0.001,0,(1/$E$9)*$B$30)</f>
        <v>0</v>
      </c>
      <c r="D70" s="146">
        <f>D69-C70</f>
        <v>0</v>
      </c>
      <c r="E70" s="139">
        <f>HLOOKUP($E$10,'LGE-E Meter Pu WACOC-Tax Table'!$B$17:$E$58,A71)*$B$30</f>
        <v>0</v>
      </c>
      <c r="F70" s="146">
        <f>F69-E70</f>
        <v>0</v>
      </c>
      <c r="G70" s="139">
        <f t="shared" si="5"/>
        <v>0</v>
      </c>
      <c r="H70" s="154">
        <f>H69+G70</f>
        <v>1.5987211554602254E-14</v>
      </c>
      <c r="I70" s="154">
        <f t="shared" si="14"/>
        <v>0</v>
      </c>
      <c r="J70" s="133">
        <f>'LGE-E Meter Pu WACOC-Tax Table'!$E$10*I70</f>
        <v>0</v>
      </c>
      <c r="K70" s="139">
        <f>I70*('LGE-E Meter Pu WACOC-Tax Table'!$E$11+'LGE-E Meter Pu WACOC-Tax Table'!$E$12)</f>
        <v>0</v>
      </c>
      <c r="L70" s="146">
        <v>0</v>
      </c>
      <c r="M70" s="154">
        <f t="shared" si="1"/>
        <v>0</v>
      </c>
      <c r="N70" s="146">
        <f t="shared" si="2"/>
        <v>0</v>
      </c>
      <c r="O70" s="139">
        <f t="shared" si="3"/>
        <v>0</v>
      </c>
      <c r="P70" s="161">
        <f>1/(1+'LGE-E Meter Pu WACOC-Tax Table'!$E$13)^A70</f>
        <v>6.2784755899010225E-2</v>
      </c>
      <c r="Q70" s="162">
        <f t="shared" si="4"/>
        <v>0</v>
      </c>
      <c r="R70" s="154">
        <f>R69+Q70</f>
        <v>978.87231863975524</v>
      </c>
      <c r="S70" s="152">
        <f t="shared" si="8"/>
        <v>0</v>
      </c>
      <c r="T70" s="140"/>
    </row>
    <row r="71" spans="1:20" hidden="1" x14ac:dyDescent="0.2">
      <c r="A71" s="100">
        <v>41</v>
      </c>
      <c r="Q71" s="154">
        <f>SUM(Q30:Q70)</f>
        <v>978.87231863975524</v>
      </c>
    </row>
    <row r="72" spans="1:20" x14ac:dyDescent="0.2">
      <c r="Q72" s="154">
        <f>SUM(Q30:Q60)</f>
        <v>978.87231863975524</v>
      </c>
    </row>
    <row r="79" spans="1:20" x14ac:dyDescent="0.2">
      <c r="K79" s="127"/>
      <c r="O79" s="163"/>
      <c r="Q79" s="154"/>
    </row>
    <row r="80" spans="1:20" x14ac:dyDescent="0.2">
      <c r="K80" s="127"/>
      <c r="O80" s="163"/>
    </row>
    <row r="81" spans="11:15" x14ac:dyDescent="0.2">
      <c r="K81" s="127"/>
      <c r="O81" s="163"/>
    </row>
    <row r="82" spans="11:15" x14ac:dyDescent="0.2">
      <c r="K82" s="127"/>
      <c r="O82" s="163"/>
    </row>
    <row r="83" spans="11:15" x14ac:dyDescent="0.2">
      <c r="K83" s="127"/>
      <c r="O83" s="163"/>
    </row>
    <row r="84" spans="11:15" x14ac:dyDescent="0.2">
      <c r="K84" s="127"/>
      <c r="O84" s="163"/>
    </row>
    <row r="85" spans="11:15" x14ac:dyDescent="0.2">
      <c r="K85" s="127"/>
      <c r="O85" s="163"/>
    </row>
    <row r="86" spans="11:15" x14ac:dyDescent="0.2">
      <c r="K86" s="127"/>
      <c r="O86" s="163"/>
    </row>
  </sheetData>
  <pageMargins left="0.75" right="0.75" top="1" bottom="1" header="0.5" footer="0.5"/>
  <pageSetup scale="75" orientation="landscape" verticalDpi="1200" r:id="rId1"/>
  <headerFooter differentOddEven="1" differentFirst="1" alignWithMargins="0"/>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pageSetUpPr fitToPage="1"/>
  </sheetPr>
  <dimension ref="A5:G44"/>
  <sheetViews>
    <sheetView view="pageBreakPreview" zoomScaleNormal="100" zoomScaleSheetLayoutView="100" workbookViewId="0"/>
  </sheetViews>
  <sheetFormatPr defaultRowHeight="12.75" x14ac:dyDescent="0.2"/>
  <cols>
    <col min="1" max="1" width="48.28515625" bestFit="1" customWidth="1"/>
    <col min="2" max="2" width="8.7109375" customWidth="1"/>
    <col min="3" max="3" width="9.28515625" bestFit="1" customWidth="1"/>
    <col min="4" max="4" width="10.28515625" customWidth="1"/>
    <col min="5" max="5" width="9.28515625" customWidth="1"/>
    <col min="6" max="6" width="11.28515625" customWidth="1"/>
  </cols>
  <sheetData>
    <row r="5" spans="1:7" x14ac:dyDescent="0.2">
      <c r="F5" t="s">
        <v>348</v>
      </c>
    </row>
    <row r="9" spans="1:7" x14ac:dyDescent="0.2">
      <c r="A9" s="464" t="s">
        <v>9</v>
      </c>
      <c r="B9" s="464"/>
      <c r="C9" s="20"/>
      <c r="D9" s="20"/>
      <c r="E9" s="20"/>
      <c r="F9" s="20"/>
      <c r="G9" s="20"/>
    </row>
    <row r="10" spans="1:7" x14ac:dyDescent="0.2">
      <c r="A10" s="464" t="s">
        <v>83</v>
      </c>
      <c r="B10" s="464"/>
      <c r="C10" s="20"/>
      <c r="D10" s="20"/>
      <c r="E10" s="20"/>
      <c r="F10" s="20"/>
      <c r="G10" s="20"/>
    </row>
    <row r="11" spans="1:7" x14ac:dyDescent="0.2">
      <c r="A11" s="464" t="s">
        <v>7</v>
      </c>
      <c r="B11" s="464"/>
      <c r="C11" s="20"/>
      <c r="D11" s="20"/>
      <c r="E11" s="20"/>
      <c r="F11" s="20"/>
      <c r="G11" s="20"/>
    </row>
    <row r="12" spans="1:7" x14ac:dyDescent="0.2">
      <c r="B12" s="297" t="s">
        <v>26</v>
      </c>
    </row>
    <row r="13" spans="1:7" x14ac:dyDescent="0.2">
      <c r="A13" s="112" t="s">
        <v>89</v>
      </c>
    </row>
    <row r="14" spans="1:7" x14ac:dyDescent="0.2">
      <c r="A14" t="s">
        <v>82</v>
      </c>
    </row>
    <row r="15" spans="1:7" x14ac:dyDescent="0.2">
      <c r="A15" t="s">
        <v>86</v>
      </c>
      <c r="B15" s="1">
        <v>670</v>
      </c>
      <c r="D15" s="5">
        <f>+B15</f>
        <v>670</v>
      </c>
      <c r="E15" s="5">
        <f>+D15/B18</f>
        <v>0.74151956172873668</v>
      </c>
      <c r="F15">
        <f>+E15*Data!E22</f>
        <v>1.4830391234574733E-2</v>
      </c>
    </row>
    <row r="16" spans="1:7" x14ac:dyDescent="0.2">
      <c r="A16" t="s">
        <v>84</v>
      </c>
      <c r="B16" s="1">
        <v>211.51</v>
      </c>
      <c r="D16" s="5">
        <f>+B16+B17</f>
        <v>233.54999999999998</v>
      </c>
      <c r="E16" s="5">
        <f>+D16/B18</f>
        <v>0.25848043827126332</v>
      </c>
      <c r="F16">
        <f>+E16*Data!E21</f>
        <v>7.7544131481378994E-3</v>
      </c>
    </row>
    <row r="17" spans="1:7" x14ac:dyDescent="0.2">
      <c r="A17" t="s">
        <v>36</v>
      </c>
      <c r="B17" s="1">
        <v>22.04</v>
      </c>
      <c r="F17">
        <f>+F15+F16</f>
        <v>2.2584804382712632E-2</v>
      </c>
    </row>
    <row r="18" spans="1:7" x14ac:dyDescent="0.2">
      <c r="A18" s="172" t="s">
        <v>317</v>
      </c>
      <c r="B18" s="13">
        <f>SUM(B15:B17)</f>
        <v>903.55</v>
      </c>
      <c r="D18" s="5"/>
      <c r="E18" s="5"/>
    </row>
    <row r="20" spans="1:7" x14ac:dyDescent="0.2">
      <c r="A20" s="294"/>
      <c r="B20" s="457"/>
      <c r="G20">
        <v>2.2584741625247068E-2</v>
      </c>
    </row>
    <row r="21" spans="1:7" x14ac:dyDescent="0.2">
      <c r="A21" s="299"/>
      <c r="B21" s="298"/>
      <c r="G21" s="1">
        <v>903.55410889805296</v>
      </c>
    </row>
    <row r="24" spans="1:7" x14ac:dyDescent="0.2">
      <c r="A24" s="172" t="s">
        <v>81</v>
      </c>
    </row>
    <row r="25" spans="1:7" x14ac:dyDescent="0.2">
      <c r="A25" s="116" t="s">
        <v>347</v>
      </c>
      <c r="B25" s="6">
        <f>+'LGE Gas Meter Pulse - 5-Year'!G47</f>
        <v>27.521944358198706</v>
      </c>
      <c r="G25" s="1">
        <v>27.522069514375548</v>
      </c>
    </row>
    <row r="26" spans="1:7" x14ac:dyDescent="0.2">
      <c r="B26" s="6"/>
    </row>
    <row r="27" spans="1:7" x14ac:dyDescent="0.2">
      <c r="B27" s="6"/>
    </row>
    <row r="28" spans="1:7" x14ac:dyDescent="0.2">
      <c r="A28" s="112" t="s">
        <v>90</v>
      </c>
    </row>
    <row r="29" spans="1:7" x14ac:dyDescent="0.2">
      <c r="A29" t="s">
        <v>349</v>
      </c>
      <c r="B29" s="1"/>
      <c r="D29" s="5"/>
      <c r="E29" s="5"/>
      <c r="F29">
        <v>34.659999999999997</v>
      </c>
      <c r="G29">
        <v>35</v>
      </c>
    </row>
    <row r="30" spans="1:7" x14ac:dyDescent="0.2">
      <c r="A30" t="s">
        <v>350</v>
      </c>
      <c r="B30" s="1"/>
      <c r="D30" s="5"/>
      <c r="E30" s="5"/>
      <c r="F30">
        <v>12.38</v>
      </c>
      <c r="G30">
        <v>12</v>
      </c>
    </row>
    <row r="31" spans="1:7" x14ac:dyDescent="0.2">
      <c r="A31" t="s">
        <v>82</v>
      </c>
    </row>
    <row r="32" spans="1:7" x14ac:dyDescent="0.2">
      <c r="A32" t="s">
        <v>86</v>
      </c>
      <c r="B32" s="1">
        <f>+Data!B67*(1.03)^2</f>
        <v>0</v>
      </c>
      <c r="D32" s="5">
        <f>+B32</f>
        <v>0</v>
      </c>
      <c r="E32" s="5">
        <f>+D32/B35</f>
        <v>0</v>
      </c>
      <c r="F32">
        <f>+E32*Data!E22</f>
        <v>0</v>
      </c>
    </row>
    <row r="33" spans="1:7" x14ac:dyDescent="0.2">
      <c r="A33" t="s">
        <v>84</v>
      </c>
      <c r="B33" s="1">
        <v>241.4</v>
      </c>
      <c r="D33" s="5">
        <f>+B33+B34</f>
        <v>268.94</v>
      </c>
      <c r="E33" s="5">
        <f>+D33/B35</f>
        <v>1</v>
      </c>
      <c r="F33">
        <f>+E33*Data!E21</f>
        <v>0.03</v>
      </c>
    </row>
    <row r="34" spans="1:7" x14ac:dyDescent="0.2">
      <c r="A34" t="s">
        <v>36</v>
      </c>
      <c r="B34" s="1">
        <v>27.54</v>
      </c>
      <c r="F34">
        <f>+F32+F33</f>
        <v>0.03</v>
      </c>
    </row>
    <row r="35" spans="1:7" x14ac:dyDescent="0.2">
      <c r="A35" s="2" t="s">
        <v>291</v>
      </c>
      <c r="B35" s="13">
        <f>SUM(B32:B34)</f>
        <v>268.94</v>
      </c>
    </row>
    <row r="36" spans="1:7" x14ac:dyDescent="0.2">
      <c r="B36" s="300"/>
    </row>
    <row r="37" spans="1:7" x14ac:dyDescent="0.2">
      <c r="A37" s="294"/>
      <c r="B37" s="457"/>
      <c r="G37">
        <v>0.03</v>
      </c>
    </row>
    <row r="38" spans="1:7" x14ac:dyDescent="0.2">
      <c r="A38" s="299"/>
      <c r="B38" s="298"/>
      <c r="G38" s="1">
        <v>268.94459166798521</v>
      </c>
    </row>
    <row r="39" spans="1:7" x14ac:dyDescent="0.2">
      <c r="G39" s="1"/>
    </row>
    <row r="40" spans="1:7" x14ac:dyDescent="0.2">
      <c r="A40" s="172" t="s">
        <v>81</v>
      </c>
      <c r="G40" s="1"/>
    </row>
    <row r="41" spans="1:7" x14ac:dyDescent="0.2">
      <c r="A41" s="116" t="s">
        <v>346</v>
      </c>
      <c r="B41" s="173">
        <f>+'LGE Gas Meter Pulse - 5-Year'!H47</f>
        <v>8.1918562511138955</v>
      </c>
      <c r="G41" s="1">
        <v>8.1919961123620837</v>
      </c>
    </row>
    <row r="43" spans="1:7" x14ac:dyDescent="0.2">
      <c r="A43" t="s">
        <v>349</v>
      </c>
      <c r="B43" s="1"/>
      <c r="D43" s="5"/>
      <c r="E43" s="5"/>
      <c r="F43">
        <v>34.659999999999997</v>
      </c>
      <c r="G43">
        <v>35</v>
      </c>
    </row>
    <row r="44" spans="1:7" x14ac:dyDescent="0.2">
      <c r="A44" t="s">
        <v>350</v>
      </c>
      <c r="B44" s="1"/>
      <c r="D44" s="5"/>
      <c r="E44" s="5"/>
      <c r="F44">
        <v>12.38</v>
      </c>
      <c r="G44">
        <v>12</v>
      </c>
    </row>
  </sheetData>
  <mergeCells count="3">
    <mergeCell ref="A9:B9"/>
    <mergeCell ref="A10:B10"/>
    <mergeCell ref="A11:B11"/>
  </mergeCells>
  <printOptions horizontalCentered="1"/>
  <pageMargins left="0.75" right="0.75" top="1" bottom="1" header="0.5" footer="0.5"/>
  <pageSetup orientation="portrait" r:id="rId1"/>
  <headerFooter alignWithMargins="0">
    <oddHeader>&amp;L+&amp;R&amp;"Arial,Bold"&amp;12Exhibit WSS-19
Page &amp;P of 18</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J47"/>
  <sheetViews>
    <sheetView topLeftCell="A20" zoomScaleNormal="100" workbookViewId="0">
      <selection activeCell="H46" sqref="H46"/>
    </sheetView>
  </sheetViews>
  <sheetFormatPr defaultRowHeight="12.75" x14ac:dyDescent="0.2"/>
  <cols>
    <col min="1" max="1" width="8.5703125" style="100" customWidth="1"/>
    <col min="2" max="9" width="16" style="100" customWidth="1"/>
    <col min="10" max="256" width="9.140625" style="100"/>
    <col min="257" max="257" width="8.5703125" style="100" customWidth="1"/>
    <col min="258" max="265" width="16" style="100" customWidth="1"/>
    <col min="266" max="512" width="9.140625" style="100"/>
    <col min="513" max="513" width="8.5703125" style="100" customWidth="1"/>
    <col min="514" max="521" width="16" style="100" customWidth="1"/>
    <col min="522" max="768" width="9.140625" style="100"/>
    <col min="769" max="769" width="8.5703125" style="100" customWidth="1"/>
    <col min="770" max="777" width="16" style="100" customWidth="1"/>
    <col min="778" max="1024" width="9.140625" style="100"/>
    <col min="1025" max="1025" width="8.5703125" style="100" customWidth="1"/>
    <col min="1026" max="1033" width="16" style="100" customWidth="1"/>
    <col min="1034" max="1280" width="9.140625" style="100"/>
    <col min="1281" max="1281" width="8.5703125" style="100" customWidth="1"/>
    <col min="1282" max="1289" width="16" style="100" customWidth="1"/>
    <col min="1290" max="1536" width="9.140625" style="100"/>
    <col min="1537" max="1537" width="8.5703125" style="100" customWidth="1"/>
    <col min="1538" max="1545" width="16" style="100" customWidth="1"/>
    <col min="1546" max="1792" width="9.140625" style="100"/>
    <col min="1793" max="1793" width="8.5703125" style="100" customWidth="1"/>
    <col min="1794" max="1801" width="16" style="100" customWidth="1"/>
    <col min="1802" max="2048" width="9.140625" style="100"/>
    <col min="2049" max="2049" width="8.5703125" style="100" customWidth="1"/>
    <col min="2050" max="2057" width="16" style="100" customWidth="1"/>
    <col min="2058" max="2304" width="9.140625" style="100"/>
    <col min="2305" max="2305" width="8.5703125" style="100" customWidth="1"/>
    <col min="2306" max="2313" width="16" style="100" customWidth="1"/>
    <col min="2314" max="2560" width="9.140625" style="100"/>
    <col min="2561" max="2561" width="8.5703125" style="100" customWidth="1"/>
    <col min="2562" max="2569" width="16" style="100" customWidth="1"/>
    <col min="2570" max="2816" width="9.140625" style="100"/>
    <col min="2817" max="2817" width="8.5703125" style="100" customWidth="1"/>
    <col min="2818" max="2825" width="16" style="100" customWidth="1"/>
    <col min="2826" max="3072" width="9.140625" style="100"/>
    <col min="3073" max="3073" width="8.5703125" style="100" customWidth="1"/>
    <col min="3074" max="3081" width="16" style="100" customWidth="1"/>
    <col min="3082" max="3328" width="9.140625" style="100"/>
    <col min="3329" max="3329" width="8.5703125" style="100" customWidth="1"/>
    <col min="3330" max="3337" width="16" style="100" customWidth="1"/>
    <col min="3338" max="3584" width="9.140625" style="100"/>
    <col min="3585" max="3585" width="8.5703125" style="100" customWidth="1"/>
    <col min="3586" max="3593" width="16" style="100" customWidth="1"/>
    <col min="3594" max="3840" width="9.140625" style="100"/>
    <col min="3841" max="3841" width="8.5703125" style="100" customWidth="1"/>
    <col min="3842" max="3849" width="16" style="100" customWidth="1"/>
    <col min="3850" max="4096" width="9.140625" style="100"/>
    <col min="4097" max="4097" width="8.5703125" style="100" customWidth="1"/>
    <col min="4098" max="4105" width="16" style="100" customWidth="1"/>
    <col min="4106" max="4352" width="9.140625" style="100"/>
    <col min="4353" max="4353" width="8.5703125" style="100" customWidth="1"/>
    <col min="4354" max="4361" width="16" style="100" customWidth="1"/>
    <col min="4362" max="4608" width="9.140625" style="100"/>
    <col min="4609" max="4609" width="8.5703125" style="100" customWidth="1"/>
    <col min="4610" max="4617" width="16" style="100" customWidth="1"/>
    <col min="4618" max="4864" width="9.140625" style="100"/>
    <col min="4865" max="4865" width="8.5703125" style="100" customWidth="1"/>
    <col min="4866" max="4873" width="16" style="100" customWidth="1"/>
    <col min="4874" max="5120" width="9.140625" style="100"/>
    <col min="5121" max="5121" width="8.5703125" style="100" customWidth="1"/>
    <col min="5122" max="5129" width="16" style="100" customWidth="1"/>
    <col min="5130" max="5376" width="9.140625" style="100"/>
    <col min="5377" max="5377" width="8.5703125" style="100" customWidth="1"/>
    <col min="5378" max="5385" width="16" style="100" customWidth="1"/>
    <col min="5386" max="5632" width="9.140625" style="100"/>
    <col min="5633" max="5633" width="8.5703125" style="100" customWidth="1"/>
    <col min="5634" max="5641" width="16" style="100" customWidth="1"/>
    <col min="5642" max="5888" width="9.140625" style="100"/>
    <col min="5889" max="5889" width="8.5703125" style="100" customWidth="1"/>
    <col min="5890" max="5897" width="16" style="100" customWidth="1"/>
    <col min="5898" max="6144" width="9.140625" style="100"/>
    <col min="6145" max="6145" width="8.5703125" style="100" customWidth="1"/>
    <col min="6146" max="6153" width="16" style="100" customWidth="1"/>
    <col min="6154" max="6400" width="9.140625" style="100"/>
    <col min="6401" max="6401" width="8.5703125" style="100" customWidth="1"/>
    <col min="6402" max="6409" width="16" style="100" customWidth="1"/>
    <col min="6410" max="6656" width="9.140625" style="100"/>
    <col min="6657" max="6657" width="8.5703125" style="100" customWidth="1"/>
    <col min="6658" max="6665" width="16" style="100" customWidth="1"/>
    <col min="6666" max="6912" width="9.140625" style="100"/>
    <col min="6913" max="6913" width="8.5703125" style="100" customWidth="1"/>
    <col min="6914" max="6921" width="16" style="100" customWidth="1"/>
    <col min="6922" max="7168" width="9.140625" style="100"/>
    <col min="7169" max="7169" width="8.5703125" style="100" customWidth="1"/>
    <col min="7170" max="7177" width="16" style="100" customWidth="1"/>
    <col min="7178" max="7424" width="9.140625" style="100"/>
    <col min="7425" max="7425" width="8.5703125" style="100" customWidth="1"/>
    <col min="7426" max="7433" width="16" style="100" customWidth="1"/>
    <col min="7434" max="7680" width="9.140625" style="100"/>
    <col min="7681" max="7681" width="8.5703125" style="100" customWidth="1"/>
    <col min="7682" max="7689" width="16" style="100" customWidth="1"/>
    <col min="7690" max="7936" width="9.140625" style="100"/>
    <col min="7937" max="7937" width="8.5703125" style="100" customWidth="1"/>
    <col min="7938" max="7945" width="16" style="100" customWidth="1"/>
    <col min="7946" max="8192" width="9.140625" style="100"/>
    <col min="8193" max="8193" width="8.5703125" style="100" customWidth="1"/>
    <col min="8194" max="8201" width="16" style="100" customWidth="1"/>
    <col min="8202" max="8448" width="9.140625" style="100"/>
    <col min="8449" max="8449" width="8.5703125" style="100" customWidth="1"/>
    <col min="8450" max="8457" width="16" style="100" customWidth="1"/>
    <col min="8458" max="8704" width="9.140625" style="100"/>
    <col min="8705" max="8705" width="8.5703125" style="100" customWidth="1"/>
    <col min="8706" max="8713" width="16" style="100" customWidth="1"/>
    <col min="8714" max="8960" width="9.140625" style="100"/>
    <col min="8961" max="8961" width="8.5703125" style="100" customWidth="1"/>
    <col min="8962" max="8969" width="16" style="100" customWidth="1"/>
    <col min="8970" max="9216" width="9.140625" style="100"/>
    <col min="9217" max="9217" width="8.5703125" style="100" customWidth="1"/>
    <col min="9218" max="9225" width="16" style="100" customWidth="1"/>
    <col min="9226" max="9472" width="9.140625" style="100"/>
    <col min="9473" max="9473" width="8.5703125" style="100" customWidth="1"/>
    <col min="9474" max="9481" width="16" style="100" customWidth="1"/>
    <col min="9482" max="9728" width="9.140625" style="100"/>
    <col min="9729" max="9729" width="8.5703125" style="100" customWidth="1"/>
    <col min="9730" max="9737" width="16" style="100" customWidth="1"/>
    <col min="9738" max="9984" width="9.140625" style="100"/>
    <col min="9985" max="9985" width="8.5703125" style="100" customWidth="1"/>
    <col min="9986" max="9993" width="16" style="100" customWidth="1"/>
    <col min="9994" max="10240" width="9.140625" style="100"/>
    <col min="10241" max="10241" width="8.5703125" style="100" customWidth="1"/>
    <col min="10242" max="10249" width="16" style="100" customWidth="1"/>
    <col min="10250" max="10496" width="9.140625" style="100"/>
    <col min="10497" max="10497" width="8.5703125" style="100" customWidth="1"/>
    <col min="10498" max="10505" width="16" style="100" customWidth="1"/>
    <col min="10506" max="10752" width="9.140625" style="100"/>
    <col min="10753" max="10753" width="8.5703125" style="100" customWidth="1"/>
    <col min="10754" max="10761" width="16" style="100" customWidth="1"/>
    <col min="10762" max="11008" width="9.140625" style="100"/>
    <col min="11009" max="11009" width="8.5703125" style="100" customWidth="1"/>
    <col min="11010" max="11017" width="16" style="100" customWidth="1"/>
    <col min="11018" max="11264" width="9.140625" style="100"/>
    <col min="11265" max="11265" width="8.5703125" style="100" customWidth="1"/>
    <col min="11266" max="11273" width="16" style="100" customWidth="1"/>
    <col min="11274" max="11520" width="9.140625" style="100"/>
    <col min="11521" max="11521" width="8.5703125" style="100" customWidth="1"/>
    <col min="11522" max="11529" width="16" style="100" customWidth="1"/>
    <col min="11530" max="11776" width="9.140625" style="100"/>
    <col min="11777" max="11777" width="8.5703125" style="100" customWidth="1"/>
    <col min="11778" max="11785" width="16" style="100" customWidth="1"/>
    <col min="11786" max="12032" width="9.140625" style="100"/>
    <col min="12033" max="12033" width="8.5703125" style="100" customWidth="1"/>
    <col min="12034" max="12041" width="16" style="100" customWidth="1"/>
    <col min="12042" max="12288" width="9.140625" style="100"/>
    <col min="12289" max="12289" width="8.5703125" style="100" customWidth="1"/>
    <col min="12290" max="12297" width="16" style="100" customWidth="1"/>
    <col min="12298" max="12544" width="9.140625" style="100"/>
    <col min="12545" max="12545" width="8.5703125" style="100" customWidth="1"/>
    <col min="12546" max="12553" width="16" style="100" customWidth="1"/>
    <col min="12554" max="12800" width="9.140625" style="100"/>
    <col min="12801" max="12801" width="8.5703125" style="100" customWidth="1"/>
    <col min="12802" max="12809" width="16" style="100" customWidth="1"/>
    <col min="12810" max="13056" width="9.140625" style="100"/>
    <col min="13057" max="13057" width="8.5703125" style="100" customWidth="1"/>
    <col min="13058" max="13065" width="16" style="100" customWidth="1"/>
    <col min="13066" max="13312" width="9.140625" style="100"/>
    <col min="13313" max="13313" width="8.5703125" style="100" customWidth="1"/>
    <col min="13314" max="13321" width="16" style="100" customWidth="1"/>
    <col min="13322" max="13568" width="9.140625" style="100"/>
    <col min="13569" max="13569" width="8.5703125" style="100" customWidth="1"/>
    <col min="13570" max="13577" width="16" style="100" customWidth="1"/>
    <col min="13578" max="13824" width="9.140625" style="100"/>
    <col min="13825" max="13825" width="8.5703125" style="100" customWidth="1"/>
    <col min="13826" max="13833" width="16" style="100" customWidth="1"/>
    <col min="13834" max="14080" width="9.140625" style="100"/>
    <col min="14081" max="14081" width="8.5703125" style="100" customWidth="1"/>
    <col min="14082" max="14089" width="16" style="100" customWidth="1"/>
    <col min="14090" max="14336" width="9.140625" style="100"/>
    <col min="14337" max="14337" width="8.5703125" style="100" customWidth="1"/>
    <col min="14338" max="14345" width="16" style="100" customWidth="1"/>
    <col min="14346" max="14592" width="9.140625" style="100"/>
    <col min="14593" max="14593" width="8.5703125" style="100" customWidth="1"/>
    <col min="14594" max="14601" width="16" style="100" customWidth="1"/>
    <col min="14602" max="14848" width="9.140625" style="100"/>
    <col min="14849" max="14849" width="8.5703125" style="100" customWidth="1"/>
    <col min="14850" max="14857" width="16" style="100" customWidth="1"/>
    <col min="14858" max="15104" width="9.140625" style="100"/>
    <col min="15105" max="15105" width="8.5703125" style="100" customWidth="1"/>
    <col min="15106" max="15113" width="16" style="100" customWidth="1"/>
    <col min="15114" max="15360" width="9.140625" style="100"/>
    <col min="15361" max="15361" width="8.5703125" style="100" customWidth="1"/>
    <col min="15362" max="15369" width="16" style="100" customWidth="1"/>
    <col min="15370" max="15616" width="9.140625" style="100"/>
    <col min="15617" max="15617" width="8.5703125" style="100" customWidth="1"/>
    <col min="15618" max="15625" width="16" style="100" customWidth="1"/>
    <col min="15626" max="15872" width="9.140625" style="100"/>
    <col min="15873" max="15873" width="8.5703125" style="100" customWidth="1"/>
    <col min="15874" max="15881" width="16" style="100" customWidth="1"/>
    <col min="15882" max="16128" width="9.140625" style="100"/>
    <col min="16129" max="16129" width="8.5703125" style="100" customWidth="1"/>
    <col min="16130" max="16137" width="16" style="100" customWidth="1"/>
    <col min="16138" max="16384" width="9.140625" style="100"/>
  </cols>
  <sheetData>
    <row r="1" spans="1:9" ht="18" x14ac:dyDescent="0.25">
      <c r="A1" s="117" t="s">
        <v>92</v>
      </c>
      <c r="I1" s="118"/>
    </row>
    <row r="2" spans="1:9" x14ac:dyDescent="0.2">
      <c r="A2" s="119" t="s">
        <v>93</v>
      </c>
      <c r="I2" s="120"/>
    </row>
    <row r="3" spans="1:9" x14ac:dyDescent="0.2">
      <c r="I3" s="121"/>
    </row>
    <row r="4" spans="1:9" x14ac:dyDescent="0.2">
      <c r="I4" s="121"/>
    </row>
    <row r="6" spans="1:9" x14ac:dyDescent="0.2">
      <c r="I6" s="122" t="s">
        <v>94</v>
      </c>
    </row>
    <row r="7" spans="1:9" x14ac:dyDescent="0.2">
      <c r="D7" s="122"/>
      <c r="E7" s="122"/>
      <c r="F7" s="122"/>
      <c r="G7" s="122"/>
      <c r="H7" s="122" t="s">
        <v>95</v>
      </c>
      <c r="I7" s="122" t="s">
        <v>95</v>
      </c>
    </row>
    <row r="8" spans="1:9" x14ac:dyDescent="0.2">
      <c r="B8" s="123" t="s">
        <v>96</v>
      </c>
      <c r="D8" s="122"/>
      <c r="E8" s="122" t="s">
        <v>97</v>
      </c>
      <c r="F8" s="122"/>
      <c r="G8" s="122" t="s">
        <v>98</v>
      </c>
      <c r="H8" s="122" t="s">
        <v>99</v>
      </c>
      <c r="I8" s="122" t="s">
        <v>99</v>
      </c>
    </row>
    <row r="9" spans="1:9" x14ac:dyDescent="0.2">
      <c r="B9" s="122" t="s">
        <v>100</v>
      </c>
      <c r="C9" s="122" t="s">
        <v>101</v>
      </c>
      <c r="D9" s="122" t="s">
        <v>94</v>
      </c>
      <c r="E9" s="122" t="s">
        <v>102</v>
      </c>
      <c r="F9" s="124" t="s">
        <v>103</v>
      </c>
      <c r="G9" s="122" t="s">
        <v>102</v>
      </c>
      <c r="H9" s="122" t="s">
        <v>101</v>
      </c>
      <c r="I9" s="122" t="s">
        <v>101</v>
      </c>
    </row>
    <row r="10" spans="1:9" x14ac:dyDescent="0.2">
      <c r="B10" s="122" t="s">
        <v>104</v>
      </c>
      <c r="C10" s="122" t="s">
        <v>105</v>
      </c>
      <c r="D10" s="122" t="s">
        <v>105</v>
      </c>
      <c r="E10" s="362">
        <f>'LG&amp;E-G Meter Pulse'!G20</f>
        <v>2.2584741625247068E-2</v>
      </c>
      <c r="F10" s="122" t="s">
        <v>105</v>
      </c>
      <c r="G10" s="445">
        <f>+'LGE Gas Meter - WACOC-Tax Table'!G13</f>
        <v>6.7044673513633468E-2</v>
      </c>
      <c r="H10" s="122" t="s">
        <v>105</v>
      </c>
      <c r="I10" s="122" t="s">
        <v>106</v>
      </c>
    </row>
    <row r="11" spans="1:9" x14ac:dyDescent="0.2">
      <c r="A11" s="122" t="s">
        <v>107</v>
      </c>
      <c r="B11" s="122" t="s">
        <v>108</v>
      </c>
      <c r="C11" s="122" t="s">
        <v>109</v>
      </c>
      <c r="D11" s="122" t="s">
        <v>109</v>
      </c>
      <c r="E11" s="122" t="s">
        <v>110</v>
      </c>
      <c r="F11" s="122" t="s">
        <v>26</v>
      </c>
      <c r="G11" s="122" t="s">
        <v>111</v>
      </c>
      <c r="H11" s="122" t="s">
        <v>26</v>
      </c>
      <c r="I11" s="122" t="s">
        <v>26</v>
      </c>
    </row>
    <row r="12" spans="1:9" x14ac:dyDescent="0.2">
      <c r="A12" s="125" t="s">
        <v>112</v>
      </c>
      <c r="B12" s="125" t="s">
        <v>113</v>
      </c>
      <c r="C12" s="125" t="s">
        <v>114</v>
      </c>
      <c r="D12" s="125" t="s">
        <v>115</v>
      </c>
      <c r="E12" s="125" t="s">
        <v>116</v>
      </c>
      <c r="F12" s="125" t="s">
        <v>117</v>
      </c>
      <c r="G12" s="125" t="s">
        <v>118</v>
      </c>
      <c r="H12" s="125" t="s">
        <v>119</v>
      </c>
      <c r="I12" s="125" t="s">
        <v>120</v>
      </c>
    </row>
    <row r="13" spans="1:9" x14ac:dyDescent="0.2">
      <c r="A13" s="113"/>
      <c r="B13" s="113"/>
      <c r="C13" s="113"/>
      <c r="D13" s="113"/>
      <c r="E13" s="113"/>
      <c r="F13" s="122" t="s">
        <v>121</v>
      </c>
      <c r="G13" s="113"/>
      <c r="H13" s="113" t="s">
        <v>122</v>
      </c>
    </row>
    <row r="14" spans="1:9" x14ac:dyDescent="0.2">
      <c r="A14" s="113"/>
      <c r="B14" s="113"/>
      <c r="C14" s="113"/>
      <c r="D14" s="113"/>
      <c r="E14" s="113"/>
      <c r="F14" s="113"/>
      <c r="G14" s="113"/>
      <c r="H14" s="113"/>
    </row>
    <row r="15" spans="1:9" x14ac:dyDescent="0.2">
      <c r="A15" s="113">
        <v>0</v>
      </c>
      <c r="B15" s="126">
        <v>100</v>
      </c>
      <c r="C15" s="113"/>
      <c r="D15" s="113"/>
      <c r="E15" s="113"/>
      <c r="F15" s="113"/>
      <c r="G15" s="113"/>
      <c r="H15" s="113"/>
    </row>
    <row r="16" spans="1:9" x14ac:dyDescent="0.2">
      <c r="A16" s="122">
        <v>1</v>
      </c>
      <c r="B16" s="126">
        <v>99.298854758402257</v>
      </c>
      <c r="C16" s="127">
        <f>B15-B16</f>
        <v>0.70114524159774305</v>
      </c>
      <c r="D16" s="127">
        <f>D15+C16</f>
        <v>0.70114524159774305</v>
      </c>
      <c r="E16" s="127">
        <f>(1+$E$10)^A16</f>
        <v>1.0225847416252472</v>
      </c>
      <c r="F16" s="127">
        <f>C16*E16</f>
        <v>0.71698042572099951</v>
      </c>
      <c r="G16" s="127">
        <f>1/(1+$G$10)^A16</f>
        <v>0.93716788511500237</v>
      </c>
      <c r="H16" s="126">
        <f>G16*F16</f>
        <v>0.67193102924180315</v>
      </c>
      <c r="I16" s="127">
        <f>I15+H16</f>
        <v>0.67193102924180315</v>
      </c>
    </row>
    <row r="17" spans="1:9" x14ac:dyDescent="0.2">
      <c r="A17" s="122">
        <v>2</v>
      </c>
      <c r="B17" s="126">
        <v>96.895344714681357</v>
      </c>
      <c r="C17" s="127">
        <f>B16-B17</f>
        <v>2.4035100437208996</v>
      </c>
      <c r="D17" s="127">
        <f>D16+C17</f>
        <v>3.1046552853186427</v>
      </c>
      <c r="E17" s="127">
        <f>(1+$E$10)^A17</f>
        <v>1.0456795538047734</v>
      </c>
      <c r="F17" s="127">
        <f>C17*E17</f>
        <v>2.5133013100833619</v>
      </c>
      <c r="G17" s="127">
        <f>1/(1+$G$10)^A17</f>
        <v>0.87828364489092625</v>
      </c>
      <c r="H17" s="126">
        <f>G17*F17</f>
        <v>2.2073914353291553</v>
      </c>
      <c r="I17" s="127">
        <f>I16+H17</f>
        <v>2.8793224645709583</v>
      </c>
    </row>
    <row r="18" spans="1:9" x14ac:dyDescent="0.2">
      <c r="A18" s="122">
        <v>3</v>
      </c>
      <c r="B18" s="126">
        <v>90.799033242460922</v>
      </c>
      <c r="C18" s="127">
        <f>B17-B18</f>
        <v>6.0963114722204352</v>
      </c>
      <c r="D18" s="127">
        <f>D17+C18</f>
        <v>9.2009667575390779</v>
      </c>
      <c r="E18" s="127">
        <f>(1+$E$10)^A18</f>
        <v>1.069295956350258</v>
      </c>
      <c r="F18" s="127">
        <f>C18*E18</f>
        <v>6.5187612058969995</v>
      </c>
      <c r="G18" s="127">
        <f>1/(1+$G$10)^A18</f>
        <v>0.82309922601352514</v>
      </c>
      <c r="H18" s="126">
        <f>G18*F18</f>
        <v>5.3655873031408143</v>
      </c>
      <c r="I18" s="127">
        <f>I17+H18</f>
        <v>8.2449097677117731</v>
      </c>
    </row>
    <row r="19" spans="1:9" x14ac:dyDescent="0.2">
      <c r="A19" s="122">
        <v>4</v>
      </c>
      <c r="B19" s="126">
        <v>78.027274518593032</v>
      </c>
      <c r="C19" s="127">
        <f>B18-B19</f>
        <v>12.77175872386789</v>
      </c>
      <c r="D19" s="127">
        <f>D18+C19</f>
        <v>21.972725481406968</v>
      </c>
      <c r="E19" s="127">
        <f>(1+$E$10)^A19</f>
        <v>1.0934457292453499</v>
      </c>
      <c r="F19" s="127">
        <f>C19*E19</f>
        <v>13.965225031565385</v>
      </c>
      <c r="G19" s="127">
        <f>1/(1+$G$10)^A19</f>
        <v>0.77138216088289069</v>
      </c>
      <c r="H19" s="126">
        <f>G19*F19</f>
        <v>10.772525462064742</v>
      </c>
      <c r="I19" s="127">
        <f>I18+H19</f>
        <v>19.017435229776517</v>
      </c>
    </row>
    <row r="20" spans="1:9" x14ac:dyDescent="0.2">
      <c r="A20" s="122">
        <v>5</v>
      </c>
      <c r="B20" s="126">
        <v>54.741527548555055</v>
      </c>
      <c r="C20" s="127">
        <f>B19-B20</f>
        <v>23.285746970037977</v>
      </c>
      <c r="D20" s="127">
        <f>D19+C20</f>
        <v>45.258472451444945</v>
      </c>
      <c r="E20" s="127">
        <f>(1+$E$10)^A20</f>
        <v>1.118140918521586</v>
      </c>
      <c r="F20" s="127">
        <f>C20*E20</f>
        <v>26.036746505539501</v>
      </c>
      <c r="G20" s="127">
        <f>1/(1+$G$10)^A20</f>
        <v>0.72291458833005917</v>
      </c>
      <c r="H20" s="126">
        <f>G20*F20</f>
        <v>18.822343881506196</v>
      </c>
      <c r="I20" s="127">
        <f>I19+H20</f>
        <v>37.839779111282709</v>
      </c>
    </row>
    <row r="22" spans="1:9" x14ac:dyDescent="0.2">
      <c r="D22" s="119" t="s">
        <v>93</v>
      </c>
      <c r="I22" s="128">
        <f>I20</f>
        <v>37.839779111282709</v>
      </c>
    </row>
    <row r="23" spans="1:9" ht="18" x14ac:dyDescent="0.25">
      <c r="A23" s="117" t="s">
        <v>92</v>
      </c>
      <c r="I23" s="118"/>
    </row>
    <row r="24" spans="1:9" x14ac:dyDescent="0.2">
      <c r="A24" s="119" t="s">
        <v>178</v>
      </c>
      <c r="I24" s="120"/>
    </row>
    <row r="25" spans="1:9" x14ac:dyDescent="0.2">
      <c r="I25" s="121"/>
    </row>
    <row r="26" spans="1:9" x14ac:dyDescent="0.2">
      <c r="I26" s="121"/>
    </row>
    <row r="27" spans="1:9" x14ac:dyDescent="0.2">
      <c r="A27" s="122">
        <v>1</v>
      </c>
      <c r="B27" s="119" t="s">
        <v>93</v>
      </c>
      <c r="G27" s="129">
        <f>I22</f>
        <v>37.839779111282709</v>
      </c>
      <c r="H27" s="129"/>
    </row>
    <row r="28" spans="1:9" x14ac:dyDescent="0.2">
      <c r="A28" s="122"/>
      <c r="B28" s="119"/>
      <c r="H28" s="130"/>
    </row>
    <row r="29" spans="1:9" x14ac:dyDescent="0.2">
      <c r="A29" s="122">
        <v>2</v>
      </c>
      <c r="B29" s="119" t="s">
        <v>124</v>
      </c>
      <c r="G29" s="131">
        <v>100</v>
      </c>
      <c r="H29" s="132"/>
    </row>
    <row r="30" spans="1:9" x14ac:dyDescent="0.2">
      <c r="A30" s="122"/>
      <c r="B30" s="119"/>
      <c r="G30" s="133"/>
      <c r="H30" s="130"/>
    </row>
    <row r="31" spans="1:9" x14ac:dyDescent="0.2">
      <c r="A31" s="122">
        <v>3</v>
      </c>
      <c r="B31" s="119" t="s">
        <v>125</v>
      </c>
      <c r="G31" s="133">
        <f>G27+G29</f>
        <v>137.83977911128272</v>
      </c>
      <c r="H31" s="129"/>
    </row>
    <row r="32" spans="1:9" x14ac:dyDescent="0.2">
      <c r="A32" s="122"/>
      <c r="B32" s="119"/>
      <c r="H32" s="130"/>
    </row>
    <row r="33" spans="1:10" x14ac:dyDescent="0.2">
      <c r="A33" s="122">
        <v>4</v>
      </c>
      <c r="B33" s="119" t="s">
        <v>126</v>
      </c>
      <c r="G33" s="134">
        <f>'LGE Gas Meter Pulse - NPV'!E20/12</f>
        <v>1.9982882765148459E-2</v>
      </c>
      <c r="H33" s="135"/>
      <c r="J33" s="133"/>
    </row>
    <row r="34" spans="1:10" x14ac:dyDescent="0.2">
      <c r="A34" s="122"/>
      <c r="H34" s="130"/>
    </row>
    <row r="35" spans="1:10" x14ac:dyDescent="0.2">
      <c r="A35" s="122">
        <v>5</v>
      </c>
      <c r="B35" s="119" t="s">
        <v>127</v>
      </c>
      <c r="G35" s="136">
        <f>G33*G31/100</f>
        <v>2.7544361463547221E-2</v>
      </c>
      <c r="H35" s="137"/>
    </row>
    <row r="36" spans="1:10" x14ac:dyDescent="0.2">
      <c r="A36" s="122"/>
      <c r="H36" s="130"/>
    </row>
    <row r="37" spans="1:10" x14ac:dyDescent="0.2">
      <c r="A37" s="122">
        <v>6</v>
      </c>
      <c r="B37" s="100" t="s">
        <v>128</v>
      </c>
      <c r="G37" s="136">
        <f>F39/F40/12</f>
        <v>2.9154297579664806E-3</v>
      </c>
      <c r="H37" s="138"/>
    </row>
    <row r="38" spans="1:10" x14ac:dyDescent="0.2">
      <c r="A38" s="122"/>
      <c r="H38" s="130"/>
    </row>
    <row r="39" spans="1:10" x14ac:dyDescent="0.2">
      <c r="A39" s="122">
        <v>7</v>
      </c>
      <c r="B39" s="169" t="s">
        <v>320</v>
      </c>
      <c r="F39" s="167">
        <v>35120246.439999998</v>
      </c>
      <c r="H39" s="130"/>
    </row>
    <row r="40" spans="1:10" x14ac:dyDescent="0.2">
      <c r="A40" s="122">
        <v>8</v>
      </c>
      <c r="B40" s="169" t="s">
        <v>321</v>
      </c>
      <c r="F40" s="168">
        <v>1003861333.08</v>
      </c>
      <c r="H40" s="130"/>
    </row>
    <row r="41" spans="1:10" x14ac:dyDescent="0.2">
      <c r="A41" s="122"/>
      <c r="H41" s="130"/>
    </row>
    <row r="42" spans="1:10" x14ac:dyDescent="0.2">
      <c r="A42" s="122">
        <v>9</v>
      </c>
      <c r="B42" s="119" t="s">
        <v>129</v>
      </c>
      <c r="G42" s="140">
        <f>G37+G35</f>
        <v>3.0459791221513703E-2</v>
      </c>
      <c r="H42" s="138"/>
    </row>
    <row r="43" spans="1:10" x14ac:dyDescent="0.2">
      <c r="H43" s="130"/>
    </row>
    <row r="44" spans="1:10" x14ac:dyDescent="0.2">
      <c r="G44" s="121" t="s">
        <v>179</v>
      </c>
      <c r="H44" s="165" t="s">
        <v>180</v>
      </c>
    </row>
    <row r="45" spans="1:10" x14ac:dyDescent="0.2">
      <c r="A45" s="122">
        <v>10</v>
      </c>
      <c r="B45" s="119" t="s">
        <v>130</v>
      </c>
      <c r="G45" s="301">
        <f>'LG&amp;E-G Meter Pulse'!B18</f>
        <v>903.55</v>
      </c>
      <c r="H45" s="301">
        <f>'LG&amp;E-G Meter Pulse'!D33</f>
        <v>268.94</v>
      </c>
    </row>
    <row r="46" spans="1:10" x14ac:dyDescent="0.2">
      <c r="H46" s="130"/>
    </row>
    <row r="47" spans="1:10" x14ac:dyDescent="0.2">
      <c r="A47" s="122">
        <v>11</v>
      </c>
      <c r="B47" s="119" t="s">
        <v>131</v>
      </c>
      <c r="G47" s="6">
        <f>G45*G42</f>
        <v>27.521944358198706</v>
      </c>
      <c r="H47" s="166">
        <f>H45*G42</f>
        <v>8.1918562511138955</v>
      </c>
    </row>
  </sheetData>
  <pageMargins left="0.75" right="0.75" top="1" bottom="1" header="0.5" footer="0.5"/>
  <pageSetup scale="75" orientation="landscape" r:id="rId1"/>
  <headerFooter differentOddEven="1" differentFirst="1" alignWithMargins="0"/>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56"/>
  <sheetViews>
    <sheetView zoomScaleNormal="100" workbookViewId="0">
      <selection activeCell="K17" sqref="K17"/>
    </sheetView>
  </sheetViews>
  <sheetFormatPr defaultColWidth="9.140625" defaultRowHeight="12.75" x14ac:dyDescent="0.2"/>
  <cols>
    <col min="1" max="4" width="9.140625" style="22"/>
    <col min="5" max="5" width="16.28515625" style="22" customWidth="1"/>
    <col min="6" max="7" width="16.5703125" style="22" customWidth="1"/>
    <col min="8" max="8" width="24.7109375" style="22" bestFit="1" customWidth="1"/>
    <col min="9" max="9" width="20.7109375" style="22" customWidth="1"/>
    <col min="10" max="10" width="24.42578125" style="22" customWidth="1"/>
    <col min="11" max="11" width="9.140625" style="225"/>
    <col min="12" max="16384" width="9.140625" style="22"/>
  </cols>
  <sheetData>
    <row r="1" spans="1:11" x14ac:dyDescent="0.2">
      <c r="A1" s="21" t="s">
        <v>69</v>
      </c>
      <c r="H1" s="109"/>
    </row>
    <row r="2" spans="1:11" x14ac:dyDescent="0.2">
      <c r="A2" s="105" t="s">
        <v>183</v>
      </c>
    </row>
    <row r="3" spans="1:11" x14ac:dyDescent="0.2">
      <c r="D3" s="30"/>
    </row>
    <row r="7" spans="1:11" ht="13.5" thickBot="1" x14ac:dyDescent="0.25">
      <c r="A7" s="24" t="s">
        <v>39</v>
      </c>
      <c r="B7" s="25"/>
      <c r="C7" s="25"/>
      <c r="D7" s="25"/>
      <c r="E7" s="462" t="s">
        <v>40</v>
      </c>
      <c r="F7" s="462"/>
      <c r="G7" s="462"/>
      <c r="H7" s="462"/>
      <c r="I7" s="462"/>
      <c r="J7" s="462"/>
    </row>
    <row r="8" spans="1:11" ht="53.25" x14ac:dyDescent="0.35">
      <c r="E8" s="29" t="s">
        <v>47</v>
      </c>
      <c r="F8" s="29" t="s">
        <v>79</v>
      </c>
      <c r="G8" s="29" t="s">
        <v>48</v>
      </c>
      <c r="H8" s="30" t="s">
        <v>80</v>
      </c>
      <c r="I8" s="29" t="s">
        <v>205</v>
      </c>
      <c r="J8" s="220" t="s">
        <v>209</v>
      </c>
      <c r="K8" s="223" t="s">
        <v>214</v>
      </c>
    </row>
    <row r="9" spans="1:11" x14ac:dyDescent="0.2">
      <c r="A9" s="22" t="s">
        <v>42</v>
      </c>
      <c r="E9" s="26">
        <v>28</v>
      </c>
      <c r="F9" s="28">
        <f>ROUND(+'LG&amp;E Disconnect Reconnect EX-1'!B17,2)</f>
        <v>32.22</v>
      </c>
      <c r="G9" s="28">
        <v>35</v>
      </c>
      <c r="H9" s="28">
        <f t="shared" ref="H9:H13" si="0">+G9-E9</f>
        <v>7</v>
      </c>
      <c r="I9" s="218">
        <v>54014</v>
      </c>
      <c r="J9" s="28">
        <f>(+G9-F9)*I9</f>
        <v>150158.92000000007</v>
      </c>
      <c r="K9" s="226">
        <v>1</v>
      </c>
    </row>
    <row r="10" spans="1:11" x14ac:dyDescent="0.2">
      <c r="A10" s="23" t="s">
        <v>43</v>
      </c>
      <c r="E10" s="26">
        <v>10</v>
      </c>
      <c r="F10" s="28">
        <f>ROUND(+'LG&amp;E Return Check EX-5'!D22,2)</f>
        <v>3.7</v>
      </c>
      <c r="G10" s="228">
        <v>3</v>
      </c>
      <c r="H10" s="28">
        <f t="shared" si="0"/>
        <v>-7</v>
      </c>
      <c r="I10" s="218">
        <v>12595</v>
      </c>
      <c r="J10" s="28">
        <f t="shared" ref="J10:J13" si="1">(+G10-F10)*I10</f>
        <v>-8816.5000000000018</v>
      </c>
      <c r="K10" s="226">
        <v>2</v>
      </c>
    </row>
    <row r="11" spans="1:11" x14ac:dyDescent="0.2">
      <c r="A11" s="22" t="s">
        <v>44</v>
      </c>
      <c r="E11" s="26">
        <v>75</v>
      </c>
      <c r="F11" s="28">
        <f>ROUND(+'LG&amp;E-E Meter Test EX-2'!B17,2)</f>
        <v>78.849999999999994</v>
      </c>
      <c r="G11" s="28">
        <v>70</v>
      </c>
      <c r="H11" s="28">
        <f t="shared" si="0"/>
        <v>-5</v>
      </c>
      <c r="I11" s="218">
        <v>22</v>
      </c>
      <c r="J11" s="28">
        <f t="shared" si="1"/>
        <v>-194.69999999999987</v>
      </c>
      <c r="K11" s="226">
        <v>3</v>
      </c>
    </row>
    <row r="12" spans="1:11" x14ac:dyDescent="0.2">
      <c r="A12" s="22" t="s">
        <v>45</v>
      </c>
      <c r="E12" s="26">
        <v>2.75</v>
      </c>
      <c r="F12" s="28" t="e">
        <f>ROUND(+'LGE Meter Data Processing EX-4'!B19,2)</f>
        <v>#REF!</v>
      </c>
      <c r="G12" s="28">
        <v>2.5</v>
      </c>
      <c r="H12" s="28">
        <f t="shared" si="0"/>
        <v>-0.25</v>
      </c>
      <c r="I12" s="218">
        <v>2043</v>
      </c>
      <c r="J12" s="28" t="e">
        <f t="shared" si="1"/>
        <v>#REF!</v>
      </c>
      <c r="K12" s="226">
        <v>3</v>
      </c>
    </row>
    <row r="13" spans="1:11" x14ac:dyDescent="0.2">
      <c r="A13" s="22" t="s">
        <v>46</v>
      </c>
      <c r="E13" s="26">
        <v>15</v>
      </c>
      <c r="F13" s="28">
        <f>ROUND(+'LG&amp;E-E Meter Pulse'!B26,2)</f>
        <v>20.76</v>
      </c>
      <c r="G13" s="28">
        <v>23.5</v>
      </c>
      <c r="H13" s="28">
        <f t="shared" si="0"/>
        <v>8.5</v>
      </c>
      <c r="I13" s="218">
        <v>1094.5999999999999</v>
      </c>
      <c r="J13" s="28">
        <f t="shared" si="1"/>
        <v>2999.2039999999979</v>
      </c>
      <c r="K13" s="226">
        <v>4</v>
      </c>
    </row>
    <row r="14" spans="1:11" x14ac:dyDescent="0.2">
      <c r="J14" s="221" t="e">
        <f>SUM(J9:J13)</f>
        <v>#REF!</v>
      </c>
      <c r="K14" s="226"/>
    </row>
    <row r="15" spans="1:11" x14ac:dyDescent="0.2">
      <c r="K15" s="226"/>
    </row>
    <row r="16" spans="1:11" ht="13.5" thickBot="1" x14ac:dyDescent="0.25">
      <c r="A16" s="24" t="s">
        <v>39</v>
      </c>
      <c r="B16" s="25"/>
      <c r="C16" s="25"/>
      <c r="D16" s="25"/>
      <c r="E16" s="462" t="s">
        <v>41</v>
      </c>
      <c r="F16" s="462"/>
      <c r="G16" s="462"/>
      <c r="H16" s="462"/>
      <c r="I16" s="462"/>
      <c r="J16" s="462"/>
      <c r="K16" s="226"/>
    </row>
    <row r="17" spans="1:11" ht="51" x14ac:dyDescent="0.2">
      <c r="E17" s="29" t="s">
        <v>47</v>
      </c>
      <c r="F17" s="29" t="s">
        <v>79</v>
      </c>
      <c r="G17" s="29" t="s">
        <v>48</v>
      </c>
      <c r="H17" s="30" t="s">
        <v>80</v>
      </c>
      <c r="I17" s="29" t="s">
        <v>205</v>
      </c>
      <c r="J17" s="220" t="s">
        <v>209</v>
      </c>
      <c r="K17" s="226"/>
    </row>
    <row r="18" spans="1:11" x14ac:dyDescent="0.2">
      <c r="A18" s="22" t="s">
        <v>42</v>
      </c>
      <c r="E18" s="26">
        <v>28</v>
      </c>
      <c r="F18" s="28">
        <f>ROUND(+'LG&amp;E Disconnect Reconnect EX-1'!B17,2)</f>
        <v>32.22</v>
      </c>
      <c r="G18" s="28">
        <f>+G9</f>
        <v>35</v>
      </c>
      <c r="H18" s="28">
        <f>+G18-E18</f>
        <v>7</v>
      </c>
      <c r="I18" s="218">
        <v>1917</v>
      </c>
      <c r="J18" s="28">
        <f t="shared" ref="J18:J24" si="2">(+G18-F18)*I18</f>
        <v>5329.260000000002</v>
      </c>
      <c r="K18" s="226">
        <v>1</v>
      </c>
    </row>
    <row r="19" spans="1:11" x14ac:dyDescent="0.2">
      <c r="A19" s="23" t="s">
        <v>43</v>
      </c>
      <c r="E19" s="26">
        <v>10</v>
      </c>
      <c r="F19" s="28">
        <f>+F10</f>
        <v>3.7</v>
      </c>
      <c r="G19" s="28">
        <f>+G10</f>
        <v>3</v>
      </c>
      <c r="H19" s="28">
        <f t="shared" ref="H19:H24" si="3">+G19-E19</f>
        <v>-7</v>
      </c>
      <c r="I19" s="218">
        <f>+I10</f>
        <v>12595</v>
      </c>
      <c r="J19" s="28">
        <f t="shared" si="2"/>
        <v>-8816.5000000000018</v>
      </c>
      <c r="K19" s="226">
        <v>2</v>
      </c>
    </row>
    <row r="20" spans="1:11" x14ac:dyDescent="0.2">
      <c r="A20" s="22" t="s">
        <v>44</v>
      </c>
      <c r="E20" s="26">
        <v>90</v>
      </c>
      <c r="F20" s="28">
        <f>+'LG&amp;E-G Meter Test EX-3'!B17</f>
        <v>101.26</v>
      </c>
      <c r="G20" s="28">
        <v>97</v>
      </c>
      <c r="H20" s="28">
        <f t="shared" si="3"/>
        <v>7</v>
      </c>
      <c r="I20" s="218">
        <v>4</v>
      </c>
      <c r="J20" s="28">
        <f t="shared" si="2"/>
        <v>-17.04000000000002</v>
      </c>
      <c r="K20" s="227">
        <v>5</v>
      </c>
    </row>
    <row r="21" spans="1:11" x14ac:dyDescent="0.2">
      <c r="A21" s="109" t="s">
        <v>201</v>
      </c>
      <c r="E21" s="26">
        <v>150</v>
      </c>
      <c r="F21" s="28">
        <f>+'LG&amp;E-G Inspection-Add Trip'!B17</f>
        <v>155.23999999999998</v>
      </c>
      <c r="G21" s="28">
        <f>+F21</f>
        <v>155.23999999999998</v>
      </c>
      <c r="H21" s="28">
        <f t="shared" si="3"/>
        <v>5.2399999999999807</v>
      </c>
      <c r="I21" s="218">
        <v>0</v>
      </c>
      <c r="J21" s="28">
        <f t="shared" si="2"/>
        <v>0</v>
      </c>
      <c r="K21" s="226">
        <v>3</v>
      </c>
    </row>
    <row r="22" spans="1:11" x14ac:dyDescent="0.2">
      <c r="A22" s="109" t="s">
        <v>204</v>
      </c>
      <c r="E22" s="26">
        <v>24.34</v>
      </c>
      <c r="F22" s="28">
        <f>+'LG&amp;E-G Meter Pulse'!B25</f>
        <v>27.521944358198706</v>
      </c>
      <c r="G22" s="28">
        <f>+F22</f>
        <v>27.521944358198706</v>
      </c>
      <c r="H22" s="28">
        <f t="shared" si="3"/>
        <v>3.1819443581987059</v>
      </c>
      <c r="I22" s="218">
        <v>106</v>
      </c>
      <c r="J22" s="28">
        <f t="shared" si="2"/>
        <v>0</v>
      </c>
      <c r="K22" s="226">
        <v>3</v>
      </c>
    </row>
    <row r="23" spans="1:11" x14ac:dyDescent="0.2">
      <c r="A23" s="109" t="s">
        <v>200</v>
      </c>
      <c r="E23" s="26">
        <v>7.17</v>
      </c>
      <c r="F23" s="28">
        <f>+'LG&amp;E-G Meter Pulse'!B41</f>
        <v>8.1918562511138955</v>
      </c>
      <c r="G23" s="28">
        <f>+F23</f>
        <v>8.1918562511138955</v>
      </c>
      <c r="H23" s="28">
        <f t="shared" si="3"/>
        <v>1.0218562511138956</v>
      </c>
      <c r="I23" s="218">
        <v>64</v>
      </c>
      <c r="J23" s="28">
        <f t="shared" si="2"/>
        <v>0</v>
      </c>
      <c r="K23" s="226">
        <v>3</v>
      </c>
    </row>
    <row r="24" spans="1:11" x14ac:dyDescent="0.2">
      <c r="A24" s="109" t="s">
        <v>202</v>
      </c>
      <c r="E24" s="26">
        <v>150</v>
      </c>
      <c r="F24" s="28">
        <f>+F21</f>
        <v>155.23999999999998</v>
      </c>
      <c r="G24" s="28">
        <f>+F24</f>
        <v>155.23999999999998</v>
      </c>
      <c r="H24" s="28">
        <f t="shared" si="3"/>
        <v>5.2399999999999807</v>
      </c>
      <c r="I24" s="218">
        <v>1</v>
      </c>
      <c r="J24" s="28">
        <f t="shared" si="2"/>
        <v>0</v>
      </c>
      <c r="K24" s="226">
        <v>3</v>
      </c>
    </row>
    <row r="25" spans="1:11" x14ac:dyDescent="0.2">
      <c r="J25" s="221">
        <f>SUM(J18:J24)</f>
        <v>-3504.2799999999997</v>
      </c>
      <c r="K25" s="226"/>
    </row>
    <row r="26" spans="1:11" x14ac:dyDescent="0.2">
      <c r="K26" s="226"/>
    </row>
    <row r="27" spans="1:11" ht="13.5" thickBot="1" x14ac:dyDescent="0.25">
      <c r="A27" s="24" t="s">
        <v>39</v>
      </c>
      <c r="B27" s="25"/>
      <c r="C27" s="25"/>
      <c r="D27" s="25"/>
      <c r="E27" s="462" t="s">
        <v>1</v>
      </c>
      <c r="F27" s="462"/>
      <c r="G27" s="462"/>
      <c r="H27" s="462"/>
      <c r="I27" s="462"/>
      <c r="J27" s="462"/>
      <c r="K27" s="226"/>
    </row>
    <row r="28" spans="1:11" ht="51" x14ac:dyDescent="0.2">
      <c r="E28" s="29" t="s">
        <v>47</v>
      </c>
      <c r="F28" s="29" t="s">
        <v>79</v>
      </c>
      <c r="G28" s="29" t="s">
        <v>48</v>
      </c>
      <c r="H28" s="30" t="s">
        <v>80</v>
      </c>
      <c r="I28" s="29" t="s">
        <v>205</v>
      </c>
      <c r="J28" s="220" t="s">
        <v>208</v>
      </c>
      <c r="K28" s="226"/>
    </row>
    <row r="29" spans="1:11" x14ac:dyDescent="0.2">
      <c r="A29" s="22" t="s">
        <v>42</v>
      </c>
      <c r="E29" s="26">
        <v>28</v>
      </c>
      <c r="F29" s="28">
        <f>+'KU Disconnect Reconnect EX-1'!B17</f>
        <v>37.229999999999997</v>
      </c>
      <c r="G29" s="28">
        <v>27</v>
      </c>
      <c r="H29" s="28">
        <f t="shared" ref="H29:H33" si="4">+G29-E29</f>
        <v>-1</v>
      </c>
      <c r="I29" s="218">
        <v>70605</v>
      </c>
      <c r="J29" s="28">
        <f t="shared" ref="J29:J33" si="5">(+G29-F29)*I29</f>
        <v>-722289.14999999979</v>
      </c>
      <c r="K29" s="226">
        <v>3</v>
      </c>
    </row>
    <row r="30" spans="1:11" x14ac:dyDescent="0.2">
      <c r="A30" s="23" t="s">
        <v>43</v>
      </c>
      <c r="E30" s="26">
        <v>10</v>
      </c>
      <c r="F30" s="28">
        <f>+'KU Return Check EX-4'!D24</f>
        <v>0</v>
      </c>
      <c r="G30" s="28">
        <f>+G10</f>
        <v>3</v>
      </c>
      <c r="H30" s="28">
        <f t="shared" si="4"/>
        <v>-7</v>
      </c>
      <c r="I30" s="218">
        <v>21050</v>
      </c>
      <c r="J30" s="28">
        <f t="shared" si="5"/>
        <v>63150</v>
      </c>
      <c r="K30" s="226">
        <v>2</v>
      </c>
    </row>
    <row r="31" spans="1:11" x14ac:dyDescent="0.2">
      <c r="A31" s="22" t="s">
        <v>44</v>
      </c>
      <c r="E31" s="26">
        <v>75</v>
      </c>
      <c r="F31" s="28">
        <f>+'KU Meter Test EX-2'!B17</f>
        <v>79.489999999999995</v>
      </c>
      <c r="G31" s="28">
        <f>+G11</f>
        <v>70</v>
      </c>
      <c r="H31" s="28">
        <f t="shared" si="4"/>
        <v>-5</v>
      </c>
      <c r="I31" s="218">
        <v>53</v>
      </c>
      <c r="J31" s="28">
        <f t="shared" si="5"/>
        <v>-502.96999999999974</v>
      </c>
      <c r="K31" s="226">
        <v>3</v>
      </c>
    </row>
    <row r="32" spans="1:11" x14ac:dyDescent="0.2">
      <c r="A32" s="22" t="s">
        <v>45</v>
      </c>
      <c r="E32" s="26">
        <v>2.75</v>
      </c>
      <c r="F32" s="28" t="e">
        <f>+'KU Meter Data Processing EX-3'!B19</f>
        <v>#REF!</v>
      </c>
      <c r="G32" s="28">
        <f>+G12</f>
        <v>2.5</v>
      </c>
      <c r="H32" s="28">
        <f t="shared" si="4"/>
        <v>-0.25</v>
      </c>
      <c r="I32" s="218">
        <v>1548</v>
      </c>
      <c r="J32" s="28" t="e">
        <f t="shared" si="5"/>
        <v>#REF!</v>
      </c>
      <c r="K32" s="226">
        <v>3</v>
      </c>
    </row>
    <row r="33" spans="1:11" x14ac:dyDescent="0.2">
      <c r="A33" s="22" t="s">
        <v>46</v>
      </c>
      <c r="E33" s="26">
        <v>15</v>
      </c>
      <c r="F33" s="28">
        <f>+'KU Meter Pulse'!B26</f>
        <v>20.867142182480688</v>
      </c>
      <c r="G33" s="28">
        <f>+G13</f>
        <v>23.5</v>
      </c>
      <c r="H33" s="28">
        <f t="shared" si="4"/>
        <v>8.5</v>
      </c>
      <c r="I33" s="218">
        <v>1559.4</v>
      </c>
      <c r="J33" s="28">
        <f t="shared" si="5"/>
        <v>4105.6784806396154</v>
      </c>
      <c r="K33" s="226">
        <v>4</v>
      </c>
    </row>
    <row r="34" spans="1:11" x14ac:dyDescent="0.2">
      <c r="E34" s="26"/>
      <c r="J34" s="221" t="e">
        <f>SUM(J29:J33)</f>
        <v>#REF!</v>
      </c>
      <c r="K34" s="226"/>
    </row>
    <row r="35" spans="1:11" x14ac:dyDescent="0.2">
      <c r="E35" s="27"/>
    </row>
    <row r="36" spans="1:11" x14ac:dyDescent="0.2">
      <c r="A36" s="109" t="s">
        <v>207</v>
      </c>
      <c r="E36" s="27"/>
      <c r="J36" s="28" t="e">
        <f>+J14+J25+J34</f>
        <v>#REF!</v>
      </c>
    </row>
    <row r="37" spans="1:11" x14ac:dyDescent="0.2">
      <c r="E37" s="27"/>
    </row>
    <row r="38" spans="1:11" x14ac:dyDescent="0.2">
      <c r="A38" s="109" t="s">
        <v>215</v>
      </c>
    </row>
    <row r="39" spans="1:11" x14ac:dyDescent="0.2">
      <c r="A39" s="224">
        <v>1</v>
      </c>
      <c r="B39" s="109" t="s">
        <v>217</v>
      </c>
    </row>
    <row r="40" spans="1:11" x14ac:dyDescent="0.2">
      <c r="A40" s="224"/>
      <c r="B40" s="22" t="s">
        <v>216</v>
      </c>
    </row>
    <row r="41" spans="1:11" x14ac:dyDescent="0.2">
      <c r="A41" s="224">
        <v>2</v>
      </c>
      <c r="B41" s="109" t="s">
        <v>219</v>
      </c>
    </row>
    <row r="42" spans="1:11" x14ac:dyDescent="0.2">
      <c r="A42" s="224"/>
      <c r="B42" s="109" t="s">
        <v>218</v>
      </c>
    </row>
    <row r="43" spans="1:11" x14ac:dyDescent="0.2">
      <c r="A43" s="224">
        <v>3</v>
      </c>
      <c r="B43" s="109" t="s">
        <v>220</v>
      </c>
    </row>
    <row r="44" spans="1:11" x14ac:dyDescent="0.2">
      <c r="A44" s="224">
        <v>4</v>
      </c>
      <c r="B44" s="109" t="s">
        <v>222</v>
      </c>
    </row>
    <row r="45" spans="1:11" x14ac:dyDescent="0.2">
      <c r="A45" s="224"/>
      <c r="B45" s="116" t="s">
        <v>223</v>
      </c>
    </row>
    <row r="46" spans="1:11" x14ac:dyDescent="0.2">
      <c r="A46" s="224"/>
      <c r="B46" t="s">
        <v>221</v>
      </c>
    </row>
    <row r="47" spans="1:11" x14ac:dyDescent="0.2">
      <c r="A47" s="224">
        <v>5</v>
      </c>
      <c r="B47" t="s">
        <v>224</v>
      </c>
    </row>
    <row r="48" spans="1:11" x14ac:dyDescent="0.2">
      <c r="A48" s="224"/>
      <c r="B48"/>
    </row>
    <row r="49" spans="1:2" x14ac:dyDescent="0.2">
      <c r="A49" s="219" t="s">
        <v>206</v>
      </c>
    </row>
    <row r="52" spans="1:2" x14ac:dyDescent="0.2">
      <c r="B52"/>
    </row>
    <row r="53" spans="1:2" x14ac:dyDescent="0.2">
      <c r="B53"/>
    </row>
    <row r="54" spans="1:2" x14ac:dyDescent="0.2">
      <c r="B54"/>
    </row>
    <row r="55" spans="1:2" x14ac:dyDescent="0.2">
      <c r="B55"/>
    </row>
    <row r="56" spans="1:2" x14ac:dyDescent="0.2">
      <c r="B56"/>
    </row>
  </sheetData>
  <mergeCells count="3">
    <mergeCell ref="E7:J7"/>
    <mergeCell ref="E16:J16"/>
    <mergeCell ref="E27:J27"/>
  </mergeCells>
  <pageMargins left="0.75" right="0.75" top="1" bottom="1" header="0.5" footer="0.5"/>
  <pageSetup scale="7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G53"/>
  <sheetViews>
    <sheetView workbookViewId="0">
      <selection activeCell="H46" sqref="H46"/>
    </sheetView>
  </sheetViews>
  <sheetFormatPr defaultRowHeight="12.75" x14ac:dyDescent="0.2"/>
  <cols>
    <col min="1" max="1" width="18.5703125" style="100" customWidth="1"/>
    <col min="2" max="2" width="14.85546875" style="100" bestFit="1" customWidth="1"/>
    <col min="3" max="4" width="9.140625" style="100"/>
    <col min="5" max="5" width="12.5703125" style="100" customWidth="1"/>
    <col min="6" max="6" width="10.28515625" style="100" customWidth="1"/>
    <col min="7" max="256" width="9.140625" style="100"/>
    <col min="257" max="257" width="18.5703125" style="100" customWidth="1"/>
    <col min="258" max="258" width="13.140625" style="100" customWidth="1"/>
    <col min="259" max="260" width="9.140625" style="100"/>
    <col min="261" max="261" width="12.5703125" style="100" customWidth="1"/>
    <col min="262" max="262" width="10.28515625" style="100" customWidth="1"/>
    <col min="263" max="512" width="9.140625" style="100"/>
    <col min="513" max="513" width="18.5703125" style="100" customWidth="1"/>
    <col min="514" max="514" width="13.140625" style="100" customWidth="1"/>
    <col min="515" max="516" width="9.140625" style="100"/>
    <col min="517" max="517" width="12.5703125" style="100" customWidth="1"/>
    <col min="518" max="518" width="10.28515625" style="100" customWidth="1"/>
    <col min="519" max="768" width="9.140625" style="100"/>
    <col min="769" max="769" width="18.5703125" style="100" customWidth="1"/>
    <col min="770" max="770" width="13.140625" style="100" customWidth="1"/>
    <col min="771" max="772" width="9.140625" style="100"/>
    <col min="773" max="773" width="12.5703125" style="100" customWidth="1"/>
    <col min="774" max="774" width="10.28515625" style="100" customWidth="1"/>
    <col min="775" max="1024" width="9.140625" style="100"/>
    <col min="1025" max="1025" width="18.5703125" style="100" customWidth="1"/>
    <col min="1026" max="1026" width="13.140625" style="100" customWidth="1"/>
    <col min="1027" max="1028" width="9.140625" style="100"/>
    <col min="1029" max="1029" width="12.5703125" style="100" customWidth="1"/>
    <col min="1030" max="1030" width="10.28515625" style="100" customWidth="1"/>
    <col min="1031" max="1280" width="9.140625" style="100"/>
    <col min="1281" max="1281" width="18.5703125" style="100" customWidth="1"/>
    <col min="1282" max="1282" width="13.140625" style="100" customWidth="1"/>
    <col min="1283" max="1284" width="9.140625" style="100"/>
    <col min="1285" max="1285" width="12.5703125" style="100" customWidth="1"/>
    <col min="1286" max="1286" width="10.28515625" style="100" customWidth="1"/>
    <col min="1287" max="1536" width="9.140625" style="100"/>
    <col min="1537" max="1537" width="18.5703125" style="100" customWidth="1"/>
    <col min="1538" max="1538" width="13.140625" style="100" customWidth="1"/>
    <col min="1539" max="1540" width="9.140625" style="100"/>
    <col min="1541" max="1541" width="12.5703125" style="100" customWidth="1"/>
    <col min="1542" max="1542" width="10.28515625" style="100" customWidth="1"/>
    <col min="1543" max="1792" width="9.140625" style="100"/>
    <col min="1793" max="1793" width="18.5703125" style="100" customWidth="1"/>
    <col min="1794" max="1794" width="13.140625" style="100" customWidth="1"/>
    <col min="1795" max="1796" width="9.140625" style="100"/>
    <col min="1797" max="1797" width="12.5703125" style="100" customWidth="1"/>
    <col min="1798" max="1798" width="10.28515625" style="100" customWidth="1"/>
    <col min="1799" max="2048" width="9.140625" style="100"/>
    <col min="2049" max="2049" width="18.5703125" style="100" customWidth="1"/>
    <col min="2050" max="2050" width="13.140625" style="100" customWidth="1"/>
    <col min="2051" max="2052" width="9.140625" style="100"/>
    <col min="2053" max="2053" width="12.5703125" style="100" customWidth="1"/>
    <col min="2054" max="2054" width="10.28515625" style="100" customWidth="1"/>
    <col min="2055" max="2304" width="9.140625" style="100"/>
    <col min="2305" max="2305" width="18.5703125" style="100" customWidth="1"/>
    <col min="2306" max="2306" width="13.140625" style="100" customWidth="1"/>
    <col min="2307" max="2308" width="9.140625" style="100"/>
    <col min="2309" max="2309" width="12.5703125" style="100" customWidth="1"/>
    <col min="2310" max="2310" width="10.28515625" style="100" customWidth="1"/>
    <col min="2311" max="2560" width="9.140625" style="100"/>
    <col min="2561" max="2561" width="18.5703125" style="100" customWidth="1"/>
    <col min="2562" max="2562" width="13.140625" style="100" customWidth="1"/>
    <col min="2563" max="2564" width="9.140625" style="100"/>
    <col min="2565" max="2565" width="12.5703125" style="100" customWidth="1"/>
    <col min="2566" max="2566" width="10.28515625" style="100" customWidth="1"/>
    <col min="2567" max="2816" width="9.140625" style="100"/>
    <col min="2817" max="2817" width="18.5703125" style="100" customWidth="1"/>
    <col min="2818" max="2818" width="13.140625" style="100" customWidth="1"/>
    <col min="2819" max="2820" width="9.140625" style="100"/>
    <col min="2821" max="2821" width="12.5703125" style="100" customWidth="1"/>
    <col min="2822" max="2822" width="10.28515625" style="100" customWidth="1"/>
    <col min="2823" max="3072" width="9.140625" style="100"/>
    <col min="3073" max="3073" width="18.5703125" style="100" customWidth="1"/>
    <col min="3074" max="3074" width="13.140625" style="100" customWidth="1"/>
    <col min="3075" max="3076" width="9.140625" style="100"/>
    <col min="3077" max="3077" width="12.5703125" style="100" customWidth="1"/>
    <col min="3078" max="3078" width="10.28515625" style="100" customWidth="1"/>
    <col min="3079" max="3328" width="9.140625" style="100"/>
    <col min="3329" max="3329" width="18.5703125" style="100" customWidth="1"/>
    <col min="3330" max="3330" width="13.140625" style="100" customWidth="1"/>
    <col min="3331" max="3332" width="9.140625" style="100"/>
    <col min="3333" max="3333" width="12.5703125" style="100" customWidth="1"/>
    <col min="3334" max="3334" width="10.28515625" style="100" customWidth="1"/>
    <col min="3335" max="3584" width="9.140625" style="100"/>
    <col min="3585" max="3585" width="18.5703125" style="100" customWidth="1"/>
    <col min="3586" max="3586" width="13.140625" style="100" customWidth="1"/>
    <col min="3587" max="3588" width="9.140625" style="100"/>
    <col min="3589" max="3589" width="12.5703125" style="100" customWidth="1"/>
    <col min="3590" max="3590" width="10.28515625" style="100" customWidth="1"/>
    <col min="3591" max="3840" width="9.140625" style="100"/>
    <col min="3841" max="3841" width="18.5703125" style="100" customWidth="1"/>
    <col min="3842" max="3842" width="13.140625" style="100" customWidth="1"/>
    <col min="3843" max="3844" width="9.140625" style="100"/>
    <col min="3845" max="3845" width="12.5703125" style="100" customWidth="1"/>
    <col min="3846" max="3846" width="10.28515625" style="100" customWidth="1"/>
    <col min="3847" max="4096" width="9.140625" style="100"/>
    <col min="4097" max="4097" width="18.5703125" style="100" customWidth="1"/>
    <col min="4098" max="4098" width="13.140625" style="100" customWidth="1"/>
    <col min="4099" max="4100" width="9.140625" style="100"/>
    <col min="4101" max="4101" width="12.5703125" style="100" customWidth="1"/>
    <col min="4102" max="4102" width="10.28515625" style="100" customWidth="1"/>
    <col min="4103" max="4352" width="9.140625" style="100"/>
    <col min="4353" max="4353" width="18.5703125" style="100" customWidth="1"/>
    <col min="4354" max="4354" width="13.140625" style="100" customWidth="1"/>
    <col min="4355" max="4356" width="9.140625" style="100"/>
    <col min="4357" max="4357" width="12.5703125" style="100" customWidth="1"/>
    <col min="4358" max="4358" width="10.28515625" style="100" customWidth="1"/>
    <col min="4359" max="4608" width="9.140625" style="100"/>
    <col min="4609" max="4609" width="18.5703125" style="100" customWidth="1"/>
    <col min="4610" max="4610" width="13.140625" style="100" customWidth="1"/>
    <col min="4611" max="4612" width="9.140625" style="100"/>
    <col min="4613" max="4613" width="12.5703125" style="100" customWidth="1"/>
    <col min="4614" max="4614" width="10.28515625" style="100" customWidth="1"/>
    <col min="4615" max="4864" width="9.140625" style="100"/>
    <col min="4865" max="4865" width="18.5703125" style="100" customWidth="1"/>
    <col min="4866" max="4866" width="13.140625" style="100" customWidth="1"/>
    <col min="4867" max="4868" width="9.140625" style="100"/>
    <col min="4869" max="4869" width="12.5703125" style="100" customWidth="1"/>
    <col min="4870" max="4870" width="10.28515625" style="100" customWidth="1"/>
    <col min="4871" max="5120" width="9.140625" style="100"/>
    <col min="5121" max="5121" width="18.5703125" style="100" customWidth="1"/>
    <col min="5122" max="5122" width="13.140625" style="100" customWidth="1"/>
    <col min="5123" max="5124" width="9.140625" style="100"/>
    <col min="5125" max="5125" width="12.5703125" style="100" customWidth="1"/>
    <col min="5126" max="5126" width="10.28515625" style="100" customWidth="1"/>
    <col min="5127" max="5376" width="9.140625" style="100"/>
    <col min="5377" max="5377" width="18.5703125" style="100" customWidth="1"/>
    <col min="5378" max="5378" width="13.140625" style="100" customWidth="1"/>
    <col min="5379" max="5380" width="9.140625" style="100"/>
    <col min="5381" max="5381" width="12.5703125" style="100" customWidth="1"/>
    <col min="5382" max="5382" width="10.28515625" style="100" customWidth="1"/>
    <col min="5383" max="5632" width="9.140625" style="100"/>
    <col min="5633" max="5633" width="18.5703125" style="100" customWidth="1"/>
    <col min="5634" max="5634" width="13.140625" style="100" customWidth="1"/>
    <col min="5635" max="5636" width="9.140625" style="100"/>
    <col min="5637" max="5637" width="12.5703125" style="100" customWidth="1"/>
    <col min="5638" max="5638" width="10.28515625" style="100" customWidth="1"/>
    <col min="5639" max="5888" width="9.140625" style="100"/>
    <col min="5889" max="5889" width="18.5703125" style="100" customWidth="1"/>
    <col min="5890" max="5890" width="13.140625" style="100" customWidth="1"/>
    <col min="5891" max="5892" width="9.140625" style="100"/>
    <col min="5893" max="5893" width="12.5703125" style="100" customWidth="1"/>
    <col min="5894" max="5894" width="10.28515625" style="100" customWidth="1"/>
    <col min="5895" max="6144" width="9.140625" style="100"/>
    <col min="6145" max="6145" width="18.5703125" style="100" customWidth="1"/>
    <col min="6146" max="6146" width="13.140625" style="100" customWidth="1"/>
    <col min="6147" max="6148" width="9.140625" style="100"/>
    <col min="6149" max="6149" width="12.5703125" style="100" customWidth="1"/>
    <col min="6150" max="6150" width="10.28515625" style="100" customWidth="1"/>
    <col min="6151" max="6400" width="9.140625" style="100"/>
    <col min="6401" max="6401" width="18.5703125" style="100" customWidth="1"/>
    <col min="6402" max="6402" width="13.140625" style="100" customWidth="1"/>
    <col min="6403" max="6404" width="9.140625" style="100"/>
    <col min="6405" max="6405" width="12.5703125" style="100" customWidth="1"/>
    <col min="6406" max="6406" width="10.28515625" style="100" customWidth="1"/>
    <col min="6407" max="6656" width="9.140625" style="100"/>
    <col min="6657" max="6657" width="18.5703125" style="100" customWidth="1"/>
    <col min="6658" max="6658" width="13.140625" style="100" customWidth="1"/>
    <col min="6659" max="6660" width="9.140625" style="100"/>
    <col min="6661" max="6661" width="12.5703125" style="100" customWidth="1"/>
    <col min="6662" max="6662" width="10.28515625" style="100" customWidth="1"/>
    <col min="6663" max="6912" width="9.140625" style="100"/>
    <col min="6913" max="6913" width="18.5703125" style="100" customWidth="1"/>
    <col min="6914" max="6914" width="13.140625" style="100" customWidth="1"/>
    <col min="6915" max="6916" width="9.140625" style="100"/>
    <col min="6917" max="6917" width="12.5703125" style="100" customWidth="1"/>
    <col min="6918" max="6918" width="10.28515625" style="100" customWidth="1"/>
    <col min="6919" max="7168" width="9.140625" style="100"/>
    <col min="7169" max="7169" width="18.5703125" style="100" customWidth="1"/>
    <col min="7170" max="7170" width="13.140625" style="100" customWidth="1"/>
    <col min="7171" max="7172" width="9.140625" style="100"/>
    <col min="7173" max="7173" width="12.5703125" style="100" customWidth="1"/>
    <col min="7174" max="7174" width="10.28515625" style="100" customWidth="1"/>
    <col min="7175" max="7424" width="9.140625" style="100"/>
    <col min="7425" max="7425" width="18.5703125" style="100" customWidth="1"/>
    <col min="7426" max="7426" width="13.140625" style="100" customWidth="1"/>
    <col min="7427" max="7428" width="9.140625" style="100"/>
    <col min="7429" max="7429" width="12.5703125" style="100" customWidth="1"/>
    <col min="7430" max="7430" width="10.28515625" style="100" customWidth="1"/>
    <col min="7431" max="7680" width="9.140625" style="100"/>
    <col min="7681" max="7681" width="18.5703125" style="100" customWidth="1"/>
    <col min="7682" max="7682" width="13.140625" style="100" customWidth="1"/>
    <col min="7683" max="7684" width="9.140625" style="100"/>
    <col min="7685" max="7685" width="12.5703125" style="100" customWidth="1"/>
    <col min="7686" max="7686" width="10.28515625" style="100" customWidth="1"/>
    <col min="7687" max="7936" width="9.140625" style="100"/>
    <col min="7937" max="7937" width="18.5703125" style="100" customWidth="1"/>
    <col min="7938" max="7938" width="13.140625" style="100" customWidth="1"/>
    <col min="7939" max="7940" width="9.140625" style="100"/>
    <col min="7941" max="7941" width="12.5703125" style="100" customWidth="1"/>
    <col min="7942" max="7942" width="10.28515625" style="100" customWidth="1"/>
    <col min="7943" max="8192" width="9.140625" style="100"/>
    <col min="8193" max="8193" width="18.5703125" style="100" customWidth="1"/>
    <col min="8194" max="8194" width="13.140625" style="100" customWidth="1"/>
    <col min="8195" max="8196" width="9.140625" style="100"/>
    <col min="8197" max="8197" width="12.5703125" style="100" customWidth="1"/>
    <col min="8198" max="8198" width="10.28515625" style="100" customWidth="1"/>
    <col min="8199" max="8448" width="9.140625" style="100"/>
    <col min="8449" max="8449" width="18.5703125" style="100" customWidth="1"/>
    <col min="8450" max="8450" width="13.140625" style="100" customWidth="1"/>
    <col min="8451" max="8452" width="9.140625" style="100"/>
    <col min="8453" max="8453" width="12.5703125" style="100" customWidth="1"/>
    <col min="8454" max="8454" width="10.28515625" style="100" customWidth="1"/>
    <col min="8455" max="8704" width="9.140625" style="100"/>
    <col min="8705" max="8705" width="18.5703125" style="100" customWidth="1"/>
    <col min="8706" max="8706" width="13.140625" style="100" customWidth="1"/>
    <col min="8707" max="8708" width="9.140625" style="100"/>
    <col min="8709" max="8709" width="12.5703125" style="100" customWidth="1"/>
    <col min="8710" max="8710" width="10.28515625" style="100" customWidth="1"/>
    <col min="8711" max="8960" width="9.140625" style="100"/>
    <col min="8961" max="8961" width="18.5703125" style="100" customWidth="1"/>
    <col min="8962" max="8962" width="13.140625" style="100" customWidth="1"/>
    <col min="8963" max="8964" width="9.140625" style="100"/>
    <col min="8965" max="8965" width="12.5703125" style="100" customWidth="1"/>
    <col min="8966" max="8966" width="10.28515625" style="100" customWidth="1"/>
    <col min="8967" max="9216" width="9.140625" style="100"/>
    <col min="9217" max="9217" width="18.5703125" style="100" customWidth="1"/>
    <col min="9218" max="9218" width="13.140625" style="100" customWidth="1"/>
    <col min="9219" max="9220" width="9.140625" style="100"/>
    <col min="9221" max="9221" width="12.5703125" style="100" customWidth="1"/>
    <col min="9222" max="9222" width="10.28515625" style="100" customWidth="1"/>
    <col min="9223" max="9472" width="9.140625" style="100"/>
    <col min="9473" max="9473" width="18.5703125" style="100" customWidth="1"/>
    <col min="9474" max="9474" width="13.140625" style="100" customWidth="1"/>
    <col min="9475" max="9476" width="9.140625" style="100"/>
    <col min="9477" max="9477" width="12.5703125" style="100" customWidth="1"/>
    <col min="9478" max="9478" width="10.28515625" style="100" customWidth="1"/>
    <col min="9479" max="9728" width="9.140625" style="100"/>
    <col min="9729" max="9729" width="18.5703125" style="100" customWidth="1"/>
    <col min="9730" max="9730" width="13.140625" style="100" customWidth="1"/>
    <col min="9731" max="9732" width="9.140625" style="100"/>
    <col min="9733" max="9733" width="12.5703125" style="100" customWidth="1"/>
    <col min="9734" max="9734" width="10.28515625" style="100" customWidth="1"/>
    <col min="9735" max="9984" width="9.140625" style="100"/>
    <col min="9985" max="9985" width="18.5703125" style="100" customWidth="1"/>
    <col min="9986" max="9986" width="13.140625" style="100" customWidth="1"/>
    <col min="9987" max="9988" width="9.140625" style="100"/>
    <col min="9989" max="9989" width="12.5703125" style="100" customWidth="1"/>
    <col min="9990" max="9990" width="10.28515625" style="100" customWidth="1"/>
    <col min="9991" max="10240" width="9.140625" style="100"/>
    <col min="10241" max="10241" width="18.5703125" style="100" customWidth="1"/>
    <col min="10242" max="10242" width="13.140625" style="100" customWidth="1"/>
    <col min="10243" max="10244" width="9.140625" style="100"/>
    <col min="10245" max="10245" width="12.5703125" style="100" customWidth="1"/>
    <col min="10246" max="10246" width="10.28515625" style="100" customWidth="1"/>
    <col min="10247" max="10496" width="9.140625" style="100"/>
    <col min="10497" max="10497" width="18.5703125" style="100" customWidth="1"/>
    <col min="10498" max="10498" width="13.140625" style="100" customWidth="1"/>
    <col min="10499" max="10500" width="9.140625" style="100"/>
    <col min="10501" max="10501" width="12.5703125" style="100" customWidth="1"/>
    <col min="10502" max="10502" width="10.28515625" style="100" customWidth="1"/>
    <col min="10503" max="10752" width="9.140625" style="100"/>
    <col min="10753" max="10753" width="18.5703125" style="100" customWidth="1"/>
    <col min="10754" max="10754" width="13.140625" style="100" customWidth="1"/>
    <col min="10755" max="10756" width="9.140625" style="100"/>
    <col min="10757" max="10757" width="12.5703125" style="100" customWidth="1"/>
    <col min="10758" max="10758" width="10.28515625" style="100" customWidth="1"/>
    <col min="10759" max="11008" width="9.140625" style="100"/>
    <col min="11009" max="11009" width="18.5703125" style="100" customWidth="1"/>
    <col min="11010" max="11010" width="13.140625" style="100" customWidth="1"/>
    <col min="11011" max="11012" width="9.140625" style="100"/>
    <col min="11013" max="11013" width="12.5703125" style="100" customWidth="1"/>
    <col min="11014" max="11014" width="10.28515625" style="100" customWidth="1"/>
    <col min="11015" max="11264" width="9.140625" style="100"/>
    <col min="11265" max="11265" width="18.5703125" style="100" customWidth="1"/>
    <col min="11266" max="11266" width="13.140625" style="100" customWidth="1"/>
    <col min="11267" max="11268" width="9.140625" style="100"/>
    <col min="11269" max="11269" width="12.5703125" style="100" customWidth="1"/>
    <col min="11270" max="11270" width="10.28515625" style="100" customWidth="1"/>
    <col min="11271" max="11520" width="9.140625" style="100"/>
    <col min="11521" max="11521" width="18.5703125" style="100" customWidth="1"/>
    <col min="11522" max="11522" width="13.140625" style="100" customWidth="1"/>
    <col min="11523" max="11524" width="9.140625" style="100"/>
    <col min="11525" max="11525" width="12.5703125" style="100" customWidth="1"/>
    <col min="11526" max="11526" width="10.28515625" style="100" customWidth="1"/>
    <col min="11527" max="11776" width="9.140625" style="100"/>
    <col min="11777" max="11777" width="18.5703125" style="100" customWidth="1"/>
    <col min="11778" max="11778" width="13.140625" style="100" customWidth="1"/>
    <col min="11779" max="11780" width="9.140625" style="100"/>
    <col min="11781" max="11781" width="12.5703125" style="100" customWidth="1"/>
    <col min="11782" max="11782" width="10.28515625" style="100" customWidth="1"/>
    <col min="11783" max="12032" width="9.140625" style="100"/>
    <col min="12033" max="12033" width="18.5703125" style="100" customWidth="1"/>
    <col min="12034" max="12034" width="13.140625" style="100" customWidth="1"/>
    <col min="12035" max="12036" width="9.140625" style="100"/>
    <col min="12037" max="12037" width="12.5703125" style="100" customWidth="1"/>
    <col min="12038" max="12038" width="10.28515625" style="100" customWidth="1"/>
    <col min="12039" max="12288" width="9.140625" style="100"/>
    <col min="12289" max="12289" width="18.5703125" style="100" customWidth="1"/>
    <col min="12290" max="12290" width="13.140625" style="100" customWidth="1"/>
    <col min="12291" max="12292" width="9.140625" style="100"/>
    <col min="12293" max="12293" width="12.5703125" style="100" customWidth="1"/>
    <col min="12294" max="12294" width="10.28515625" style="100" customWidth="1"/>
    <col min="12295" max="12544" width="9.140625" style="100"/>
    <col min="12545" max="12545" width="18.5703125" style="100" customWidth="1"/>
    <col min="12546" max="12546" width="13.140625" style="100" customWidth="1"/>
    <col min="12547" max="12548" width="9.140625" style="100"/>
    <col min="12549" max="12549" width="12.5703125" style="100" customWidth="1"/>
    <col min="12550" max="12550" width="10.28515625" style="100" customWidth="1"/>
    <col min="12551" max="12800" width="9.140625" style="100"/>
    <col min="12801" max="12801" width="18.5703125" style="100" customWidth="1"/>
    <col min="12802" max="12802" width="13.140625" style="100" customWidth="1"/>
    <col min="12803" max="12804" width="9.140625" style="100"/>
    <col min="12805" max="12805" width="12.5703125" style="100" customWidth="1"/>
    <col min="12806" max="12806" width="10.28515625" style="100" customWidth="1"/>
    <col min="12807" max="13056" width="9.140625" style="100"/>
    <col min="13057" max="13057" width="18.5703125" style="100" customWidth="1"/>
    <col min="13058" max="13058" width="13.140625" style="100" customWidth="1"/>
    <col min="13059" max="13060" width="9.140625" style="100"/>
    <col min="13061" max="13061" width="12.5703125" style="100" customWidth="1"/>
    <col min="13062" max="13062" width="10.28515625" style="100" customWidth="1"/>
    <col min="13063" max="13312" width="9.140625" style="100"/>
    <col min="13313" max="13313" width="18.5703125" style="100" customWidth="1"/>
    <col min="13314" max="13314" width="13.140625" style="100" customWidth="1"/>
    <col min="13315" max="13316" width="9.140625" style="100"/>
    <col min="13317" max="13317" width="12.5703125" style="100" customWidth="1"/>
    <col min="13318" max="13318" width="10.28515625" style="100" customWidth="1"/>
    <col min="13319" max="13568" width="9.140625" style="100"/>
    <col min="13569" max="13569" width="18.5703125" style="100" customWidth="1"/>
    <col min="13570" max="13570" width="13.140625" style="100" customWidth="1"/>
    <col min="13571" max="13572" width="9.140625" style="100"/>
    <col min="13573" max="13573" width="12.5703125" style="100" customWidth="1"/>
    <col min="13574" max="13574" width="10.28515625" style="100" customWidth="1"/>
    <col min="13575" max="13824" width="9.140625" style="100"/>
    <col min="13825" max="13825" width="18.5703125" style="100" customWidth="1"/>
    <col min="13826" max="13826" width="13.140625" style="100" customWidth="1"/>
    <col min="13827" max="13828" width="9.140625" style="100"/>
    <col min="13829" max="13829" width="12.5703125" style="100" customWidth="1"/>
    <col min="13830" max="13830" width="10.28515625" style="100" customWidth="1"/>
    <col min="13831" max="14080" width="9.140625" style="100"/>
    <col min="14081" max="14081" width="18.5703125" style="100" customWidth="1"/>
    <col min="14082" max="14082" width="13.140625" style="100" customWidth="1"/>
    <col min="14083" max="14084" width="9.140625" style="100"/>
    <col min="14085" max="14085" width="12.5703125" style="100" customWidth="1"/>
    <col min="14086" max="14086" width="10.28515625" style="100" customWidth="1"/>
    <col min="14087" max="14336" width="9.140625" style="100"/>
    <col min="14337" max="14337" width="18.5703125" style="100" customWidth="1"/>
    <col min="14338" max="14338" width="13.140625" style="100" customWidth="1"/>
    <col min="14339" max="14340" width="9.140625" style="100"/>
    <col min="14341" max="14341" width="12.5703125" style="100" customWidth="1"/>
    <col min="14342" max="14342" width="10.28515625" style="100" customWidth="1"/>
    <col min="14343" max="14592" width="9.140625" style="100"/>
    <col min="14593" max="14593" width="18.5703125" style="100" customWidth="1"/>
    <col min="14594" max="14594" width="13.140625" style="100" customWidth="1"/>
    <col min="14595" max="14596" width="9.140625" style="100"/>
    <col min="14597" max="14597" width="12.5703125" style="100" customWidth="1"/>
    <col min="14598" max="14598" width="10.28515625" style="100" customWidth="1"/>
    <col min="14599" max="14848" width="9.140625" style="100"/>
    <col min="14849" max="14849" width="18.5703125" style="100" customWidth="1"/>
    <col min="14850" max="14850" width="13.140625" style="100" customWidth="1"/>
    <col min="14851" max="14852" width="9.140625" style="100"/>
    <col min="14853" max="14853" width="12.5703125" style="100" customWidth="1"/>
    <col min="14854" max="14854" width="10.28515625" style="100" customWidth="1"/>
    <col min="14855" max="15104" width="9.140625" style="100"/>
    <col min="15105" max="15105" width="18.5703125" style="100" customWidth="1"/>
    <col min="15106" max="15106" width="13.140625" style="100" customWidth="1"/>
    <col min="15107" max="15108" width="9.140625" style="100"/>
    <col min="15109" max="15109" width="12.5703125" style="100" customWidth="1"/>
    <col min="15110" max="15110" width="10.28515625" style="100" customWidth="1"/>
    <col min="15111" max="15360" width="9.140625" style="100"/>
    <col min="15361" max="15361" width="18.5703125" style="100" customWidth="1"/>
    <col min="15362" max="15362" width="13.140625" style="100" customWidth="1"/>
    <col min="15363" max="15364" width="9.140625" style="100"/>
    <col min="15365" max="15365" width="12.5703125" style="100" customWidth="1"/>
    <col min="15366" max="15366" width="10.28515625" style="100" customWidth="1"/>
    <col min="15367" max="15616" width="9.140625" style="100"/>
    <col min="15617" max="15617" width="18.5703125" style="100" customWidth="1"/>
    <col min="15618" max="15618" width="13.140625" style="100" customWidth="1"/>
    <col min="15619" max="15620" width="9.140625" style="100"/>
    <col min="15621" max="15621" width="12.5703125" style="100" customWidth="1"/>
    <col min="15622" max="15622" width="10.28515625" style="100" customWidth="1"/>
    <col min="15623" max="15872" width="9.140625" style="100"/>
    <col min="15873" max="15873" width="18.5703125" style="100" customWidth="1"/>
    <col min="15874" max="15874" width="13.140625" style="100" customWidth="1"/>
    <col min="15875" max="15876" width="9.140625" style="100"/>
    <col min="15877" max="15877" width="12.5703125" style="100" customWidth="1"/>
    <col min="15878" max="15878" width="10.28515625" style="100" customWidth="1"/>
    <col min="15879" max="16128" width="9.140625" style="100"/>
    <col min="16129" max="16129" width="18.5703125" style="100" customWidth="1"/>
    <col min="16130" max="16130" width="13.140625" style="100" customWidth="1"/>
    <col min="16131" max="16132" width="9.140625" style="100"/>
    <col min="16133" max="16133" width="12.5703125" style="100" customWidth="1"/>
    <col min="16134" max="16134" width="10.28515625" style="100" customWidth="1"/>
    <col min="16135" max="16384" width="9.140625" style="100"/>
  </cols>
  <sheetData>
    <row r="1" spans="1:7" ht="18" x14ac:dyDescent="0.25">
      <c r="A1" s="117" t="s">
        <v>92</v>
      </c>
      <c r="G1" s="118"/>
    </row>
    <row r="2" spans="1:7" x14ac:dyDescent="0.2">
      <c r="A2" s="104" t="s">
        <v>132</v>
      </c>
      <c r="G2" s="120"/>
    </row>
    <row r="3" spans="1:7" x14ac:dyDescent="0.2">
      <c r="A3" s="104"/>
      <c r="G3" s="121"/>
    </row>
    <row r="4" spans="1:7" x14ac:dyDescent="0.2">
      <c r="G4" s="121"/>
    </row>
    <row r="7" spans="1:7" x14ac:dyDescent="0.2">
      <c r="A7" s="104" t="s">
        <v>133</v>
      </c>
    </row>
    <row r="8" spans="1:7" x14ac:dyDescent="0.2">
      <c r="B8" s="104"/>
      <c r="C8" s="104"/>
      <c r="D8" s="104"/>
      <c r="E8" s="141" t="s">
        <v>134</v>
      </c>
      <c r="G8" s="141" t="s">
        <v>135</v>
      </c>
    </row>
    <row r="9" spans="1:7" x14ac:dyDescent="0.2">
      <c r="B9" s="451"/>
      <c r="C9" s="142" t="s">
        <v>136</v>
      </c>
      <c r="D9" s="142" t="s">
        <v>31</v>
      </c>
      <c r="E9" s="142" t="s">
        <v>137</v>
      </c>
      <c r="F9" s="142" t="s">
        <v>138</v>
      </c>
      <c r="G9" s="143" t="s">
        <v>31</v>
      </c>
    </row>
    <row r="10" spans="1:7" x14ac:dyDescent="0.2">
      <c r="A10" s="100" t="s">
        <v>181</v>
      </c>
      <c r="B10" s="452"/>
      <c r="C10" s="152">
        <v>1.2724441454179317E-2</v>
      </c>
      <c r="D10" s="216">
        <v>4.6014989982342287E-3</v>
      </c>
      <c r="E10" s="152">
        <f>C10*D10</f>
        <v>5.8551504604496218E-5</v>
      </c>
      <c r="F10" s="171">
        <f>+'LGE-E Meter Pu WACOC-Tax Table'!F10</f>
        <v>0.2495</v>
      </c>
      <c r="G10" s="152">
        <f>E10*(1-F10)</f>
        <v>4.3942904205674406E-5</v>
      </c>
    </row>
    <row r="11" spans="1:7" x14ac:dyDescent="0.2">
      <c r="A11" s="100" t="s">
        <v>182</v>
      </c>
      <c r="B11" s="452"/>
      <c r="C11" s="152">
        <v>0.45540799186533276</v>
      </c>
      <c r="D11" s="216">
        <v>4.0417299088459008E-2</v>
      </c>
      <c r="E11" s="152">
        <f>C11*D11</f>
        <v>1.8406361014495661E-2</v>
      </c>
      <c r="F11" s="171">
        <f>+F10</f>
        <v>0.2495</v>
      </c>
      <c r="G11" s="152">
        <f>E11*(1-F11)</f>
        <v>1.3813973941378992E-2</v>
      </c>
    </row>
    <row r="12" spans="1:7" x14ac:dyDescent="0.2">
      <c r="A12" s="100" t="s">
        <v>139</v>
      </c>
      <c r="B12" s="452"/>
      <c r="C12" s="152">
        <v>0.53186756668048796</v>
      </c>
      <c r="D12" s="216">
        <v>0.1</v>
      </c>
      <c r="E12" s="164">
        <f>C12*D12</f>
        <v>5.3186756668048799E-2</v>
      </c>
      <c r="G12" s="148">
        <f>E12</f>
        <v>5.3186756668048799E-2</v>
      </c>
    </row>
    <row r="13" spans="1:7" x14ac:dyDescent="0.2">
      <c r="B13" s="454"/>
      <c r="E13" s="140">
        <f>SUM(E10:E12)</f>
        <v>7.1651669187148964E-2</v>
      </c>
      <c r="G13" s="140">
        <f>SUM(G10:G12)</f>
        <v>6.7044673513633468E-2</v>
      </c>
    </row>
    <row r="15" spans="1:7" x14ac:dyDescent="0.2">
      <c r="B15" s="471" t="s">
        <v>140</v>
      </c>
      <c r="C15" s="471"/>
      <c r="D15" s="471"/>
      <c r="E15" s="471"/>
    </row>
    <row r="17" spans="1:6" x14ac:dyDescent="0.2">
      <c r="B17" s="100">
        <v>5</v>
      </c>
      <c r="C17" s="100">
        <v>10</v>
      </c>
      <c r="D17" s="100">
        <v>15</v>
      </c>
      <c r="E17" s="100">
        <v>20</v>
      </c>
    </row>
    <row r="18" spans="1:6" x14ac:dyDescent="0.2">
      <c r="A18" s="100">
        <v>1</v>
      </c>
      <c r="B18" s="150">
        <v>0.2</v>
      </c>
      <c r="C18" s="150">
        <v>0.1</v>
      </c>
      <c r="D18" s="150">
        <v>0.05</v>
      </c>
      <c r="E18" s="150">
        <v>3.7499999999999999E-2</v>
      </c>
      <c r="F18" s="152"/>
    </row>
    <row r="19" spans="1:6" x14ac:dyDescent="0.2">
      <c r="A19" s="100">
        <v>2</v>
      </c>
      <c r="B19" s="150">
        <v>0.32</v>
      </c>
      <c r="C19" s="150">
        <v>0.18</v>
      </c>
      <c r="D19" s="150">
        <v>9.5000000000000001E-2</v>
      </c>
      <c r="E19" s="150">
        <v>7.2190000000000004E-2</v>
      </c>
      <c r="F19" s="152"/>
    </row>
    <row r="20" spans="1:6" x14ac:dyDescent="0.2">
      <c r="A20" s="100">
        <v>3</v>
      </c>
      <c r="B20" s="150">
        <v>0.192</v>
      </c>
      <c r="C20" s="150">
        <v>0.14399999999999999</v>
      </c>
      <c r="D20" s="150">
        <v>8.5500000000000007E-2</v>
      </c>
      <c r="E20" s="150">
        <v>6.6769999999999996E-2</v>
      </c>
      <c r="F20" s="152"/>
    </row>
    <row r="21" spans="1:6" x14ac:dyDescent="0.2">
      <c r="A21" s="100">
        <v>4</v>
      </c>
      <c r="B21" s="150">
        <v>0.1152</v>
      </c>
      <c r="C21" s="150">
        <v>0.1152</v>
      </c>
      <c r="D21" s="150">
        <v>7.6999999999999999E-2</v>
      </c>
      <c r="E21" s="150">
        <v>6.1769999999999999E-2</v>
      </c>
      <c r="F21" s="152"/>
    </row>
    <row r="22" spans="1:6" x14ac:dyDescent="0.2">
      <c r="A22" s="100">
        <v>5</v>
      </c>
      <c r="B22" s="150">
        <v>0.1152</v>
      </c>
      <c r="C22" s="150">
        <v>9.2200000000000004E-2</v>
      </c>
      <c r="D22" s="150">
        <v>6.93E-2</v>
      </c>
      <c r="E22" s="150">
        <v>5.713E-2</v>
      </c>
      <c r="F22" s="152"/>
    </row>
    <row r="23" spans="1:6" x14ac:dyDescent="0.2">
      <c r="A23" s="100">
        <v>6</v>
      </c>
      <c r="B23" s="150">
        <v>5.7600000000000047E-2</v>
      </c>
      <c r="C23" s="150">
        <v>7.3700000000000002E-2</v>
      </c>
      <c r="D23" s="150">
        <v>6.2300000000000001E-2</v>
      </c>
      <c r="E23" s="150">
        <v>5.2850000000000001E-2</v>
      </c>
      <c r="F23" s="152"/>
    </row>
    <row r="24" spans="1:6" x14ac:dyDescent="0.2">
      <c r="A24" s="100">
        <v>7</v>
      </c>
      <c r="B24" s="150">
        <v>0</v>
      </c>
      <c r="C24" s="150">
        <v>6.5500000000000003E-2</v>
      </c>
      <c r="D24" s="150">
        <v>5.8999999999999997E-2</v>
      </c>
      <c r="E24" s="150">
        <v>4.888E-2</v>
      </c>
      <c r="F24" s="152"/>
    </row>
    <row r="25" spans="1:6" x14ac:dyDescent="0.2">
      <c r="A25" s="100">
        <v>8</v>
      </c>
      <c r="B25" s="150">
        <v>0</v>
      </c>
      <c r="C25" s="150">
        <v>6.5500000000000003E-2</v>
      </c>
      <c r="D25" s="150">
        <v>5.8999999999999997E-2</v>
      </c>
      <c r="E25" s="150">
        <v>4.5220000000000003E-2</v>
      </c>
      <c r="F25" s="152"/>
    </row>
    <row r="26" spans="1:6" x14ac:dyDescent="0.2">
      <c r="A26" s="100">
        <v>9</v>
      </c>
      <c r="B26" s="150">
        <v>0</v>
      </c>
      <c r="C26" s="150">
        <v>6.5600000000000006E-2</v>
      </c>
      <c r="D26" s="150">
        <v>5.91E-2</v>
      </c>
      <c r="E26" s="150">
        <v>4.462E-2</v>
      </c>
      <c r="F26" s="152"/>
    </row>
    <row r="27" spans="1:6" x14ac:dyDescent="0.2">
      <c r="A27" s="100">
        <v>10</v>
      </c>
      <c r="B27" s="150">
        <v>0</v>
      </c>
      <c r="C27" s="150">
        <v>6.5500000000000003E-2</v>
      </c>
      <c r="D27" s="150">
        <v>5.8999999999999997E-2</v>
      </c>
      <c r="E27" s="150">
        <v>4.4609999999999997E-2</v>
      </c>
      <c r="F27" s="152"/>
    </row>
    <row r="28" spans="1:6" x14ac:dyDescent="0.2">
      <c r="A28" s="100">
        <v>11</v>
      </c>
      <c r="B28" s="150">
        <v>0</v>
      </c>
      <c r="C28" s="150">
        <v>3.2800000000000003E-2</v>
      </c>
      <c r="D28" s="150">
        <v>5.91E-2</v>
      </c>
      <c r="E28" s="150">
        <v>4.462E-2</v>
      </c>
      <c r="F28" s="152"/>
    </row>
    <row r="29" spans="1:6" x14ac:dyDescent="0.2">
      <c r="A29" s="100">
        <v>12</v>
      </c>
      <c r="B29" s="150">
        <v>0</v>
      </c>
      <c r="C29" s="150">
        <v>0</v>
      </c>
      <c r="D29" s="150">
        <v>5.8999999999999997E-2</v>
      </c>
      <c r="E29" s="150">
        <v>4.4609999999999997E-2</v>
      </c>
      <c r="F29" s="152"/>
    </row>
    <row r="30" spans="1:6" x14ac:dyDescent="0.2">
      <c r="A30" s="100">
        <v>13</v>
      </c>
      <c r="B30" s="150">
        <v>0</v>
      </c>
      <c r="C30" s="150">
        <v>0</v>
      </c>
      <c r="D30" s="150">
        <v>5.91E-2</v>
      </c>
      <c r="E30" s="150">
        <v>4.462E-2</v>
      </c>
      <c r="F30" s="152"/>
    </row>
    <row r="31" spans="1:6" x14ac:dyDescent="0.2">
      <c r="A31" s="100">
        <v>14</v>
      </c>
      <c r="B31" s="150">
        <v>0</v>
      </c>
      <c r="C31" s="150">
        <v>0</v>
      </c>
      <c r="D31" s="150">
        <v>5.8999999999999997E-2</v>
      </c>
      <c r="E31" s="150">
        <v>4.4609999999999997E-2</v>
      </c>
      <c r="F31" s="152"/>
    </row>
    <row r="32" spans="1:6" x14ac:dyDescent="0.2">
      <c r="A32" s="100">
        <v>15</v>
      </c>
      <c r="B32" s="150">
        <v>0</v>
      </c>
      <c r="C32" s="150">
        <v>0</v>
      </c>
      <c r="D32" s="150">
        <v>5.91E-2</v>
      </c>
      <c r="E32" s="150">
        <v>4.462E-2</v>
      </c>
      <c r="F32" s="152"/>
    </row>
    <row r="33" spans="1:6" x14ac:dyDescent="0.2">
      <c r="A33" s="100">
        <v>16</v>
      </c>
      <c r="B33" s="150">
        <v>0</v>
      </c>
      <c r="C33" s="150">
        <v>0</v>
      </c>
      <c r="D33" s="150">
        <v>2.9499999999999998E-2</v>
      </c>
      <c r="E33" s="150">
        <v>4.4609999999999997E-2</v>
      </c>
      <c r="F33" s="152"/>
    </row>
    <row r="34" spans="1:6" x14ac:dyDescent="0.2">
      <c r="A34" s="100">
        <v>17</v>
      </c>
      <c r="B34" s="150">
        <v>0</v>
      </c>
      <c r="C34" s="150">
        <v>0</v>
      </c>
      <c r="D34" s="150">
        <v>0</v>
      </c>
      <c r="E34" s="150">
        <v>4.462E-2</v>
      </c>
      <c r="F34" s="152"/>
    </row>
    <row r="35" spans="1:6" x14ac:dyDescent="0.2">
      <c r="A35" s="100">
        <v>18</v>
      </c>
      <c r="B35" s="150">
        <v>0</v>
      </c>
      <c r="C35" s="150">
        <v>0</v>
      </c>
      <c r="D35" s="150">
        <v>0</v>
      </c>
      <c r="E35" s="150">
        <v>4.4609999999999997E-2</v>
      </c>
      <c r="F35" s="152"/>
    </row>
    <row r="36" spans="1:6" x14ac:dyDescent="0.2">
      <c r="A36" s="100">
        <v>19</v>
      </c>
      <c r="B36" s="150">
        <v>0</v>
      </c>
      <c r="C36" s="150">
        <v>0</v>
      </c>
      <c r="D36" s="150">
        <v>0</v>
      </c>
      <c r="E36" s="150">
        <v>4.462E-2</v>
      </c>
      <c r="F36" s="152"/>
    </row>
    <row r="37" spans="1:6" x14ac:dyDescent="0.2">
      <c r="A37" s="100">
        <v>20</v>
      </c>
      <c r="B37" s="150">
        <v>0</v>
      </c>
      <c r="C37" s="150">
        <v>0</v>
      </c>
      <c r="D37" s="150">
        <v>0</v>
      </c>
      <c r="E37" s="150">
        <v>4.4609999999999997E-2</v>
      </c>
      <c r="F37" s="152"/>
    </row>
    <row r="38" spans="1:6" x14ac:dyDescent="0.2">
      <c r="A38" s="100">
        <v>21</v>
      </c>
      <c r="B38" s="150">
        <v>0</v>
      </c>
      <c r="C38" s="150">
        <v>0</v>
      </c>
      <c r="D38" s="150">
        <v>0</v>
      </c>
      <c r="E38" s="150">
        <v>2.231E-2</v>
      </c>
      <c r="F38" s="152"/>
    </row>
    <row r="39" spans="1:6" x14ac:dyDescent="0.2">
      <c r="A39" s="100">
        <v>22</v>
      </c>
      <c r="B39" s="150">
        <v>0</v>
      </c>
      <c r="C39" s="150">
        <v>0</v>
      </c>
      <c r="D39" s="150">
        <v>0</v>
      </c>
      <c r="E39" s="150">
        <v>0</v>
      </c>
    </row>
    <row r="40" spans="1:6" x14ac:dyDescent="0.2">
      <c r="A40" s="100">
        <v>23</v>
      </c>
      <c r="B40" s="150">
        <v>0</v>
      </c>
      <c r="C40" s="150">
        <v>0</v>
      </c>
      <c r="D40" s="150">
        <v>0</v>
      </c>
      <c r="E40" s="150">
        <v>0</v>
      </c>
    </row>
    <row r="41" spans="1:6" x14ac:dyDescent="0.2">
      <c r="A41" s="100">
        <v>24</v>
      </c>
      <c r="B41" s="150">
        <v>0</v>
      </c>
      <c r="C41" s="150">
        <v>0</v>
      </c>
      <c r="D41" s="150">
        <v>0</v>
      </c>
      <c r="E41" s="150">
        <v>0</v>
      </c>
    </row>
    <row r="42" spans="1:6" x14ac:dyDescent="0.2">
      <c r="A42" s="100">
        <v>25</v>
      </c>
      <c r="B42" s="150">
        <v>0</v>
      </c>
      <c r="C42" s="150">
        <v>0</v>
      </c>
      <c r="D42" s="150">
        <v>0</v>
      </c>
      <c r="E42" s="150">
        <v>0</v>
      </c>
    </row>
    <row r="43" spans="1:6" x14ac:dyDescent="0.2">
      <c r="A43" s="100">
        <v>26</v>
      </c>
      <c r="B43" s="150">
        <v>0</v>
      </c>
      <c r="C43" s="150">
        <v>0</v>
      </c>
      <c r="D43" s="150">
        <v>0</v>
      </c>
      <c r="E43" s="150">
        <v>0</v>
      </c>
    </row>
    <row r="44" spans="1:6" x14ac:dyDescent="0.2">
      <c r="A44" s="100">
        <v>27</v>
      </c>
      <c r="B44" s="150">
        <v>0</v>
      </c>
      <c r="C44" s="150">
        <v>0</v>
      </c>
      <c r="D44" s="150">
        <v>0</v>
      </c>
      <c r="E44" s="150">
        <v>0</v>
      </c>
    </row>
    <row r="45" spans="1:6" x14ac:dyDescent="0.2">
      <c r="A45" s="100">
        <v>28</v>
      </c>
      <c r="B45" s="150">
        <v>0</v>
      </c>
      <c r="C45" s="150">
        <v>0</v>
      </c>
      <c r="D45" s="150">
        <v>0</v>
      </c>
      <c r="E45" s="150">
        <v>0</v>
      </c>
    </row>
    <row r="46" spans="1:6" x14ac:dyDescent="0.2">
      <c r="A46" s="100">
        <v>29</v>
      </c>
      <c r="B46" s="150">
        <v>0</v>
      </c>
      <c r="C46" s="150">
        <v>0</v>
      </c>
      <c r="D46" s="150">
        <v>0</v>
      </c>
      <c r="E46" s="150">
        <v>0</v>
      </c>
    </row>
    <row r="47" spans="1:6" x14ac:dyDescent="0.2">
      <c r="A47" s="100">
        <v>30</v>
      </c>
      <c r="B47" s="150">
        <v>0</v>
      </c>
      <c r="C47" s="150">
        <v>0</v>
      </c>
      <c r="D47" s="150">
        <v>0</v>
      </c>
      <c r="E47" s="150">
        <v>0</v>
      </c>
    </row>
    <row r="48" spans="1:6" x14ac:dyDescent="0.2">
      <c r="A48" s="100">
        <v>31</v>
      </c>
      <c r="B48" s="150">
        <v>0</v>
      </c>
      <c r="C48" s="150">
        <v>0</v>
      </c>
      <c r="D48" s="150">
        <v>0</v>
      </c>
      <c r="E48" s="150">
        <v>0</v>
      </c>
    </row>
    <row r="49" spans="1:5" x14ac:dyDescent="0.2">
      <c r="A49" s="100">
        <v>31</v>
      </c>
      <c r="B49" s="150">
        <v>0</v>
      </c>
      <c r="C49" s="150">
        <v>0</v>
      </c>
      <c r="D49" s="150">
        <v>0</v>
      </c>
      <c r="E49" s="150">
        <v>0</v>
      </c>
    </row>
    <row r="51" spans="1:5" x14ac:dyDescent="0.2">
      <c r="B51" s="149"/>
    </row>
    <row r="53" spans="1:5" x14ac:dyDescent="0.2">
      <c r="B53" s="149"/>
    </row>
  </sheetData>
  <mergeCells count="1">
    <mergeCell ref="B15:E15"/>
  </mergeCells>
  <pageMargins left="0.75" right="0.75" top="1" bottom="1" header="0.5" footer="0.5"/>
  <pageSetup orientation="portrait" verticalDpi="12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T86"/>
  <sheetViews>
    <sheetView zoomScaleNormal="100" workbookViewId="0">
      <selection activeCell="H46" sqref="H46"/>
    </sheetView>
  </sheetViews>
  <sheetFormatPr defaultRowHeight="12.75" x14ac:dyDescent="0.2"/>
  <cols>
    <col min="1" max="1" width="9.140625" style="100"/>
    <col min="2" max="2" width="12.28515625" style="100" customWidth="1"/>
    <col min="3" max="3" width="13.5703125" style="100" customWidth="1"/>
    <col min="4" max="4" width="12.5703125" style="100" customWidth="1"/>
    <col min="5" max="5" width="13" style="100" customWidth="1"/>
    <col min="6" max="7" width="12.85546875" style="100" customWidth="1"/>
    <col min="8" max="8" width="14" style="100" customWidth="1"/>
    <col min="9" max="9" width="13.140625" style="100" customWidth="1"/>
    <col min="10" max="10" width="12.85546875" style="100" customWidth="1"/>
    <col min="11" max="11" width="12.140625" style="100" customWidth="1"/>
    <col min="12" max="12" width="12" style="100" hidden="1" customWidth="1"/>
    <col min="13" max="13" width="11" style="100" hidden="1" customWidth="1"/>
    <col min="14" max="14" width="11.85546875" style="100" customWidth="1"/>
    <col min="15" max="15" width="14.28515625" style="100" customWidth="1"/>
    <col min="16" max="16" width="12.28515625" style="100" customWidth="1"/>
    <col min="17" max="17" width="13.85546875" style="100" customWidth="1"/>
    <col min="18" max="18" width="15" style="100" customWidth="1"/>
    <col min="19" max="257" width="9.140625" style="100"/>
    <col min="258" max="258" width="12.28515625" style="100" customWidth="1"/>
    <col min="259" max="259" width="13.5703125" style="100" customWidth="1"/>
    <col min="260" max="260" width="12.5703125" style="100" customWidth="1"/>
    <col min="261" max="261" width="13" style="100" customWidth="1"/>
    <col min="262" max="263" width="12.85546875" style="100" customWidth="1"/>
    <col min="264" max="264" width="14" style="100" customWidth="1"/>
    <col min="265" max="265" width="13.140625" style="100" customWidth="1"/>
    <col min="266" max="266" width="12.85546875" style="100" customWidth="1"/>
    <col min="267" max="267" width="12.140625" style="100" customWidth="1"/>
    <col min="268" max="269" width="0" style="100" hidden="1" customWidth="1"/>
    <col min="270" max="270" width="11.85546875" style="100" customWidth="1"/>
    <col min="271" max="271" width="14.28515625" style="100" customWidth="1"/>
    <col min="272" max="272" width="12.28515625" style="100" customWidth="1"/>
    <col min="273" max="273" width="13.85546875" style="100" customWidth="1"/>
    <col min="274" max="274" width="15" style="100" customWidth="1"/>
    <col min="275" max="513" width="9.140625" style="100"/>
    <col min="514" max="514" width="12.28515625" style="100" customWidth="1"/>
    <col min="515" max="515" width="13.5703125" style="100" customWidth="1"/>
    <col min="516" max="516" width="12.5703125" style="100" customWidth="1"/>
    <col min="517" max="517" width="13" style="100" customWidth="1"/>
    <col min="518" max="519" width="12.85546875" style="100" customWidth="1"/>
    <col min="520" max="520" width="14" style="100" customWidth="1"/>
    <col min="521" max="521" width="13.140625" style="100" customWidth="1"/>
    <col min="522" max="522" width="12.85546875" style="100" customWidth="1"/>
    <col min="523" max="523" width="12.140625" style="100" customWidth="1"/>
    <col min="524" max="525" width="0" style="100" hidden="1" customWidth="1"/>
    <col min="526" max="526" width="11.85546875" style="100" customWidth="1"/>
    <col min="527" max="527" width="14.28515625" style="100" customWidth="1"/>
    <col min="528" max="528" width="12.28515625" style="100" customWidth="1"/>
    <col min="529" max="529" width="13.85546875" style="100" customWidth="1"/>
    <col min="530" max="530" width="15" style="100" customWidth="1"/>
    <col min="531" max="769" width="9.140625" style="100"/>
    <col min="770" max="770" width="12.28515625" style="100" customWidth="1"/>
    <col min="771" max="771" width="13.5703125" style="100" customWidth="1"/>
    <col min="772" max="772" width="12.5703125" style="100" customWidth="1"/>
    <col min="773" max="773" width="13" style="100" customWidth="1"/>
    <col min="774" max="775" width="12.85546875" style="100" customWidth="1"/>
    <col min="776" max="776" width="14" style="100" customWidth="1"/>
    <col min="777" max="777" width="13.140625" style="100" customWidth="1"/>
    <col min="778" max="778" width="12.85546875" style="100" customWidth="1"/>
    <col min="779" max="779" width="12.140625" style="100" customWidth="1"/>
    <col min="780" max="781" width="0" style="100" hidden="1" customWidth="1"/>
    <col min="782" max="782" width="11.85546875" style="100" customWidth="1"/>
    <col min="783" max="783" width="14.28515625" style="100" customWidth="1"/>
    <col min="784" max="784" width="12.28515625" style="100" customWidth="1"/>
    <col min="785" max="785" width="13.85546875" style="100" customWidth="1"/>
    <col min="786" max="786" width="15" style="100" customWidth="1"/>
    <col min="787" max="1025" width="9.140625" style="100"/>
    <col min="1026" max="1026" width="12.28515625" style="100" customWidth="1"/>
    <col min="1027" max="1027" width="13.5703125" style="100" customWidth="1"/>
    <col min="1028" max="1028" width="12.5703125" style="100" customWidth="1"/>
    <col min="1029" max="1029" width="13" style="100" customWidth="1"/>
    <col min="1030" max="1031" width="12.85546875" style="100" customWidth="1"/>
    <col min="1032" max="1032" width="14" style="100" customWidth="1"/>
    <col min="1033" max="1033" width="13.140625" style="100" customWidth="1"/>
    <col min="1034" max="1034" width="12.85546875" style="100" customWidth="1"/>
    <col min="1035" max="1035" width="12.140625" style="100" customWidth="1"/>
    <col min="1036" max="1037" width="0" style="100" hidden="1" customWidth="1"/>
    <col min="1038" max="1038" width="11.85546875" style="100" customWidth="1"/>
    <col min="1039" max="1039" width="14.28515625" style="100" customWidth="1"/>
    <col min="1040" max="1040" width="12.28515625" style="100" customWidth="1"/>
    <col min="1041" max="1041" width="13.85546875" style="100" customWidth="1"/>
    <col min="1042" max="1042" width="15" style="100" customWidth="1"/>
    <col min="1043" max="1281" width="9.140625" style="100"/>
    <col min="1282" max="1282" width="12.28515625" style="100" customWidth="1"/>
    <col min="1283" max="1283" width="13.5703125" style="100" customWidth="1"/>
    <col min="1284" max="1284" width="12.5703125" style="100" customWidth="1"/>
    <col min="1285" max="1285" width="13" style="100" customWidth="1"/>
    <col min="1286" max="1287" width="12.85546875" style="100" customWidth="1"/>
    <col min="1288" max="1288" width="14" style="100" customWidth="1"/>
    <col min="1289" max="1289" width="13.140625" style="100" customWidth="1"/>
    <col min="1290" max="1290" width="12.85546875" style="100" customWidth="1"/>
    <col min="1291" max="1291" width="12.140625" style="100" customWidth="1"/>
    <col min="1292" max="1293" width="0" style="100" hidden="1" customWidth="1"/>
    <col min="1294" max="1294" width="11.85546875" style="100" customWidth="1"/>
    <col min="1295" max="1295" width="14.28515625" style="100" customWidth="1"/>
    <col min="1296" max="1296" width="12.28515625" style="100" customWidth="1"/>
    <col min="1297" max="1297" width="13.85546875" style="100" customWidth="1"/>
    <col min="1298" max="1298" width="15" style="100" customWidth="1"/>
    <col min="1299" max="1537" width="9.140625" style="100"/>
    <col min="1538" max="1538" width="12.28515625" style="100" customWidth="1"/>
    <col min="1539" max="1539" width="13.5703125" style="100" customWidth="1"/>
    <col min="1540" max="1540" width="12.5703125" style="100" customWidth="1"/>
    <col min="1541" max="1541" width="13" style="100" customWidth="1"/>
    <col min="1542" max="1543" width="12.85546875" style="100" customWidth="1"/>
    <col min="1544" max="1544" width="14" style="100" customWidth="1"/>
    <col min="1545" max="1545" width="13.140625" style="100" customWidth="1"/>
    <col min="1546" max="1546" width="12.85546875" style="100" customWidth="1"/>
    <col min="1547" max="1547" width="12.140625" style="100" customWidth="1"/>
    <col min="1548" max="1549" width="0" style="100" hidden="1" customWidth="1"/>
    <col min="1550" max="1550" width="11.85546875" style="100" customWidth="1"/>
    <col min="1551" max="1551" width="14.28515625" style="100" customWidth="1"/>
    <col min="1552" max="1552" width="12.28515625" style="100" customWidth="1"/>
    <col min="1553" max="1553" width="13.85546875" style="100" customWidth="1"/>
    <col min="1554" max="1554" width="15" style="100" customWidth="1"/>
    <col min="1555" max="1793" width="9.140625" style="100"/>
    <col min="1794" max="1794" width="12.28515625" style="100" customWidth="1"/>
    <col min="1795" max="1795" width="13.5703125" style="100" customWidth="1"/>
    <col min="1796" max="1796" width="12.5703125" style="100" customWidth="1"/>
    <col min="1797" max="1797" width="13" style="100" customWidth="1"/>
    <col min="1798" max="1799" width="12.85546875" style="100" customWidth="1"/>
    <col min="1800" max="1800" width="14" style="100" customWidth="1"/>
    <col min="1801" max="1801" width="13.140625" style="100" customWidth="1"/>
    <col min="1802" max="1802" width="12.85546875" style="100" customWidth="1"/>
    <col min="1803" max="1803" width="12.140625" style="100" customWidth="1"/>
    <col min="1804" max="1805" width="0" style="100" hidden="1" customWidth="1"/>
    <col min="1806" max="1806" width="11.85546875" style="100" customWidth="1"/>
    <col min="1807" max="1807" width="14.28515625" style="100" customWidth="1"/>
    <col min="1808" max="1808" width="12.28515625" style="100" customWidth="1"/>
    <col min="1809" max="1809" width="13.85546875" style="100" customWidth="1"/>
    <col min="1810" max="1810" width="15" style="100" customWidth="1"/>
    <col min="1811" max="2049" width="9.140625" style="100"/>
    <col min="2050" max="2050" width="12.28515625" style="100" customWidth="1"/>
    <col min="2051" max="2051" width="13.5703125" style="100" customWidth="1"/>
    <col min="2052" max="2052" width="12.5703125" style="100" customWidth="1"/>
    <col min="2053" max="2053" width="13" style="100" customWidth="1"/>
    <col min="2054" max="2055" width="12.85546875" style="100" customWidth="1"/>
    <col min="2056" max="2056" width="14" style="100" customWidth="1"/>
    <col min="2057" max="2057" width="13.140625" style="100" customWidth="1"/>
    <col min="2058" max="2058" width="12.85546875" style="100" customWidth="1"/>
    <col min="2059" max="2059" width="12.140625" style="100" customWidth="1"/>
    <col min="2060" max="2061" width="0" style="100" hidden="1" customWidth="1"/>
    <col min="2062" max="2062" width="11.85546875" style="100" customWidth="1"/>
    <col min="2063" max="2063" width="14.28515625" style="100" customWidth="1"/>
    <col min="2064" max="2064" width="12.28515625" style="100" customWidth="1"/>
    <col min="2065" max="2065" width="13.85546875" style="100" customWidth="1"/>
    <col min="2066" max="2066" width="15" style="100" customWidth="1"/>
    <col min="2067" max="2305" width="9.140625" style="100"/>
    <col min="2306" max="2306" width="12.28515625" style="100" customWidth="1"/>
    <col min="2307" max="2307" width="13.5703125" style="100" customWidth="1"/>
    <col min="2308" max="2308" width="12.5703125" style="100" customWidth="1"/>
    <col min="2309" max="2309" width="13" style="100" customWidth="1"/>
    <col min="2310" max="2311" width="12.85546875" style="100" customWidth="1"/>
    <col min="2312" max="2312" width="14" style="100" customWidth="1"/>
    <col min="2313" max="2313" width="13.140625" style="100" customWidth="1"/>
    <col min="2314" max="2314" width="12.85546875" style="100" customWidth="1"/>
    <col min="2315" max="2315" width="12.140625" style="100" customWidth="1"/>
    <col min="2316" max="2317" width="0" style="100" hidden="1" customWidth="1"/>
    <col min="2318" max="2318" width="11.85546875" style="100" customWidth="1"/>
    <col min="2319" max="2319" width="14.28515625" style="100" customWidth="1"/>
    <col min="2320" max="2320" width="12.28515625" style="100" customWidth="1"/>
    <col min="2321" max="2321" width="13.85546875" style="100" customWidth="1"/>
    <col min="2322" max="2322" width="15" style="100" customWidth="1"/>
    <col min="2323" max="2561" width="9.140625" style="100"/>
    <col min="2562" max="2562" width="12.28515625" style="100" customWidth="1"/>
    <col min="2563" max="2563" width="13.5703125" style="100" customWidth="1"/>
    <col min="2564" max="2564" width="12.5703125" style="100" customWidth="1"/>
    <col min="2565" max="2565" width="13" style="100" customWidth="1"/>
    <col min="2566" max="2567" width="12.85546875" style="100" customWidth="1"/>
    <col min="2568" max="2568" width="14" style="100" customWidth="1"/>
    <col min="2569" max="2569" width="13.140625" style="100" customWidth="1"/>
    <col min="2570" max="2570" width="12.85546875" style="100" customWidth="1"/>
    <col min="2571" max="2571" width="12.140625" style="100" customWidth="1"/>
    <col min="2572" max="2573" width="0" style="100" hidden="1" customWidth="1"/>
    <col min="2574" max="2574" width="11.85546875" style="100" customWidth="1"/>
    <col min="2575" max="2575" width="14.28515625" style="100" customWidth="1"/>
    <col min="2576" max="2576" width="12.28515625" style="100" customWidth="1"/>
    <col min="2577" max="2577" width="13.85546875" style="100" customWidth="1"/>
    <col min="2578" max="2578" width="15" style="100" customWidth="1"/>
    <col min="2579" max="2817" width="9.140625" style="100"/>
    <col min="2818" max="2818" width="12.28515625" style="100" customWidth="1"/>
    <col min="2819" max="2819" width="13.5703125" style="100" customWidth="1"/>
    <col min="2820" max="2820" width="12.5703125" style="100" customWidth="1"/>
    <col min="2821" max="2821" width="13" style="100" customWidth="1"/>
    <col min="2822" max="2823" width="12.85546875" style="100" customWidth="1"/>
    <col min="2824" max="2824" width="14" style="100" customWidth="1"/>
    <col min="2825" max="2825" width="13.140625" style="100" customWidth="1"/>
    <col min="2826" max="2826" width="12.85546875" style="100" customWidth="1"/>
    <col min="2827" max="2827" width="12.140625" style="100" customWidth="1"/>
    <col min="2828" max="2829" width="0" style="100" hidden="1" customWidth="1"/>
    <col min="2830" max="2830" width="11.85546875" style="100" customWidth="1"/>
    <col min="2831" max="2831" width="14.28515625" style="100" customWidth="1"/>
    <col min="2832" max="2832" width="12.28515625" style="100" customWidth="1"/>
    <col min="2833" max="2833" width="13.85546875" style="100" customWidth="1"/>
    <col min="2834" max="2834" width="15" style="100" customWidth="1"/>
    <col min="2835" max="3073" width="9.140625" style="100"/>
    <col min="3074" max="3074" width="12.28515625" style="100" customWidth="1"/>
    <col min="3075" max="3075" width="13.5703125" style="100" customWidth="1"/>
    <col min="3076" max="3076" width="12.5703125" style="100" customWidth="1"/>
    <col min="3077" max="3077" width="13" style="100" customWidth="1"/>
    <col min="3078" max="3079" width="12.85546875" style="100" customWidth="1"/>
    <col min="3080" max="3080" width="14" style="100" customWidth="1"/>
    <col min="3081" max="3081" width="13.140625" style="100" customWidth="1"/>
    <col min="3082" max="3082" width="12.85546875" style="100" customWidth="1"/>
    <col min="3083" max="3083" width="12.140625" style="100" customWidth="1"/>
    <col min="3084" max="3085" width="0" style="100" hidden="1" customWidth="1"/>
    <col min="3086" max="3086" width="11.85546875" style="100" customWidth="1"/>
    <col min="3087" max="3087" width="14.28515625" style="100" customWidth="1"/>
    <col min="3088" max="3088" width="12.28515625" style="100" customWidth="1"/>
    <col min="3089" max="3089" width="13.85546875" style="100" customWidth="1"/>
    <col min="3090" max="3090" width="15" style="100" customWidth="1"/>
    <col min="3091" max="3329" width="9.140625" style="100"/>
    <col min="3330" max="3330" width="12.28515625" style="100" customWidth="1"/>
    <col min="3331" max="3331" width="13.5703125" style="100" customWidth="1"/>
    <col min="3332" max="3332" width="12.5703125" style="100" customWidth="1"/>
    <col min="3333" max="3333" width="13" style="100" customWidth="1"/>
    <col min="3334" max="3335" width="12.85546875" style="100" customWidth="1"/>
    <col min="3336" max="3336" width="14" style="100" customWidth="1"/>
    <col min="3337" max="3337" width="13.140625" style="100" customWidth="1"/>
    <col min="3338" max="3338" width="12.85546875" style="100" customWidth="1"/>
    <col min="3339" max="3339" width="12.140625" style="100" customWidth="1"/>
    <col min="3340" max="3341" width="0" style="100" hidden="1" customWidth="1"/>
    <col min="3342" max="3342" width="11.85546875" style="100" customWidth="1"/>
    <col min="3343" max="3343" width="14.28515625" style="100" customWidth="1"/>
    <col min="3344" max="3344" width="12.28515625" style="100" customWidth="1"/>
    <col min="3345" max="3345" width="13.85546875" style="100" customWidth="1"/>
    <col min="3346" max="3346" width="15" style="100" customWidth="1"/>
    <col min="3347" max="3585" width="9.140625" style="100"/>
    <col min="3586" max="3586" width="12.28515625" style="100" customWidth="1"/>
    <col min="3587" max="3587" width="13.5703125" style="100" customWidth="1"/>
    <col min="3588" max="3588" width="12.5703125" style="100" customWidth="1"/>
    <col min="3589" max="3589" width="13" style="100" customWidth="1"/>
    <col min="3590" max="3591" width="12.85546875" style="100" customWidth="1"/>
    <col min="3592" max="3592" width="14" style="100" customWidth="1"/>
    <col min="3593" max="3593" width="13.140625" style="100" customWidth="1"/>
    <col min="3594" max="3594" width="12.85546875" style="100" customWidth="1"/>
    <col min="3595" max="3595" width="12.140625" style="100" customWidth="1"/>
    <col min="3596" max="3597" width="0" style="100" hidden="1" customWidth="1"/>
    <col min="3598" max="3598" width="11.85546875" style="100" customWidth="1"/>
    <col min="3599" max="3599" width="14.28515625" style="100" customWidth="1"/>
    <col min="3600" max="3600" width="12.28515625" style="100" customWidth="1"/>
    <col min="3601" max="3601" width="13.85546875" style="100" customWidth="1"/>
    <col min="3602" max="3602" width="15" style="100" customWidth="1"/>
    <col min="3603" max="3841" width="9.140625" style="100"/>
    <col min="3842" max="3842" width="12.28515625" style="100" customWidth="1"/>
    <col min="3843" max="3843" width="13.5703125" style="100" customWidth="1"/>
    <col min="3844" max="3844" width="12.5703125" style="100" customWidth="1"/>
    <col min="3845" max="3845" width="13" style="100" customWidth="1"/>
    <col min="3846" max="3847" width="12.85546875" style="100" customWidth="1"/>
    <col min="3848" max="3848" width="14" style="100" customWidth="1"/>
    <col min="3849" max="3849" width="13.140625" style="100" customWidth="1"/>
    <col min="3850" max="3850" width="12.85546875" style="100" customWidth="1"/>
    <col min="3851" max="3851" width="12.140625" style="100" customWidth="1"/>
    <col min="3852" max="3853" width="0" style="100" hidden="1" customWidth="1"/>
    <col min="3854" max="3854" width="11.85546875" style="100" customWidth="1"/>
    <col min="3855" max="3855" width="14.28515625" style="100" customWidth="1"/>
    <col min="3856" max="3856" width="12.28515625" style="100" customWidth="1"/>
    <col min="3857" max="3857" width="13.85546875" style="100" customWidth="1"/>
    <col min="3858" max="3858" width="15" style="100" customWidth="1"/>
    <col min="3859" max="4097" width="9.140625" style="100"/>
    <col min="4098" max="4098" width="12.28515625" style="100" customWidth="1"/>
    <col min="4099" max="4099" width="13.5703125" style="100" customWidth="1"/>
    <col min="4100" max="4100" width="12.5703125" style="100" customWidth="1"/>
    <col min="4101" max="4101" width="13" style="100" customWidth="1"/>
    <col min="4102" max="4103" width="12.85546875" style="100" customWidth="1"/>
    <col min="4104" max="4104" width="14" style="100" customWidth="1"/>
    <col min="4105" max="4105" width="13.140625" style="100" customWidth="1"/>
    <col min="4106" max="4106" width="12.85546875" style="100" customWidth="1"/>
    <col min="4107" max="4107" width="12.140625" style="100" customWidth="1"/>
    <col min="4108" max="4109" width="0" style="100" hidden="1" customWidth="1"/>
    <col min="4110" max="4110" width="11.85546875" style="100" customWidth="1"/>
    <col min="4111" max="4111" width="14.28515625" style="100" customWidth="1"/>
    <col min="4112" max="4112" width="12.28515625" style="100" customWidth="1"/>
    <col min="4113" max="4113" width="13.85546875" style="100" customWidth="1"/>
    <col min="4114" max="4114" width="15" style="100" customWidth="1"/>
    <col min="4115" max="4353" width="9.140625" style="100"/>
    <col min="4354" max="4354" width="12.28515625" style="100" customWidth="1"/>
    <col min="4355" max="4355" width="13.5703125" style="100" customWidth="1"/>
    <col min="4356" max="4356" width="12.5703125" style="100" customWidth="1"/>
    <col min="4357" max="4357" width="13" style="100" customWidth="1"/>
    <col min="4358" max="4359" width="12.85546875" style="100" customWidth="1"/>
    <col min="4360" max="4360" width="14" style="100" customWidth="1"/>
    <col min="4361" max="4361" width="13.140625" style="100" customWidth="1"/>
    <col min="4362" max="4362" width="12.85546875" style="100" customWidth="1"/>
    <col min="4363" max="4363" width="12.140625" style="100" customWidth="1"/>
    <col min="4364" max="4365" width="0" style="100" hidden="1" customWidth="1"/>
    <col min="4366" max="4366" width="11.85546875" style="100" customWidth="1"/>
    <col min="4367" max="4367" width="14.28515625" style="100" customWidth="1"/>
    <col min="4368" max="4368" width="12.28515625" style="100" customWidth="1"/>
    <col min="4369" max="4369" width="13.85546875" style="100" customWidth="1"/>
    <col min="4370" max="4370" width="15" style="100" customWidth="1"/>
    <col min="4371" max="4609" width="9.140625" style="100"/>
    <col min="4610" max="4610" width="12.28515625" style="100" customWidth="1"/>
    <col min="4611" max="4611" width="13.5703125" style="100" customWidth="1"/>
    <col min="4612" max="4612" width="12.5703125" style="100" customWidth="1"/>
    <col min="4613" max="4613" width="13" style="100" customWidth="1"/>
    <col min="4614" max="4615" width="12.85546875" style="100" customWidth="1"/>
    <col min="4616" max="4616" width="14" style="100" customWidth="1"/>
    <col min="4617" max="4617" width="13.140625" style="100" customWidth="1"/>
    <col min="4618" max="4618" width="12.85546875" style="100" customWidth="1"/>
    <col min="4619" max="4619" width="12.140625" style="100" customWidth="1"/>
    <col min="4620" max="4621" width="0" style="100" hidden="1" customWidth="1"/>
    <col min="4622" max="4622" width="11.85546875" style="100" customWidth="1"/>
    <col min="4623" max="4623" width="14.28515625" style="100" customWidth="1"/>
    <col min="4624" max="4624" width="12.28515625" style="100" customWidth="1"/>
    <col min="4625" max="4625" width="13.85546875" style="100" customWidth="1"/>
    <col min="4626" max="4626" width="15" style="100" customWidth="1"/>
    <col min="4627" max="4865" width="9.140625" style="100"/>
    <col min="4866" max="4866" width="12.28515625" style="100" customWidth="1"/>
    <col min="4867" max="4867" width="13.5703125" style="100" customWidth="1"/>
    <col min="4868" max="4868" width="12.5703125" style="100" customWidth="1"/>
    <col min="4869" max="4869" width="13" style="100" customWidth="1"/>
    <col min="4870" max="4871" width="12.85546875" style="100" customWidth="1"/>
    <col min="4872" max="4872" width="14" style="100" customWidth="1"/>
    <col min="4873" max="4873" width="13.140625" style="100" customWidth="1"/>
    <col min="4874" max="4874" width="12.85546875" style="100" customWidth="1"/>
    <col min="4875" max="4875" width="12.140625" style="100" customWidth="1"/>
    <col min="4876" max="4877" width="0" style="100" hidden="1" customWidth="1"/>
    <col min="4878" max="4878" width="11.85546875" style="100" customWidth="1"/>
    <col min="4879" max="4879" width="14.28515625" style="100" customWidth="1"/>
    <col min="4880" max="4880" width="12.28515625" style="100" customWidth="1"/>
    <col min="4881" max="4881" width="13.85546875" style="100" customWidth="1"/>
    <col min="4882" max="4882" width="15" style="100" customWidth="1"/>
    <col min="4883" max="5121" width="9.140625" style="100"/>
    <col min="5122" max="5122" width="12.28515625" style="100" customWidth="1"/>
    <col min="5123" max="5123" width="13.5703125" style="100" customWidth="1"/>
    <col min="5124" max="5124" width="12.5703125" style="100" customWidth="1"/>
    <col min="5125" max="5125" width="13" style="100" customWidth="1"/>
    <col min="5126" max="5127" width="12.85546875" style="100" customWidth="1"/>
    <col min="5128" max="5128" width="14" style="100" customWidth="1"/>
    <col min="5129" max="5129" width="13.140625" style="100" customWidth="1"/>
    <col min="5130" max="5130" width="12.85546875" style="100" customWidth="1"/>
    <col min="5131" max="5131" width="12.140625" style="100" customWidth="1"/>
    <col min="5132" max="5133" width="0" style="100" hidden="1" customWidth="1"/>
    <col min="5134" max="5134" width="11.85546875" style="100" customWidth="1"/>
    <col min="5135" max="5135" width="14.28515625" style="100" customWidth="1"/>
    <col min="5136" max="5136" width="12.28515625" style="100" customWidth="1"/>
    <col min="5137" max="5137" width="13.85546875" style="100" customWidth="1"/>
    <col min="5138" max="5138" width="15" style="100" customWidth="1"/>
    <col min="5139" max="5377" width="9.140625" style="100"/>
    <col min="5378" max="5378" width="12.28515625" style="100" customWidth="1"/>
    <col min="5379" max="5379" width="13.5703125" style="100" customWidth="1"/>
    <col min="5380" max="5380" width="12.5703125" style="100" customWidth="1"/>
    <col min="5381" max="5381" width="13" style="100" customWidth="1"/>
    <col min="5382" max="5383" width="12.85546875" style="100" customWidth="1"/>
    <col min="5384" max="5384" width="14" style="100" customWidth="1"/>
    <col min="5385" max="5385" width="13.140625" style="100" customWidth="1"/>
    <col min="5386" max="5386" width="12.85546875" style="100" customWidth="1"/>
    <col min="5387" max="5387" width="12.140625" style="100" customWidth="1"/>
    <col min="5388" max="5389" width="0" style="100" hidden="1" customWidth="1"/>
    <col min="5390" max="5390" width="11.85546875" style="100" customWidth="1"/>
    <col min="5391" max="5391" width="14.28515625" style="100" customWidth="1"/>
    <col min="5392" max="5392" width="12.28515625" style="100" customWidth="1"/>
    <col min="5393" max="5393" width="13.85546875" style="100" customWidth="1"/>
    <col min="5394" max="5394" width="15" style="100" customWidth="1"/>
    <col min="5395" max="5633" width="9.140625" style="100"/>
    <col min="5634" max="5634" width="12.28515625" style="100" customWidth="1"/>
    <col min="5635" max="5635" width="13.5703125" style="100" customWidth="1"/>
    <col min="5636" max="5636" width="12.5703125" style="100" customWidth="1"/>
    <col min="5637" max="5637" width="13" style="100" customWidth="1"/>
    <col min="5638" max="5639" width="12.85546875" style="100" customWidth="1"/>
    <col min="5640" max="5640" width="14" style="100" customWidth="1"/>
    <col min="5641" max="5641" width="13.140625" style="100" customWidth="1"/>
    <col min="5642" max="5642" width="12.85546875" style="100" customWidth="1"/>
    <col min="5643" max="5643" width="12.140625" style="100" customWidth="1"/>
    <col min="5644" max="5645" width="0" style="100" hidden="1" customWidth="1"/>
    <col min="5646" max="5646" width="11.85546875" style="100" customWidth="1"/>
    <col min="5647" max="5647" width="14.28515625" style="100" customWidth="1"/>
    <col min="5648" max="5648" width="12.28515625" style="100" customWidth="1"/>
    <col min="5649" max="5649" width="13.85546875" style="100" customWidth="1"/>
    <col min="5650" max="5650" width="15" style="100" customWidth="1"/>
    <col min="5651" max="5889" width="9.140625" style="100"/>
    <col min="5890" max="5890" width="12.28515625" style="100" customWidth="1"/>
    <col min="5891" max="5891" width="13.5703125" style="100" customWidth="1"/>
    <col min="5892" max="5892" width="12.5703125" style="100" customWidth="1"/>
    <col min="5893" max="5893" width="13" style="100" customWidth="1"/>
    <col min="5894" max="5895" width="12.85546875" style="100" customWidth="1"/>
    <col min="5896" max="5896" width="14" style="100" customWidth="1"/>
    <col min="5897" max="5897" width="13.140625" style="100" customWidth="1"/>
    <col min="5898" max="5898" width="12.85546875" style="100" customWidth="1"/>
    <col min="5899" max="5899" width="12.140625" style="100" customWidth="1"/>
    <col min="5900" max="5901" width="0" style="100" hidden="1" customWidth="1"/>
    <col min="5902" max="5902" width="11.85546875" style="100" customWidth="1"/>
    <col min="5903" max="5903" width="14.28515625" style="100" customWidth="1"/>
    <col min="5904" max="5904" width="12.28515625" style="100" customWidth="1"/>
    <col min="5905" max="5905" width="13.85546875" style="100" customWidth="1"/>
    <col min="5906" max="5906" width="15" style="100" customWidth="1"/>
    <col min="5907" max="6145" width="9.140625" style="100"/>
    <col min="6146" max="6146" width="12.28515625" style="100" customWidth="1"/>
    <col min="6147" max="6147" width="13.5703125" style="100" customWidth="1"/>
    <col min="6148" max="6148" width="12.5703125" style="100" customWidth="1"/>
    <col min="6149" max="6149" width="13" style="100" customWidth="1"/>
    <col min="6150" max="6151" width="12.85546875" style="100" customWidth="1"/>
    <col min="6152" max="6152" width="14" style="100" customWidth="1"/>
    <col min="6153" max="6153" width="13.140625" style="100" customWidth="1"/>
    <col min="6154" max="6154" width="12.85546875" style="100" customWidth="1"/>
    <col min="6155" max="6155" width="12.140625" style="100" customWidth="1"/>
    <col min="6156" max="6157" width="0" style="100" hidden="1" customWidth="1"/>
    <col min="6158" max="6158" width="11.85546875" style="100" customWidth="1"/>
    <col min="6159" max="6159" width="14.28515625" style="100" customWidth="1"/>
    <col min="6160" max="6160" width="12.28515625" style="100" customWidth="1"/>
    <col min="6161" max="6161" width="13.85546875" style="100" customWidth="1"/>
    <col min="6162" max="6162" width="15" style="100" customWidth="1"/>
    <col min="6163" max="6401" width="9.140625" style="100"/>
    <col min="6402" max="6402" width="12.28515625" style="100" customWidth="1"/>
    <col min="6403" max="6403" width="13.5703125" style="100" customWidth="1"/>
    <col min="6404" max="6404" width="12.5703125" style="100" customWidth="1"/>
    <col min="6405" max="6405" width="13" style="100" customWidth="1"/>
    <col min="6406" max="6407" width="12.85546875" style="100" customWidth="1"/>
    <col min="6408" max="6408" width="14" style="100" customWidth="1"/>
    <col min="6409" max="6409" width="13.140625" style="100" customWidth="1"/>
    <col min="6410" max="6410" width="12.85546875" style="100" customWidth="1"/>
    <col min="6411" max="6411" width="12.140625" style="100" customWidth="1"/>
    <col min="6412" max="6413" width="0" style="100" hidden="1" customWidth="1"/>
    <col min="6414" max="6414" width="11.85546875" style="100" customWidth="1"/>
    <col min="6415" max="6415" width="14.28515625" style="100" customWidth="1"/>
    <col min="6416" max="6416" width="12.28515625" style="100" customWidth="1"/>
    <col min="6417" max="6417" width="13.85546875" style="100" customWidth="1"/>
    <col min="6418" max="6418" width="15" style="100" customWidth="1"/>
    <col min="6419" max="6657" width="9.140625" style="100"/>
    <col min="6658" max="6658" width="12.28515625" style="100" customWidth="1"/>
    <col min="6659" max="6659" width="13.5703125" style="100" customWidth="1"/>
    <col min="6660" max="6660" width="12.5703125" style="100" customWidth="1"/>
    <col min="6661" max="6661" width="13" style="100" customWidth="1"/>
    <col min="6662" max="6663" width="12.85546875" style="100" customWidth="1"/>
    <col min="6664" max="6664" width="14" style="100" customWidth="1"/>
    <col min="6665" max="6665" width="13.140625" style="100" customWidth="1"/>
    <col min="6666" max="6666" width="12.85546875" style="100" customWidth="1"/>
    <col min="6667" max="6667" width="12.140625" style="100" customWidth="1"/>
    <col min="6668" max="6669" width="0" style="100" hidden="1" customWidth="1"/>
    <col min="6670" max="6670" width="11.85546875" style="100" customWidth="1"/>
    <col min="6671" max="6671" width="14.28515625" style="100" customWidth="1"/>
    <col min="6672" max="6672" width="12.28515625" style="100" customWidth="1"/>
    <col min="6673" max="6673" width="13.85546875" style="100" customWidth="1"/>
    <col min="6674" max="6674" width="15" style="100" customWidth="1"/>
    <col min="6675" max="6913" width="9.140625" style="100"/>
    <col min="6914" max="6914" width="12.28515625" style="100" customWidth="1"/>
    <col min="6915" max="6915" width="13.5703125" style="100" customWidth="1"/>
    <col min="6916" max="6916" width="12.5703125" style="100" customWidth="1"/>
    <col min="6917" max="6917" width="13" style="100" customWidth="1"/>
    <col min="6918" max="6919" width="12.85546875" style="100" customWidth="1"/>
    <col min="6920" max="6920" width="14" style="100" customWidth="1"/>
    <col min="6921" max="6921" width="13.140625" style="100" customWidth="1"/>
    <col min="6922" max="6922" width="12.85546875" style="100" customWidth="1"/>
    <col min="6923" max="6923" width="12.140625" style="100" customWidth="1"/>
    <col min="6924" max="6925" width="0" style="100" hidden="1" customWidth="1"/>
    <col min="6926" max="6926" width="11.85546875" style="100" customWidth="1"/>
    <col min="6927" max="6927" width="14.28515625" style="100" customWidth="1"/>
    <col min="6928" max="6928" width="12.28515625" style="100" customWidth="1"/>
    <col min="6929" max="6929" width="13.85546875" style="100" customWidth="1"/>
    <col min="6930" max="6930" width="15" style="100" customWidth="1"/>
    <col min="6931" max="7169" width="9.140625" style="100"/>
    <col min="7170" max="7170" width="12.28515625" style="100" customWidth="1"/>
    <col min="7171" max="7171" width="13.5703125" style="100" customWidth="1"/>
    <col min="7172" max="7172" width="12.5703125" style="100" customWidth="1"/>
    <col min="7173" max="7173" width="13" style="100" customWidth="1"/>
    <col min="7174" max="7175" width="12.85546875" style="100" customWidth="1"/>
    <col min="7176" max="7176" width="14" style="100" customWidth="1"/>
    <col min="7177" max="7177" width="13.140625" style="100" customWidth="1"/>
    <col min="7178" max="7178" width="12.85546875" style="100" customWidth="1"/>
    <col min="7179" max="7179" width="12.140625" style="100" customWidth="1"/>
    <col min="7180" max="7181" width="0" style="100" hidden="1" customWidth="1"/>
    <col min="7182" max="7182" width="11.85546875" style="100" customWidth="1"/>
    <col min="7183" max="7183" width="14.28515625" style="100" customWidth="1"/>
    <col min="7184" max="7184" width="12.28515625" style="100" customWidth="1"/>
    <col min="7185" max="7185" width="13.85546875" style="100" customWidth="1"/>
    <col min="7186" max="7186" width="15" style="100" customWidth="1"/>
    <col min="7187" max="7425" width="9.140625" style="100"/>
    <col min="7426" max="7426" width="12.28515625" style="100" customWidth="1"/>
    <col min="7427" max="7427" width="13.5703125" style="100" customWidth="1"/>
    <col min="7428" max="7428" width="12.5703125" style="100" customWidth="1"/>
    <col min="7429" max="7429" width="13" style="100" customWidth="1"/>
    <col min="7430" max="7431" width="12.85546875" style="100" customWidth="1"/>
    <col min="7432" max="7432" width="14" style="100" customWidth="1"/>
    <col min="7433" max="7433" width="13.140625" style="100" customWidth="1"/>
    <col min="7434" max="7434" width="12.85546875" style="100" customWidth="1"/>
    <col min="7435" max="7435" width="12.140625" style="100" customWidth="1"/>
    <col min="7436" max="7437" width="0" style="100" hidden="1" customWidth="1"/>
    <col min="7438" max="7438" width="11.85546875" style="100" customWidth="1"/>
    <col min="7439" max="7439" width="14.28515625" style="100" customWidth="1"/>
    <col min="7440" max="7440" width="12.28515625" style="100" customWidth="1"/>
    <col min="7441" max="7441" width="13.85546875" style="100" customWidth="1"/>
    <col min="7442" max="7442" width="15" style="100" customWidth="1"/>
    <col min="7443" max="7681" width="9.140625" style="100"/>
    <col min="7682" max="7682" width="12.28515625" style="100" customWidth="1"/>
    <col min="7683" max="7683" width="13.5703125" style="100" customWidth="1"/>
    <col min="7684" max="7684" width="12.5703125" style="100" customWidth="1"/>
    <col min="7685" max="7685" width="13" style="100" customWidth="1"/>
    <col min="7686" max="7687" width="12.85546875" style="100" customWidth="1"/>
    <col min="7688" max="7688" width="14" style="100" customWidth="1"/>
    <col min="7689" max="7689" width="13.140625" style="100" customWidth="1"/>
    <col min="7690" max="7690" width="12.85546875" style="100" customWidth="1"/>
    <col min="7691" max="7691" width="12.140625" style="100" customWidth="1"/>
    <col min="7692" max="7693" width="0" style="100" hidden="1" customWidth="1"/>
    <col min="7694" max="7694" width="11.85546875" style="100" customWidth="1"/>
    <col min="7695" max="7695" width="14.28515625" style="100" customWidth="1"/>
    <col min="7696" max="7696" width="12.28515625" style="100" customWidth="1"/>
    <col min="7697" max="7697" width="13.85546875" style="100" customWidth="1"/>
    <col min="7698" max="7698" width="15" style="100" customWidth="1"/>
    <col min="7699" max="7937" width="9.140625" style="100"/>
    <col min="7938" max="7938" width="12.28515625" style="100" customWidth="1"/>
    <col min="7939" max="7939" width="13.5703125" style="100" customWidth="1"/>
    <col min="7940" max="7940" width="12.5703125" style="100" customWidth="1"/>
    <col min="7941" max="7941" width="13" style="100" customWidth="1"/>
    <col min="7942" max="7943" width="12.85546875" style="100" customWidth="1"/>
    <col min="7944" max="7944" width="14" style="100" customWidth="1"/>
    <col min="7945" max="7945" width="13.140625" style="100" customWidth="1"/>
    <col min="7946" max="7946" width="12.85546875" style="100" customWidth="1"/>
    <col min="7947" max="7947" width="12.140625" style="100" customWidth="1"/>
    <col min="7948" max="7949" width="0" style="100" hidden="1" customWidth="1"/>
    <col min="7950" max="7950" width="11.85546875" style="100" customWidth="1"/>
    <col min="7951" max="7951" width="14.28515625" style="100" customWidth="1"/>
    <col min="7952" max="7952" width="12.28515625" style="100" customWidth="1"/>
    <col min="7953" max="7953" width="13.85546875" style="100" customWidth="1"/>
    <col min="7954" max="7954" width="15" style="100" customWidth="1"/>
    <col min="7955" max="8193" width="9.140625" style="100"/>
    <col min="8194" max="8194" width="12.28515625" style="100" customWidth="1"/>
    <col min="8195" max="8195" width="13.5703125" style="100" customWidth="1"/>
    <col min="8196" max="8196" width="12.5703125" style="100" customWidth="1"/>
    <col min="8197" max="8197" width="13" style="100" customWidth="1"/>
    <col min="8198" max="8199" width="12.85546875" style="100" customWidth="1"/>
    <col min="8200" max="8200" width="14" style="100" customWidth="1"/>
    <col min="8201" max="8201" width="13.140625" style="100" customWidth="1"/>
    <col min="8202" max="8202" width="12.85546875" style="100" customWidth="1"/>
    <col min="8203" max="8203" width="12.140625" style="100" customWidth="1"/>
    <col min="8204" max="8205" width="0" style="100" hidden="1" customWidth="1"/>
    <col min="8206" max="8206" width="11.85546875" style="100" customWidth="1"/>
    <col min="8207" max="8207" width="14.28515625" style="100" customWidth="1"/>
    <col min="8208" max="8208" width="12.28515625" style="100" customWidth="1"/>
    <col min="8209" max="8209" width="13.85546875" style="100" customWidth="1"/>
    <col min="8210" max="8210" width="15" style="100" customWidth="1"/>
    <col min="8211" max="8449" width="9.140625" style="100"/>
    <col min="8450" max="8450" width="12.28515625" style="100" customWidth="1"/>
    <col min="8451" max="8451" width="13.5703125" style="100" customWidth="1"/>
    <col min="8452" max="8452" width="12.5703125" style="100" customWidth="1"/>
    <col min="8453" max="8453" width="13" style="100" customWidth="1"/>
    <col min="8454" max="8455" width="12.85546875" style="100" customWidth="1"/>
    <col min="8456" max="8456" width="14" style="100" customWidth="1"/>
    <col min="8457" max="8457" width="13.140625" style="100" customWidth="1"/>
    <col min="8458" max="8458" width="12.85546875" style="100" customWidth="1"/>
    <col min="8459" max="8459" width="12.140625" style="100" customWidth="1"/>
    <col min="8460" max="8461" width="0" style="100" hidden="1" customWidth="1"/>
    <col min="8462" max="8462" width="11.85546875" style="100" customWidth="1"/>
    <col min="8463" max="8463" width="14.28515625" style="100" customWidth="1"/>
    <col min="8464" max="8464" width="12.28515625" style="100" customWidth="1"/>
    <col min="8465" max="8465" width="13.85546875" style="100" customWidth="1"/>
    <col min="8466" max="8466" width="15" style="100" customWidth="1"/>
    <col min="8467" max="8705" width="9.140625" style="100"/>
    <col min="8706" max="8706" width="12.28515625" style="100" customWidth="1"/>
    <col min="8707" max="8707" width="13.5703125" style="100" customWidth="1"/>
    <col min="8708" max="8708" width="12.5703125" style="100" customWidth="1"/>
    <col min="8709" max="8709" width="13" style="100" customWidth="1"/>
    <col min="8710" max="8711" width="12.85546875" style="100" customWidth="1"/>
    <col min="8712" max="8712" width="14" style="100" customWidth="1"/>
    <col min="8713" max="8713" width="13.140625" style="100" customWidth="1"/>
    <col min="8714" max="8714" width="12.85546875" style="100" customWidth="1"/>
    <col min="8715" max="8715" width="12.140625" style="100" customWidth="1"/>
    <col min="8716" max="8717" width="0" style="100" hidden="1" customWidth="1"/>
    <col min="8718" max="8718" width="11.85546875" style="100" customWidth="1"/>
    <col min="8719" max="8719" width="14.28515625" style="100" customWidth="1"/>
    <col min="8720" max="8720" width="12.28515625" style="100" customWidth="1"/>
    <col min="8721" max="8721" width="13.85546875" style="100" customWidth="1"/>
    <col min="8722" max="8722" width="15" style="100" customWidth="1"/>
    <col min="8723" max="8961" width="9.140625" style="100"/>
    <col min="8962" max="8962" width="12.28515625" style="100" customWidth="1"/>
    <col min="8963" max="8963" width="13.5703125" style="100" customWidth="1"/>
    <col min="8964" max="8964" width="12.5703125" style="100" customWidth="1"/>
    <col min="8965" max="8965" width="13" style="100" customWidth="1"/>
    <col min="8966" max="8967" width="12.85546875" style="100" customWidth="1"/>
    <col min="8968" max="8968" width="14" style="100" customWidth="1"/>
    <col min="8969" max="8969" width="13.140625" style="100" customWidth="1"/>
    <col min="8970" max="8970" width="12.85546875" style="100" customWidth="1"/>
    <col min="8971" max="8971" width="12.140625" style="100" customWidth="1"/>
    <col min="8972" max="8973" width="0" style="100" hidden="1" customWidth="1"/>
    <col min="8974" max="8974" width="11.85546875" style="100" customWidth="1"/>
    <col min="8975" max="8975" width="14.28515625" style="100" customWidth="1"/>
    <col min="8976" max="8976" width="12.28515625" style="100" customWidth="1"/>
    <col min="8977" max="8977" width="13.85546875" style="100" customWidth="1"/>
    <col min="8978" max="8978" width="15" style="100" customWidth="1"/>
    <col min="8979" max="9217" width="9.140625" style="100"/>
    <col min="9218" max="9218" width="12.28515625" style="100" customWidth="1"/>
    <col min="9219" max="9219" width="13.5703125" style="100" customWidth="1"/>
    <col min="9220" max="9220" width="12.5703125" style="100" customWidth="1"/>
    <col min="9221" max="9221" width="13" style="100" customWidth="1"/>
    <col min="9222" max="9223" width="12.85546875" style="100" customWidth="1"/>
    <col min="9224" max="9224" width="14" style="100" customWidth="1"/>
    <col min="9225" max="9225" width="13.140625" style="100" customWidth="1"/>
    <col min="9226" max="9226" width="12.85546875" style="100" customWidth="1"/>
    <col min="9227" max="9227" width="12.140625" style="100" customWidth="1"/>
    <col min="9228" max="9229" width="0" style="100" hidden="1" customWidth="1"/>
    <col min="9230" max="9230" width="11.85546875" style="100" customWidth="1"/>
    <col min="9231" max="9231" width="14.28515625" style="100" customWidth="1"/>
    <col min="9232" max="9232" width="12.28515625" style="100" customWidth="1"/>
    <col min="9233" max="9233" width="13.85546875" style="100" customWidth="1"/>
    <col min="9234" max="9234" width="15" style="100" customWidth="1"/>
    <col min="9235" max="9473" width="9.140625" style="100"/>
    <col min="9474" max="9474" width="12.28515625" style="100" customWidth="1"/>
    <col min="9475" max="9475" width="13.5703125" style="100" customWidth="1"/>
    <col min="9476" max="9476" width="12.5703125" style="100" customWidth="1"/>
    <col min="9477" max="9477" width="13" style="100" customWidth="1"/>
    <col min="9478" max="9479" width="12.85546875" style="100" customWidth="1"/>
    <col min="9480" max="9480" width="14" style="100" customWidth="1"/>
    <col min="9481" max="9481" width="13.140625" style="100" customWidth="1"/>
    <col min="9482" max="9482" width="12.85546875" style="100" customWidth="1"/>
    <col min="9483" max="9483" width="12.140625" style="100" customWidth="1"/>
    <col min="9484" max="9485" width="0" style="100" hidden="1" customWidth="1"/>
    <col min="9486" max="9486" width="11.85546875" style="100" customWidth="1"/>
    <col min="9487" max="9487" width="14.28515625" style="100" customWidth="1"/>
    <col min="9488" max="9488" width="12.28515625" style="100" customWidth="1"/>
    <col min="9489" max="9489" width="13.85546875" style="100" customWidth="1"/>
    <col min="9490" max="9490" width="15" style="100" customWidth="1"/>
    <col min="9491" max="9729" width="9.140625" style="100"/>
    <col min="9730" max="9730" width="12.28515625" style="100" customWidth="1"/>
    <col min="9731" max="9731" width="13.5703125" style="100" customWidth="1"/>
    <col min="9732" max="9732" width="12.5703125" style="100" customWidth="1"/>
    <col min="9733" max="9733" width="13" style="100" customWidth="1"/>
    <col min="9734" max="9735" width="12.85546875" style="100" customWidth="1"/>
    <col min="9736" max="9736" width="14" style="100" customWidth="1"/>
    <col min="9737" max="9737" width="13.140625" style="100" customWidth="1"/>
    <col min="9738" max="9738" width="12.85546875" style="100" customWidth="1"/>
    <col min="9739" max="9739" width="12.140625" style="100" customWidth="1"/>
    <col min="9740" max="9741" width="0" style="100" hidden="1" customWidth="1"/>
    <col min="9742" max="9742" width="11.85546875" style="100" customWidth="1"/>
    <col min="9743" max="9743" width="14.28515625" style="100" customWidth="1"/>
    <col min="9744" max="9744" width="12.28515625" style="100" customWidth="1"/>
    <col min="9745" max="9745" width="13.85546875" style="100" customWidth="1"/>
    <col min="9746" max="9746" width="15" style="100" customWidth="1"/>
    <col min="9747" max="9985" width="9.140625" style="100"/>
    <col min="9986" max="9986" width="12.28515625" style="100" customWidth="1"/>
    <col min="9987" max="9987" width="13.5703125" style="100" customWidth="1"/>
    <col min="9988" max="9988" width="12.5703125" style="100" customWidth="1"/>
    <col min="9989" max="9989" width="13" style="100" customWidth="1"/>
    <col min="9990" max="9991" width="12.85546875" style="100" customWidth="1"/>
    <col min="9992" max="9992" width="14" style="100" customWidth="1"/>
    <col min="9993" max="9993" width="13.140625" style="100" customWidth="1"/>
    <col min="9994" max="9994" width="12.85546875" style="100" customWidth="1"/>
    <col min="9995" max="9995" width="12.140625" style="100" customWidth="1"/>
    <col min="9996" max="9997" width="0" style="100" hidden="1" customWidth="1"/>
    <col min="9998" max="9998" width="11.85546875" style="100" customWidth="1"/>
    <col min="9999" max="9999" width="14.28515625" style="100" customWidth="1"/>
    <col min="10000" max="10000" width="12.28515625" style="100" customWidth="1"/>
    <col min="10001" max="10001" width="13.85546875" style="100" customWidth="1"/>
    <col min="10002" max="10002" width="15" style="100" customWidth="1"/>
    <col min="10003" max="10241" width="9.140625" style="100"/>
    <col min="10242" max="10242" width="12.28515625" style="100" customWidth="1"/>
    <col min="10243" max="10243" width="13.5703125" style="100" customWidth="1"/>
    <col min="10244" max="10244" width="12.5703125" style="100" customWidth="1"/>
    <col min="10245" max="10245" width="13" style="100" customWidth="1"/>
    <col min="10246" max="10247" width="12.85546875" style="100" customWidth="1"/>
    <col min="10248" max="10248" width="14" style="100" customWidth="1"/>
    <col min="10249" max="10249" width="13.140625" style="100" customWidth="1"/>
    <col min="10250" max="10250" width="12.85546875" style="100" customWidth="1"/>
    <col min="10251" max="10251" width="12.140625" style="100" customWidth="1"/>
    <col min="10252" max="10253" width="0" style="100" hidden="1" customWidth="1"/>
    <col min="10254" max="10254" width="11.85546875" style="100" customWidth="1"/>
    <col min="10255" max="10255" width="14.28515625" style="100" customWidth="1"/>
    <col min="10256" max="10256" width="12.28515625" style="100" customWidth="1"/>
    <col min="10257" max="10257" width="13.85546875" style="100" customWidth="1"/>
    <col min="10258" max="10258" width="15" style="100" customWidth="1"/>
    <col min="10259" max="10497" width="9.140625" style="100"/>
    <col min="10498" max="10498" width="12.28515625" style="100" customWidth="1"/>
    <col min="10499" max="10499" width="13.5703125" style="100" customWidth="1"/>
    <col min="10500" max="10500" width="12.5703125" style="100" customWidth="1"/>
    <col min="10501" max="10501" width="13" style="100" customWidth="1"/>
    <col min="10502" max="10503" width="12.85546875" style="100" customWidth="1"/>
    <col min="10504" max="10504" width="14" style="100" customWidth="1"/>
    <col min="10505" max="10505" width="13.140625" style="100" customWidth="1"/>
    <col min="10506" max="10506" width="12.85546875" style="100" customWidth="1"/>
    <col min="10507" max="10507" width="12.140625" style="100" customWidth="1"/>
    <col min="10508" max="10509" width="0" style="100" hidden="1" customWidth="1"/>
    <col min="10510" max="10510" width="11.85546875" style="100" customWidth="1"/>
    <col min="10511" max="10511" width="14.28515625" style="100" customWidth="1"/>
    <col min="10512" max="10512" width="12.28515625" style="100" customWidth="1"/>
    <col min="10513" max="10513" width="13.85546875" style="100" customWidth="1"/>
    <col min="10514" max="10514" width="15" style="100" customWidth="1"/>
    <col min="10515" max="10753" width="9.140625" style="100"/>
    <col min="10754" max="10754" width="12.28515625" style="100" customWidth="1"/>
    <col min="10755" max="10755" width="13.5703125" style="100" customWidth="1"/>
    <col min="10756" max="10756" width="12.5703125" style="100" customWidth="1"/>
    <col min="10757" max="10757" width="13" style="100" customWidth="1"/>
    <col min="10758" max="10759" width="12.85546875" style="100" customWidth="1"/>
    <col min="10760" max="10760" width="14" style="100" customWidth="1"/>
    <col min="10761" max="10761" width="13.140625" style="100" customWidth="1"/>
    <col min="10762" max="10762" width="12.85546875" style="100" customWidth="1"/>
    <col min="10763" max="10763" width="12.140625" style="100" customWidth="1"/>
    <col min="10764" max="10765" width="0" style="100" hidden="1" customWidth="1"/>
    <col min="10766" max="10766" width="11.85546875" style="100" customWidth="1"/>
    <col min="10767" max="10767" width="14.28515625" style="100" customWidth="1"/>
    <col min="10768" max="10768" width="12.28515625" style="100" customWidth="1"/>
    <col min="10769" max="10769" width="13.85546875" style="100" customWidth="1"/>
    <col min="10770" max="10770" width="15" style="100" customWidth="1"/>
    <col min="10771" max="11009" width="9.140625" style="100"/>
    <col min="11010" max="11010" width="12.28515625" style="100" customWidth="1"/>
    <col min="11011" max="11011" width="13.5703125" style="100" customWidth="1"/>
    <col min="11012" max="11012" width="12.5703125" style="100" customWidth="1"/>
    <col min="11013" max="11013" width="13" style="100" customWidth="1"/>
    <col min="11014" max="11015" width="12.85546875" style="100" customWidth="1"/>
    <col min="11016" max="11016" width="14" style="100" customWidth="1"/>
    <col min="11017" max="11017" width="13.140625" style="100" customWidth="1"/>
    <col min="11018" max="11018" width="12.85546875" style="100" customWidth="1"/>
    <col min="11019" max="11019" width="12.140625" style="100" customWidth="1"/>
    <col min="11020" max="11021" width="0" style="100" hidden="1" customWidth="1"/>
    <col min="11022" max="11022" width="11.85546875" style="100" customWidth="1"/>
    <col min="11023" max="11023" width="14.28515625" style="100" customWidth="1"/>
    <col min="11024" max="11024" width="12.28515625" style="100" customWidth="1"/>
    <col min="11025" max="11025" width="13.85546875" style="100" customWidth="1"/>
    <col min="11026" max="11026" width="15" style="100" customWidth="1"/>
    <col min="11027" max="11265" width="9.140625" style="100"/>
    <col min="11266" max="11266" width="12.28515625" style="100" customWidth="1"/>
    <col min="11267" max="11267" width="13.5703125" style="100" customWidth="1"/>
    <col min="11268" max="11268" width="12.5703125" style="100" customWidth="1"/>
    <col min="11269" max="11269" width="13" style="100" customWidth="1"/>
    <col min="11270" max="11271" width="12.85546875" style="100" customWidth="1"/>
    <col min="11272" max="11272" width="14" style="100" customWidth="1"/>
    <col min="11273" max="11273" width="13.140625" style="100" customWidth="1"/>
    <col min="11274" max="11274" width="12.85546875" style="100" customWidth="1"/>
    <col min="11275" max="11275" width="12.140625" style="100" customWidth="1"/>
    <col min="11276" max="11277" width="0" style="100" hidden="1" customWidth="1"/>
    <col min="11278" max="11278" width="11.85546875" style="100" customWidth="1"/>
    <col min="11279" max="11279" width="14.28515625" style="100" customWidth="1"/>
    <col min="11280" max="11280" width="12.28515625" style="100" customWidth="1"/>
    <col min="11281" max="11281" width="13.85546875" style="100" customWidth="1"/>
    <col min="11282" max="11282" width="15" style="100" customWidth="1"/>
    <col min="11283" max="11521" width="9.140625" style="100"/>
    <col min="11522" max="11522" width="12.28515625" style="100" customWidth="1"/>
    <col min="11523" max="11523" width="13.5703125" style="100" customWidth="1"/>
    <col min="11524" max="11524" width="12.5703125" style="100" customWidth="1"/>
    <col min="11525" max="11525" width="13" style="100" customWidth="1"/>
    <col min="11526" max="11527" width="12.85546875" style="100" customWidth="1"/>
    <col min="11528" max="11528" width="14" style="100" customWidth="1"/>
    <col min="11529" max="11529" width="13.140625" style="100" customWidth="1"/>
    <col min="11530" max="11530" width="12.85546875" style="100" customWidth="1"/>
    <col min="11531" max="11531" width="12.140625" style="100" customWidth="1"/>
    <col min="11532" max="11533" width="0" style="100" hidden="1" customWidth="1"/>
    <col min="11534" max="11534" width="11.85546875" style="100" customWidth="1"/>
    <col min="11535" max="11535" width="14.28515625" style="100" customWidth="1"/>
    <col min="11536" max="11536" width="12.28515625" style="100" customWidth="1"/>
    <col min="11537" max="11537" width="13.85546875" style="100" customWidth="1"/>
    <col min="11538" max="11538" width="15" style="100" customWidth="1"/>
    <col min="11539" max="11777" width="9.140625" style="100"/>
    <col min="11778" max="11778" width="12.28515625" style="100" customWidth="1"/>
    <col min="11779" max="11779" width="13.5703125" style="100" customWidth="1"/>
    <col min="11780" max="11780" width="12.5703125" style="100" customWidth="1"/>
    <col min="11781" max="11781" width="13" style="100" customWidth="1"/>
    <col min="11782" max="11783" width="12.85546875" style="100" customWidth="1"/>
    <col min="11784" max="11784" width="14" style="100" customWidth="1"/>
    <col min="11785" max="11785" width="13.140625" style="100" customWidth="1"/>
    <col min="11786" max="11786" width="12.85546875" style="100" customWidth="1"/>
    <col min="11787" max="11787" width="12.140625" style="100" customWidth="1"/>
    <col min="11788" max="11789" width="0" style="100" hidden="1" customWidth="1"/>
    <col min="11790" max="11790" width="11.85546875" style="100" customWidth="1"/>
    <col min="11791" max="11791" width="14.28515625" style="100" customWidth="1"/>
    <col min="11792" max="11792" width="12.28515625" style="100" customWidth="1"/>
    <col min="11793" max="11793" width="13.85546875" style="100" customWidth="1"/>
    <col min="11794" max="11794" width="15" style="100" customWidth="1"/>
    <col min="11795" max="12033" width="9.140625" style="100"/>
    <col min="12034" max="12034" width="12.28515625" style="100" customWidth="1"/>
    <col min="12035" max="12035" width="13.5703125" style="100" customWidth="1"/>
    <col min="12036" max="12036" width="12.5703125" style="100" customWidth="1"/>
    <col min="12037" max="12037" width="13" style="100" customWidth="1"/>
    <col min="12038" max="12039" width="12.85546875" style="100" customWidth="1"/>
    <col min="12040" max="12040" width="14" style="100" customWidth="1"/>
    <col min="12041" max="12041" width="13.140625" style="100" customWidth="1"/>
    <col min="12042" max="12042" width="12.85546875" style="100" customWidth="1"/>
    <col min="12043" max="12043" width="12.140625" style="100" customWidth="1"/>
    <col min="12044" max="12045" width="0" style="100" hidden="1" customWidth="1"/>
    <col min="12046" max="12046" width="11.85546875" style="100" customWidth="1"/>
    <col min="12047" max="12047" width="14.28515625" style="100" customWidth="1"/>
    <col min="12048" max="12048" width="12.28515625" style="100" customWidth="1"/>
    <col min="12049" max="12049" width="13.85546875" style="100" customWidth="1"/>
    <col min="12050" max="12050" width="15" style="100" customWidth="1"/>
    <col min="12051" max="12289" width="9.140625" style="100"/>
    <col min="12290" max="12290" width="12.28515625" style="100" customWidth="1"/>
    <col min="12291" max="12291" width="13.5703125" style="100" customWidth="1"/>
    <col min="12292" max="12292" width="12.5703125" style="100" customWidth="1"/>
    <col min="12293" max="12293" width="13" style="100" customWidth="1"/>
    <col min="12294" max="12295" width="12.85546875" style="100" customWidth="1"/>
    <col min="12296" max="12296" width="14" style="100" customWidth="1"/>
    <col min="12297" max="12297" width="13.140625" style="100" customWidth="1"/>
    <col min="12298" max="12298" width="12.85546875" style="100" customWidth="1"/>
    <col min="12299" max="12299" width="12.140625" style="100" customWidth="1"/>
    <col min="12300" max="12301" width="0" style="100" hidden="1" customWidth="1"/>
    <col min="12302" max="12302" width="11.85546875" style="100" customWidth="1"/>
    <col min="12303" max="12303" width="14.28515625" style="100" customWidth="1"/>
    <col min="12304" max="12304" width="12.28515625" style="100" customWidth="1"/>
    <col min="12305" max="12305" width="13.85546875" style="100" customWidth="1"/>
    <col min="12306" max="12306" width="15" style="100" customWidth="1"/>
    <col min="12307" max="12545" width="9.140625" style="100"/>
    <col min="12546" max="12546" width="12.28515625" style="100" customWidth="1"/>
    <col min="12547" max="12547" width="13.5703125" style="100" customWidth="1"/>
    <col min="12548" max="12548" width="12.5703125" style="100" customWidth="1"/>
    <col min="12549" max="12549" width="13" style="100" customWidth="1"/>
    <col min="12550" max="12551" width="12.85546875" style="100" customWidth="1"/>
    <col min="12552" max="12552" width="14" style="100" customWidth="1"/>
    <col min="12553" max="12553" width="13.140625" style="100" customWidth="1"/>
    <col min="12554" max="12554" width="12.85546875" style="100" customWidth="1"/>
    <col min="12555" max="12555" width="12.140625" style="100" customWidth="1"/>
    <col min="12556" max="12557" width="0" style="100" hidden="1" customWidth="1"/>
    <col min="12558" max="12558" width="11.85546875" style="100" customWidth="1"/>
    <col min="12559" max="12559" width="14.28515625" style="100" customWidth="1"/>
    <col min="12560" max="12560" width="12.28515625" style="100" customWidth="1"/>
    <col min="12561" max="12561" width="13.85546875" style="100" customWidth="1"/>
    <col min="12562" max="12562" width="15" style="100" customWidth="1"/>
    <col min="12563" max="12801" width="9.140625" style="100"/>
    <col min="12802" max="12802" width="12.28515625" style="100" customWidth="1"/>
    <col min="12803" max="12803" width="13.5703125" style="100" customWidth="1"/>
    <col min="12804" max="12804" width="12.5703125" style="100" customWidth="1"/>
    <col min="12805" max="12805" width="13" style="100" customWidth="1"/>
    <col min="12806" max="12807" width="12.85546875" style="100" customWidth="1"/>
    <col min="12808" max="12808" width="14" style="100" customWidth="1"/>
    <col min="12809" max="12809" width="13.140625" style="100" customWidth="1"/>
    <col min="12810" max="12810" width="12.85546875" style="100" customWidth="1"/>
    <col min="12811" max="12811" width="12.140625" style="100" customWidth="1"/>
    <col min="12812" max="12813" width="0" style="100" hidden="1" customWidth="1"/>
    <col min="12814" max="12814" width="11.85546875" style="100" customWidth="1"/>
    <col min="12815" max="12815" width="14.28515625" style="100" customWidth="1"/>
    <col min="12816" max="12816" width="12.28515625" style="100" customWidth="1"/>
    <col min="12817" max="12817" width="13.85546875" style="100" customWidth="1"/>
    <col min="12818" max="12818" width="15" style="100" customWidth="1"/>
    <col min="12819" max="13057" width="9.140625" style="100"/>
    <col min="13058" max="13058" width="12.28515625" style="100" customWidth="1"/>
    <col min="13059" max="13059" width="13.5703125" style="100" customWidth="1"/>
    <col min="13060" max="13060" width="12.5703125" style="100" customWidth="1"/>
    <col min="13061" max="13061" width="13" style="100" customWidth="1"/>
    <col min="13062" max="13063" width="12.85546875" style="100" customWidth="1"/>
    <col min="13064" max="13064" width="14" style="100" customWidth="1"/>
    <col min="13065" max="13065" width="13.140625" style="100" customWidth="1"/>
    <col min="13066" max="13066" width="12.85546875" style="100" customWidth="1"/>
    <col min="13067" max="13067" width="12.140625" style="100" customWidth="1"/>
    <col min="13068" max="13069" width="0" style="100" hidden="1" customWidth="1"/>
    <col min="13070" max="13070" width="11.85546875" style="100" customWidth="1"/>
    <col min="13071" max="13071" width="14.28515625" style="100" customWidth="1"/>
    <col min="13072" max="13072" width="12.28515625" style="100" customWidth="1"/>
    <col min="13073" max="13073" width="13.85546875" style="100" customWidth="1"/>
    <col min="13074" max="13074" width="15" style="100" customWidth="1"/>
    <col min="13075" max="13313" width="9.140625" style="100"/>
    <col min="13314" max="13314" width="12.28515625" style="100" customWidth="1"/>
    <col min="13315" max="13315" width="13.5703125" style="100" customWidth="1"/>
    <col min="13316" max="13316" width="12.5703125" style="100" customWidth="1"/>
    <col min="13317" max="13317" width="13" style="100" customWidth="1"/>
    <col min="13318" max="13319" width="12.85546875" style="100" customWidth="1"/>
    <col min="13320" max="13320" width="14" style="100" customWidth="1"/>
    <col min="13321" max="13321" width="13.140625" style="100" customWidth="1"/>
    <col min="13322" max="13322" width="12.85546875" style="100" customWidth="1"/>
    <col min="13323" max="13323" width="12.140625" style="100" customWidth="1"/>
    <col min="13324" max="13325" width="0" style="100" hidden="1" customWidth="1"/>
    <col min="13326" max="13326" width="11.85546875" style="100" customWidth="1"/>
    <col min="13327" max="13327" width="14.28515625" style="100" customWidth="1"/>
    <col min="13328" max="13328" width="12.28515625" style="100" customWidth="1"/>
    <col min="13329" max="13329" width="13.85546875" style="100" customWidth="1"/>
    <col min="13330" max="13330" width="15" style="100" customWidth="1"/>
    <col min="13331" max="13569" width="9.140625" style="100"/>
    <col min="13570" max="13570" width="12.28515625" style="100" customWidth="1"/>
    <col min="13571" max="13571" width="13.5703125" style="100" customWidth="1"/>
    <col min="13572" max="13572" width="12.5703125" style="100" customWidth="1"/>
    <col min="13573" max="13573" width="13" style="100" customWidth="1"/>
    <col min="13574" max="13575" width="12.85546875" style="100" customWidth="1"/>
    <col min="13576" max="13576" width="14" style="100" customWidth="1"/>
    <col min="13577" max="13577" width="13.140625" style="100" customWidth="1"/>
    <col min="13578" max="13578" width="12.85546875" style="100" customWidth="1"/>
    <col min="13579" max="13579" width="12.140625" style="100" customWidth="1"/>
    <col min="13580" max="13581" width="0" style="100" hidden="1" customWidth="1"/>
    <col min="13582" max="13582" width="11.85546875" style="100" customWidth="1"/>
    <col min="13583" max="13583" width="14.28515625" style="100" customWidth="1"/>
    <col min="13584" max="13584" width="12.28515625" style="100" customWidth="1"/>
    <col min="13585" max="13585" width="13.85546875" style="100" customWidth="1"/>
    <col min="13586" max="13586" width="15" style="100" customWidth="1"/>
    <col min="13587" max="13825" width="9.140625" style="100"/>
    <col min="13826" max="13826" width="12.28515625" style="100" customWidth="1"/>
    <col min="13827" max="13827" width="13.5703125" style="100" customWidth="1"/>
    <col min="13828" max="13828" width="12.5703125" style="100" customWidth="1"/>
    <col min="13829" max="13829" width="13" style="100" customWidth="1"/>
    <col min="13830" max="13831" width="12.85546875" style="100" customWidth="1"/>
    <col min="13832" max="13832" width="14" style="100" customWidth="1"/>
    <col min="13833" max="13833" width="13.140625" style="100" customWidth="1"/>
    <col min="13834" max="13834" width="12.85546875" style="100" customWidth="1"/>
    <col min="13835" max="13835" width="12.140625" style="100" customWidth="1"/>
    <col min="13836" max="13837" width="0" style="100" hidden="1" customWidth="1"/>
    <col min="13838" max="13838" width="11.85546875" style="100" customWidth="1"/>
    <col min="13839" max="13839" width="14.28515625" style="100" customWidth="1"/>
    <col min="13840" max="13840" width="12.28515625" style="100" customWidth="1"/>
    <col min="13841" max="13841" width="13.85546875" style="100" customWidth="1"/>
    <col min="13842" max="13842" width="15" style="100" customWidth="1"/>
    <col min="13843" max="14081" width="9.140625" style="100"/>
    <col min="14082" max="14082" width="12.28515625" style="100" customWidth="1"/>
    <col min="14083" max="14083" width="13.5703125" style="100" customWidth="1"/>
    <col min="14084" max="14084" width="12.5703125" style="100" customWidth="1"/>
    <col min="14085" max="14085" width="13" style="100" customWidth="1"/>
    <col min="14086" max="14087" width="12.85546875" style="100" customWidth="1"/>
    <col min="14088" max="14088" width="14" style="100" customWidth="1"/>
    <col min="14089" max="14089" width="13.140625" style="100" customWidth="1"/>
    <col min="14090" max="14090" width="12.85546875" style="100" customWidth="1"/>
    <col min="14091" max="14091" width="12.140625" style="100" customWidth="1"/>
    <col min="14092" max="14093" width="0" style="100" hidden="1" customWidth="1"/>
    <col min="14094" max="14094" width="11.85546875" style="100" customWidth="1"/>
    <col min="14095" max="14095" width="14.28515625" style="100" customWidth="1"/>
    <col min="14096" max="14096" width="12.28515625" style="100" customWidth="1"/>
    <col min="14097" max="14097" width="13.85546875" style="100" customWidth="1"/>
    <col min="14098" max="14098" width="15" style="100" customWidth="1"/>
    <col min="14099" max="14337" width="9.140625" style="100"/>
    <col min="14338" max="14338" width="12.28515625" style="100" customWidth="1"/>
    <col min="14339" max="14339" width="13.5703125" style="100" customWidth="1"/>
    <col min="14340" max="14340" width="12.5703125" style="100" customWidth="1"/>
    <col min="14341" max="14341" width="13" style="100" customWidth="1"/>
    <col min="14342" max="14343" width="12.85546875" style="100" customWidth="1"/>
    <col min="14344" max="14344" width="14" style="100" customWidth="1"/>
    <col min="14345" max="14345" width="13.140625" style="100" customWidth="1"/>
    <col min="14346" max="14346" width="12.85546875" style="100" customWidth="1"/>
    <col min="14347" max="14347" width="12.140625" style="100" customWidth="1"/>
    <col min="14348" max="14349" width="0" style="100" hidden="1" customWidth="1"/>
    <col min="14350" max="14350" width="11.85546875" style="100" customWidth="1"/>
    <col min="14351" max="14351" width="14.28515625" style="100" customWidth="1"/>
    <col min="14352" max="14352" width="12.28515625" style="100" customWidth="1"/>
    <col min="14353" max="14353" width="13.85546875" style="100" customWidth="1"/>
    <col min="14354" max="14354" width="15" style="100" customWidth="1"/>
    <col min="14355" max="14593" width="9.140625" style="100"/>
    <col min="14594" max="14594" width="12.28515625" style="100" customWidth="1"/>
    <col min="14595" max="14595" width="13.5703125" style="100" customWidth="1"/>
    <col min="14596" max="14596" width="12.5703125" style="100" customWidth="1"/>
    <col min="14597" max="14597" width="13" style="100" customWidth="1"/>
    <col min="14598" max="14599" width="12.85546875" style="100" customWidth="1"/>
    <col min="14600" max="14600" width="14" style="100" customWidth="1"/>
    <col min="14601" max="14601" width="13.140625" style="100" customWidth="1"/>
    <col min="14602" max="14602" width="12.85546875" style="100" customWidth="1"/>
    <col min="14603" max="14603" width="12.140625" style="100" customWidth="1"/>
    <col min="14604" max="14605" width="0" style="100" hidden="1" customWidth="1"/>
    <col min="14606" max="14606" width="11.85546875" style="100" customWidth="1"/>
    <col min="14607" max="14607" width="14.28515625" style="100" customWidth="1"/>
    <col min="14608" max="14608" width="12.28515625" style="100" customWidth="1"/>
    <col min="14609" max="14609" width="13.85546875" style="100" customWidth="1"/>
    <col min="14610" max="14610" width="15" style="100" customWidth="1"/>
    <col min="14611" max="14849" width="9.140625" style="100"/>
    <col min="14850" max="14850" width="12.28515625" style="100" customWidth="1"/>
    <col min="14851" max="14851" width="13.5703125" style="100" customWidth="1"/>
    <col min="14852" max="14852" width="12.5703125" style="100" customWidth="1"/>
    <col min="14853" max="14853" width="13" style="100" customWidth="1"/>
    <col min="14854" max="14855" width="12.85546875" style="100" customWidth="1"/>
    <col min="14856" max="14856" width="14" style="100" customWidth="1"/>
    <col min="14857" max="14857" width="13.140625" style="100" customWidth="1"/>
    <col min="14858" max="14858" width="12.85546875" style="100" customWidth="1"/>
    <col min="14859" max="14859" width="12.140625" style="100" customWidth="1"/>
    <col min="14860" max="14861" width="0" style="100" hidden="1" customWidth="1"/>
    <col min="14862" max="14862" width="11.85546875" style="100" customWidth="1"/>
    <col min="14863" max="14863" width="14.28515625" style="100" customWidth="1"/>
    <col min="14864" max="14864" width="12.28515625" style="100" customWidth="1"/>
    <col min="14865" max="14865" width="13.85546875" style="100" customWidth="1"/>
    <col min="14866" max="14866" width="15" style="100" customWidth="1"/>
    <col min="14867" max="15105" width="9.140625" style="100"/>
    <col min="15106" max="15106" width="12.28515625" style="100" customWidth="1"/>
    <col min="15107" max="15107" width="13.5703125" style="100" customWidth="1"/>
    <col min="15108" max="15108" width="12.5703125" style="100" customWidth="1"/>
    <col min="15109" max="15109" width="13" style="100" customWidth="1"/>
    <col min="15110" max="15111" width="12.85546875" style="100" customWidth="1"/>
    <col min="15112" max="15112" width="14" style="100" customWidth="1"/>
    <col min="15113" max="15113" width="13.140625" style="100" customWidth="1"/>
    <col min="15114" max="15114" width="12.85546875" style="100" customWidth="1"/>
    <col min="15115" max="15115" width="12.140625" style="100" customWidth="1"/>
    <col min="15116" max="15117" width="0" style="100" hidden="1" customWidth="1"/>
    <col min="15118" max="15118" width="11.85546875" style="100" customWidth="1"/>
    <col min="15119" max="15119" width="14.28515625" style="100" customWidth="1"/>
    <col min="15120" max="15120" width="12.28515625" style="100" customWidth="1"/>
    <col min="15121" max="15121" width="13.85546875" style="100" customWidth="1"/>
    <col min="15122" max="15122" width="15" style="100" customWidth="1"/>
    <col min="15123" max="15361" width="9.140625" style="100"/>
    <col min="15362" max="15362" width="12.28515625" style="100" customWidth="1"/>
    <col min="15363" max="15363" width="13.5703125" style="100" customWidth="1"/>
    <col min="15364" max="15364" width="12.5703125" style="100" customWidth="1"/>
    <col min="15365" max="15365" width="13" style="100" customWidth="1"/>
    <col min="15366" max="15367" width="12.85546875" style="100" customWidth="1"/>
    <col min="15368" max="15368" width="14" style="100" customWidth="1"/>
    <col min="15369" max="15369" width="13.140625" style="100" customWidth="1"/>
    <col min="15370" max="15370" width="12.85546875" style="100" customWidth="1"/>
    <col min="15371" max="15371" width="12.140625" style="100" customWidth="1"/>
    <col min="15372" max="15373" width="0" style="100" hidden="1" customWidth="1"/>
    <col min="15374" max="15374" width="11.85546875" style="100" customWidth="1"/>
    <col min="15375" max="15375" width="14.28515625" style="100" customWidth="1"/>
    <col min="15376" max="15376" width="12.28515625" style="100" customWidth="1"/>
    <col min="15377" max="15377" width="13.85546875" style="100" customWidth="1"/>
    <col min="15378" max="15378" width="15" style="100" customWidth="1"/>
    <col min="15379" max="15617" width="9.140625" style="100"/>
    <col min="15618" max="15618" width="12.28515625" style="100" customWidth="1"/>
    <col min="15619" max="15619" width="13.5703125" style="100" customWidth="1"/>
    <col min="15620" max="15620" width="12.5703125" style="100" customWidth="1"/>
    <col min="15621" max="15621" width="13" style="100" customWidth="1"/>
    <col min="15622" max="15623" width="12.85546875" style="100" customWidth="1"/>
    <col min="15624" max="15624" width="14" style="100" customWidth="1"/>
    <col min="15625" max="15625" width="13.140625" style="100" customWidth="1"/>
    <col min="15626" max="15626" width="12.85546875" style="100" customWidth="1"/>
    <col min="15627" max="15627" width="12.140625" style="100" customWidth="1"/>
    <col min="15628" max="15629" width="0" style="100" hidden="1" customWidth="1"/>
    <col min="15630" max="15630" width="11.85546875" style="100" customWidth="1"/>
    <col min="15631" max="15631" width="14.28515625" style="100" customWidth="1"/>
    <col min="15632" max="15632" width="12.28515625" style="100" customWidth="1"/>
    <col min="15633" max="15633" width="13.85546875" style="100" customWidth="1"/>
    <col min="15634" max="15634" width="15" style="100" customWidth="1"/>
    <col min="15635" max="15873" width="9.140625" style="100"/>
    <col min="15874" max="15874" width="12.28515625" style="100" customWidth="1"/>
    <col min="15875" max="15875" width="13.5703125" style="100" customWidth="1"/>
    <col min="15876" max="15876" width="12.5703125" style="100" customWidth="1"/>
    <col min="15877" max="15877" width="13" style="100" customWidth="1"/>
    <col min="15878" max="15879" width="12.85546875" style="100" customWidth="1"/>
    <col min="15880" max="15880" width="14" style="100" customWidth="1"/>
    <col min="15881" max="15881" width="13.140625" style="100" customWidth="1"/>
    <col min="15882" max="15882" width="12.85546875" style="100" customWidth="1"/>
    <col min="15883" max="15883" width="12.140625" style="100" customWidth="1"/>
    <col min="15884" max="15885" width="0" style="100" hidden="1" customWidth="1"/>
    <col min="15886" max="15886" width="11.85546875" style="100" customWidth="1"/>
    <col min="15887" max="15887" width="14.28515625" style="100" customWidth="1"/>
    <col min="15888" max="15888" width="12.28515625" style="100" customWidth="1"/>
    <col min="15889" max="15889" width="13.85546875" style="100" customWidth="1"/>
    <col min="15890" max="15890" width="15" style="100" customWidth="1"/>
    <col min="15891" max="16129" width="9.140625" style="100"/>
    <col min="16130" max="16130" width="12.28515625" style="100" customWidth="1"/>
    <col min="16131" max="16131" width="13.5703125" style="100" customWidth="1"/>
    <col min="16132" max="16132" width="12.5703125" style="100" customWidth="1"/>
    <col min="16133" max="16133" width="13" style="100" customWidth="1"/>
    <col min="16134" max="16135" width="12.85546875" style="100" customWidth="1"/>
    <col min="16136" max="16136" width="14" style="100" customWidth="1"/>
    <col min="16137" max="16137" width="13.140625" style="100" customWidth="1"/>
    <col min="16138" max="16138" width="12.85546875" style="100" customWidth="1"/>
    <col min="16139" max="16139" width="12.140625" style="100" customWidth="1"/>
    <col min="16140" max="16141" width="0" style="100" hidden="1" customWidth="1"/>
    <col min="16142" max="16142" width="11.85546875" style="100" customWidth="1"/>
    <col min="16143" max="16143" width="14.28515625" style="100" customWidth="1"/>
    <col min="16144" max="16144" width="12.28515625" style="100" customWidth="1"/>
    <col min="16145" max="16145" width="13.85546875" style="100" customWidth="1"/>
    <col min="16146" max="16146" width="15" style="100" customWidth="1"/>
    <col min="16147" max="16384" width="9.140625" style="100"/>
  </cols>
  <sheetData>
    <row r="1" spans="2:17" ht="18" x14ac:dyDescent="0.25">
      <c r="B1" s="117" t="s">
        <v>92</v>
      </c>
      <c r="H1" s="118"/>
      <c r="I1" s="117" t="s">
        <v>92</v>
      </c>
      <c r="Q1" s="118"/>
    </row>
    <row r="2" spans="2:17" x14ac:dyDescent="0.2">
      <c r="B2" s="104" t="s">
        <v>132</v>
      </c>
      <c r="H2" s="120"/>
      <c r="I2" s="104" t="s">
        <v>132</v>
      </c>
      <c r="Q2" s="120"/>
    </row>
    <row r="3" spans="2:17" x14ac:dyDescent="0.2">
      <c r="B3" s="104"/>
      <c r="H3" s="121"/>
      <c r="I3" s="104"/>
      <c r="Q3" s="121"/>
    </row>
    <row r="4" spans="2:17" x14ac:dyDescent="0.2">
      <c r="B4" s="104"/>
      <c r="H4" s="121"/>
      <c r="I4" s="104"/>
      <c r="Q4" s="121"/>
    </row>
    <row r="7" spans="2:17" x14ac:dyDescent="0.2">
      <c r="B7" s="104" t="s">
        <v>141</v>
      </c>
      <c r="I7" s="104" t="s">
        <v>141</v>
      </c>
    </row>
    <row r="8" spans="2:17" x14ac:dyDescent="0.2">
      <c r="B8" s="151" t="s">
        <v>142</v>
      </c>
      <c r="E8" s="139">
        <v>1000</v>
      </c>
      <c r="I8" s="151" t="s">
        <v>142</v>
      </c>
      <c r="L8" s="139">
        <v>1000</v>
      </c>
      <c r="O8" s="139">
        <f t="shared" ref="O8:O14" si="0">E8</f>
        <v>1000</v>
      </c>
    </row>
    <row r="9" spans="2:17" x14ac:dyDescent="0.2">
      <c r="B9" s="151" t="s">
        <v>143</v>
      </c>
      <c r="E9" s="100">
        <v>5</v>
      </c>
      <c r="I9" s="151" t="s">
        <v>143</v>
      </c>
      <c r="L9" s="100">
        <v>30</v>
      </c>
      <c r="O9" s="100">
        <f t="shared" si="0"/>
        <v>5</v>
      </c>
    </row>
    <row r="10" spans="2:17" x14ac:dyDescent="0.2">
      <c r="B10" s="151" t="s">
        <v>144</v>
      </c>
      <c r="E10" s="100">
        <v>5</v>
      </c>
      <c r="I10" s="151" t="s">
        <v>144</v>
      </c>
      <c r="L10" s="100">
        <v>20</v>
      </c>
      <c r="O10" s="100">
        <f t="shared" si="0"/>
        <v>5</v>
      </c>
    </row>
    <row r="11" spans="2:17" x14ac:dyDescent="0.2">
      <c r="B11" s="151" t="s">
        <v>145</v>
      </c>
      <c r="E11" s="152">
        <f>'LGE Gas Meter - WACOC-Tax Table'!F10</f>
        <v>0.2495</v>
      </c>
      <c r="I11" s="151" t="s">
        <v>145</v>
      </c>
      <c r="L11" s="153">
        <v>0.37602808360000001</v>
      </c>
      <c r="O11" s="152">
        <f t="shared" si="0"/>
        <v>0.2495</v>
      </c>
    </row>
    <row r="12" spans="2:17" x14ac:dyDescent="0.2">
      <c r="B12" s="151" t="s">
        <v>146</v>
      </c>
      <c r="E12" s="152">
        <v>0</v>
      </c>
      <c r="I12" s="151" t="s">
        <v>146</v>
      </c>
      <c r="L12" s="152">
        <v>0</v>
      </c>
      <c r="O12" s="152">
        <f t="shared" si="0"/>
        <v>0</v>
      </c>
    </row>
    <row r="13" spans="2:17" x14ac:dyDescent="0.2">
      <c r="B13" s="151" t="s">
        <v>147</v>
      </c>
      <c r="E13" s="100">
        <v>5</v>
      </c>
      <c r="I13" s="151" t="s">
        <v>147</v>
      </c>
      <c r="L13" s="100">
        <v>35</v>
      </c>
      <c r="O13" s="100">
        <f t="shared" si="0"/>
        <v>5</v>
      </c>
    </row>
    <row r="14" spans="2:17" x14ac:dyDescent="0.2">
      <c r="B14" s="151" t="s">
        <v>148</v>
      </c>
      <c r="E14" s="152">
        <v>0</v>
      </c>
      <c r="I14" s="151" t="s">
        <v>148</v>
      </c>
      <c r="L14" s="152">
        <v>0</v>
      </c>
      <c r="O14" s="152">
        <f t="shared" si="0"/>
        <v>0</v>
      </c>
    </row>
    <row r="15" spans="2:17" x14ac:dyDescent="0.2">
      <c r="B15" s="151"/>
      <c r="E15" s="152"/>
      <c r="I15" s="151"/>
      <c r="L15" s="152"/>
      <c r="O15" s="152"/>
    </row>
    <row r="17" spans="1:20" x14ac:dyDescent="0.2">
      <c r="B17" s="104" t="s">
        <v>149</v>
      </c>
      <c r="I17" s="104" t="s">
        <v>149</v>
      </c>
    </row>
    <row r="18" spans="1:20" x14ac:dyDescent="0.2">
      <c r="B18" s="151" t="s">
        <v>150</v>
      </c>
      <c r="E18" s="154">
        <f>Q71</f>
        <v>978.87231863975524</v>
      </c>
      <c r="I18" s="151" t="s">
        <v>150</v>
      </c>
      <c r="L18" s="154">
        <f>X71</f>
        <v>0</v>
      </c>
      <c r="O18" s="154">
        <f>E18</f>
        <v>978.87231863975524</v>
      </c>
    </row>
    <row r="19" spans="1:20" x14ac:dyDescent="0.2">
      <c r="B19" s="151" t="s">
        <v>151</v>
      </c>
      <c r="E19" s="155">
        <f>PMT('LGE Gas Meter - WACOC-Tax Table'!E13,E13,Q71)*-1</f>
        <v>239.79459318178149</v>
      </c>
      <c r="I19" s="151" t="s">
        <v>151</v>
      </c>
      <c r="L19" s="155">
        <f>PMT('LGE Gas Meter - WACOC-Tax Table'!L13,L13,X71)*-1</f>
        <v>0</v>
      </c>
      <c r="O19" s="155">
        <f>E19</f>
        <v>239.79459318178149</v>
      </c>
    </row>
    <row r="20" spans="1:20" x14ac:dyDescent="0.2">
      <c r="B20" s="151" t="s">
        <v>152</v>
      </c>
      <c r="E20" s="152">
        <f>E19/E8</f>
        <v>0.23979459318178151</v>
      </c>
      <c r="I20" s="151" t="s">
        <v>152</v>
      </c>
      <c r="L20" s="152">
        <f>L19/L8</f>
        <v>0</v>
      </c>
      <c r="O20" s="152">
        <f>E20</f>
        <v>0.23979459318178151</v>
      </c>
    </row>
    <row r="21" spans="1:20" x14ac:dyDescent="0.2">
      <c r="B21" s="151" t="s">
        <v>153</v>
      </c>
      <c r="E21" s="156">
        <f>1/E20</f>
        <v>4.170235811955644</v>
      </c>
      <c r="F21" s="100" t="s">
        <v>154</v>
      </c>
      <c r="I21" s="151" t="s">
        <v>153</v>
      </c>
      <c r="L21" s="156" t="e">
        <f>1/L20</f>
        <v>#DIV/0!</v>
      </c>
      <c r="M21" s="100" t="s">
        <v>154</v>
      </c>
      <c r="O21" s="156">
        <f>E21</f>
        <v>4.170235811955644</v>
      </c>
      <c r="P21" s="100" t="s">
        <v>154</v>
      </c>
    </row>
    <row r="22" spans="1:20" x14ac:dyDescent="0.2">
      <c r="C22" s="156"/>
    </row>
    <row r="23" spans="1:20" x14ac:dyDescent="0.2">
      <c r="C23" s="156"/>
    </row>
    <row r="24" spans="1:20" x14ac:dyDescent="0.2">
      <c r="A24" s="120"/>
      <c r="B24" s="120"/>
      <c r="C24" s="120"/>
      <c r="D24" s="120"/>
      <c r="E24" s="120"/>
      <c r="F24" s="120"/>
      <c r="G24" s="120"/>
      <c r="H24" s="120"/>
      <c r="I24" s="120"/>
      <c r="J24" s="120"/>
      <c r="K24" s="120"/>
      <c r="L24" s="120"/>
      <c r="M24" s="120"/>
      <c r="N24" s="120"/>
      <c r="O24" s="120"/>
      <c r="P24" s="141"/>
      <c r="Q24" s="120"/>
      <c r="R24" s="141" t="s">
        <v>94</v>
      </c>
      <c r="S24" s="120"/>
    </row>
    <row r="25" spans="1:20" x14ac:dyDescent="0.2">
      <c r="A25" s="120"/>
      <c r="B25" s="120"/>
      <c r="C25" s="120"/>
      <c r="D25" s="120"/>
      <c r="E25" s="120"/>
      <c r="F25" s="120"/>
      <c r="G25" s="120"/>
      <c r="H25" s="120"/>
      <c r="I25" s="141"/>
      <c r="J25" s="120"/>
      <c r="K25" s="120"/>
      <c r="L25" s="120"/>
      <c r="M25" s="120"/>
      <c r="N25" s="141"/>
      <c r="O25" s="141"/>
      <c r="P25" s="141" t="s">
        <v>95</v>
      </c>
      <c r="Q25" s="141" t="s">
        <v>95</v>
      </c>
      <c r="R25" s="141" t="s">
        <v>95</v>
      </c>
      <c r="S25" s="141" t="s">
        <v>101</v>
      </c>
    </row>
    <row r="26" spans="1:20" x14ac:dyDescent="0.2">
      <c r="A26" s="120"/>
      <c r="B26" s="120"/>
      <c r="C26" s="120"/>
      <c r="D26" s="120"/>
      <c r="E26" s="120"/>
      <c r="F26" s="120"/>
      <c r="G26" s="120"/>
      <c r="H26" s="141" t="s">
        <v>155</v>
      </c>
      <c r="I26" s="141"/>
      <c r="J26" s="120"/>
      <c r="K26" s="120"/>
      <c r="L26" s="120"/>
      <c r="M26" s="120"/>
      <c r="N26" s="141"/>
      <c r="O26" s="141" t="s">
        <v>101</v>
      </c>
      <c r="P26" s="141" t="s">
        <v>156</v>
      </c>
      <c r="Q26" s="141" t="s">
        <v>156</v>
      </c>
      <c r="R26" s="141" t="s">
        <v>156</v>
      </c>
      <c r="S26" s="141" t="s">
        <v>157</v>
      </c>
    </row>
    <row r="27" spans="1:20" x14ac:dyDescent="0.2">
      <c r="A27" s="120"/>
      <c r="B27" s="141"/>
      <c r="C27" s="141" t="s">
        <v>158</v>
      </c>
      <c r="D27" s="141" t="s">
        <v>159</v>
      </c>
      <c r="E27" s="141" t="s">
        <v>160</v>
      </c>
      <c r="F27" s="141" t="s">
        <v>159</v>
      </c>
      <c r="G27" s="141" t="s">
        <v>161</v>
      </c>
      <c r="H27" s="141" t="s">
        <v>161</v>
      </c>
      <c r="I27" s="141"/>
      <c r="J27" s="141"/>
      <c r="K27" s="141"/>
      <c r="L27" s="141"/>
      <c r="M27" s="141" t="s">
        <v>162</v>
      </c>
      <c r="N27" s="141" t="s">
        <v>163</v>
      </c>
      <c r="O27" s="141" t="s">
        <v>164</v>
      </c>
      <c r="P27" s="141" t="s">
        <v>165</v>
      </c>
      <c r="Q27" s="141" t="s">
        <v>164</v>
      </c>
      <c r="R27" s="141" t="s">
        <v>164</v>
      </c>
      <c r="S27" s="141" t="s">
        <v>166</v>
      </c>
    </row>
    <row r="28" spans="1:20" x14ac:dyDescent="0.2">
      <c r="A28" s="141" t="s">
        <v>107</v>
      </c>
      <c r="B28" s="141" t="s">
        <v>167</v>
      </c>
      <c r="C28" s="141" t="s">
        <v>168</v>
      </c>
      <c r="D28" s="141" t="s">
        <v>169</v>
      </c>
      <c r="E28" s="141" t="s">
        <v>168</v>
      </c>
      <c r="F28" s="141" t="s">
        <v>169</v>
      </c>
      <c r="G28" s="141" t="s">
        <v>170</v>
      </c>
      <c r="H28" s="141" t="s">
        <v>170</v>
      </c>
      <c r="I28" s="141" t="s">
        <v>171</v>
      </c>
      <c r="J28" s="141" t="s">
        <v>165</v>
      </c>
      <c r="K28" s="141" t="s">
        <v>172</v>
      </c>
      <c r="L28" s="141" t="s">
        <v>173</v>
      </c>
      <c r="M28" s="141" t="s">
        <v>174</v>
      </c>
      <c r="N28" s="141" t="s">
        <v>174</v>
      </c>
      <c r="O28" s="141" t="s">
        <v>175</v>
      </c>
      <c r="P28" s="141" t="s">
        <v>176</v>
      </c>
      <c r="Q28" s="141" t="s">
        <v>175</v>
      </c>
      <c r="R28" s="141" t="s">
        <v>175</v>
      </c>
      <c r="S28" s="141" t="s">
        <v>31</v>
      </c>
    </row>
    <row r="30" spans="1:20" x14ac:dyDescent="0.2">
      <c r="A30" s="100">
        <v>0</v>
      </c>
      <c r="B30" s="139">
        <f>E8</f>
        <v>1000</v>
      </c>
      <c r="C30" s="157"/>
      <c r="D30" s="157"/>
      <c r="E30" s="157"/>
      <c r="F30" s="157"/>
      <c r="G30" s="157"/>
      <c r="H30" s="157"/>
      <c r="I30" s="154">
        <v>0</v>
      </c>
      <c r="J30" s="133">
        <f>'LGE Gas Meter - WACOC-Tax Table'!$E$10*I30</f>
        <v>0</v>
      </c>
      <c r="K30" s="139">
        <f>I30*('LGE Gas Meter - WACOC-Tax Table'!$E$11+'LGE Gas Meter - WACOC-Tax Table'!$E$12)</f>
        <v>0</v>
      </c>
      <c r="M30" s="154">
        <f t="shared" ref="M30:M70" si="1">$E$12*D30</f>
        <v>0</v>
      </c>
      <c r="N30" s="146">
        <f t="shared" ref="N30:N70" si="2">($E$11/(1-$E$11))*K30</f>
        <v>0</v>
      </c>
      <c r="O30" s="139">
        <f t="shared" ref="O30:O70" si="3">C30+J30+K30+L30+M30+N30</f>
        <v>0</v>
      </c>
      <c r="P30" s="158">
        <f>1/(1+'LGE Gas Meter - WACOC-Tax Table'!$E$13)^A30</f>
        <v>1</v>
      </c>
      <c r="Q30" s="159">
        <f t="shared" ref="Q30:Q70" si="4">O30*P30</f>
        <v>0</v>
      </c>
      <c r="R30" s="154">
        <f>Q30</f>
        <v>0</v>
      </c>
    </row>
    <row r="31" spans="1:20" x14ac:dyDescent="0.2">
      <c r="A31" s="100">
        <v>1</v>
      </c>
      <c r="C31" s="146">
        <f>(1/$E$9)*$B$30</f>
        <v>200</v>
      </c>
      <c r="D31" s="146">
        <f>$B$30-C31</f>
        <v>800</v>
      </c>
      <c r="E31" s="146">
        <f>HLOOKUP($E$10,'LGE Gas Meter - WACOC-Tax Table'!$B$17:$E$58,A32)*$B$30</f>
        <v>200</v>
      </c>
      <c r="F31" s="146">
        <f>B30-E31</f>
        <v>800</v>
      </c>
      <c r="G31" s="146">
        <f t="shared" ref="G31:G70" si="5">(E31-C31)*$E$11</f>
        <v>0</v>
      </c>
      <c r="H31" s="146">
        <f>G31</f>
        <v>0</v>
      </c>
      <c r="I31" s="146">
        <f t="shared" ref="I31:I36" si="6">D31-H31</f>
        <v>800</v>
      </c>
      <c r="J31" s="146">
        <f>'LGE Gas Meter - WACOC-Tax Table'!$E$10*I31</f>
        <v>4.6841203683596976E-2</v>
      </c>
      <c r="K31" s="146">
        <f>I31*('LGE Gas Meter - WACOC-Tax Table'!$E$11+'LGE Gas Meter - WACOC-Tax Table'!$E$12)</f>
        <v>57.274494146035572</v>
      </c>
      <c r="L31" s="146">
        <f>$E$14*$E$8</f>
        <v>0</v>
      </c>
      <c r="M31" s="146">
        <f t="shared" si="1"/>
        <v>0</v>
      </c>
      <c r="N31" s="146">
        <f t="shared" si="2"/>
        <v>19.040621305044471</v>
      </c>
      <c r="O31" s="146">
        <f t="shared" si="3"/>
        <v>276.36195665476362</v>
      </c>
      <c r="P31" s="158">
        <f>1/(1+'LGE Gas Meter - WACOC-Tax Table'!$E$13)^A31</f>
        <v>0.9331390308555233</v>
      </c>
      <c r="Q31" s="160">
        <f t="shared" si="4"/>
        <v>257.88412839816226</v>
      </c>
      <c r="R31" s="146">
        <f t="shared" ref="R31:R69" si="7">R30+Q31</f>
        <v>257.88412839816226</v>
      </c>
      <c r="S31" s="152">
        <f t="shared" ref="S31:S70" si="8">O31/$B$30</f>
        <v>0.2763619566547636</v>
      </c>
      <c r="T31" s="155"/>
    </row>
    <row r="32" spans="1:20" x14ac:dyDescent="0.2">
      <c r="A32" s="100">
        <v>2</v>
      </c>
      <c r="C32" s="146">
        <f t="shared" ref="C32:C69" si="9">IF(D31&lt;=0.001,0,(1/$E$9)*$B$30)</f>
        <v>200</v>
      </c>
      <c r="D32" s="146">
        <f t="shared" ref="D32:D69" si="10">D31-C32</f>
        <v>600</v>
      </c>
      <c r="E32" s="146">
        <f>HLOOKUP($E$10,'LGE Gas Meter - WACOC-Tax Table'!$B$17:$E$58,A33)*$B$30</f>
        <v>320</v>
      </c>
      <c r="F32" s="146">
        <f t="shared" ref="F32:F69" si="11">F31-E32</f>
        <v>480</v>
      </c>
      <c r="G32" s="146">
        <f t="shared" si="5"/>
        <v>29.94</v>
      </c>
      <c r="H32" s="146">
        <f t="shared" ref="H32:H69" si="12">H31+G32</f>
        <v>29.94</v>
      </c>
      <c r="I32" s="146">
        <f t="shared" si="6"/>
        <v>570.05999999999995</v>
      </c>
      <c r="J32" s="146">
        <f>'LGE Gas Meter - WACOC-Tax Table'!$E$10*I32</f>
        <v>3.3377870714839109E-2</v>
      </c>
      <c r="K32" s="146">
        <f>I32*('LGE Gas Meter - WACOC-Tax Table'!$E$11+'LGE Gas Meter - WACOC-Tax Table'!$E$12)</f>
        <v>40.812372666111294</v>
      </c>
      <c r="L32" s="146">
        <f t="shared" ref="L32:L65" si="13">$E$14*$E$8*(1+$E$15)^A31</f>
        <v>0</v>
      </c>
      <c r="M32" s="146">
        <f t="shared" si="1"/>
        <v>0</v>
      </c>
      <c r="N32" s="146">
        <f t="shared" si="2"/>
        <v>13.567870726442063</v>
      </c>
      <c r="O32" s="146">
        <f t="shared" si="3"/>
        <v>254.4136212632682</v>
      </c>
      <c r="P32" s="158">
        <f>1/(1+'LGE Gas Meter - WACOC-Tax Table'!$E$13)^A32</f>
        <v>0.87074845090598518</v>
      </c>
      <c r="Q32" s="160">
        <f t="shared" si="4"/>
        <v>221.5302666043728</v>
      </c>
      <c r="R32" s="146">
        <f t="shared" si="7"/>
        <v>479.41439500253506</v>
      </c>
      <c r="S32" s="152">
        <f t="shared" si="8"/>
        <v>0.25441362126326822</v>
      </c>
      <c r="T32" s="155"/>
    </row>
    <row r="33" spans="1:20" x14ac:dyDescent="0.2">
      <c r="A33" s="100">
        <v>3</v>
      </c>
      <c r="C33" s="146">
        <f t="shared" si="9"/>
        <v>200</v>
      </c>
      <c r="D33" s="146">
        <f t="shared" si="10"/>
        <v>400</v>
      </c>
      <c r="E33" s="146">
        <f>HLOOKUP($E$10,'LGE Gas Meter - WACOC-Tax Table'!$B$17:$E$58,A34)*$B$30</f>
        <v>192</v>
      </c>
      <c r="F33" s="146">
        <f t="shared" si="11"/>
        <v>288</v>
      </c>
      <c r="G33" s="146">
        <f t="shared" si="5"/>
        <v>-1.996</v>
      </c>
      <c r="H33" s="146">
        <f t="shared" si="12"/>
        <v>27.944000000000003</v>
      </c>
      <c r="I33" s="146">
        <f t="shared" si="6"/>
        <v>372.05599999999998</v>
      </c>
      <c r="J33" s="146">
        <f>'LGE Gas Meter - WACOC-Tax Table'!$E$10*I33</f>
        <v>2.1784438597130442E-2</v>
      </c>
      <c r="K33" s="146">
        <f>I33*('LGE Gas Meter - WACOC-Tax Table'!$E$11+'LGE Gas Meter - WACOC-Tax Table'!$E$12)</f>
        <v>26.636648992496763</v>
      </c>
      <c r="L33" s="146">
        <f t="shared" si="13"/>
        <v>0</v>
      </c>
      <c r="M33" s="146">
        <f t="shared" si="1"/>
        <v>0</v>
      </c>
      <c r="N33" s="146">
        <f t="shared" si="2"/>
        <v>8.8552217503370318</v>
      </c>
      <c r="O33" s="146">
        <f t="shared" si="3"/>
        <v>235.51365518143092</v>
      </c>
      <c r="P33" s="158">
        <f>1/(1+'LGE Gas Meter - WACOC-Tax Table'!$E$13)^A33</f>
        <v>0.81252936559735911</v>
      </c>
      <c r="Q33" s="160">
        <f t="shared" si="4"/>
        <v>191.36176083408324</v>
      </c>
      <c r="R33" s="146">
        <f t="shared" si="7"/>
        <v>670.77615583661827</v>
      </c>
      <c r="S33" s="152">
        <f t="shared" si="8"/>
        <v>0.23551365518143091</v>
      </c>
      <c r="T33" s="155"/>
    </row>
    <row r="34" spans="1:20" x14ac:dyDescent="0.2">
      <c r="A34" s="100">
        <v>4</v>
      </c>
      <c r="C34" s="146">
        <f t="shared" si="9"/>
        <v>200</v>
      </c>
      <c r="D34" s="146">
        <f t="shared" si="10"/>
        <v>200</v>
      </c>
      <c r="E34" s="146">
        <f>HLOOKUP($E$10,'LGE Gas Meter - WACOC-Tax Table'!$B$17:$E$58,A35)*$B$30</f>
        <v>115.2</v>
      </c>
      <c r="F34" s="146">
        <f t="shared" si="11"/>
        <v>172.8</v>
      </c>
      <c r="G34" s="146">
        <f t="shared" si="5"/>
        <v>-21.157599999999999</v>
      </c>
      <c r="H34" s="146">
        <f t="shared" si="12"/>
        <v>6.786400000000004</v>
      </c>
      <c r="I34" s="146">
        <f t="shared" si="6"/>
        <v>193.21359999999999</v>
      </c>
      <c r="J34" s="146">
        <f>'LGE Gas Meter - WACOC-Tax Table'!$E$10*I34</f>
        <v>1.131294699005129E-2</v>
      </c>
      <c r="K34" s="146">
        <f>I34*('LGE Gas Meter - WACOC-Tax Table'!$E$11+'LGE Gas Meter - WACOC-Tax Table'!$E$12)</f>
        <v>13.832764002668071</v>
      </c>
      <c r="L34" s="146">
        <f t="shared" si="13"/>
        <v>0</v>
      </c>
      <c r="M34" s="146">
        <f t="shared" si="1"/>
        <v>0</v>
      </c>
      <c r="N34" s="146">
        <f t="shared" si="2"/>
        <v>4.5986337357304246</v>
      </c>
      <c r="O34" s="146">
        <f t="shared" si="3"/>
        <v>218.44271068538856</v>
      </c>
      <c r="P34" s="158">
        <f>1/(1+'LGE Gas Meter - WACOC-Tax Table'!$E$13)^A34</f>
        <v>0.75820286475517285</v>
      </c>
      <c r="Q34" s="160">
        <f t="shared" si="4"/>
        <v>165.623889026547</v>
      </c>
      <c r="R34" s="146">
        <f t="shared" si="7"/>
        <v>836.40004486316525</v>
      </c>
      <c r="S34" s="152">
        <f t="shared" si="8"/>
        <v>0.21844271068538856</v>
      </c>
      <c r="T34" s="155"/>
    </row>
    <row r="35" spans="1:20" x14ac:dyDescent="0.2">
      <c r="A35" s="100">
        <v>5</v>
      </c>
      <c r="C35" s="146">
        <f t="shared" si="9"/>
        <v>200</v>
      </c>
      <c r="D35" s="146">
        <f t="shared" si="10"/>
        <v>0</v>
      </c>
      <c r="E35" s="146">
        <f>HLOOKUP($E$10,'LGE Gas Meter - WACOC-Tax Table'!$B$17:$E$58,A36)*$B$30</f>
        <v>115.2</v>
      </c>
      <c r="F35" s="146">
        <f t="shared" si="11"/>
        <v>57.600000000000009</v>
      </c>
      <c r="G35" s="146">
        <f t="shared" si="5"/>
        <v>-21.157599999999999</v>
      </c>
      <c r="H35" s="146">
        <f t="shared" si="12"/>
        <v>-14.371199999999995</v>
      </c>
      <c r="I35" s="146">
        <f t="shared" si="6"/>
        <v>14.371199999999995</v>
      </c>
      <c r="J35" s="146">
        <f>'LGE Gas Meter - WACOC-Tax Table'!$E$10*I35</f>
        <v>8.4145538297213573E-4</v>
      </c>
      <c r="K35" s="146">
        <f>I35*('LGE Gas Meter - WACOC-Tax Table'!$E$11+'LGE Gas Meter - WACOC-Tax Table'!$E$12)</f>
        <v>1.0288790128393825</v>
      </c>
      <c r="L35" s="146">
        <f t="shared" si="13"/>
        <v>0</v>
      </c>
      <c r="M35" s="146">
        <f t="shared" si="1"/>
        <v>0</v>
      </c>
      <c r="N35" s="146">
        <f t="shared" si="2"/>
        <v>0.3420457211238187</v>
      </c>
      <c r="O35" s="146">
        <f t="shared" si="3"/>
        <v>201.37176618934618</v>
      </c>
      <c r="P35" s="158">
        <f>1/(1+'LGE Gas Meter - WACOC-Tax Table'!$E$13)^A35</f>
        <v>0.70750868640952347</v>
      </c>
      <c r="Q35" s="160">
        <f t="shared" si="4"/>
        <v>142.47227377659001</v>
      </c>
      <c r="R35" s="146">
        <f t="shared" si="7"/>
        <v>978.87231863975524</v>
      </c>
      <c r="S35" s="152">
        <f t="shared" si="8"/>
        <v>0.20137176618934619</v>
      </c>
      <c r="T35" s="155"/>
    </row>
    <row r="36" spans="1:20" x14ac:dyDescent="0.2">
      <c r="A36" s="100">
        <v>6</v>
      </c>
      <c r="C36" s="146">
        <f t="shared" si="9"/>
        <v>0</v>
      </c>
      <c r="D36" s="146">
        <f t="shared" si="10"/>
        <v>0</v>
      </c>
      <c r="E36" s="146">
        <f>HLOOKUP($E$10,'LGE Gas Meter - WACOC-Tax Table'!$B$17:$E$58,A37)*$B$30</f>
        <v>57.600000000000044</v>
      </c>
      <c r="F36" s="146">
        <f t="shared" si="11"/>
        <v>0</v>
      </c>
      <c r="G36" s="146">
        <f t="shared" si="5"/>
        <v>14.371200000000011</v>
      </c>
      <c r="H36" s="146">
        <f t="shared" si="12"/>
        <v>1.5987211554602254E-14</v>
      </c>
      <c r="I36" s="146">
        <f t="shared" si="6"/>
        <v>-1.5987211554602254E-14</v>
      </c>
      <c r="J36" s="146">
        <f>'LGE Gas Meter - WACOC-Tax Table'!$E$10*I36</f>
        <v>-9.360752909523491E-19</v>
      </c>
      <c r="K36" s="146">
        <f>I36*('LGE Gas Meter - WACOC-Tax Table'!$E$11+'LGE Gas Meter - WACOC-Tax Table'!$E$12)</f>
        <v>-1.1445743182443739E-15</v>
      </c>
      <c r="L36" s="146">
        <f t="shared" si="13"/>
        <v>0</v>
      </c>
      <c r="M36" s="146">
        <f t="shared" si="1"/>
        <v>0</v>
      </c>
      <c r="N36" s="146">
        <f t="shared" si="2"/>
        <v>-3.8050805116851604E-16</v>
      </c>
      <c r="O36" s="146">
        <f t="shared" si="3"/>
        <v>-1.5260184447038423E-15</v>
      </c>
      <c r="P36" s="158">
        <f>1/(1+'LGE Gas Meter - WACOC-Tax Table'!$E$13)^A36</f>
        <v>0.66020396995804687</v>
      </c>
      <c r="Q36" s="160">
        <f t="shared" si="4"/>
        <v>-1.0074834354226809E-15</v>
      </c>
      <c r="R36" s="146">
        <f t="shared" si="7"/>
        <v>978.87231863975524</v>
      </c>
      <c r="S36" s="152">
        <f t="shared" si="8"/>
        <v>-1.5260184447038423E-18</v>
      </c>
      <c r="T36" s="155"/>
    </row>
    <row r="37" spans="1:20" ht="10.5" hidden="1" customHeight="1" x14ac:dyDescent="0.2">
      <c r="A37" s="100">
        <v>7</v>
      </c>
      <c r="C37" s="146">
        <f t="shared" si="9"/>
        <v>0</v>
      </c>
      <c r="D37" s="146">
        <f t="shared" si="10"/>
        <v>0</v>
      </c>
      <c r="E37" s="146">
        <f>HLOOKUP($E$10,'LGE Gas Meter - WACOC-Tax Table'!$B$17:$E$58,A38)*$B$30</f>
        <v>0</v>
      </c>
      <c r="F37" s="146">
        <f t="shared" si="11"/>
        <v>0</v>
      </c>
      <c r="G37" s="146">
        <f t="shared" si="5"/>
        <v>0</v>
      </c>
      <c r="H37" s="146">
        <f t="shared" si="12"/>
        <v>1.5987211554602254E-14</v>
      </c>
      <c r="I37" s="146">
        <f t="shared" ref="I37:I70" si="14">D37</f>
        <v>0</v>
      </c>
      <c r="J37" s="146">
        <f>'LGE Gas Meter - WACOC-Tax Table'!$E$10*I37</f>
        <v>0</v>
      </c>
      <c r="K37" s="146">
        <f>I37*('LGE Gas Meter - WACOC-Tax Table'!$E$11+'LGE Gas Meter - WACOC-Tax Table'!$E$12)</f>
        <v>0</v>
      </c>
      <c r="L37" s="146">
        <f t="shared" si="13"/>
        <v>0</v>
      </c>
      <c r="M37" s="146">
        <f t="shared" si="1"/>
        <v>0</v>
      </c>
      <c r="N37" s="146">
        <f t="shared" si="2"/>
        <v>0</v>
      </c>
      <c r="O37" s="146">
        <f t="shared" si="3"/>
        <v>0</v>
      </c>
      <c r="P37" s="158">
        <f>1/(1+'LGE Gas Meter - WACOC-Tax Table'!$E$13)^A37</f>
        <v>0.61606209269362089</v>
      </c>
      <c r="Q37" s="160">
        <f t="shared" si="4"/>
        <v>0</v>
      </c>
      <c r="R37" s="146">
        <f t="shared" si="7"/>
        <v>978.87231863975524</v>
      </c>
      <c r="S37" s="152">
        <f t="shared" si="8"/>
        <v>0</v>
      </c>
      <c r="T37" s="155"/>
    </row>
    <row r="38" spans="1:20" hidden="1" x14ac:dyDescent="0.2">
      <c r="A38" s="100">
        <v>8</v>
      </c>
      <c r="C38" s="146">
        <f t="shared" si="9"/>
        <v>0</v>
      </c>
      <c r="D38" s="146">
        <f t="shared" si="10"/>
        <v>0</v>
      </c>
      <c r="E38" s="146">
        <f>HLOOKUP($E$10,'LGE Gas Meter - WACOC-Tax Table'!$B$17:$E$58,A39)*$B$30</f>
        <v>0</v>
      </c>
      <c r="F38" s="146">
        <f t="shared" si="11"/>
        <v>0</v>
      </c>
      <c r="G38" s="146">
        <f t="shared" si="5"/>
        <v>0</v>
      </c>
      <c r="H38" s="146">
        <f t="shared" si="12"/>
        <v>1.5987211554602254E-14</v>
      </c>
      <c r="I38" s="146">
        <f t="shared" si="14"/>
        <v>0</v>
      </c>
      <c r="J38" s="146">
        <f>'LGE Gas Meter - WACOC-Tax Table'!$E$10*I38</f>
        <v>0</v>
      </c>
      <c r="K38" s="146">
        <f>I38*('LGE Gas Meter - WACOC-Tax Table'!$E$11+'LGE Gas Meter - WACOC-Tax Table'!$E$12)</f>
        <v>0</v>
      </c>
      <c r="L38" s="146">
        <f t="shared" si="13"/>
        <v>0</v>
      </c>
      <c r="M38" s="146">
        <f t="shared" si="1"/>
        <v>0</v>
      </c>
      <c r="N38" s="146">
        <f t="shared" si="2"/>
        <v>0</v>
      </c>
      <c r="O38" s="146">
        <f t="shared" si="3"/>
        <v>0</v>
      </c>
      <c r="P38" s="158">
        <f>1/(1+'LGE Gas Meter - WACOC-Tax Table'!$E$13)^A38</f>
        <v>0.57487158412295092</v>
      </c>
      <c r="Q38" s="160">
        <f t="shared" si="4"/>
        <v>0</v>
      </c>
      <c r="R38" s="146">
        <f t="shared" si="7"/>
        <v>978.87231863975524</v>
      </c>
      <c r="S38" s="152">
        <f t="shared" si="8"/>
        <v>0</v>
      </c>
      <c r="T38" s="155"/>
    </row>
    <row r="39" spans="1:20" hidden="1" x14ac:dyDescent="0.2">
      <c r="A39" s="100">
        <v>9</v>
      </c>
      <c r="C39" s="146">
        <f t="shared" si="9"/>
        <v>0</v>
      </c>
      <c r="D39" s="146">
        <f t="shared" si="10"/>
        <v>0</v>
      </c>
      <c r="E39" s="146">
        <f>HLOOKUP($E$10,'LGE Gas Meter - WACOC-Tax Table'!$B$17:$E$58,A40)*$B$30</f>
        <v>0</v>
      </c>
      <c r="F39" s="146">
        <f t="shared" si="11"/>
        <v>0</v>
      </c>
      <c r="G39" s="146">
        <f t="shared" si="5"/>
        <v>0</v>
      </c>
      <c r="H39" s="146">
        <f t="shared" si="12"/>
        <v>1.5987211554602254E-14</v>
      </c>
      <c r="I39" s="146">
        <f t="shared" si="14"/>
        <v>0</v>
      </c>
      <c r="J39" s="146">
        <f>'LGE Gas Meter - WACOC-Tax Table'!$E$10*I39</f>
        <v>0</v>
      </c>
      <c r="K39" s="146">
        <f>I39*('LGE Gas Meter - WACOC-Tax Table'!$E$11+'LGE Gas Meter - WACOC-Tax Table'!$E$12)</f>
        <v>0</v>
      </c>
      <c r="L39" s="146">
        <f t="shared" si="13"/>
        <v>0</v>
      </c>
      <c r="M39" s="146">
        <f t="shared" si="1"/>
        <v>0</v>
      </c>
      <c r="N39" s="146">
        <f t="shared" si="2"/>
        <v>0</v>
      </c>
      <c r="O39" s="146">
        <f t="shared" si="3"/>
        <v>0</v>
      </c>
      <c r="P39" s="158">
        <f>1/(1+'LGE Gas Meter - WACOC-Tax Table'!$E$13)^A39</f>
        <v>0.53643511287486978</v>
      </c>
      <c r="Q39" s="160">
        <f t="shared" si="4"/>
        <v>0</v>
      </c>
      <c r="R39" s="146">
        <f t="shared" si="7"/>
        <v>978.87231863975524</v>
      </c>
      <c r="S39" s="152">
        <f t="shared" si="8"/>
        <v>0</v>
      </c>
      <c r="T39" s="155"/>
    </row>
    <row r="40" spans="1:20" hidden="1" x14ac:dyDescent="0.2">
      <c r="A40" s="100">
        <v>10</v>
      </c>
      <c r="C40" s="146">
        <f t="shared" si="9"/>
        <v>0</v>
      </c>
      <c r="D40" s="146">
        <f t="shared" si="10"/>
        <v>0</v>
      </c>
      <c r="E40" s="146">
        <f>HLOOKUP($E$10,'LGE Gas Meter - WACOC-Tax Table'!$B$17:$E$58,A41)*$B$30</f>
        <v>0</v>
      </c>
      <c r="F40" s="146">
        <f t="shared" si="11"/>
        <v>0</v>
      </c>
      <c r="G40" s="146">
        <f t="shared" si="5"/>
        <v>0</v>
      </c>
      <c r="H40" s="146">
        <f t="shared" si="12"/>
        <v>1.5987211554602254E-14</v>
      </c>
      <c r="I40" s="146">
        <f t="shared" si="14"/>
        <v>0</v>
      </c>
      <c r="J40" s="146">
        <f>'LGE Gas Meter - WACOC-Tax Table'!$E$10*I40</f>
        <v>0</v>
      </c>
      <c r="K40" s="146">
        <f>I40*('LGE Gas Meter - WACOC-Tax Table'!$E$11+'LGE Gas Meter - WACOC-Tax Table'!$E$12)</f>
        <v>0</v>
      </c>
      <c r="L40" s="146">
        <f t="shared" si="13"/>
        <v>0</v>
      </c>
      <c r="M40" s="146">
        <f t="shared" si="1"/>
        <v>0</v>
      </c>
      <c r="N40" s="146">
        <f t="shared" si="2"/>
        <v>0</v>
      </c>
      <c r="O40" s="146">
        <f t="shared" si="3"/>
        <v>0</v>
      </c>
      <c r="P40" s="158">
        <f>1/(1+'LGE Gas Meter - WACOC-Tax Table'!$E$13)^A40</f>
        <v>0.50056854134492923</v>
      </c>
      <c r="Q40" s="160">
        <f t="shared" si="4"/>
        <v>0</v>
      </c>
      <c r="R40" s="146">
        <f t="shared" si="7"/>
        <v>978.87231863975524</v>
      </c>
      <c r="S40" s="152">
        <f t="shared" si="8"/>
        <v>0</v>
      </c>
      <c r="T40" s="155"/>
    </row>
    <row r="41" spans="1:20" hidden="1" x14ac:dyDescent="0.2">
      <c r="A41" s="100">
        <v>11</v>
      </c>
      <c r="C41" s="146">
        <f t="shared" si="9"/>
        <v>0</v>
      </c>
      <c r="D41" s="146">
        <f t="shared" si="10"/>
        <v>0</v>
      </c>
      <c r="E41" s="146">
        <f>HLOOKUP($E$10,'LGE Gas Meter - WACOC-Tax Table'!$B$17:$E$58,A42)*$B$30</f>
        <v>0</v>
      </c>
      <c r="F41" s="146">
        <f t="shared" si="11"/>
        <v>0</v>
      </c>
      <c r="G41" s="146">
        <f t="shared" si="5"/>
        <v>0</v>
      </c>
      <c r="H41" s="146">
        <f t="shared" si="12"/>
        <v>1.5987211554602254E-14</v>
      </c>
      <c r="I41" s="146">
        <f t="shared" si="14"/>
        <v>0</v>
      </c>
      <c r="J41" s="146">
        <f>'LGE Gas Meter - WACOC-Tax Table'!$E$10*I41</f>
        <v>0</v>
      </c>
      <c r="K41" s="146">
        <f>I41*('LGE Gas Meter - WACOC-Tax Table'!$E$11+'LGE Gas Meter - WACOC-Tax Table'!$E$12)</f>
        <v>0</v>
      </c>
      <c r="L41" s="146">
        <f t="shared" si="13"/>
        <v>0</v>
      </c>
      <c r="M41" s="146">
        <f t="shared" si="1"/>
        <v>0</v>
      </c>
      <c r="N41" s="146">
        <f t="shared" si="2"/>
        <v>0</v>
      </c>
      <c r="O41" s="146">
        <f t="shared" si="3"/>
        <v>0</v>
      </c>
      <c r="P41" s="158">
        <f>1/(1+'LGE Gas Meter - WACOC-Tax Table'!$E$13)^A41</f>
        <v>0.46710004354737017</v>
      </c>
      <c r="Q41" s="160">
        <f t="shared" si="4"/>
        <v>0</v>
      </c>
      <c r="R41" s="146">
        <f t="shared" si="7"/>
        <v>978.87231863975524</v>
      </c>
      <c r="S41" s="152">
        <f t="shared" si="8"/>
        <v>0</v>
      </c>
      <c r="T41" s="155"/>
    </row>
    <row r="42" spans="1:20" hidden="1" x14ac:dyDescent="0.2">
      <c r="A42" s="100">
        <v>12</v>
      </c>
      <c r="C42" s="146">
        <f t="shared" si="9"/>
        <v>0</v>
      </c>
      <c r="D42" s="146">
        <f t="shared" si="10"/>
        <v>0</v>
      </c>
      <c r="E42" s="146">
        <f>HLOOKUP($E$10,'LGE Gas Meter - WACOC-Tax Table'!$B$17:$E$58,A43)*$B$30</f>
        <v>0</v>
      </c>
      <c r="F42" s="146">
        <f t="shared" si="11"/>
        <v>0</v>
      </c>
      <c r="G42" s="146">
        <f t="shared" si="5"/>
        <v>0</v>
      </c>
      <c r="H42" s="146">
        <f t="shared" si="12"/>
        <v>1.5987211554602254E-14</v>
      </c>
      <c r="I42" s="146">
        <f t="shared" si="14"/>
        <v>0</v>
      </c>
      <c r="J42" s="146">
        <f>'LGE Gas Meter - WACOC-Tax Table'!$E$10*I42</f>
        <v>0</v>
      </c>
      <c r="K42" s="146">
        <f>I42*('LGE Gas Meter - WACOC-Tax Table'!$E$11+'LGE Gas Meter - WACOC-Tax Table'!$E$12)</f>
        <v>0</v>
      </c>
      <c r="L42" s="146">
        <f t="shared" si="13"/>
        <v>0</v>
      </c>
      <c r="M42" s="146">
        <f t="shared" si="1"/>
        <v>0</v>
      </c>
      <c r="N42" s="146">
        <f t="shared" si="2"/>
        <v>0</v>
      </c>
      <c r="O42" s="146">
        <f t="shared" si="3"/>
        <v>0</v>
      </c>
      <c r="P42" s="158">
        <f>1/(1+'LGE Gas Meter - WACOC-Tax Table'!$E$13)^A42</f>
        <v>0.43586928194836577</v>
      </c>
      <c r="Q42" s="160">
        <f t="shared" si="4"/>
        <v>0</v>
      </c>
      <c r="R42" s="146">
        <f t="shared" si="7"/>
        <v>978.87231863975524</v>
      </c>
      <c r="S42" s="152">
        <f t="shared" si="8"/>
        <v>0</v>
      </c>
      <c r="T42" s="155"/>
    </row>
    <row r="43" spans="1:20" hidden="1" x14ac:dyDescent="0.2">
      <c r="A43" s="100">
        <v>13</v>
      </c>
      <c r="C43" s="146">
        <f t="shared" si="9"/>
        <v>0</v>
      </c>
      <c r="D43" s="146">
        <f t="shared" si="10"/>
        <v>0</v>
      </c>
      <c r="E43" s="146">
        <f>HLOOKUP($E$10,'LGE Gas Meter - WACOC-Tax Table'!$B$17:$E$58,A44)*$B$30</f>
        <v>0</v>
      </c>
      <c r="F43" s="146">
        <f t="shared" si="11"/>
        <v>0</v>
      </c>
      <c r="G43" s="146">
        <f t="shared" si="5"/>
        <v>0</v>
      </c>
      <c r="H43" s="146">
        <f t="shared" si="12"/>
        <v>1.5987211554602254E-14</v>
      </c>
      <c r="I43" s="146">
        <f t="shared" si="14"/>
        <v>0</v>
      </c>
      <c r="J43" s="146">
        <f>'LGE Gas Meter - WACOC-Tax Table'!$E$10*I43</f>
        <v>0</v>
      </c>
      <c r="K43" s="146">
        <f>I43*('LGE Gas Meter - WACOC-Tax Table'!$E$11+'LGE Gas Meter - WACOC-Tax Table'!$E$12)</f>
        <v>0</v>
      </c>
      <c r="L43" s="146">
        <f t="shared" si="13"/>
        <v>0</v>
      </c>
      <c r="M43" s="146">
        <f t="shared" si="1"/>
        <v>0</v>
      </c>
      <c r="N43" s="146">
        <f t="shared" si="2"/>
        <v>0</v>
      </c>
      <c r="O43" s="146">
        <f t="shared" si="3"/>
        <v>0</v>
      </c>
      <c r="P43" s="158">
        <f>1/(1+'LGE Gas Meter - WACOC-Tax Table'!$E$13)^A43</f>
        <v>0.40672663933699088</v>
      </c>
      <c r="Q43" s="160">
        <f t="shared" si="4"/>
        <v>0</v>
      </c>
      <c r="R43" s="146">
        <f t="shared" si="7"/>
        <v>978.87231863975524</v>
      </c>
      <c r="S43" s="152">
        <f t="shared" si="8"/>
        <v>0</v>
      </c>
      <c r="T43" s="155"/>
    </row>
    <row r="44" spans="1:20" hidden="1" x14ac:dyDescent="0.2">
      <c r="A44" s="100">
        <v>14</v>
      </c>
      <c r="C44" s="146">
        <f t="shared" si="9"/>
        <v>0</v>
      </c>
      <c r="D44" s="146">
        <f t="shared" si="10"/>
        <v>0</v>
      </c>
      <c r="E44" s="146">
        <f>HLOOKUP($E$10,'LGE Gas Meter - WACOC-Tax Table'!$B$17:$E$58,A45)*$B$30</f>
        <v>0</v>
      </c>
      <c r="F44" s="146">
        <f t="shared" si="11"/>
        <v>0</v>
      </c>
      <c r="G44" s="146">
        <f t="shared" si="5"/>
        <v>0</v>
      </c>
      <c r="H44" s="146">
        <f t="shared" si="12"/>
        <v>1.5987211554602254E-14</v>
      </c>
      <c r="I44" s="146">
        <f t="shared" si="14"/>
        <v>0</v>
      </c>
      <c r="J44" s="146">
        <f>'LGE Gas Meter - WACOC-Tax Table'!$E$10*I44</f>
        <v>0</v>
      </c>
      <c r="K44" s="146">
        <f>I44*('LGE Gas Meter - WACOC-Tax Table'!$E$11+'LGE Gas Meter - WACOC-Tax Table'!$E$12)</f>
        <v>0</v>
      </c>
      <c r="L44" s="146">
        <f t="shared" si="13"/>
        <v>0</v>
      </c>
      <c r="M44" s="146">
        <f t="shared" si="1"/>
        <v>0</v>
      </c>
      <c r="N44" s="146">
        <f t="shared" si="2"/>
        <v>0</v>
      </c>
      <c r="O44" s="146">
        <f t="shared" si="3"/>
        <v>0</v>
      </c>
      <c r="P44" s="158">
        <f>1/(1+'LGE Gas Meter - WACOC-Tax Table'!$E$13)^A44</f>
        <v>0.37953250205404349</v>
      </c>
      <c r="Q44" s="160">
        <f t="shared" si="4"/>
        <v>0</v>
      </c>
      <c r="R44" s="146">
        <f t="shared" si="7"/>
        <v>978.87231863975524</v>
      </c>
      <c r="S44" s="152">
        <f t="shared" si="8"/>
        <v>0</v>
      </c>
      <c r="T44" s="155"/>
    </row>
    <row r="45" spans="1:20" hidden="1" x14ac:dyDescent="0.2">
      <c r="A45" s="100">
        <v>15</v>
      </c>
      <c r="C45" s="146">
        <f t="shared" si="9"/>
        <v>0</v>
      </c>
      <c r="D45" s="146">
        <f t="shared" si="10"/>
        <v>0</v>
      </c>
      <c r="E45" s="146">
        <f>HLOOKUP($E$10,'LGE Gas Meter - WACOC-Tax Table'!$B$17:$E$58,A46)*$B$30</f>
        <v>0</v>
      </c>
      <c r="F45" s="146">
        <f t="shared" si="11"/>
        <v>0</v>
      </c>
      <c r="G45" s="146">
        <f t="shared" si="5"/>
        <v>0</v>
      </c>
      <c r="H45" s="146">
        <f t="shared" si="12"/>
        <v>1.5987211554602254E-14</v>
      </c>
      <c r="I45" s="146">
        <f t="shared" si="14"/>
        <v>0</v>
      </c>
      <c r="J45" s="146">
        <f>'LGE Gas Meter - WACOC-Tax Table'!$E$10*I45</f>
        <v>0</v>
      </c>
      <c r="K45" s="146">
        <f>I45*('LGE Gas Meter - WACOC-Tax Table'!$E$11+'LGE Gas Meter - WACOC-Tax Table'!$E$12)</f>
        <v>0</v>
      </c>
      <c r="L45" s="146">
        <f t="shared" si="13"/>
        <v>0</v>
      </c>
      <c r="M45" s="146">
        <f t="shared" si="1"/>
        <v>0</v>
      </c>
      <c r="N45" s="146">
        <f t="shared" si="2"/>
        <v>0</v>
      </c>
      <c r="O45" s="146">
        <f t="shared" si="3"/>
        <v>0</v>
      </c>
      <c r="P45" s="158">
        <f>1/(1+'LGE Gas Meter - WACOC-Tax Table'!$E$13)^A45</f>
        <v>0.35415659114488207</v>
      </c>
      <c r="Q45" s="160">
        <f t="shared" si="4"/>
        <v>0</v>
      </c>
      <c r="R45" s="146">
        <f t="shared" si="7"/>
        <v>978.87231863975524</v>
      </c>
      <c r="S45" s="152">
        <f t="shared" si="8"/>
        <v>0</v>
      </c>
      <c r="T45" s="155"/>
    </row>
    <row r="46" spans="1:20" hidden="1" x14ac:dyDescent="0.2">
      <c r="A46" s="100">
        <v>16</v>
      </c>
      <c r="C46" s="146">
        <f t="shared" si="9"/>
        <v>0</v>
      </c>
      <c r="D46" s="146">
        <f t="shared" si="10"/>
        <v>0</v>
      </c>
      <c r="E46" s="146">
        <f>HLOOKUP($E$10,'LGE Gas Meter - WACOC-Tax Table'!$B$17:$E$58,A47)*$B$30</f>
        <v>0</v>
      </c>
      <c r="F46" s="146">
        <f t="shared" si="11"/>
        <v>0</v>
      </c>
      <c r="G46" s="146">
        <f t="shared" si="5"/>
        <v>0</v>
      </c>
      <c r="H46" s="146">
        <f t="shared" si="12"/>
        <v>1.5987211554602254E-14</v>
      </c>
      <c r="I46" s="146">
        <f t="shared" si="14"/>
        <v>0</v>
      </c>
      <c r="J46" s="146">
        <f>'LGE Gas Meter - WACOC-Tax Table'!$E$10*I46</f>
        <v>0</v>
      </c>
      <c r="K46" s="146">
        <f>I46*('LGE Gas Meter - WACOC-Tax Table'!$E$11+'LGE Gas Meter - WACOC-Tax Table'!$E$12)</f>
        <v>0</v>
      </c>
      <c r="L46" s="146">
        <f t="shared" si="13"/>
        <v>0</v>
      </c>
      <c r="M46" s="146">
        <f t="shared" si="1"/>
        <v>0</v>
      </c>
      <c r="N46" s="146">
        <f t="shared" si="2"/>
        <v>0</v>
      </c>
      <c r="O46" s="146">
        <f t="shared" si="3"/>
        <v>0</v>
      </c>
      <c r="P46" s="158">
        <f>1/(1+'LGE Gas Meter - WACOC-Tax Table'!$E$13)^A46</f>
        <v>0.33047733823203107</v>
      </c>
      <c r="Q46" s="160">
        <f t="shared" si="4"/>
        <v>0</v>
      </c>
      <c r="R46" s="146">
        <f t="shared" si="7"/>
        <v>978.87231863975524</v>
      </c>
      <c r="S46" s="152">
        <f t="shared" si="8"/>
        <v>0</v>
      </c>
      <c r="T46" s="155"/>
    </row>
    <row r="47" spans="1:20" hidden="1" x14ac:dyDescent="0.2">
      <c r="A47" s="100">
        <v>17</v>
      </c>
      <c r="C47" s="146">
        <f t="shared" si="9"/>
        <v>0</v>
      </c>
      <c r="D47" s="146">
        <f t="shared" si="10"/>
        <v>0</v>
      </c>
      <c r="E47" s="146">
        <f>HLOOKUP($E$10,'LGE Gas Meter - WACOC-Tax Table'!$B$17:$E$58,A48)*$B$30</f>
        <v>0</v>
      </c>
      <c r="F47" s="146">
        <f t="shared" si="11"/>
        <v>0</v>
      </c>
      <c r="G47" s="146">
        <f t="shared" si="5"/>
        <v>0</v>
      </c>
      <c r="H47" s="146">
        <f t="shared" si="12"/>
        <v>1.5987211554602254E-14</v>
      </c>
      <c r="I47" s="146">
        <f t="shared" si="14"/>
        <v>0</v>
      </c>
      <c r="J47" s="146">
        <f>'LGE Gas Meter - WACOC-Tax Table'!$E$10*I47</f>
        <v>0</v>
      </c>
      <c r="K47" s="146">
        <f>I47*('LGE Gas Meter - WACOC-Tax Table'!$E$11+'LGE Gas Meter - WACOC-Tax Table'!$E$12)</f>
        <v>0</v>
      </c>
      <c r="L47" s="146">
        <f t="shared" si="13"/>
        <v>0</v>
      </c>
      <c r="M47" s="146">
        <f t="shared" si="1"/>
        <v>0</v>
      </c>
      <c r="N47" s="146">
        <f t="shared" si="2"/>
        <v>0</v>
      </c>
      <c r="O47" s="146">
        <f t="shared" si="3"/>
        <v>0</v>
      </c>
      <c r="P47" s="158">
        <f>1/(1+'LGE Gas Meter - WACOC-Tax Table'!$E$13)^A47</f>
        <v>0.30838130311755046</v>
      </c>
      <c r="Q47" s="160">
        <f t="shared" si="4"/>
        <v>0</v>
      </c>
      <c r="R47" s="146">
        <f t="shared" si="7"/>
        <v>978.87231863975524</v>
      </c>
      <c r="S47" s="152">
        <f t="shared" si="8"/>
        <v>0</v>
      </c>
      <c r="T47" s="155"/>
    </row>
    <row r="48" spans="1:20" hidden="1" x14ac:dyDescent="0.2">
      <c r="A48" s="100">
        <v>18</v>
      </c>
      <c r="C48" s="146">
        <f t="shared" si="9"/>
        <v>0</v>
      </c>
      <c r="D48" s="146">
        <f t="shared" si="10"/>
        <v>0</v>
      </c>
      <c r="E48" s="146">
        <f>HLOOKUP($E$10,'LGE Gas Meter - WACOC-Tax Table'!$B$17:$E$58,A49)*$B$30</f>
        <v>0</v>
      </c>
      <c r="F48" s="146">
        <f t="shared" si="11"/>
        <v>0</v>
      </c>
      <c r="G48" s="146">
        <f t="shared" si="5"/>
        <v>0</v>
      </c>
      <c r="H48" s="146">
        <f t="shared" si="12"/>
        <v>1.5987211554602254E-14</v>
      </c>
      <c r="I48" s="146">
        <f t="shared" si="14"/>
        <v>0</v>
      </c>
      <c r="J48" s="146">
        <f>'LGE Gas Meter - WACOC-Tax Table'!$E$10*I48</f>
        <v>0</v>
      </c>
      <c r="K48" s="146">
        <f>I48*('LGE Gas Meter - WACOC-Tax Table'!$E$11+'LGE Gas Meter - WACOC-Tax Table'!$E$12)</f>
        <v>0</v>
      </c>
      <c r="L48" s="146">
        <f t="shared" si="13"/>
        <v>0</v>
      </c>
      <c r="M48" s="146">
        <f t="shared" si="1"/>
        <v>0</v>
      </c>
      <c r="N48" s="146">
        <f t="shared" si="2"/>
        <v>0</v>
      </c>
      <c r="O48" s="146">
        <f t="shared" si="3"/>
        <v>0</v>
      </c>
      <c r="P48" s="158">
        <f>1/(1+'LGE Gas Meter - WACOC-Tax Table'!$E$13)^A48</f>
        <v>0.28776263032507438</v>
      </c>
      <c r="Q48" s="160">
        <f t="shared" si="4"/>
        <v>0</v>
      </c>
      <c r="R48" s="146">
        <f t="shared" si="7"/>
        <v>978.87231863975524</v>
      </c>
      <c r="S48" s="152">
        <f t="shared" si="8"/>
        <v>0</v>
      </c>
      <c r="T48" s="155"/>
    </row>
    <row r="49" spans="1:20" hidden="1" x14ac:dyDescent="0.2">
      <c r="A49" s="100">
        <v>19</v>
      </c>
      <c r="C49" s="146">
        <f t="shared" si="9"/>
        <v>0</v>
      </c>
      <c r="D49" s="146">
        <f t="shared" si="10"/>
        <v>0</v>
      </c>
      <c r="E49" s="146">
        <f>HLOOKUP($E$10,'LGE Gas Meter - WACOC-Tax Table'!$B$17:$E$58,A50)*$B$30</f>
        <v>0</v>
      </c>
      <c r="F49" s="146">
        <f t="shared" si="11"/>
        <v>0</v>
      </c>
      <c r="G49" s="146">
        <f t="shared" si="5"/>
        <v>0</v>
      </c>
      <c r="H49" s="146">
        <f t="shared" si="12"/>
        <v>1.5987211554602254E-14</v>
      </c>
      <c r="I49" s="146">
        <f t="shared" si="14"/>
        <v>0</v>
      </c>
      <c r="J49" s="146">
        <f>'LGE Gas Meter - WACOC-Tax Table'!$E$10*I49</f>
        <v>0</v>
      </c>
      <c r="K49" s="146">
        <f>I49*('LGE Gas Meter - WACOC-Tax Table'!$E$11+'LGE Gas Meter - WACOC-Tax Table'!$E$12)</f>
        <v>0</v>
      </c>
      <c r="L49" s="146">
        <f t="shared" si="13"/>
        <v>0</v>
      </c>
      <c r="M49" s="146">
        <f t="shared" si="1"/>
        <v>0</v>
      </c>
      <c r="N49" s="146">
        <f t="shared" si="2"/>
        <v>0</v>
      </c>
      <c r="O49" s="146">
        <f t="shared" si="3"/>
        <v>0</v>
      </c>
      <c r="P49" s="158">
        <f>1/(1+'LGE Gas Meter - WACOC-Tax Table'!$E$13)^A49</f>
        <v>0.26852254197797609</v>
      </c>
      <c r="Q49" s="160">
        <f t="shared" si="4"/>
        <v>0</v>
      </c>
      <c r="R49" s="146">
        <f t="shared" si="7"/>
        <v>978.87231863975524</v>
      </c>
      <c r="S49" s="152">
        <f t="shared" si="8"/>
        <v>0</v>
      </c>
      <c r="T49" s="155"/>
    </row>
    <row r="50" spans="1:20" hidden="1" x14ac:dyDescent="0.2">
      <c r="A50" s="100">
        <v>20</v>
      </c>
      <c r="C50" s="146">
        <f t="shared" si="9"/>
        <v>0</v>
      </c>
      <c r="D50" s="146">
        <f t="shared" si="10"/>
        <v>0</v>
      </c>
      <c r="E50" s="146">
        <f>HLOOKUP($E$10,'LGE Gas Meter - WACOC-Tax Table'!$B$17:$E$58,A51)*$B$30</f>
        <v>0</v>
      </c>
      <c r="F50" s="146">
        <f t="shared" si="11"/>
        <v>0</v>
      </c>
      <c r="G50" s="146">
        <f t="shared" si="5"/>
        <v>0</v>
      </c>
      <c r="H50" s="146">
        <f t="shared" si="12"/>
        <v>1.5987211554602254E-14</v>
      </c>
      <c r="I50" s="146">
        <f t="shared" si="14"/>
        <v>0</v>
      </c>
      <c r="J50" s="146">
        <f>'LGE Gas Meter - WACOC-Tax Table'!$E$10*I50</f>
        <v>0</v>
      </c>
      <c r="K50" s="146">
        <f>I50*('LGE Gas Meter - WACOC-Tax Table'!$E$11+'LGE Gas Meter - WACOC-Tax Table'!$E$12)</f>
        <v>0</v>
      </c>
      <c r="L50" s="146">
        <f t="shared" si="13"/>
        <v>0</v>
      </c>
      <c r="M50" s="146">
        <f t="shared" si="1"/>
        <v>0</v>
      </c>
      <c r="N50" s="146">
        <f t="shared" si="2"/>
        <v>0</v>
      </c>
      <c r="O50" s="146">
        <f t="shared" si="3"/>
        <v>0</v>
      </c>
      <c r="P50" s="158">
        <f>1/(1+'LGE Gas Meter - WACOC-Tax Table'!$E$13)^A50</f>
        <v>0.2505688645841902</v>
      </c>
      <c r="Q50" s="160">
        <f t="shared" si="4"/>
        <v>0</v>
      </c>
      <c r="R50" s="146">
        <f t="shared" si="7"/>
        <v>978.87231863975524</v>
      </c>
      <c r="S50" s="152">
        <f t="shared" si="8"/>
        <v>0</v>
      </c>
      <c r="T50" s="155"/>
    </row>
    <row r="51" spans="1:20" hidden="1" x14ac:dyDescent="0.2">
      <c r="A51" s="100">
        <v>21</v>
      </c>
      <c r="C51" s="146">
        <f t="shared" si="9"/>
        <v>0</v>
      </c>
      <c r="D51" s="146">
        <f t="shared" si="10"/>
        <v>0</v>
      </c>
      <c r="E51" s="146">
        <f>HLOOKUP($E$10,'LGE Gas Meter - WACOC-Tax Table'!$B$17:$E$58,A52)*$B$30</f>
        <v>0</v>
      </c>
      <c r="F51" s="146">
        <f t="shared" si="11"/>
        <v>0</v>
      </c>
      <c r="G51" s="146">
        <f t="shared" si="5"/>
        <v>0</v>
      </c>
      <c r="H51" s="146">
        <f t="shared" si="12"/>
        <v>1.5987211554602254E-14</v>
      </c>
      <c r="I51" s="146">
        <f t="shared" si="14"/>
        <v>0</v>
      </c>
      <c r="J51" s="146">
        <f>'LGE Gas Meter - WACOC-Tax Table'!$E$10*I51</f>
        <v>0</v>
      </c>
      <c r="K51" s="146">
        <f>I51*('LGE Gas Meter - WACOC-Tax Table'!$E$11+'LGE Gas Meter - WACOC-Tax Table'!$E$12)</f>
        <v>0</v>
      </c>
      <c r="L51" s="146">
        <f t="shared" si="13"/>
        <v>0</v>
      </c>
      <c r="M51" s="146">
        <f t="shared" si="1"/>
        <v>0</v>
      </c>
      <c r="N51" s="146">
        <f t="shared" si="2"/>
        <v>0</v>
      </c>
      <c r="O51" s="146">
        <f t="shared" si="3"/>
        <v>0</v>
      </c>
      <c r="P51" s="158">
        <f>1/(1+'LGE Gas Meter - WACOC-Tax Table'!$E$13)^A51</f>
        <v>0.23381558746066008</v>
      </c>
      <c r="Q51" s="160">
        <f t="shared" si="4"/>
        <v>0</v>
      </c>
      <c r="R51" s="146">
        <f t="shared" si="7"/>
        <v>978.87231863975524</v>
      </c>
      <c r="S51" s="152">
        <f t="shared" si="8"/>
        <v>0</v>
      </c>
      <c r="T51" s="155"/>
    </row>
    <row r="52" spans="1:20" hidden="1" x14ac:dyDescent="0.2">
      <c r="A52" s="100">
        <v>22</v>
      </c>
      <c r="C52" s="146">
        <f t="shared" si="9"/>
        <v>0</v>
      </c>
      <c r="D52" s="146">
        <f t="shared" si="10"/>
        <v>0</v>
      </c>
      <c r="E52" s="146">
        <f>HLOOKUP($E$10,'LGE Gas Meter - WACOC-Tax Table'!$B$17:$E$58,A53)*$B$30</f>
        <v>0</v>
      </c>
      <c r="F52" s="146">
        <f t="shared" si="11"/>
        <v>0</v>
      </c>
      <c r="G52" s="146">
        <f t="shared" si="5"/>
        <v>0</v>
      </c>
      <c r="H52" s="146">
        <f t="shared" si="12"/>
        <v>1.5987211554602254E-14</v>
      </c>
      <c r="I52" s="146">
        <f t="shared" si="14"/>
        <v>0</v>
      </c>
      <c r="J52" s="146">
        <f>'LGE Gas Meter - WACOC-Tax Table'!$E$10*I52</f>
        <v>0</v>
      </c>
      <c r="K52" s="146">
        <f>I52*('LGE Gas Meter - WACOC-Tax Table'!$E$11+'LGE Gas Meter - WACOC-Tax Table'!$E$12)</f>
        <v>0</v>
      </c>
      <c r="L52" s="146">
        <f t="shared" si="13"/>
        <v>0</v>
      </c>
      <c r="M52" s="146">
        <f t="shared" si="1"/>
        <v>0</v>
      </c>
      <c r="N52" s="146">
        <f t="shared" si="2"/>
        <v>0</v>
      </c>
      <c r="O52" s="146">
        <f t="shared" si="3"/>
        <v>0</v>
      </c>
      <c r="P52" s="158">
        <f>1/(1+'LGE Gas Meter - WACOC-Tax Table'!$E$13)^A52</f>
        <v>0.21818245068195513</v>
      </c>
      <c r="Q52" s="160">
        <f t="shared" si="4"/>
        <v>0</v>
      </c>
      <c r="R52" s="146">
        <f t="shared" si="7"/>
        <v>978.87231863975524</v>
      </c>
      <c r="S52" s="152">
        <f t="shared" si="8"/>
        <v>0</v>
      </c>
      <c r="T52" s="155"/>
    </row>
    <row r="53" spans="1:20" hidden="1" x14ac:dyDescent="0.2">
      <c r="A53" s="100">
        <v>23</v>
      </c>
      <c r="C53" s="146">
        <f t="shared" si="9"/>
        <v>0</v>
      </c>
      <c r="D53" s="146">
        <f t="shared" si="10"/>
        <v>0</v>
      </c>
      <c r="E53" s="146">
        <f>HLOOKUP($E$10,'LGE Gas Meter - WACOC-Tax Table'!$B$17:$E$58,A54)*$B$30</f>
        <v>0</v>
      </c>
      <c r="F53" s="146">
        <f t="shared" si="11"/>
        <v>0</v>
      </c>
      <c r="G53" s="146">
        <f t="shared" si="5"/>
        <v>0</v>
      </c>
      <c r="H53" s="146">
        <f t="shared" si="12"/>
        <v>1.5987211554602254E-14</v>
      </c>
      <c r="I53" s="146">
        <f t="shared" si="14"/>
        <v>0</v>
      </c>
      <c r="J53" s="146">
        <f>'LGE Gas Meter - WACOC-Tax Table'!$E$10*I53</f>
        <v>0</v>
      </c>
      <c r="K53" s="146">
        <f>I53*('LGE Gas Meter - WACOC-Tax Table'!$E$11+'LGE Gas Meter - WACOC-Tax Table'!$E$12)</f>
        <v>0</v>
      </c>
      <c r="L53" s="146">
        <f t="shared" si="13"/>
        <v>0</v>
      </c>
      <c r="M53" s="146">
        <f t="shared" si="1"/>
        <v>0</v>
      </c>
      <c r="N53" s="146">
        <f t="shared" si="2"/>
        <v>0</v>
      </c>
      <c r="O53" s="146">
        <f t="shared" si="3"/>
        <v>0</v>
      </c>
      <c r="P53" s="158">
        <f>1/(1+'LGE Gas Meter - WACOC-Tax Table'!$E$13)^A53</f>
        <v>0.2035945605790426</v>
      </c>
      <c r="Q53" s="160">
        <f t="shared" si="4"/>
        <v>0</v>
      </c>
      <c r="R53" s="146">
        <f t="shared" si="7"/>
        <v>978.87231863975524</v>
      </c>
      <c r="S53" s="152">
        <f t="shared" si="8"/>
        <v>0</v>
      </c>
      <c r="T53" s="155"/>
    </row>
    <row r="54" spans="1:20" hidden="1" x14ac:dyDescent="0.2">
      <c r="A54" s="100">
        <v>24</v>
      </c>
      <c r="C54" s="146">
        <f t="shared" si="9"/>
        <v>0</v>
      </c>
      <c r="D54" s="146">
        <f t="shared" si="10"/>
        <v>0</v>
      </c>
      <c r="E54" s="146">
        <f>HLOOKUP($E$10,'LGE Gas Meter - WACOC-Tax Table'!$B$17:$E$58,A55)*$B$30</f>
        <v>0</v>
      </c>
      <c r="F54" s="146">
        <f t="shared" si="11"/>
        <v>0</v>
      </c>
      <c r="G54" s="146">
        <f t="shared" si="5"/>
        <v>0</v>
      </c>
      <c r="H54" s="146">
        <f t="shared" si="12"/>
        <v>1.5987211554602254E-14</v>
      </c>
      <c r="I54" s="146">
        <f t="shared" si="14"/>
        <v>0</v>
      </c>
      <c r="J54" s="146">
        <f>'LGE Gas Meter - WACOC-Tax Table'!$E$10*I54</f>
        <v>0</v>
      </c>
      <c r="K54" s="146">
        <f>I54*('LGE Gas Meter - WACOC-Tax Table'!$E$11+'LGE Gas Meter - WACOC-Tax Table'!$E$12)</f>
        <v>0</v>
      </c>
      <c r="L54" s="146">
        <f t="shared" si="13"/>
        <v>0</v>
      </c>
      <c r="M54" s="146">
        <f t="shared" si="1"/>
        <v>0</v>
      </c>
      <c r="N54" s="146">
        <f t="shared" si="2"/>
        <v>0</v>
      </c>
      <c r="O54" s="146">
        <f t="shared" si="3"/>
        <v>0</v>
      </c>
      <c r="P54" s="158">
        <f>1/(1+'LGE Gas Meter - WACOC-Tax Table'!$E$13)^A54</f>
        <v>0.18998203094618393</v>
      </c>
      <c r="Q54" s="160">
        <f t="shared" si="4"/>
        <v>0</v>
      </c>
      <c r="R54" s="146">
        <f t="shared" si="7"/>
        <v>978.87231863975524</v>
      </c>
      <c r="S54" s="152">
        <f t="shared" si="8"/>
        <v>0</v>
      </c>
      <c r="T54" s="155"/>
    </row>
    <row r="55" spans="1:20" hidden="1" x14ac:dyDescent="0.2">
      <c r="A55" s="100">
        <v>25</v>
      </c>
      <c r="C55" s="146">
        <f t="shared" si="9"/>
        <v>0</v>
      </c>
      <c r="D55" s="146">
        <f t="shared" si="10"/>
        <v>0</v>
      </c>
      <c r="E55" s="146">
        <f>HLOOKUP($E$10,'LGE Gas Meter - WACOC-Tax Table'!$B$17:$E$58,A56)*$B$30</f>
        <v>0</v>
      </c>
      <c r="F55" s="146">
        <f t="shared" si="11"/>
        <v>0</v>
      </c>
      <c r="G55" s="146">
        <f t="shared" si="5"/>
        <v>0</v>
      </c>
      <c r="H55" s="146">
        <f t="shared" si="12"/>
        <v>1.5987211554602254E-14</v>
      </c>
      <c r="I55" s="146">
        <f t="shared" si="14"/>
        <v>0</v>
      </c>
      <c r="J55" s="146">
        <f>'LGE Gas Meter - WACOC-Tax Table'!$E$10*I55</f>
        <v>0</v>
      </c>
      <c r="K55" s="146">
        <f>I55*('LGE Gas Meter - WACOC-Tax Table'!$E$11+'LGE Gas Meter - WACOC-Tax Table'!$E$12)</f>
        <v>0</v>
      </c>
      <c r="L55" s="146">
        <f t="shared" si="13"/>
        <v>0</v>
      </c>
      <c r="M55" s="146">
        <f t="shared" si="1"/>
        <v>0</v>
      </c>
      <c r="N55" s="146">
        <f t="shared" si="2"/>
        <v>0</v>
      </c>
      <c r="O55" s="146">
        <f t="shared" si="3"/>
        <v>0</v>
      </c>
      <c r="P55" s="158">
        <f>1/(1+'LGE Gas Meter - WACOC-Tax Table'!$E$13)^A55</f>
        <v>0.17727964823708611</v>
      </c>
      <c r="Q55" s="160">
        <f t="shared" si="4"/>
        <v>0</v>
      </c>
      <c r="R55" s="146">
        <f t="shared" si="7"/>
        <v>978.87231863975524</v>
      </c>
      <c r="S55" s="152">
        <f t="shared" si="8"/>
        <v>0</v>
      </c>
      <c r="T55" s="155"/>
    </row>
    <row r="56" spans="1:20" hidden="1" x14ac:dyDescent="0.2">
      <c r="A56" s="100">
        <v>26</v>
      </c>
      <c r="C56" s="146">
        <f t="shared" si="9"/>
        <v>0</v>
      </c>
      <c r="D56" s="146">
        <f t="shared" si="10"/>
        <v>0</v>
      </c>
      <c r="E56" s="146">
        <f>HLOOKUP($E$10,'LGE Gas Meter - WACOC-Tax Table'!$B$17:$E$58,A57)*$B$30</f>
        <v>0</v>
      </c>
      <c r="F56" s="146">
        <f t="shared" si="11"/>
        <v>0</v>
      </c>
      <c r="G56" s="146">
        <f t="shared" si="5"/>
        <v>0</v>
      </c>
      <c r="H56" s="146">
        <f t="shared" si="12"/>
        <v>1.5987211554602254E-14</v>
      </c>
      <c r="I56" s="146">
        <f t="shared" si="14"/>
        <v>0</v>
      </c>
      <c r="J56" s="146">
        <f>'LGE Gas Meter - WACOC-Tax Table'!$E$10*I56</f>
        <v>0</v>
      </c>
      <c r="K56" s="146">
        <f>I56*('LGE Gas Meter - WACOC-Tax Table'!$E$11+'LGE Gas Meter - WACOC-Tax Table'!$E$12)</f>
        <v>0</v>
      </c>
      <c r="L56" s="146">
        <f t="shared" si="13"/>
        <v>0</v>
      </c>
      <c r="M56" s="146">
        <f t="shared" si="1"/>
        <v>0</v>
      </c>
      <c r="N56" s="146">
        <f t="shared" si="2"/>
        <v>0</v>
      </c>
      <c r="O56" s="146">
        <f t="shared" si="3"/>
        <v>0</v>
      </c>
      <c r="P56" s="158">
        <f>1/(1+'LGE Gas Meter - WACOC-Tax Table'!$E$13)^A56</f>
        <v>0.16542655914636259</v>
      </c>
      <c r="Q56" s="160">
        <f t="shared" si="4"/>
        <v>0</v>
      </c>
      <c r="R56" s="146">
        <f t="shared" si="7"/>
        <v>978.87231863975524</v>
      </c>
      <c r="S56" s="152">
        <f t="shared" si="8"/>
        <v>0</v>
      </c>
      <c r="T56" s="155"/>
    </row>
    <row r="57" spans="1:20" hidden="1" x14ac:dyDescent="0.2">
      <c r="A57" s="100">
        <v>27</v>
      </c>
      <c r="C57" s="146">
        <f t="shared" si="9"/>
        <v>0</v>
      </c>
      <c r="D57" s="146">
        <f t="shared" si="10"/>
        <v>0</v>
      </c>
      <c r="E57" s="146">
        <f>HLOOKUP($E$10,'LGE Gas Meter - WACOC-Tax Table'!$B$17:$E$58,A58)*$B$30</f>
        <v>0</v>
      </c>
      <c r="F57" s="146">
        <f t="shared" si="11"/>
        <v>0</v>
      </c>
      <c r="G57" s="146">
        <f t="shared" si="5"/>
        <v>0</v>
      </c>
      <c r="H57" s="146">
        <f t="shared" si="12"/>
        <v>1.5987211554602254E-14</v>
      </c>
      <c r="I57" s="146">
        <f t="shared" si="14"/>
        <v>0</v>
      </c>
      <c r="J57" s="146">
        <f>'LGE Gas Meter - WACOC-Tax Table'!$E$10*I57</f>
        <v>0</v>
      </c>
      <c r="K57" s="146">
        <f>I57*('LGE Gas Meter - WACOC-Tax Table'!$E$11+'LGE Gas Meter - WACOC-Tax Table'!$E$12)</f>
        <v>0</v>
      </c>
      <c r="L57" s="146">
        <f t="shared" si="13"/>
        <v>0</v>
      </c>
      <c r="M57" s="146">
        <f t="shared" si="1"/>
        <v>0</v>
      </c>
      <c r="N57" s="146">
        <f t="shared" si="2"/>
        <v>0</v>
      </c>
      <c r="O57" s="146">
        <f t="shared" si="3"/>
        <v>0</v>
      </c>
      <c r="P57" s="158">
        <f>1/(1+'LGE Gas Meter - WACOC-Tax Table'!$E$13)^A57</f>
        <v>0.1543659790796007</v>
      </c>
      <c r="Q57" s="160">
        <f t="shared" si="4"/>
        <v>0</v>
      </c>
      <c r="R57" s="146">
        <f t="shared" si="7"/>
        <v>978.87231863975524</v>
      </c>
      <c r="S57" s="152">
        <f t="shared" si="8"/>
        <v>0</v>
      </c>
      <c r="T57" s="155"/>
    </row>
    <row r="58" spans="1:20" hidden="1" x14ac:dyDescent="0.2">
      <c r="A58" s="100">
        <v>28</v>
      </c>
      <c r="C58" s="146">
        <f t="shared" si="9"/>
        <v>0</v>
      </c>
      <c r="D58" s="146">
        <f t="shared" si="10"/>
        <v>0</v>
      </c>
      <c r="E58" s="146">
        <f>HLOOKUP($E$10,'LGE Gas Meter - WACOC-Tax Table'!$B$17:$E$58,A59)*$B$30</f>
        <v>0</v>
      </c>
      <c r="F58" s="146">
        <f t="shared" si="11"/>
        <v>0</v>
      </c>
      <c r="G58" s="146">
        <f t="shared" si="5"/>
        <v>0</v>
      </c>
      <c r="H58" s="146">
        <f t="shared" si="12"/>
        <v>1.5987211554602254E-14</v>
      </c>
      <c r="I58" s="146">
        <f t="shared" si="14"/>
        <v>0</v>
      </c>
      <c r="J58" s="146">
        <f>'LGE Gas Meter - WACOC-Tax Table'!$E$10*I58</f>
        <v>0</v>
      </c>
      <c r="K58" s="146">
        <f>I58*('LGE Gas Meter - WACOC-Tax Table'!$E$11+'LGE Gas Meter - WACOC-Tax Table'!$E$12)</f>
        <v>0</v>
      </c>
      <c r="L58" s="146">
        <f t="shared" si="13"/>
        <v>0</v>
      </c>
      <c r="M58" s="146">
        <f t="shared" si="1"/>
        <v>0</v>
      </c>
      <c r="N58" s="146">
        <f t="shared" si="2"/>
        <v>0</v>
      </c>
      <c r="O58" s="146">
        <f t="shared" si="3"/>
        <v>0</v>
      </c>
      <c r="P58" s="158">
        <f>1/(1+'LGE Gas Meter - WACOC-Tax Table'!$E$13)^A58</f>
        <v>0.14404492011540257</v>
      </c>
      <c r="Q58" s="160">
        <f t="shared" si="4"/>
        <v>0</v>
      </c>
      <c r="R58" s="146">
        <f t="shared" si="7"/>
        <v>978.87231863975524</v>
      </c>
      <c r="S58" s="152">
        <f t="shared" si="8"/>
        <v>0</v>
      </c>
      <c r="T58" s="155"/>
    </row>
    <row r="59" spans="1:20" hidden="1" x14ac:dyDescent="0.2">
      <c r="A59" s="100">
        <v>29</v>
      </c>
      <c r="C59" s="146">
        <f t="shared" si="9"/>
        <v>0</v>
      </c>
      <c r="D59" s="146">
        <f t="shared" si="10"/>
        <v>0</v>
      </c>
      <c r="E59" s="146">
        <f>HLOOKUP($E$10,'LGE Gas Meter - WACOC-Tax Table'!$B$17:$E$58,A60)*$B$30</f>
        <v>0</v>
      </c>
      <c r="F59" s="146">
        <f t="shared" si="11"/>
        <v>0</v>
      </c>
      <c r="G59" s="146">
        <f t="shared" si="5"/>
        <v>0</v>
      </c>
      <c r="H59" s="146">
        <f t="shared" si="12"/>
        <v>1.5987211554602254E-14</v>
      </c>
      <c r="I59" s="146">
        <f t="shared" si="14"/>
        <v>0</v>
      </c>
      <c r="J59" s="146">
        <f>'LGE Gas Meter - WACOC-Tax Table'!$E$10*I59</f>
        <v>0</v>
      </c>
      <c r="K59" s="146">
        <f>I59*('LGE Gas Meter - WACOC-Tax Table'!$E$11+'LGE Gas Meter - WACOC-Tax Table'!$E$12)</f>
        <v>0</v>
      </c>
      <c r="L59" s="146">
        <f t="shared" si="13"/>
        <v>0</v>
      </c>
      <c r="M59" s="146">
        <f t="shared" si="1"/>
        <v>0</v>
      </c>
      <c r="N59" s="146">
        <f t="shared" si="2"/>
        <v>0</v>
      </c>
      <c r="O59" s="146">
        <f t="shared" si="3"/>
        <v>0</v>
      </c>
      <c r="P59" s="158">
        <f>1/(1+'LGE Gas Meter - WACOC-Tax Table'!$E$13)^A59</f>
        <v>0.13441393715614805</v>
      </c>
      <c r="Q59" s="160">
        <f t="shared" si="4"/>
        <v>0</v>
      </c>
      <c r="R59" s="146">
        <f t="shared" si="7"/>
        <v>978.87231863975524</v>
      </c>
      <c r="S59" s="152">
        <f t="shared" si="8"/>
        <v>0</v>
      </c>
      <c r="T59" s="155"/>
    </row>
    <row r="60" spans="1:20" hidden="1" x14ac:dyDescent="0.2">
      <c r="A60" s="100">
        <v>30</v>
      </c>
      <c r="C60" s="146">
        <f t="shared" si="9"/>
        <v>0</v>
      </c>
      <c r="D60" s="146">
        <f t="shared" si="10"/>
        <v>0</v>
      </c>
      <c r="E60" s="146">
        <f>HLOOKUP($E$10,'LGE Gas Meter - WACOC-Tax Table'!$B$17:$E$58,A61)*$B$30</f>
        <v>0</v>
      </c>
      <c r="F60" s="146">
        <f t="shared" si="11"/>
        <v>0</v>
      </c>
      <c r="G60" s="146">
        <f t="shared" si="5"/>
        <v>0</v>
      </c>
      <c r="H60" s="146">
        <f t="shared" si="12"/>
        <v>1.5987211554602254E-14</v>
      </c>
      <c r="I60" s="146">
        <f t="shared" si="14"/>
        <v>0</v>
      </c>
      <c r="J60" s="146">
        <f>'LGE Gas Meter - WACOC-Tax Table'!$E$10*I60</f>
        <v>0</v>
      </c>
      <c r="K60" s="146">
        <f>I60*('LGE Gas Meter - WACOC-Tax Table'!$E$11+'LGE Gas Meter - WACOC-Tax Table'!$E$12)</f>
        <v>0</v>
      </c>
      <c r="L60" s="146">
        <f t="shared" si="13"/>
        <v>0</v>
      </c>
      <c r="M60" s="146">
        <f t="shared" si="1"/>
        <v>0</v>
      </c>
      <c r="N60" s="146">
        <f t="shared" si="2"/>
        <v>0</v>
      </c>
      <c r="O60" s="146">
        <f t="shared" si="3"/>
        <v>0</v>
      </c>
      <c r="P60" s="158">
        <f>1/(1+'LGE Gas Meter - WACOC-Tax Table'!$E$13)^A60</f>
        <v>0.12542689105136315</v>
      </c>
      <c r="Q60" s="160">
        <f t="shared" si="4"/>
        <v>0</v>
      </c>
      <c r="R60" s="146">
        <f t="shared" si="7"/>
        <v>978.87231863975524</v>
      </c>
      <c r="S60" s="152">
        <f t="shared" si="8"/>
        <v>0</v>
      </c>
      <c r="T60" s="155"/>
    </row>
    <row r="61" spans="1:20" hidden="1" x14ac:dyDescent="0.2">
      <c r="A61" s="100">
        <v>31</v>
      </c>
      <c r="C61" s="146">
        <f>IF(D60&lt;=0.001,0,(1/$E$9)*$B$30)</f>
        <v>0</v>
      </c>
      <c r="D61" s="146">
        <f>D60-C61</f>
        <v>0</v>
      </c>
      <c r="E61" s="139">
        <f>HLOOKUP($E$10,'LGE Gas Meter - WACOC-Tax Table'!$B$17:$E$58,A62)*$B$30</f>
        <v>0</v>
      </c>
      <c r="F61" s="146">
        <f>F60-E61</f>
        <v>0</v>
      </c>
      <c r="G61" s="139">
        <f t="shared" si="5"/>
        <v>0</v>
      </c>
      <c r="H61" s="154">
        <f>H60+G61</f>
        <v>1.5987211554602254E-14</v>
      </c>
      <c r="I61" s="154">
        <f t="shared" si="14"/>
        <v>0</v>
      </c>
      <c r="J61" s="133">
        <f>'LGE Gas Meter - WACOC-Tax Table'!$E$10*I61</f>
        <v>0</v>
      </c>
      <c r="K61" s="139">
        <f>I61*('LGE Gas Meter - WACOC-Tax Table'!$E$11+'LGE Gas Meter - WACOC-Tax Table'!$E$12)</f>
        <v>0</v>
      </c>
      <c r="L61" s="139">
        <f>$E$14*$E$8*(1+$E$15)^A60</f>
        <v>0</v>
      </c>
      <c r="M61" s="154">
        <f t="shared" si="1"/>
        <v>0</v>
      </c>
      <c r="N61" s="146">
        <f t="shared" si="2"/>
        <v>0</v>
      </c>
      <c r="O61" s="139">
        <f t="shared" si="3"/>
        <v>0</v>
      </c>
      <c r="P61" s="161">
        <f>1/(1+'LGE Gas Meter - WACOC-Tax Table'!$E$13)^A61</f>
        <v>0.11704072755889032</v>
      </c>
      <c r="Q61" s="159">
        <f t="shared" si="4"/>
        <v>0</v>
      </c>
      <c r="R61" s="154">
        <f>R60+Q61</f>
        <v>978.87231863975524</v>
      </c>
      <c r="S61" s="152">
        <f t="shared" si="8"/>
        <v>0</v>
      </c>
      <c r="T61" s="155"/>
    </row>
    <row r="62" spans="1:20" hidden="1" x14ac:dyDescent="0.2">
      <c r="A62" s="100">
        <v>32</v>
      </c>
      <c r="C62" s="146">
        <f t="shared" si="9"/>
        <v>0</v>
      </c>
      <c r="D62" s="146">
        <f t="shared" si="10"/>
        <v>0</v>
      </c>
      <c r="E62" s="139">
        <f>HLOOKUP($E$10,'LGE Gas Meter - WACOC-Tax Table'!$B$17:$E$58,A63)*$B$30</f>
        <v>0</v>
      </c>
      <c r="F62" s="146">
        <f t="shared" si="11"/>
        <v>0</v>
      </c>
      <c r="G62" s="139">
        <f t="shared" si="5"/>
        <v>0</v>
      </c>
      <c r="H62" s="154">
        <f t="shared" si="12"/>
        <v>1.5987211554602254E-14</v>
      </c>
      <c r="I62" s="154">
        <f t="shared" si="14"/>
        <v>0</v>
      </c>
      <c r="J62" s="133">
        <f>'LGE Gas Meter - WACOC-Tax Table'!$E$10*I62</f>
        <v>0</v>
      </c>
      <c r="K62" s="139">
        <f>I62*('LGE Gas Meter - WACOC-Tax Table'!$E$11+'LGE Gas Meter - WACOC-Tax Table'!$E$12)</f>
        <v>0</v>
      </c>
      <c r="L62" s="139">
        <f t="shared" si="13"/>
        <v>0</v>
      </c>
      <c r="M62" s="154">
        <f t="shared" si="1"/>
        <v>0</v>
      </c>
      <c r="N62" s="146">
        <f t="shared" si="2"/>
        <v>0</v>
      </c>
      <c r="O62" s="139">
        <f t="shared" si="3"/>
        <v>0</v>
      </c>
      <c r="P62" s="161">
        <f>1/(1+'LGE Gas Meter - WACOC-Tax Table'!$E$13)^A62</f>
        <v>0.10921527108492825</v>
      </c>
      <c r="Q62" s="159">
        <f t="shared" si="4"/>
        <v>0</v>
      </c>
      <c r="R62" s="154">
        <f t="shared" si="7"/>
        <v>978.87231863975524</v>
      </c>
      <c r="S62" s="152">
        <f t="shared" si="8"/>
        <v>0</v>
      </c>
      <c r="T62" s="155"/>
    </row>
    <row r="63" spans="1:20" hidden="1" x14ac:dyDescent="0.2">
      <c r="A63" s="100">
        <v>33</v>
      </c>
      <c r="C63" s="146">
        <f t="shared" si="9"/>
        <v>0</v>
      </c>
      <c r="D63" s="146">
        <f t="shared" si="10"/>
        <v>0</v>
      </c>
      <c r="E63" s="139">
        <f>HLOOKUP($E$10,'LGE Gas Meter - WACOC-Tax Table'!$B$17:$E$58,A64)*$B$30</f>
        <v>0</v>
      </c>
      <c r="F63" s="146">
        <f t="shared" si="11"/>
        <v>0</v>
      </c>
      <c r="G63" s="139">
        <f t="shared" si="5"/>
        <v>0</v>
      </c>
      <c r="H63" s="154">
        <f t="shared" si="12"/>
        <v>1.5987211554602254E-14</v>
      </c>
      <c r="I63" s="154">
        <f t="shared" si="14"/>
        <v>0</v>
      </c>
      <c r="J63" s="133">
        <f>'LGE Gas Meter - WACOC-Tax Table'!$E$10*I63</f>
        <v>0</v>
      </c>
      <c r="K63" s="139">
        <f>I63*('LGE Gas Meter - WACOC-Tax Table'!$E$11+'LGE Gas Meter - WACOC-Tax Table'!$E$12)</f>
        <v>0</v>
      </c>
      <c r="L63" s="139">
        <f t="shared" si="13"/>
        <v>0</v>
      </c>
      <c r="M63" s="154">
        <f t="shared" si="1"/>
        <v>0</v>
      </c>
      <c r="N63" s="146">
        <f t="shared" si="2"/>
        <v>0</v>
      </c>
      <c r="O63" s="139">
        <f t="shared" si="3"/>
        <v>0</v>
      </c>
      <c r="P63" s="161">
        <f>1/(1+'LGE Gas Meter - WACOC-Tax Table'!$E$13)^A63</f>
        <v>0.10191303221481321</v>
      </c>
      <c r="Q63" s="159">
        <f t="shared" si="4"/>
        <v>0</v>
      </c>
      <c r="R63" s="154">
        <f t="shared" si="7"/>
        <v>978.87231863975524</v>
      </c>
      <c r="S63" s="152">
        <f t="shared" si="8"/>
        <v>0</v>
      </c>
      <c r="T63" s="155"/>
    </row>
    <row r="64" spans="1:20" hidden="1" x14ac:dyDescent="0.2">
      <c r="A64" s="100">
        <v>34</v>
      </c>
      <c r="C64" s="146">
        <f t="shared" si="9"/>
        <v>0</v>
      </c>
      <c r="D64" s="146">
        <f t="shared" si="10"/>
        <v>0</v>
      </c>
      <c r="E64" s="139">
        <f>HLOOKUP($E$10,'LGE Gas Meter - WACOC-Tax Table'!$B$17:$E$58,A65)*$B$30</f>
        <v>0</v>
      </c>
      <c r="F64" s="146">
        <f t="shared" si="11"/>
        <v>0</v>
      </c>
      <c r="G64" s="139">
        <f t="shared" si="5"/>
        <v>0</v>
      </c>
      <c r="H64" s="154">
        <f t="shared" si="12"/>
        <v>1.5987211554602254E-14</v>
      </c>
      <c r="I64" s="154">
        <f t="shared" si="14"/>
        <v>0</v>
      </c>
      <c r="J64" s="133">
        <f>'LGE Gas Meter - WACOC-Tax Table'!$E$10*I64</f>
        <v>0</v>
      </c>
      <c r="K64" s="139">
        <f>I64*('LGE Gas Meter - WACOC-Tax Table'!$E$11+'LGE Gas Meter - WACOC-Tax Table'!$E$12)</f>
        <v>0</v>
      </c>
      <c r="L64" s="139">
        <f t="shared" si="13"/>
        <v>0</v>
      </c>
      <c r="M64" s="154">
        <f t="shared" si="1"/>
        <v>0</v>
      </c>
      <c r="N64" s="146">
        <f t="shared" si="2"/>
        <v>0</v>
      </c>
      <c r="O64" s="139">
        <f t="shared" si="3"/>
        <v>0</v>
      </c>
      <c r="P64" s="161">
        <f>1/(1+'LGE Gas Meter - WACOC-Tax Table'!$E$13)^A64</f>
        <v>9.5099028112478515E-2</v>
      </c>
      <c r="Q64" s="159">
        <f t="shared" si="4"/>
        <v>0</v>
      </c>
      <c r="R64" s="154">
        <f t="shared" si="7"/>
        <v>978.87231863975524</v>
      </c>
      <c r="S64" s="152">
        <f t="shared" si="8"/>
        <v>0</v>
      </c>
      <c r="T64" s="155"/>
    </row>
    <row r="65" spans="1:20" hidden="1" x14ac:dyDescent="0.2">
      <c r="A65" s="100">
        <v>35</v>
      </c>
      <c r="C65" s="146">
        <f t="shared" si="9"/>
        <v>0</v>
      </c>
      <c r="D65" s="146">
        <f t="shared" si="10"/>
        <v>0</v>
      </c>
      <c r="E65" s="139">
        <f>HLOOKUP($E$10,'LGE Gas Meter - WACOC-Tax Table'!$B$17:$E$58,A66)*$B$30</f>
        <v>0</v>
      </c>
      <c r="F65" s="146">
        <f t="shared" si="11"/>
        <v>0</v>
      </c>
      <c r="G65" s="139">
        <f t="shared" si="5"/>
        <v>0</v>
      </c>
      <c r="H65" s="154">
        <f t="shared" si="12"/>
        <v>1.5987211554602254E-14</v>
      </c>
      <c r="I65" s="154">
        <f t="shared" si="14"/>
        <v>0</v>
      </c>
      <c r="J65" s="133">
        <f>'LGE Gas Meter - WACOC-Tax Table'!$E$10*I65</f>
        <v>0</v>
      </c>
      <c r="K65" s="139">
        <f>I65*('LGE Gas Meter - WACOC-Tax Table'!$E$11+'LGE Gas Meter - WACOC-Tax Table'!$E$12)</f>
        <v>0</v>
      </c>
      <c r="L65" s="139">
        <f t="shared" si="13"/>
        <v>0</v>
      </c>
      <c r="M65" s="154">
        <f t="shared" si="1"/>
        <v>0</v>
      </c>
      <c r="N65" s="146">
        <f t="shared" si="2"/>
        <v>0</v>
      </c>
      <c r="O65" s="139">
        <f t="shared" si="3"/>
        <v>0</v>
      </c>
      <c r="P65" s="161">
        <f>1/(1+'LGE Gas Meter - WACOC-Tax Table'!$E$13)^A65</f>
        <v>8.8740614928180361E-2</v>
      </c>
      <c r="Q65" s="159">
        <f t="shared" si="4"/>
        <v>0</v>
      </c>
      <c r="R65" s="154">
        <f t="shared" si="7"/>
        <v>978.87231863975524</v>
      </c>
      <c r="S65" s="152">
        <f t="shared" si="8"/>
        <v>0</v>
      </c>
      <c r="T65" s="155"/>
    </row>
    <row r="66" spans="1:20" hidden="1" x14ac:dyDescent="0.2">
      <c r="A66" s="100">
        <v>36</v>
      </c>
      <c r="C66" s="146">
        <f t="shared" si="9"/>
        <v>0</v>
      </c>
      <c r="D66" s="146">
        <f t="shared" si="10"/>
        <v>0</v>
      </c>
      <c r="E66" s="139">
        <f>HLOOKUP($E$10,'LGE Gas Meter - WACOC-Tax Table'!$B$17:$E$58,A67)*$B$30</f>
        <v>0</v>
      </c>
      <c r="F66" s="146">
        <f t="shared" si="11"/>
        <v>0</v>
      </c>
      <c r="G66" s="139">
        <f t="shared" si="5"/>
        <v>0</v>
      </c>
      <c r="H66" s="154">
        <f t="shared" si="12"/>
        <v>1.5987211554602254E-14</v>
      </c>
      <c r="I66" s="154">
        <f t="shared" si="14"/>
        <v>0</v>
      </c>
      <c r="J66" s="133">
        <f>'LGE Gas Meter - WACOC-Tax Table'!$E$10*I66</f>
        <v>0</v>
      </c>
      <c r="K66" s="139">
        <f>I66*('LGE Gas Meter - WACOC-Tax Table'!$E$11+'LGE Gas Meter - WACOC-Tax Table'!$E$12)</f>
        <v>0</v>
      </c>
      <c r="L66" s="146">
        <v>0</v>
      </c>
      <c r="M66" s="154">
        <f t="shared" si="1"/>
        <v>0</v>
      </c>
      <c r="N66" s="146">
        <f t="shared" si="2"/>
        <v>0</v>
      </c>
      <c r="O66" s="139">
        <f t="shared" si="3"/>
        <v>0</v>
      </c>
      <c r="P66" s="161">
        <f>1/(1+'LGE Gas Meter - WACOC-Tax Table'!$E$13)^A66</f>
        <v>8.2807331411605387E-2</v>
      </c>
      <c r="Q66" s="159">
        <f t="shared" si="4"/>
        <v>0</v>
      </c>
      <c r="R66" s="154">
        <f t="shared" si="7"/>
        <v>978.87231863975524</v>
      </c>
      <c r="S66" s="152">
        <f t="shared" si="8"/>
        <v>0</v>
      </c>
      <c r="T66" s="140"/>
    </row>
    <row r="67" spans="1:20" hidden="1" x14ac:dyDescent="0.2">
      <c r="A67" s="100">
        <v>37</v>
      </c>
      <c r="C67" s="146">
        <f t="shared" si="9"/>
        <v>0</v>
      </c>
      <c r="D67" s="146">
        <f t="shared" si="10"/>
        <v>0</v>
      </c>
      <c r="E67" s="139">
        <f>HLOOKUP($E$10,'LGE Gas Meter - WACOC-Tax Table'!$B$17:$E$58,A68)*$B$30</f>
        <v>0</v>
      </c>
      <c r="F67" s="146">
        <f t="shared" si="11"/>
        <v>0</v>
      </c>
      <c r="G67" s="139">
        <f t="shared" si="5"/>
        <v>0</v>
      </c>
      <c r="H67" s="154">
        <f t="shared" si="12"/>
        <v>1.5987211554602254E-14</v>
      </c>
      <c r="I67" s="154">
        <f t="shared" si="14"/>
        <v>0</v>
      </c>
      <c r="J67" s="133">
        <f>'LGE Gas Meter - WACOC-Tax Table'!$E$10*I67</f>
        <v>0</v>
      </c>
      <c r="K67" s="139">
        <f>I67*('LGE Gas Meter - WACOC-Tax Table'!$E$11+'LGE Gas Meter - WACOC-Tax Table'!$E$12)</f>
        <v>0</v>
      </c>
      <c r="L67" s="146">
        <v>0</v>
      </c>
      <c r="M67" s="154">
        <f t="shared" si="1"/>
        <v>0</v>
      </c>
      <c r="N67" s="146">
        <f t="shared" si="2"/>
        <v>0</v>
      </c>
      <c r="O67" s="139">
        <f t="shared" si="3"/>
        <v>0</v>
      </c>
      <c r="P67" s="161">
        <f>1/(1+'LGE Gas Meter - WACOC-Tax Table'!$E$13)^A67</f>
        <v>7.7270752981157598E-2</v>
      </c>
      <c r="Q67" s="159">
        <f t="shared" si="4"/>
        <v>0</v>
      </c>
      <c r="R67" s="154">
        <f t="shared" si="7"/>
        <v>978.87231863975524</v>
      </c>
      <c r="S67" s="152">
        <f t="shared" si="8"/>
        <v>0</v>
      </c>
      <c r="T67" s="140"/>
    </row>
    <row r="68" spans="1:20" hidden="1" x14ac:dyDescent="0.2">
      <c r="A68" s="100">
        <v>38</v>
      </c>
      <c r="C68" s="146">
        <f t="shared" si="9"/>
        <v>0</v>
      </c>
      <c r="D68" s="146">
        <f t="shared" si="10"/>
        <v>0</v>
      </c>
      <c r="E68" s="139">
        <f>HLOOKUP($E$10,'LGE Gas Meter - WACOC-Tax Table'!$B$17:$E$58,A69)*$B$30</f>
        <v>0</v>
      </c>
      <c r="F68" s="146">
        <f t="shared" si="11"/>
        <v>0</v>
      </c>
      <c r="G68" s="139">
        <f t="shared" si="5"/>
        <v>0</v>
      </c>
      <c r="H68" s="154">
        <f t="shared" si="12"/>
        <v>1.5987211554602254E-14</v>
      </c>
      <c r="I68" s="154">
        <f t="shared" si="14"/>
        <v>0</v>
      </c>
      <c r="J68" s="133">
        <f>'LGE Gas Meter - WACOC-Tax Table'!$E$10*I68</f>
        <v>0</v>
      </c>
      <c r="K68" s="139">
        <f>I68*('LGE Gas Meter - WACOC-Tax Table'!$E$11+'LGE Gas Meter - WACOC-Tax Table'!$E$12)</f>
        <v>0</v>
      </c>
      <c r="L68" s="146">
        <v>0</v>
      </c>
      <c r="M68" s="154">
        <f t="shared" si="1"/>
        <v>0</v>
      </c>
      <c r="N68" s="146">
        <f t="shared" si="2"/>
        <v>0</v>
      </c>
      <c r="O68" s="139">
        <f t="shared" si="3"/>
        <v>0</v>
      </c>
      <c r="P68" s="161">
        <f>1/(1+'LGE Gas Meter - WACOC-Tax Table'!$E$13)^A68</f>
        <v>7.2104355550313914E-2</v>
      </c>
      <c r="Q68" s="159">
        <f t="shared" si="4"/>
        <v>0</v>
      </c>
      <c r="R68" s="154">
        <f t="shared" si="7"/>
        <v>978.87231863975524</v>
      </c>
      <c r="S68" s="152">
        <f t="shared" si="8"/>
        <v>0</v>
      </c>
      <c r="T68" s="140"/>
    </row>
    <row r="69" spans="1:20" hidden="1" x14ac:dyDescent="0.2">
      <c r="A69" s="100">
        <v>39</v>
      </c>
      <c r="C69" s="146">
        <f t="shared" si="9"/>
        <v>0</v>
      </c>
      <c r="D69" s="146">
        <f t="shared" si="10"/>
        <v>0</v>
      </c>
      <c r="E69" s="139">
        <f>HLOOKUP($E$10,'LGE Gas Meter - WACOC-Tax Table'!$B$17:$E$58,A70)*$B$30</f>
        <v>0</v>
      </c>
      <c r="F69" s="146">
        <f t="shared" si="11"/>
        <v>0</v>
      </c>
      <c r="G69" s="139">
        <f t="shared" si="5"/>
        <v>0</v>
      </c>
      <c r="H69" s="154">
        <f t="shared" si="12"/>
        <v>1.5987211554602254E-14</v>
      </c>
      <c r="I69" s="154">
        <f t="shared" si="14"/>
        <v>0</v>
      </c>
      <c r="J69" s="133">
        <f>'LGE Gas Meter - WACOC-Tax Table'!$E$10*I69</f>
        <v>0</v>
      </c>
      <c r="K69" s="139">
        <f>I69*('LGE Gas Meter - WACOC-Tax Table'!$E$11+'LGE Gas Meter - WACOC-Tax Table'!$E$12)</f>
        <v>0</v>
      </c>
      <c r="L69" s="146">
        <v>0</v>
      </c>
      <c r="M69" s="154">
        <f t="shared" si="1"/>
        <v>0</v>
      </c>
      <c r="N69" s="146">
        <f t="shared" si="2"/>
        <v>0</v>
      </c>
      <c r="O69" s="139">
        <f t="shared" si="3"/>
        <v>0</v>
      </c>
      <c r="P69" s="161">
        <f>1/(1+'LGE Gas Meter - WACOC-Tax Table'!$E$13)^A69</f>
        <v>6.7283388458682009E-2</v>
      </c>
      <c r="Q69" s="159">
        <f t="shared" si="4"/>
        <v>0</v>
      </c>
      <c r="R69" s="154">
        <f t="shared" si="7"/>
        <v>978.87231863975524</v>
      </c>
      <c r="S69" s="152">
        <f t="shared" si="8"/>
        <v>0</v>
      </c>
      <c r="T69" s="140"/>
    </row>
    <row r="70" spans="1:20" hidden="1" x14ac:dyDescent="0.2">
      <c r="A70" s="100">
        <v>40</v>
      </c>
      <c r="C70" s="146">
        <f>IF(D69&lt;=0.001,0,(1/$E$9)*$B$30)</f>
        <v>0</v>
      </c>
      <c r="D70" s="146">
        <f>D69-C70</f>
        <v>0</v>
      </c>
      <c r="E70" s="139">
        <f>HLOOKUP($E$10,'LGE Gas Meter - WACOC-Tax Table'!$B$17:$E$58,A71)*$B$30</f>
        <v>0</v>
      </c>
      <c r="F70" s="146">
        <f>F69-E70</f>
        <v>0</v>
      </c>
      <c r="G70" s="139">
        <f t="shared" si="5"/>
        <v>0</v>
      </c>
      <c r="H70" s="154">
        <f>H69+G70</f>
        <v>1.5987211554602254E-14</v>
      </c>
      <c r="I70" s="154">
        <f t="shared" si="14"/>
        <v>0</v>
      </c>
      <c r="J70" s="133">
        <f>'LGE Gas Meter - WACOC-Tax Table'!$E$10*I70</f>
        <v>0</v>
      </c>
      <c r="K70" s="139">
        <f>I70*('LGE Gas Meter - WACOC-Tax Table'!$E$11+'LGE Gas Meter - WACOC-Tax Table'!$E$12)</f>
        <v>0</v>
      </c>
      <c r="L70" s="146">
        <v>0</v>
      </c>
      <c r="M70" s="154">
        <f t="shared" si="1"/>
        <v>0</v>
      </c>
      <c r="N70" s="146">
        <f t="shared" si="2"/>
        <v>0</v>
      </c>
      <c r="O70" s="139">
        <f t="shared" si="3"/>
        <v>0</v>
      </c>
      <c r="P70" s="161">
        <f>1/(1+'LGE Gas Meter - WACOC-Tax Table'!$E$13)^A70</f>
        <v>6.2784755899010225E-2</v>
      </c>
      <c r="Q70" s="162">
        <f t="shared" si="4"/>
        <v>0</v>
      </c>
      <c r="R70" s="154">
        <f>R69+Q70</f>
        <v>978.87231863975524</v>
      </c>
      <c r="S70" s="152">
        <f t="shared" si="8"/>
        <v>0</v>
      </c>
      <c r="T70" s="140"/>
    </row>
    <row r="71" spans="1:20" hidden="1" x14ac:dyDescent="0.2">
      <c r="A71" s="100">
        <v>41</v>
      </c>
      <c r="Q71" s="154">
        <f>SUM(Q30:Q70)</f>
        <v>978.87231863975524</v>
      </c>
    </row>
    <row r="72" spans="1:20" x14ac:dyDescent="0.2">
      <c r="Q72" s="154">
        <f>SUM(Q30:Q60)</f>
        <v>978.87231863975524</v>
      </c>
    </row>
    <row r="79" spans="1:20" x14ac:dyDescent="0.2">
      <c r="K79" s="127"/>
      <c r="O79" s="163"/>
      <c r="Q79" s="154"/>
    </row>
    <row r="80" spans="1:20" x14ac:dyDescent="0.2">
      <c r="K80" s="127"/>
      <c r="O80" s="163"/>
    </row>
    <row r="81" spans="11:15" x14ac:dyDescent="0.2">
      <c r="K81" s="127"/>
      <c r="O81" s="163"/>
    </row>
    <row r="82" spans="11:15" x14ac:dyDescent="0.2">
      <c r="K82" s="127"/>
      <c r="O82" s="163"/>
    </row>
    <row r="83" spans="11:15" x14ac:dyDescent="0.2">
      <c r="K83" s="127"/>
      <c r="O83" s="163"/>
    </row>
    <row r="84" spans="11:15" x14ac:dyDescent="0.2">
      <c r="K84" s="127"/>
      <c r="O84" s="163"/>
    </row>
    <row r="85" spans="11:15" x14ac:dyDescent="0.2">
      <c r="K85" s="127"/>
      <c r="O85" s="163"/>
    </row>
    <row r="86" spans="11:15" x14ac:dyDescent="0.2">
      <c r="K86" s="127"/>
      <c r="O86" s="163"/>
    </row>
  </sheetData>
  <pageMargins left="0.75" right="0.75" top="1" bottom="1" header="0.5" footer="0.5"/>
  <pageSetup scale="75" orientation="landscape" verticalDpi="1200" r:id="rId1"/>
  <headerFooter differentOddEven="1" differentFirst="1" alignWithMargins="0"/>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92D050"/>
    <pageSetUpPr fitToPage="1"/>
  </sheetPr>
  <dimension ref="A5:G44"/>
  <sheetViews>
    <sheetView view="pageBreakPreview" zoomScaleNormal="100" zoomScaleSheetLayoutView="100" workbookViewId="0"/>
  </sheetViews>
  <sheetFormatPr defaultRowHeight="12.75" x14ac:dyDescent="0.2"/>
  <cols>
    <col min="1" max="1" width="48.28515625" bestFit="1" customWidth="1"/>
    <col min="2" max="2" width="9.28515625" bestFit="1" customWidth="1"/>
    <col min="3" max="3" width="10.28515625" bestFit="1" customWidth="1"/>
    <col min="4" max="4" width="9.28515625" hidden="1" customWidth="1"/>
    <col min="5" max="5" width="10.28515625" hidden="1" customWidth="1"/>
    <col min="6" max="6" width="8.7109375" hidden="1" customWidth="1"/>
  </cols>
  <sheetData>
    <row r="5" spans="1:6" x14ac:dyDescent="0.2">
      <c r="F5" t="s">
        <v>348</v>
      </c>
    </row>
    <row r="9" spans="1:6" x14ac:dyDescent="0.2">
      <c r="A9" s="464" t="s">
        <v>4</v>
      </c>
      <c r="B9" s="464"/>
      <c r="C9" s="20"/>
      <c r="D9" s="20"/>
      <c r="E9" s="20"/>
      <c r="F9" s="20"/>
    </row>
    <row r="10" spans="1:6" x14ac:dyDescent="0.2">
      <c r="A10" s="464" t="s">
        <v>38</v>
      </c>
      <c r="B10" s="464"/>
      <c r="C10" s="20"/>
      <c r="D10" s="20"/>
      <c r="E10" s="20"/>
      <c r="F10" s="20"/>
    </row>
    <row r="11" spans="1:6" x14ac:dyDescent="0.2">
      <c r="A11" s="464" t="s">
        <v>7</v>
      </c>
      <c r="B11" s="464"/>
      <c r="C11" s="20"/>
      <c r="D11" s="20"/>
      <c r="E11" s="20"/>
      <c r="F11" s="20"/>
    </row>
    <row r="13" spans="1:6" x14ac:dyDescent="0.2">
      <c r="B13" s="297" t="s">
        <v>26</v>
      </c>
    </row>
    <row r="14" spans="1:6" x14ac:dyDescent="0.2">
      <c r="A14" t="s">
        <v>82</v>
      </c>
    </row>
    <row r="15" spans="1:6" x14ac:dyDescent="0.2">
      <c r="A15" t="s">
        <v>37</v>
      </c>
      <c r="B15" s="1">
        <v>57.85</v>
      </c>
      <c r="D15" s="5">
        <f>+B15+B16+B17</f>
        <v>305.02</v>
      </c>
      <c r="E15" s="5">
        <f>+D15/B20</f>
        <v>0.44302556768709134</v>
      </c>
      <c r="F15">
        <f>+E15*Data!E22</f>
        <v>8.8605113537418272E-3</v>
      </c>
    </row>
    <row r="16" spans="1:6" x14ac:dyDescent="0.2">
      <c r="A16" t="s">
        <v>34</v>
      </c>
      <c r="B16" s="1">
        <v>157.77000000000001</v>
      </c>
    </row>
    <row r="17" spans="1:7" x14ac:dyDescent="0.2">
      <c r="A17" t="s">
        <v>35</v>
      </c>
      <c r="B17" s="1">
        <v>89.4</v>
      </c>
    </row>
    <row r="18" spans="1:7" x14ac:dyDescent="0.2">
      <c r="A18" t="s">
        <v>68</v>
      </c>
      <c r="B18" s="1">
        <v>367.64</v>
      </c>
      <c r="D18" s="5">
        <f>+B18+B19</f>
        <v>383.47299509376268</v>
      </c>
      <c r="E18" s="5">
        <f>+D18/B20</f>
        <v>0.55697443231290877</v>
      </c>
      <c r="F18">
        <f>+E18*Data!E21</f>
        <v>1.6709232969387262E-2</v>
      </c>
    </row>
    <row r="19" spans="1:7" x14ac:dyDescent="0.2">
      <c r="A19" s="116" t="s">
        <v>91</v>
      </c>
      <c r="B19" s="1">
        <v>15.832995093762678</v>
      </c>
    </row>
    <row r="20" spans="1:7" x14ac:dyDescent="0.2">
      <c r="A20" s="172" t="s">
        <v>317</v>
      </c>
      <c r="B20" s="13">
        <f>SUM(B15:B19)</f>
        <v>688.4929950937626</v>
      </c>
      <c r="F20">
        <f>+F15+F18</f>
        <v>2.5569744323129091E-2</v>
      </c>
    </row>
    <row r="21" spans="1:7" x14ac:dyDescent="0.2">
      <c r="B21" s="300"/>
    </row>
    <row r="22" spans="1:7" x14ac:dyDescent="0.2">
      <c r="A22" s="294"/>
      <c r="B22" s="457"/>
      <c r="G22">
        <v>2.5569742509637894E-2</v>
      </c>
    </row>
    <row r="23" spans="1:7" x14ac:dyDescent="0.2">
      <c r="A23" s="299"/>
      <c r="B23" s="298"/>
      <c r="G23" s="17">
        <v>688.49283979866755</v>
      </c>
    </row>
    <row r="25" spans="1:7" x14ac:dyDescent="0.2">
      <c r="A25" s="172" t="s">
        <v>81</v>
      </c>
      <c r="B25" s="6"/>
    </row>
    <row r="26" spans="1:7" x14ac:dyDescent="0.2">
      <c r="A26" s="116" t="s">
        <v>346</v>
      </c>
      <c r="B26" s="6">
        <f>+'KU Meter Pulse - 5-Year'!G46</f>
        <v>20.867142182480688</v>
      </c>
      <c r="G26">
        <v>20.867137475730072</v>
      </c>
    </row>
    <row r="29" spans="1:7" x14ac:dyDescent="0.2">
      <c r="A29" t="s">
        <v>349</v>
      </c>
      <c r="B29" s="1"/>
      <c r="F29">
        <v>34.659999999999997</v>
      </c>
      <c r="G29">
        <v>35</v>
      </c>
    </row>
    <row r="30" spans="1:7" x14ac:dyDescent="0.2">
      <c r="A30" t="s">
        <v>350</v>
      </c>
      <c r="B30" s="1"/>
      <c r="F30">
        <v>12.38</v>
      </c>
      <c r="G30">
        <v>12</v>
      </c>
    </row>
    <row r="31" spans="1:7" x14ac:dyDescent="0.2">
      <c r="A31" s="114"/>
      <c r="B31" s="6"/>
    </row>
    <row r="32" spans="1:7" x14ac:dyDescent="0.2">
      <c r="A32" s="114"/>
    </row>
    <row r="33" spans="1:7" x14ac:dyDescent="0.2">
      <c r="A33" s="114"/>
    </row>
    <row r="34" spans="1:7" x14ac:dyDescent="0.2">
      <c r="A34" s="114"/>
    </row>
    <row r="35" spans="1:7" x14ac:dyDescent="0.2">
      <c r="A35" s="114"/>
    </row>
    <row r="43" spans="1:7" x14ac:dyDescent="0.2">
      <c r="A43" t="s">
        <v>349</v>
      </c>
      <c r="B43" s="1"/>
      <c r="F43">
        <v>34.659999999999997</v>
      </c>
      <c r="G43">
        <v>35</v>
      </c>
    </row>
    <row r="44" spans="1:7" x14ac:dyDescent="0.2">
      <c r="A44" t="s">
        <v>350</v>
      </c>
      <c r="B44" s="1"/>
      <c r="F44">
        <v>12.38</v>
      </c>
      <c r="G44">
        <v>12</v>
      </c>
    </row>
  </sheetData>
  <mergeCells count="3">
    <mergeCell ref="A9:B9"/>
    <mergeCell ref="A10:B10"/>
    <mergeCell ref="A11:B11"/>
  </mergeCells>
  <phoneticPr fontId="5" type="noConversion"/>
  <printOptions horizontalCentered="1"/>
  <pageMargins left="0.75" right="0.75" top="1" bottom="1" header="0.5" footer="0.5"/>
  <pageSetup orientation="portrait" r:id="rId1"/>
  <headerFooter alignWithMargins="0">
    <oddHeader>&amp;L+&amp;R&amp;"Arial,Bold"&amp;12Exhibit WSS-19
Page &amp;P of 18</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J46"/>
  <sheetViews>
    <sheetView topLeftCell="A14" zoomScaleNormal="100" workbookViewId="0"/>
  </sheetViews>
  <sheetFormatPr defaultRowHeight="12.75" x14ac:dyDescent="0.2"/>
  <cols>
    <col min="1" max="1" width="8.5703125" style="100" customWidth="1"/>
    <col min="2" max="9" width="16" style="100" customWidth="1"/>
    <col min="10" max="256" width="9.140625" style="100"/>
    <col min="257" max="257" width="8.5703125" style="100" customWidth="1"/>
    <col min="258" max="265" width="16" style="100" customWidth="1"/>
    <col min="266" max="512" width="9.140625" style="100"/>
    <col min="513" max="513" width="8.5703125" style="100" customWidth="1"/>
    <col min="514" max="521" width="16" style="100" customWidth="1"/>
    <col min="522" max="768" width="9.140625" style="100"/>
    <col min="769" max="769" width="8.5703125" style="100" customWidth="1"/>
    <col min="770" max="777" width="16" style="100" customWidth="1"/>
    <col min="778" max="1024" width="9.140625" style="100"/>
    <col min="1025" max="1025" width="8.5703125" style="100" customWidth="1"/>
    <col min="1026" max="1033" width="16" style="100" customWidth="1"/>
    <col min="1034" max="1280" width="9.140625" style="100"/>
    <col min="1281" max="1281" width="8.5703125" style="100" customWidth="1"/>
    <col min="1282" max="1289" width="16" style="100" customWidth="1"/>
    <col min="1290" max="1536" width="9.140625" style="100"/>
    <col min="1537" max="1537" width="8.5703125" style="100" customWidth="1"/>
    <col min="1538" max="1545" width="16" style="100" customWidth="1"/>
    <col min="1546" max="1792" width="9.140625" style="100"/>
    <col min="1793" max="1793" width="8.5703125" style="100" customWidth="1"/>
    <col min="1794" max="1801" width="16" style="100" customWidth="1"/>
    <col min="1802" max="2048" width="9.140625" style="100"/>
    <col min="2049" max="2049" width="8.5703125" style="100" customWidth="1"/>
    <col min="2050" max="2057" width="16" style="100" customWidth="1"/>
    <col min="2058" max="2304" width="9.140625" style="100"/>
    <col min="2305" max="2305" width="8.5703125" style="100" customWidth="1"/>
    <col min="2306" max="2313" width="16" style="100" customWidth="1"/>
    <col min="2314" max="2560" width="9.140625" style="100"/>
    <col min="2561" max="2561" width="8.5703125" style="100" customWidth="1"/>
    <col min="2562" max="2569" width="16" style="100" customWidth="1"/>
    <col min="2570" max="2816" width="9.140625" style="100"/>
    <col min="2817" max="2817" width="8.5703125" style="100" customWidth="1"/>
    <col min="2818" max="2825" width="16" style="100" customWidth="1"/>
    <col min="2826" max="3072" width="9.140625" style="100"/>
    <col min="3073" max="3073" width="8.5703125" style="100" customWidth="1"/>
    <col min="3074" max="3081" width="16" style="100" customWidth="1"/>
    <col min="3082" max="3328" width="9.140625" style="100"/>
    <col min="3329" max="3329" width="8.5703125" style="100" customWidth="1"/>
    <col min="3330" max="3337" width="16" style="100" customWidth="1"/>
    <col min="3338" max="3584" width="9.140625" style="100"/>
    <col min="3585" max="3585" width="8.5703125" style="100" customWidth="1"/>
    <col min="3586" max="3593" width="16" style="100" customWidth="1"/>
    <col min="3594" max="3840" width="9.140625" style="100"/>
    <col min="3841" max="3841" width="8.5703125" style="100" customWidth="1"/>
    <col min="3842" max="3849" width="16" style="100" customWidth="1"/>
    <col min="3850" max="4096" width="9.140625" style="100"/>
    <col min="4097" max="4097" width="8.5703125" style="100" customWidth="1"/>
    <col min="4098" max="4105" width="16" style="100" customWidth="1"/>
    <col min="4106" max="4352" width="9.140625" style="100"/>
    <col min="4353" max="4353" width="8.5703125" style="100" customWidth="1"/>
    <col min="4354" max="4361" width="16" style="100" customWidth="1"/>
    <col min="4362" max="4608" width="9.140625" style="100"/>
    <col min="4609" max="4609" width="8.5703125" style="100" customWidth="1"/>
    <col min="4610" max="4617" width="16" style="100" customWidth="1"/>
    <col min="4618" max="4864" width="9.140625" style="100"/>
    <col min="4865" max="4865" width="8.5703125" style="100" customWidth="1"/>
    <col min="4866" max="4873" width="16" style="100" customWidth="1"/>
    <col min="4874" max="5120" width="9.140625" style="100"/>
    <col min="5121" max="5121" width="8.5703125" style="100" customWidth="1"/>
    <col min="5122" max="5129" width="16" style="100" customWidth="1"/>
    <col min="5130" max="5376" width="9.140625" style="100"/>
    <col min="5377" max="5377" width="8.5703125" style="100" customWidth="1"/>
    <col min="5378" max="5385" width="16" style="100" customWidth="1"/>
    <col min="5386" max="5632" width="9.140625" style="100"/>
    <col min="5633" max="5633" width="8.5703125" style="100" customWidth="1"/>
    <col min="5634" max="5641" width="16" style="100" customWidth="1"/>
    <col min="5642" max="5888" width="9.140625" style="100"/>
    <col min="5889" max="5889" width="8.5703125" style="100" customWidth="1"/>
    <col min="5890" max="5897" width="16" style="100" customWidth="1"/>
    <col min="5898" max="6144" width="9.140625" style="100"/>
    <col min="6145" max="6145" width="8.5703125" style="100" customWidth="1"/>
    <col min="6146" max="6153" width="16" style="100" customWidth="1"/>
    <col min="6154" max="6400" width="9.140625" style="100"/>
    <col min="6401" max="6401" width="8.5703125" style="100" customWidth="1"/>
    <col min="6402" max="6409" width="16" style="100" customWidth="1"/>
    <col min="6410" max="6656" width="9.140625" style="100"/>
    <col min="6657" max="6657" width="8.5703125" style="100" customWidth="1"/>
    <col min="6658" max="6665" width="16" style="100" customWidth="1"/>
    <col min="6666" max="6912" width="9.140625" style="100"/>
    <col min="6913" max="6913" width="8.5703125" style="100" customWidth="1"/>
    <col min="6914" max="6921" width="16" style="100" customWidth="1"/>
    <col min="6922" max="7168" width="9.140625" style="100"/>
    <col min="7169" max="7169" width="8.5703125" style="100" customWidth="1"/>
    <col min="7170" max="7177" width="16" style="100" customWidth="1"/>
    <col min="7178" max="7424" width="9.140625" style="100"/>
    <col min="7425" max="7425" width="8.5703125" style="100" customWidth="1"/>
    <col min="7426" max="7433" width="16" style="100" customWidth="1"/>
    <col min="7434" max="7680" width="9.140625" style="100"/>
    <col min="7681" max="7681" width="8.5703125" style="100" customWidth="1"/>
    <col min="7682" max="7689" width="16" style="100" customWidth="1"/>
    <col min="7690" max="7936" width="9.140625" style="100"/>
    <col min="7937" max="7937" width="8.5703125" style="100" customWidth="1"/>
    <col min="7938" max="7945" width="16" style="100" customWidth="1"/>
    <col min="7946" max="8192" width="9.140625" style="100"/>
    <col min="8193" max="8193" width="8.5703125" style="100" customWidth="1"/>
    <col min="8194" max="8201" width="16" style="100" customWidth="1"/>
    <col min="8202" max="8448" width="9.140625" style="100"/>
    <col min="8449" max="8449" width="8.5703125" style="100" customWidth="1"/>
    <col min="8450" max="8457" width="16" style="100" customWidth="1"/>
    <col min="8458" max="8704" width="9.140625" style="100"/>
    <col min="8705" max="8705" width="8.5703125" style="100" customWidth="1"/>
    <col min="8706" max="8713" width="16" style="100" customWidth="1"/>
    <col min="8714" max="8960" width="9.140625" style="100"/>
    <col min="8961" max="8961" width="8.5703125" style="100" customWidth="1"/>
    <col min="8962" max="8969" width="16" style="100" customWidth="1"/>
    <col min="8970" max="9216" width="9.140625" style="100"/>
    <col min="9217" max="9217" width="8.5703125" style="100" customWidth="1"/>
    <col min="9218" max="9225" width="16" style="100" customWidth="1"/>
    <col min="9226" max="9472" width="9.140625" style="100"/>
    <col min="9473" max="9473" width="8.5703125" style="100" customWidth="1"/>
    <col min="9474" max="9481" width="16" style="100" customWidth="1"/>
    <col min="9482" max="9728" width="9.140625" style="100"/>
    <col min="9729" max="9729" width="8.5703125" style="100" customWidth="1"/>
    <col min="9730" max="9737" width="16" style="100" customWidth="1"/>
    <col min="9738" max="9984" width="9.140625" style="100"/>
    <col min="9985" max="9985" width="8.5703125" style="100" customWidth="1"/>
    <col min="9986" max="9993" width="16" style="100" customWidth="1"/>
    <col min="9994" max="10240" width="9.140625" style="100"/>
    <col min="10241" max="10241" width="8.5703125" style="100" customWidth="1"/>
    <col min="10242" max="10249" width="16" style="100" customWidth="1"/>
    <col min="10250" max="10496" width="9.140625" style="100"/>
    <col min="10497" max="10497" width="8.5703125" style="100" customWidth="1"/>
    <col min="10498" max="10505" width="16" style="100" customWidth="1"/>
    <col min="10506" max="10752" width="9.140625" style="100"/>
    <col min="10753" max="10753" width="8.5703125" style="100" customWidth="1"/>
    <col min="10754" max="10761" width="16" style="100" customWidth="1"/>
    <col min="10762" max="11008" width="9.140625" style="100"/>
    <col min="11009" max="11009" width="8.5703125" style="100" customWidth="1"/>
    <col min="11010" max="11017" width="16" style="100" customWidth="1"/>
    <col min="11018" max="11264" width="9.140625" style="100"/>
    <col min="11265" max="11265" width="8.5703125" style="100" customWidth="1"/>
    <col min="11266" max="11273" width="16" style="100" customWidth="1"/>
    <col min="11274" max="11520" width="9.140625" style="100"/>
    <col min="11521" max="11521" width="8.5703125" style="100" customWidth="1"/>
    <col min="11522" max="11529" width="16" style="100" customWidth="1"/>
    <col min="11530" max="11776" width="9.140625" style="100"/>
    <col min="11777" max="11777" width="8.5703125" style="100" customWidth="1"/>
    <col min="11778" max="11785" width="16" style="100" customWidth="1"/>
    <col min="11786" max="12032" width="9.140625" style="100"/>
    <col min="12033" max="12033" width="8.5703125" style="100" customWidth="1"/>
    <col min="12034" max="12041" width="16" style="100" customWidth="1"/>
    <col min="12042" max="12288" width="9.140625" style="100"/>
    <col min="12289" max="12289" width="8.5703125" style="100" customWidth="1"/>
    <col min="12290" max="12297" width="16" style="100" customWidth="1"/>
    <col min="12298" max="12544" width="9.140625" style="100"/>
    <col min="12545" max="12545" width="8.5703125" style="100" customWidth="1"/>
    <col min="12546" max="12553" width="16" style="100" customWidth="1"/>
    <col min="12554" max="12800" width="9.140625" style="100"/>
    <col min="12801" max="12801" width="8.5703125" style="100" customWidth="1"/>
    <col min="12802" max="12809" width="16" style="100" customWidth="1"/>
    <col min="12810" max="13056" width="9.140625" style="100"/>
    <col min="13057" max="13057" width="8.5703125" style="100" customWidth="1"/>
    <col min="13058" max="13065" width="16" style="100" customWidth="1"/>
    <col min="13066" max="13312" width="9.140625" style="100"/>
    <col min="13313" max="13313" width="8.5703125" style="100" customWidth="1"/>
    <col min="13314" max="13321" width="16" style="100" customWidth="1"/>
    <col min="13322" max="13568" width="9.140625" style="100"/>
    <col min="13569" max="13569" width="8.5703125" style="100" customWidth="1"/>
    <col min="13570" max="13577" width="16" style="100" customWidth="1"/>
    <col min="13578" max="13824" width="9.140625" style="100"/>
    <col min="13825" max="13825" width="8.5703125" style="100" customWidth="1"/>
    <col min="13826" max="13833" width="16" style="100" customWidth="1"/>
    <col min="13834" max="14080" width="9.140625" style="100"/>
    <col min="14081" max="14081" width="8.5703125" style="100" customWidth="1"/>
    <col min="14082" max="14089" width="16" style="100" customWidth="1"/>
    <col min="14090" max="14336" width="9.140625" style="100"/>
    <col min="14337" max="14337" width="8.5703125" style="100" customWidth="1"/>
    <col min="14338" max="14345" width="16" style="100" customWidth="1"/>
    <col min="14346" max="14592" width="9.140625" style="100"/>
    <col min="14593" max="14593" width="8.5703125" style="100" customWidth="1"/>
    <col min="14594" max="14601" width="16" style="100" customWidth="1"/>
    <col min="14602" max="14848" width="9.140625" style="100"/>
    <col min="14849" max="14849" width="8.5703125" style="100" customWidth="1"/>
    <col min="14850" max="14857" width="16" style="100" customWidth="1"/>
    <col min="14858" max="15104" width="9.140625" style="100"/>
    <col min="15105" max="15105" width="8.5703125" style="100" customWidth="1"/>
    <col min="15106" max="15113" width="16" style="100" customWidth="1"/>
    <col min="15114" max="15360" width="9.140625" style="100"/>
    <col min="15361" max="15361" width="8.5703125" style="100" customWidth="1"/>
    <col min="15362" max="15369" width="16" style="100" customWidth="1"/>
    <col min="15370" max="15616" width="9.140625" style="100"/>
    <col min="15617" max="15617" width="8.5703125" style="100" customWidth="1"/>
    <col min="15618" max="15625" width="16" style="100" customWidth="1"/>
    <col min="15626" max="15872" width="9.140625" style="100"/>
    <col min="15873" max="15873" width="8.5703125" style="100" customWidth="1"/>
    <col min="15874" max="15881" width="16" style="100" customWidth="1"/>
    <col min="15882" max="16128" width="9.140625" style="100"/>
    <col min="16129" max="16129" width="8.5703125" style="100" customWidth="1"/>
    <col min="16130" max="16137" width="16" style="100" customWidth="1"/>
    <col min="16138" max="16384" width="9.140625" style="100"/>
  </cols>
  <sheetData>
    <row r="1" spans="1:9" ht="18" x14ac:dyDescent="0.25">
      <c r="A1" s="117" t="s">
        <v>177</v>
      </c>
      <c r="I1" s="118"/>
    </row>
    <row r="2" spans="1:9" x14ac:dyDescent="0.2">
      <c r="A2" s="119" t="s">
        <v>93</v>
      </c>
      <c r="I2" s="120"/>
    </row>
    <row r="3" spans="1:9" x14ac:dyDescent="0.2">
      <c r="I3" s="121"/>
    </row>
    <row r="4" spans="1:9" x14ac:dyDescent="0.2">
      <c r="I4" s="121"/>
    </row>
    <row r="6" spans="1:9" x14ac:dyDescent="0.2">
      <c r="I6" s="122" t="s">
        <v>94</v>
      </c>
    </row>
    <row r="7" spans="1:9" x14ac:dyDescent="0.2">
      <c r="D7" s="122"/>
      <c r="E7" s="122"/>
      <c r="F7" s="122"/>
      <c r="G7" s="122"/>
      <c r="H7" s="122" t="s">
        <v>95</v>
      </c>
      <c r="I7" s="122" t="s">
        <v>95</v>
      </c>
    </row>
    <row r="8" spans="1:9" x14ac:dyDescent="0.2">
      <c r="B8" s="123" t="s">
        <v>96</v>
      </c>
      <c r="D8" s="122"/>
      <c r="E8" s="122" t="s">
        <v>97</v>
      </c>
      <c r="F8" s="122"/>
      <c r="G8" s="122" t="s">
        <v>98</v>
      </c>
      <c r="H8" s="122" t="s">
        <v>99</v>
      </c>
      <c r="I8" s="122" t="s">
        <v>99</v>
      </c>
    </row>
    <row r="9" spans="1:9" x14ac:dyDescent="0.2">
      <c r="B9" s="122" t="s">
        <v>100</v>
      </c>
      <c r="C9" s="122" t="s">
        <v>101</v>
      </c>
      <c r="D9" s="122" t="s">
        <v>94</v>
      </c>
      <c r="E9" s="122" t="s">
        <v>102</v>
      </c>
      <c r="F9" s="124" t="s">
        <v>103</v>
      </c>
      <c r="G9" s="122" t="s">
        <v>102</v>
      </c>
      <c r="H9" s="122" t="s">
        <v>101</v>
      </c>
      <c r="I9" s="122" t="s">
        <v>101</v>
      </c>
    </row>
    <row r="10" spans="1:9" x14ac:dyDescent="0.2">
      <c r="B10" s="122" t="s">
        <v>104</v>
      </c>
      <c r="C10" s="122" t="s">
        <v>105</v>
      </c>
      <c r="D10" s="122" t="s">
        <v>105</v>
      </c>
      <c r="E10" s="362">
        <f>'KU Meter Pulse'!G22</f>
        <v>2.5569742509637894E-2</v>
      </c>
      <c r="F10" s="122" t="s">
        <v>105</v>
      </c>
      <c r="G10" s="445">
        <f>+'KU Meter Pulse -WACOC-Tax Table'!G13</f>
        <v>6.7362174046609796E-2</v>
      </c>
      <c r="H10" s="122" t="s">
        <v>105</v>
      </c>
      <c r="I10" s="122" t="s">
        <v>106</v>
      </c>
    </row>
    <row r="11" spans="1:9" x14ac:dyDescent="0.2">
      <c r="A11" s="122" t="s">
        <v>107</v>
      </c>
      <c r="B11" s="122" t="s">
        <v>108</v>
      </c>
      <c r="C11" s="122" t="s">
        <v>109</v>
      </c>
      <c r="D11" s="122" t="s">
        <v>109</v>
      </c>
      <c r="E11" s="122" t="s">
        <v>110</v>
      </c>
      <c r="F11" s="122" t="s">
        <v>26</v>
      </c>
      <c r="G11" s="122" t="s">
        <v>111</v>
      </c>
      <c r="H11" s="122" t="s">
        <v>26</v>
      </c>
      <c r="I11" s="122" t="s">
        <v>26</v>
      </c>
    </row>
    <row r="12" spans="1:9" x14ac:dyDescent="0.2">
      <c r="A12" s="125" t="s">
        <v>112</v>
      </c>
      <c r="B12" s="125" t="s">
        <v>113</v>
      </c>
      <c r="C12" s="125" t="s">
        <v>114</v>
      </c>
      <c r="D12" s="125" t="s">
        <v>115</v>
      </c>
      <c r="E12" s="125" t="s">
        <v>116</v>
      </c>
      <c r="F12" s="125" t="s">
        <v>117</v>
      </c>
      <c r="G12" s="125" t="s">
        <v>118</v>
      </c>
      <c r="H12" s="125" t="s">
        <v>119</v>
      </c>
      <c r="I12" s="125" t="s">
        <v>120</v>
      </c>
    </row>
    <row r="13" spans="1:9" x14ac:dyDescent="0.2">
      <c r="A13" s="113"/>
      <c r="B13" s="113"/>
      <c r="C13" s="113"/>
      <c r="D13" s="113"/>
      <c r="E13" s="113"/>
      <c r="F13" s="122" t="s">
        <v>121</v>
      </c>
      <c r="G13" s="113"/>
      <c r="H13" s="113" t="s">
        <v>122</v>
      </c>
    </row>
    <row r="14" spans="1:9" x14ac:dyDescent="0.2">
      <c r="A14" s="113"/>
      <c r="B14" s="113"/>
      <c r="C14" s="113"/>
      <c r="D14" s="113"/>
      <c r="E14" s="113"/>
      <c r="F14" s="113"/>
      <c r="G14" s="113"/>
      <c r="H14" s="113"/>
    </row>
    <row r="15" spans="1:9" x14ac:dyDescent="0.2">
      <c r="A15" s="113">
        <v>0</v>
      </c>
      <c r="B15" s="126">
        <v>100</v>
      </c>
      <c r="C15" s="113"/>
      <c r="D15" s="113"/>
      <c r="E15" s="113"/>
      <c r="F15" s="113"/>
      <c r="G15" s="113"/>
      <c r="H15" s="113"/>
    </row>
    <row r="16" spans="1:9" x14ac:dyDescent="0.2">
      <c r="A16" s="122">
        <v>1</v>
      </c>
      <c r="B16" s="126">
        <v>99.298854758402257</v>
      </c>
      <c r="C16" s="127">
        <f>B15-B16</f>
        <v>0.70114524159774305</v>
      </c>
      <c r="D16" s="127">
        <f>D15+C16</f>
        <v>0.70114524159774305</v>
      </c>
      <c r="E16" s="127">
        <f>(1+$E$10)^A16</f>
        <v>1.0255697425096379</v>
      </c>
      <c r="F16" s="127">
        <f>C16*E16</f>
        <v>0.71907334488725527</v>
      </c>
      <c r="G16" s="127">
        <f>1/(1+$G$10)^A16</f>
        <v>0.93688911253878837</v>
      </c>
      <c r="H16" s="126">
        <f>G16*F16</f>
        <v>0.6736919879417187</v>
      </c>
      <c r="I16" s="127">
        <f>I15+H16</f>
        <v>0.6736919879417187</v>
      </c>
    </row>
    <row r="17" spans="1:9" x14ac:dyDescent="0.2">
      <c r="A17" s="122">
        <v>2</v>
      </c>
      <c r="B17" s="126">
        <v>96.895344714681357</v>
      </c>
      <c r="C17" s="127">
        <f>B16-B17</f>
        <v>2.4035100437208996</v>
      </c>
      <c r="D17" s="127">
        <f>D16+C17</f>
        <v>3.1046552853186427</v>
      </c>
      <c r="E17" s="127">
        <f>(1+$E$10)^A17</f>
        <v>1.0517932967512851</v>
      </c>
      <c r="F17" s="127">
        <f>C17*E17</f>
        <v>2.5279957526600305</v>
      </c>
      <c r="G17" s="127">
        <f>1/(1+$G$10)^A17</f>
        <v>0.87776120919371858</v>
      </c>
      <c r="H17" s="126">
        <f>G17*F17</f>
        <v>2.2189766086914533</v>
      </c>
      <c r="I17" s="127">
        <f>I16+H17</f>
        <v>2.8926685966331718</v>
      </c>
    </row>
    <row r="18" spans="1:9" x14ac:dyDescent="0.2">
      <c r="A18" s="122">
        <v>3</v>
      </c>
      <c r="B18" s="126">
        <v>90.799033242460922</v>
      </c>
      <c r="C18" s="127">
        <f>B17-B18</f>
        <v>6.0963114722204352</v>
      </c>
      <c r="D18" s="127">
        <f>D17+C18</f>
        <v>9.2009667575390779</v>
      </c>
      <c r="E18" s="127">
        <f>(1+$E$10)^A18</f>
        <v>1.0786873805225787</v>
      </c>
      <c r="F18" s="127">
        <f>C18*E18</f>
        <v>6.5760142528192072</v>
      </c>
      <c r="G18" s="127">
        <f>1/(1+$G$10)^A18</f>
        <v>0.82236492030247688</v>
      </c>
      <c r="H18" s="126">
        <f>G18*F18</f>
        <v>5.4078834369276194</v>
      </c>
      <c r="I18" s="127">
        <f>I17+H18</f>
        <v>8.3005520335607912</v>
      </c>
    </row>
    <row r="19" spans="1:9" x14ac:dyDescent="0.2">
      <c r="A19" s="122">
        <v>4</v>
      </c>
      <c r="B19" s="126">
        <v>78.027274518593032</v>
      </c>
      <c r="C19" s="127">
        <f>B18-B19</f>
        <v>12.77175872386789</v>
      </c>
      <c r="D19" s="127">
        <f>D18+C19</f>
        <v>21.972725481406968</v>
      </c>
      <c r="E19" s="127">
        <f>(1+$E$10)^A19</f>
        <v>1.1062691390909369</v>
      </c>
      <c r="F19" s="127">
        <f>C19*E19</f>
        <v>14.129002528130494</v>
      </c>
      <c r="G19" s="127">
        <f>1/(1+$G$10)^A19</f>
        <v>0.77046474036521906</v>
      </c>
      <c r="H19" s="126">
        <f>G19*F19</f>
        <v>10.885898264455586</v>
      </c>
      <c r="I19" s="127">
        <f>I18+H19</f>
        <v>19.186450298016375</v>
      </c>
    </row>
    <row r="20" spans="1:9" x14ac:dyDescent="0.2">
      <c r="A20" s="122">
        <v>5</v>
      </c>
      <c r="B20" s="126">
        <v>54.741527548555055</v>
      </c>
      <c r="C20" s="127">
        <f>B19-B20</f>
        <v>23.285746970037977</v>
      </c>
      <c r="D20" s="127">
        <f>D19+C20</f>
        <v>45.258472451444945</v>
      </c>
      <c r="E20" s="127">
        <f>(1+$E$10)^A20</f>
        <v>1.1345561561238511</v>
      </c>
      <c r="F20" s="127">
        <f>C20*E20</f>
        <v>26.418987574798898</v>
      </c>
      <c r="G20" s="127">
        <f>1/(1+$G$10)^A20</f>
        <v>0.72184002684319803</v>
      </c>
      <c r="H20" s="126">
        <f>G20*F20</f>
        <v>19.070282700162952</v>
      </c>
      <c r="I20" s="127">
        <f>I19+H20</f>
        <v>38.256732998179331</v>
      </c>
    </row>
    <row r="22" spans="1:9" x14ac:dyDescent="0.2">
      <c r="D22" s="119" t="s">
        <v>93</v>
      </c>
      <c r="I22" s="128">
        <f>I20</f>
        <v>38.256732998179331</v>
      </c>
    </row>
    <row r="23" spans="1:9" ht="18" x14ac:dyDescent="0.25">
      <c r="A23" s="117" t="s">
        <v>177</v>
      </c>
      <c r="I23" s="118"/>
    </row>
    <row r="24" spans="1:9" x14ac:dyDescent="0.2">
      <c r="A24" s="119" t="s">
        <v>123</v>
      </c>
      <c r="I24" s="120"/>
    </row>
    <row r="25" spans="1:9" x14ac:dyDescent="0.2">
      <c r="I25" s="121"/>
    </row>
    <row r="26" spans="1:9" x14ac:dyDescent="0.2">
      <c r="I26" s="121"/>
    </row>
    <row r="27" spans="1:9" x14ac:dyDescent="0.2">
      <c r="A27" s="122">
        <v>1</v>
      </c>
      <c r="B27" s="119" t="s">
        <v>93</v>
      </c>
      <c r="G27" s="129">
        <f>I22</f>
        <v>38.256732998179331</v>
      </c>
      <c r="H27" s="129"/>
    </row>
    <row r="28" spans="1:9" x14ac:dyDescent="0.2">
      <c r="A28" s="122"/>
      <c r="B28" s="119"/>
      <c r="H28" s="130"/>
    </row>
    <row r="29" spans="1:9" x14ac:dyDescent="0.2">
      <c r="A29" s="122">
        <v>2</v>
      </c>
      <c r="B29" s="119" t="s">
        <v>124</v>
      </c>
      <c r="G29" s="131">
        <v>100</v>
      </c>
      <c r="H29" s="132"/>
    </row>
    <row r="30" spans="1:9" x14ac:dyDescent="0.2">
      <c r="A30" s="122"/>
      <c r="B30" s="119"/>
      <c r="G30" s="133"/>
      <c r="H30" s="130"/>
    </row>
    <row r="31" spans="1:9" x14ac:dyDescent="0.2">
      <c r="A31" s="122">
        <v>3</v>
      </c>
      <c r="B31" s="119" t="s">
        <v>125</v>
      </c>
      <c r="G31" s="133">
        <f>G27+G29</f>
        <v>138.25673299817933</v>
      </c>
      <c r="H31" s="129"/>
    </row>
    <row r="32" spans="1:9" x14ac:dyDescent="0.2">
      <c r="A32" s="122"/>
      <c r="B32" s="119"/>
      <c r="H32" s="130"/>
    </row>
    <row r="33" spans="1:10" x14ac:dyDescent="0.2">
      <c r="A33" s="122">
        <v>4</v>
      </c>
      <c r="B33" s="119" t="s">
        <v>126</v>
      </c>
      <c r="G33" s="134">
        <f>'KU Meter Pulse - NPV'!E20/12</f>
        <v>2.0002724107623965E-2</v>
      </c>
      <c r="H33" s="135"/>
      <c r="J33" s="133"/>
    </row>
    <row r="34" spans="1:10" x14ac:dyDescent="0.2">
      <c r="A34" s="122"/>
      <c r="H34" s="130"/>
    </row>
    <row r="35" spans="1:10" x14ac:dyDescent="0.2">
      <c r="A35" s="122">
        <v>5</v>
      </c>
      <c r="B35" s="119" t="s">
        <v>127</v>
      </c>
      <c r="G35" s="136">
        <f>G33*G31/100</f>
        <v>2.7655112861840112E-2</v>
      </c>
      <c r="H35" s="137"/>
    </row>
    <row r="36" spans="1:10" x14ac:dyDescent="0.2">
      <c r="A36" s="122"/>
      <c r="H36" s="130"/>
    </row>
    <row r="37" spans="1:10" x14ac:dyDescent="0.2">
      <c r="A37" s="122">
        <v>6</v>
      </c>
      <c r="B37" s="100" t="s">
        <v>128</v>
      </c>
      <c r="G37" s="136">
        <f>F39/F40/12</f>
        <v>2.653317770252071E-3</v>
      </c>
      <c r="H37" s="138"/>
    </row>
    <row r="38" spans="1:10" x14ac:dyDescent="0.2">
      <c r="A38" s="122"/>
      <c r="H38" s="130"/>
    </row>
    <row r="39" spans="1:10" x14ac:dyDescent="0.2">
      <c r="A39" s="122">
        <v>7</v>
      </c>
      <c r="B39" s="169" t="s">
        <v>320</v>
      </c>
      <c r="F39" s="167">
        <v>63460930.020000003</v>
      </c>
      <c r="H39" s="130"/>
    </row>
    <row r="40" spans="1:10" x14ac:dyDescent="0.2">
      <c r="A40" s="122">
        <v>8</v>
      </c>
      <c r="B40" s="169" t="s">
        <v>321</v>
      </c>
      <c r="F40" s="168">
        <v>1993131352.1099999</v>
      </c>
      <c r="H40" s="130"/>
    </row>
    <row r="41" spans="1:10" x14ac:dyDescent="0.2">
      <c r="A41" s="122"/>
      <c r="H41" s="130"/>
    </row>
    <row r="42" spans="1:10" x14ac:dyDescent="0.2">
      <c r="A42" s="122">
        <v>9</v>
      </c>
      <c r="B42" s="119" t="s">
        <v>129</v>
      </c>
      <c r="G42" s="140">
        <f>G37+G35</f>
        <v>3.0308430632092181E-2</v>
      </c>
      <c r="H42" s="138"/>
    </row>
    <row r="43" spans="1:10" x14ac:dyDescent="0.2">
      <c r="H43" s="130"/>
    </row>
    <row r="44" spans="1:10" x14ac:dyDescent="0.2">
      <c r="A44" s="122">
        <v>10</v>
      </c>
      <c r="B44" s="119" t="s">
        <v>130</v>
      </c>
      <c r="G44" s="458">
        <f>'KU Meter Pulse'!B20</f>
        <v>688.4929950937626</v>
      </c>
      <c r="H44" s="130"/>
    </row>
    <row r="45" spans="1:10" x14ac:dyDescent="0.2">
      <c r="H45" s="130"/>
    </row>
    <row r="46" spans="1:10" x14ac:dyDescent="0.2">
      <c r="A46" s="122">
        <v>11</v>
      </c>
      <c r="B46" s="119" t="s">
        <v>131</v>
      </c>
      <c r="G46" s="6">
        <f>G44*G42</f>
        <v>20.867142182480688</v>
      </c>
      <c r="H46" s="130"/>
    </row>
  </sheetData>
  <pageMargins left="0.75" right="0.75" top="1" bottom="1" header="0.5" footer="0.5"/>
  <pageSetup scale="75" orientation="landscape" r:id="rId1"/>
  <headerFooter differentOddEven="1" differentFirst="1" alignWithMargins="0"/>
  <rowBreaks count="1" manualBreakCount="1">
    <brk id="2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G53"/>
  <sheetViews>
    <sheetView workbookViewId="0"/>
  </sheetViews>
  <sheetFormatPr defaultRowHeight="12.75" x14ac:dyDescent="0.2"/>
  <cols>
    <col min="1" max="1" width="18.5703125" style="100" customWidth="1"/>
    <col min="2" max="2" width="14.85546875" style="100" bestFit="1" customWidth="1"/>
    <col min="3" max="4" width="9.140625" style="100"/>
    <col min="5" max="5" width="12.5703125" style="100" customWidth="1"/>
    <col min="6" max="6" width="10.28515625" style="100" customWidth="1"/>
    <col min="7" max="256" width="9.140625" style="100"/>
    <col min="257" max="257" width="18.5703125" style="100" customWidth="1"/>
    <col min="258" max="258" width="13.140625" style="100" customWidth="1"/>
    <col min="259" max="260" width="9.140625" style="100"/>
    <col min="261" max="261" width="12.5703125" style="100" customWidth="1"/>
    <col min="262" max="262" width="10.28515625" style="100" customWidth="1"/>
    <col min="263" max="512" width="9.140625" style="100"/>
    <col min="513" max="513" width="18.5703125" style="100" customWidth="1"/>
    <col min="514" max="514" width="13.140625" style="100" customWidth="1"/>
    <col min="515" max="516" width="9.140625" style="100"/>
    <col min="517" max="517" width="12.5703125" style="100" customWidth="1"/>
    <col min="518" max="518" width="10.28515625" style="100" customWidth="1"/>
    <col min="519" max="768" width="9.140625" style="100"/>
    <col min="769" max="769" width="18.5703125" style="100" customWidth="1"/>
    <col min="770" max="770" width="13.140625" style="100" customWidth="1"/>
    <col min="771" max="772" width="9.140625" style="100"/>
    <col min="773" max="773" width="12.5703125" style="100" customWidth="1"/>
    <col min="774" max="774" width="10.28515625" style="100" customWidth="1"/>
    <col min="775" max="1024" width="9.140625" style="100"/>
    <col min="1025" max="1025" width="18.5703125" style="100" customWidth="1"/>
    <col min="1026" max="1026" width="13.140625" style="100" customWidth="1"/>
    <col min="1027" max="1028" width="9.140625" style="100"/>
    <col min="1029" max="1029" width="12.5703125" style="100" customWidth="1"/>
    <col min="1030" max="1030" width="10.28515625" style="100" customWidth="1"/>
    <col min="1031" max="1280" width="9.140625" style="100"/>
    <col min="1281" max="1281" width="18.5703125" style="100" customWidth="1"/>
    <col min="1282" max="1282" width="13.140625" style="100" customWidth="1"/>
    <col min="1283" max="1284" width="9.140625" style="100"/>
    <col min="1285" max="1285" width="12.5703125" style="100" customWidth="1"/>
    <col min="1286" max="1286" width="10.28515625" style="100" customWidth="1"/>
    <col min="1287" max="1536" width="9.140625" style="100"/>
    <col min="1537" max="1537" width="18.5703125" style="100" customWidth="1"/>
    <col min="1538" max="1538" width="13.140625" style="100" customWidth="1"/>
    <col min="1539" max="1540" width="9.140625" style="100"/>
    <col min="1541" max="1541" width="12.5703125" style="100" customWidth="1"/>
    <col min="1542" max="1542" width="10.28515625" style="100" customWidth="1"/>
    <col min="1543" max="1792" width="9.140625" style="100"/>
    <col min="1793" max="1793" width="18.5703125" style="100" customWidth="1"/>
    <col min="1794" max="1794" width="13.140625" style="100" customWidth="1"/>
    <col min="1795" max="1796" width="9.140625" style="100"/>
    <col min="1797" max="1797" width="12.5703125" style="100" customWidth="1"/>
    <col min="1798" max="1798" width="10.28515625" style="100" customWidth="1"/>
    <col min="1799" max="2048" width="9.140625" style="100"/>
    <col min="2049" max="2049" width="18.5703125" style="100" customWidth="1"/>
    <col min="2050" max="2050" width="13.140625" style="100" customWidth="1"/>
    <col min="2051" max="2052" width="9.140625" style="100"/>
    <col min="2053" max="2053" width="12.5703125" style="100" customWidth="1"/>
    <col min="2054" max="2054" width="10.28515625" style="100" customWidth="1"/>
    <col min="2055" max="2304" width="9.140625" style="100"/>
    <col min="2305" max="2305" width="18.5703125" style="100" customWidth="1"/>
    <col min="2306" max="2306" width="13.140625" style="100" customWidth="1"/>
    <col min="2307" max="2308" width="9.140625" style="100"/>
    <col min="2309" max="2309" width="12.5703125" style="100" customWidth="1"/>
    <col min="2310" max="2310" width="10.28515625" style="100" customWidth="1"/>
    <col min="2311" max="2560" width="9.140625" style="100"/>
    <col min="2561" max="2561" width="18.5703125" style="100" customWidth="1"/>
    <col min="2562" max="2562" width="13.140625" style="100" customWidth="1"/>
    <col min="2563" max="2564" width="9.140625" style="100"/>
    <col min="2565" max="2565" width="12.5703125" style="100" customWidth="1"/>
    <col min="2566" max="2566" width="10.28515625" style="100" customWidth="1"/>
    <col min="2567" max="2816" width="9.140625" style="100"/>
    <col min="2817" max="2817" width="18.5703125" style="100" customWidth="1"/>
    <col min="2818" max="2818" width="13.140625" style="100" customWidth="1"/>
    <col min="2819" max="2820" width="9.140625" style="100"/>
    <col min="2821" max="2821" width="12.5703125" style="100" customWidth="1"/>
    <col min="2822" max="2822" width="10.28515625" style="100" customWidth="1"/>
    <col min="2823" max="3072" width="9.140625" style="100"/>
    <col min="3073" max="3073" width="18.5703125" style="100" customWidth="1"/>
    <col min="3074" max="3074" width="13.140625" style="100" customWidth="1"/>
    <col min="3075" max="3076" width="9.140625" style="100"/>
    <col min="3077" max="3077" width="12.5703125" style="100" customWidth="1"/>
    <col min="3078" max="3078" width="10.28515625" style="100" customWidth="1"/>
    <col min="3079" max="3328" width="9.140625" style="100"/>
    <col min="3329" max="3329" width="18.5703125" style="100" customWidth="1"/>
    <col min="3330" max="3330" width="13.140625" style="100" customWidth="1"/>
    <col min="3331" max="3332" width="9.140625" style="100"/>
    <col min="3333" max="3333" width="12.5703125" style="100" customWidth="1"/>
    <col min="3334" max="3334" width="10.28515625" style="100" customWidth="1"/>
    <col min="3335" max="3584" width="9.140625" style="100"/>
    <col min="3585" max="3585" width="18.5703125" style="100" customWidth="1"/>
    <col min="3586" max="3586" width="13.140625" style="100" customWidth="1"/>
    <col min="3587" max="3588" width="9.140625" style="100"/>
    <col min="3589" max="3589" width="12.5703125" style="100" customWidth="1"/>
    <col min="3590" max="3590" width="10.28515625" style="100" customWidth="1"/>
    <col min="3591" max="3840" width="9.140625" style="100"/>
    <col min="3841" max="3841" width="18.5703125" style="100" customWidth="1"/>
    <col min="3842" max="3842" width="13.140625" style="100" customWidth="1"/>
    <col min="3843" max="3844" width="9.140625" style="100"/>
    <col min="3845" max="3845" width="12.5703125" style="100" customWidth="1"/>
    <col min="3846" max="3846" width="10.28515625" style="100" customWidth="1"/>
    <col min="3847" max="4096" width="9.140625" style="100"/>
    <col min="4097" max="4097" width="18.5703125" style="100" customWidth="1"/>
    <col min="4098" max="4098" width="13.140625" style="100" customWidth="1"/>
    <col min="4099" max="4100" width="9.140625" style="100"/>
    <col min="4101" max="4101" width="12.5703125" style="100" customWidth="1"/>
    <col min="4102" max="4102" width="10.28515625" style="100" customWidth="1"/>
    <col min="4103" max="4352" width="9.140625" style="100"/>
    <col min="4353" max="4353" width="18.5703125" style="100" customWidth="1"/>
    <col min="4354" max="4354" width="13.140625" style="100" customWidth="1"/>
    <col min="4355" max="4356" width="9.140625" style="100"/>
    <col min="4357" max="4357" width="12.5703125" style="100" customWidth="1"/>
    <col min="4358" max="4358" width="10.28515625" style="100" customWidth="1"/>
    <col min="4359" max="4608" width="9.140625" style="100"/>
    <col min="4609" max="4609" width="18.5703125" style="100" customWidth="1"/>
    <col min="4610" max="4610" width="13.140625" style="100" customWidth="1"/>
    <col min="4611" max="4612" width="9.140625" style="100"/>
    <col min="4613" max="4613" width="12.5703125" style="100" customWidth="1"/>
    <col min="4614" max="4614" width="10.28515625" style="100" customWidth="1"/>
    <col min="4615" max="4864" width="9.140625" style="100"/>
    <col min="4865" max="4865" width="18.5703125" style="100" customWidth="1"/>
    <col min="4866" max="4866" width="13.140625" style="100" customWidth="1"/>
    <col min="4867" max="4868" width="9.140625" style="100"/>
    <col min="4869" max="4869" width="12.5703125" style="100" customWidth="1"/>
    <col min="4870" max="4870" width="10.28515625" style="100" customWidth="1"/>
    <col min="4871" max="5120" width="9.140625" style="100"/>
    <col min="5121" max="5121" width="18.5703125" style="100" customWidth="1"/>
    <col min="5122" max="5122" width="13.140625" style="100" customWidth="1"/>
    <col min="5123" max="5124" width="9.140625" style="100"/>
    <col min="5125" max="5125" width="12.5703125" style="100" customWidth="1"/>
    <col min="5126" max="5126" width="10.28515625" style="100" customWidth="1"/>
    <col min="5127" max="5376" width="9.140625" style="100"/>
    <col min="5377" max="5377" width="18.5703125" style="100" customWidth="1"/>
    <col min="5378" max="5378" width="13.140625" style="100" customWidth="1"/>
    <col min="5379" max="5380" width="9.140625" style="100"/>
    <col min="5381" max="5381" width="12.5703125" style="100" customWidth="1"/>
    <col min="5382" max="5382" width="10.28515625" style="100" customWidth="1"/>
    <col min="5383" max="5632" width="9.140625" style="100"/>
    <col min="5633" max="5633" width="18.5703125" style="100" customWidth="1"/>
    <col min="5634" max="5634" width="13.140625" style="100" customWidth="1"/>
    <col min="5635" max="5636" width="9.140625" style="100"/>
    <col min="5637" max="5637" width="12.5703125" style="100" customWidth="1"/>
    <col min="5638" max="5638" width="10.28515625" style="100" customWidth="1"/>
    <col min="5639" max="5888" width="9.140625" style="100"/>
    <col min="5889" max="5889" width="18.5703125" style="100" customWidth="1"/>
    <col min="5890" max="5890" width="13.140625" style="100" customWidth="1"/>
    <col min="5891" max="5892" width="9.140625" style="100"/>
    <col min="5893" max="5893" width="12.5703125" style="100" customWidth="1"/>
    <col min="5894" max="5894" width="10.28515625" style="100" customWidth="1"/>
    <col min="5895" max="6144" width="9.140625" style="100"/>
    <col min="6145" max="6145" width="18.5703125" style="100" customWidth="1"/>
    <col min="6146" max="6146" width="13.140625" style="100" customWidth="1"/>
    <col min="6147" max="6148" width="9.140625" style="100"/>
    <col min="6149" max="6149" width="12.5703125" style="100" customWidth="1"/>
    <col min="6150" max="6150" width="10.28515625" style="100" customWidth="1"/>
    <col min="6151" max="6400" width="9.140625" style="100"/>
    <col min="6401" max="6401" width="18.5703125" style="100" customWidth="1"/>
    <col min="6402" max="6402" width="13.140625" style="100" customWidth="1"/>
    <col min="6403" max="6404" width="9.140625" style="100"/>
    <col min="6405" max="6405" width="12.5703125" style="100" customWidth="1"/>
    <col min="6406" max="6406" width="10.28515625" style="100" customWidth="1"/>
    <col min="6407" max="6656" width="9.140625" style="100"/>
    <col min="6657" max="6657" width="18.5703125" style="100" customWidth="1"/>
    <col min="6658" max="6658" width="13.140625" style="100" customWidth="1"/>
    <col min="6659" max="6660" width="9.140625" style="100"/>
    <col min="6661" max="6661" width="12.5703125" style="100" customWidth="1"/>
    <col min="6662" max="6662" width="10.28515625" style="100" customWidth="1"/>
    <col min="6663" max="6912" width="9.140625" style="100"/>
    <col min="6913" max="6913" width="18.5703125" style="100" customWidth="1"/>
    <col min="6914" max="6914" width="13.140625" style="100" customWidth="1"/>
    <col min="6915" max="6916" width="9.140625" style="100"/>
    <col min="6917" max="6917" width="12.5703125" style="100" customWidth="1"/>
    <col min="6918" max="6918" width="10.28515625" style="100" customWidth="1"/>
    <col min="6919" max="7168" width="9.140625" style="100"/>
    <col min="7169" max="7169" width="18.5703125" style="100" customWidth="1"/>
    <col min="7170" max="7170" width="13.140625" style="100" customWidth="1"/>
    <col min="7171" max="7172" width="9.140625" style="100"/>
    <col min="7173" max="7173" width="12.5703125" style="100" customWidth="1"/>
    <col min="7174" max="7174" width="10.28515625" style="100" customWidth="1"/>
    <col min="7175" max="7424" width="9.140625" style="100"/>
    <col min="7425" max="7425" width="18.5703125" style="100" customWidth="1"/>
    <col min="7426" max="7426" width="13.140625" style="100" customWidth="1"/>
    <col min="7427" max="7428" width="9.140625" style="100"/>
    <col min="7429" max="7429" width="12.5703125" style="100" customWidth="1"/>
    <col min="7430" max="7430" width="10.28515625" style="100" customWidth="1"/>
    <col min="7431" max="7680" width="9.140625" style="100"/>
    <col min="7681" max="7681" width="18.5703125" style="100" customWidth="1"/>
    <col min="7682" max="7682" width="13.140625" style="100" customWidth="1"/>
    <col min="7683" max="7684" width="9.140625" style="100"/>
    <col min="7685" max="7685" width="12.5703125" style="100" customWidth="1"/>
    <col min="7686" max="7686" width="10.28515625" style="100" customWidth="1"/>
    <col min="7687" max="7936" width="9.140625" style="100"/>
    <col min="7937" max="7937" width="18.5703125" style="100" customWidth="1"/>
    <col min="7938" max="7938" width="13.140625" style="100" customWidth="1"/>
    <col min="7939" max="7940" width="9.140625" style="100"/>
    <col min="7941" max="7941" width="12.5703125" style="100" customWidth="1"/>
    <col min="7942" max="7942" width="10.28515625" style="100" customWidth="1"/>
    <col min="7943" max="8192" width="9.140625" style="100"/>
    <col min="8193" max="8193" width="18.5703125" style="100" customWidth="1"/>
    <col min="8194" max="8194" width="13.140625" style="100" customWidth="1"/>
    <col min="8195" max="8196" width="9.140625" style="100"/>
    <col min="8197" max="8197" width="12.5703125" style="100" customWidth="1"/>
    <col min="8198" max="8198" width="10.28515625" style="100" customWidth="1"/>
    <col min="8199" max="8448" width="9.140625" style="100"/>
    <col min="8449" max="8449" width="18.5703125" style="100" customWidth="1"/>
    <col min="8450" max="8450" width="13.140625" style="100" customWidth="1"/>
    <col min="8451" max="8452" width="9.140625" style="100"/>
    <col min="8453" max="8453" width="12.5703125" style="100" customWidth="1"/>
    <col min="8454" max="8454" width="10.28515625" style="100" customWidth="1"/>
    <col min="8455" max="8704" width="9.140625" style="100"/>
    <col min="8705" max="8705" width="18.5703125" style="100" customWidth="1"/>
    <col min="8706" max="8706" width="13.140625" style="100" customWidth="1"/>
    <col min="8707" max="8708" width="9.140625" style="100"/>
    <col min="8709" max="8709" width="12.5703125" style="100" customWidth="1"/>
    <col min="8710" max="8710" width="10.28515625" style="100" customWidth="1"/>
    <col min="8711" max="8960" width="9.140625" style="100"/>
    <col min="8961" max="8961" width="18.5703125" style="100" customWidth="1"/>
    <col min="8962" max="8962" width="13.140625" style="100" customWidth="1"/>
    <col min="8963" max="8964" width="9.140625" style="100"/>
    <col min="8965" max="8965" width="12.5703125" style="100" customWidth="1"/>
    <col min="8966" max="8966" width="10.28515625" style="100" customWidth="1"/>
    <col min="8967" max="9216" width="9.140625" style="100"/>
    <col min="9217" max="9217" width="18.5703125" style="100" customWidth="1"/>
    <col min="9218" max="9218" width="13.140625" style="100" customWidth="1"/>
    <col min="9219" max="9220" width="9.140625" style="100"/>
    <col min="9221" max="9221" width="12.5703125" style="100" customWidth="1"/>
    <col min="9222" max="9222" width="10.28515625" style="100" customWidth="1"/>
    <col min="9223" max="9472" width="9.140625" style="100"/>
    <col min="9473" max="9473" width="18.5703125" style="100" customWidth="1"/>
    <col min="9474" max="9474" width="13.140625" style="100" customWidth="1"/>
    <col min="9475" max="9476" width="9.140625" style="100"/>
    <col min="9477" max="9477" width="12.5703125" style="100" customWidth="1"/>
    <col min="9478" max="9478" width="10.28515625" style="100" customWidth="1"/>
    <col min="9479" max="9728" width="9.140625" style="100"/>
    <col min="9729" max="9729" width="18.5703125" style="100" customWidth="1"/>
    <col min="9730" max="9730" width="13.140625" style="100" customWidth="1"/>
    <col min="9731" max="9732" width="9.140625" style="100"/>
    <col min="9733" max="9733" width="12.5703125" style="100" customWidth="1"/>
    <col min="9734" max="9734" width="10.28515625" style="100" customWidth="1"/>
    <col min="9735" max="9984" width="9.140625" style="100"/>
    <col min="9985" max="9985" width="18.5703125" style="100" customWidth="1"/>
    <col min="9986" max="9986" width="13.140625" style="100" customWidth="1"/>
    <col min="9987" max="9988" width="9.140625" style="100"/>
    <col min="9989" max="9989" width="12.5703125" style="100" customWidth="1"/>
    <col min="9990" max="9990" width="10.28515625" style="100" customWidth="1"/>
    <col min="9991" max="10240" width="9.140625" style="100"/>
    <col min="10241" max="10241" width="18.5703125" style="100" customWidth="1"/>
    <col min="10242" max="10242" width="13.140625" style="100" customWidth="1"/>
    <col min="10243" max="10244" width="9.140625" style="100"/>
    <col min="10245" max="10245" width="12.5703125" style="100" customWidth="1"/>
    <col min="10246" max="10246" width="10.28515625" style="100" customWidth="1"/>
    <col min="10247" max="10496" width="9.140625" style="100"/>
    <col min="10497" max="10497" width="18.5703125" style="100" customWidth="1"/>
    <col min="10498" max="10498" width="13.140625" style="100" customWidth="1"/>
    <col min="10499" max="10500" width="9.140625" style="100"/>
    <col min="10501" max="10501" width="12.5703125" style="100" customWidth="1"/>
    <col min="10502" max="10502" width="10.28515625" style="100" customWidth="1"/>
    <col min="10503" max="10752" width="9.140625" style="100"/>
    <col min="10753" max="10753" width="18.5703125" style="100" customWidth="1"/>
    <col min="10754" max="10754" width="13.140625" style="100" customWidth="1"/>
    <col min="10755" max="10756" width="9.140625" style="100"/>
    <col min="10757" max="10757" width="12.5703125" style="100" customWidth="1"/>
    <col min="10758" max="10758" width="10.28515625" style="100" customWidth="1"/>
    <col min="10759" max="11008" width="9.140625" style="100"/>
    <col min="11009" max="11009" width="18.5703125" style="100" customWidth="1"/>
    <col min="11010" max="11010" width="13.140625" style="100" customWidth="1"/>
    <col min="11011" max="11012" width="9.140625" style="100"/>
    <col min="11013" max="11013" width="12.5703125" style="100" customWidth="1"/>
    <col min="11014" max="11014" width="10.28515625" style="100" customWidth="1"/>
    <col min="11015" max="11264" width="9.140625" style="100"/>
    <col min="11265" max="11265" width="18.5703125" style="100" customWidth="1"/>
    <col min="11266" max="11266" width="13.140625" style="100" customWidth="1"/>
    <col min="11267" max="11268" width="9.140625" style="100"/>
    <col min="11269" max="11269" width="12.5703125" style="100" customWidth="1"/>
    <col min="11270" max="11270" width="10.28515625" style="100" customWidth="1"/>
    <col min="11271" max="11520" width="9.140625" style="100"/>
    <col min="11521" max="11521" width="18.5703125" style="100" customWidth="1"/>
    <col min="11522" max="11522" width="13.140625" style="100" customWidth="1"/>
    <col min="11523" max="11524" width="9.140625" style="100"/>
    <col min="11525" max="11525" width="12.5703125" style="100" customWidth="1"/>
    <col min="11526" max="11526" width="10.28515625" style="100" customWidth="1"/>
    <col min="11527" max="11776" width="9.140625" style="100"/>
    <col min="11777" max="11777" width="18.5703125" style="100" customWidth="1"/>
    <col min="11778" max="11778" width="13.140625" style="100" customWidth="1"/>
    <col min="11779" max="11780" width="9.140625" style="100"/>
    <col min="11781" max="11781" width="12.5703125" style="100" customWidth="1"/>
    <col min="11782" max="11782" width="10.28515625" style="100" customWidth="1"/>
    <col min="11783" max="12032" width="9.140625" style="100"/>
    <col min="12033" max="12033" width="18.5703125" style="100" customWidth="1"/>
    <col min="12034" max="12034" width="13.140625" style="100" customWidth="1"/>
    <col min="12035" max="12036" width="9.140625" style="100"/>
    <col min="12037" max="12037" width="12.5703125" style="100" customWidth="1"/>
    <col min="12038" max="12038" width="10.28515625" style="100" customWidth="1"/>
    <col min="12039" max="12288" width="9.140625" style="100"/>
    <col min="12289" max="12289" width="18.5703125" style="100" customWidth="1"/>
    <col min="12290" max="12290" width="13.140625" style="100" customWidth="1"/>
    <col min="12291" max="12292" width="9.140625" style="100"/>
    <col min="12293" max="12293" width="12.5703125" style="100" customWidth="1"/>
    <col min="12294" max="12294" width="10.28515625" style="100" customWidth="1"/>
    <col min="12295" max="12544" width="9.140625" style="100"/>
    <col min="12545" max="12545" width="18.5703125" style="100" customWidth="1"/>
    <col min="12546" max="12546" width="13.140625" style="100" customWidth="1"/>
    <col min="12547" max="12548" width="9.140625" style="100"/>
    <col min="12549" max="12549" width="12.5703125" style="100" customWidth="1"/>
    <col min="12550" max="12550" width="10.28515625" style="100" customWidth="1"/>
    <col min="12551" max="12800" width="9.140625" style="100"/>
    <col min="12801" max="12801" width="18.5703125" style="100" customWidth="1"/>
    <col min="12802" max="12802" width="13.140625" style="100" customWidth="1"/>
    <col min="12803" max="12804" width="9.140625" style="100"/>
    <col min="12805" max="12805" width="12.5703125" style="100" customWidth="1"/>
    <col min="12806" max="12806" width="10.28515625" style="100" customWidth="1"/>
    <col min="12807" max="13056" width="9.140625" style="100"/>
    <col min="13057" max="13057" width="18.5703125" style="100" customWidth="1"/>
    <col min="13058" max="13058" width="13.140625" style="100" customWidth="1"/>
    <col min="13059" max="13060" width="9.140625" style="100"/>
    <col min="13061" max="13061" width="12.5703125" style="100" customWidth="1"/>
    <col min="13062" max="13062" width="10.28515625" style="100" customWidth="1"/>
    <col min="13063" max="13312" width="9.140625" style="100"/>
    <col min="13313" max="13313" width="18.5703125" style="100" customWidth="1"/>
    <col min="13314" max="13314" width="13.140625" style="100" customWidth="1"/>
    <col min="13315" max="13316" width="9.140625" style="100"/>
    <col min="13317" max="13317" width="12.5703125" style="100" customWidth="1"/>
    <col min="13318" max="13318" width="10.28515625" style="100" customWidth="1"/>
    <col min="13319" max="13568" width="9.140625" style="100"/>
    <col min="13569" max="13569" width="18.5703125" style="100" customWidth="1"/>
    <col min="13570" max="13570" width="13.140625" style="100" customWidth="1"/>
    <col min="13571" max="13572" width="9.140625" style="100"/>
    <col min="13573" max="13573" width="12.5703125" style="100" customWidth="1"/>
    <col min="13574" max="13574" width="10.28515625" style="100" customWidth="1"/>
    <col min="13575" max="13824" width="9.140625" style="100"/>
    <col min="13825" max="13825" width="18.5703125" style="100" customWidth="1"/>
    <col min="13826" max="13826" width="13.140625" style="100" customWidth="1"/>
    <col min="13827" max="13828" width="9.140625" style="100"/>
    <col min="13829" max="13829" width="12.5703125" style="100" customWidth="1"/>
    <col min="13830" max="13830" width="10.28515625" style="100" customWidth="1"/>
    <col min="13831" max="14080" width="9.140625" style="100"/>
    <col min="14081" max="14081" width="18.5703125" style="100" customWidth="1"/>
    <col min="14082" max="14082" width="13.140625" style="100" customWidth="1"/>
    <col min="14083" max="14084" width="9.140625" style="100"/>
    <col min="14085" max="14085" width="12.5703125" style="100" customWidth="1"/>
    <col min="14086" max="14086" width="10.28515625" style="100" customWidth="1"/>
    <col min="14087" max="14336" width="9.140625" style="100"/>
    <col min="14337" max="14337" width="18.5703125" style="100" customWidth="1"/>
    <col min="14338" max="14338" width="13.140625" style="100" customWidth="1"/>
    <col min="14339" max="14340" width="9.140625" style="100"/>
    <col min="14341" max="14341" width="12.5703125" style="100" customWidth="1"/>
    <col min="14342" max="14342" width="10.28515625" style="100" customWidth="1"/>
    <col min="14343" max="14592" width="9.140625" style="100"/>
    <col min="14593" max="14593" width="18.5703125" style="100" customWidth="1"/>
    <col min="14594" max="14594" width="13.140625" style="100" customWidth="1"/>
    <col min="14595" max="14596" width="9.140625" style="100"/>
    <col min="14597" max="14597" width="12.5703125" style="100" customWidth="1"/>
    <col min="14598" max="14598" width="10.28515625" style="100" customWidth="1"/>
    <col min="14599" max="14848" width="9.140625" style="100"/>
    <col min="14849" max="14849" width="18.5703125" style="100" customWidth="1"/>
    <col min="14850" max="14850" width="13.140625" style="100" customWidth="1"/>
    <col min="14851" max="14852" width="9.140625" style="100"/>
    <col min="14853" max="14853" width="12.5703125" style="100" customWidth="1"/>
    <col min="14854" max="14854" width="10.28515625" style="100" customWidth="1"/>
    <col min="14855" max="15104" width="9.140625" style="100"/>
    <col min="15105" max="15105" width="18.5703125" style="100" customWidth="1"/>
    <col min="15106" max="15106" width="13.140625" style="100" customWidth="1"/>
    <col min="15107" max="15108" width="9.140625" style="100"/>
    <col min="15109" max="15109" width="12.5703125" style="100" customWidth="1"/>
    <col min="15110" max="15110" width="10.28515625" style="100" customWidth="1"/>
    <col min="15111" max="15360" width="9.140625" style="100"/>
    <col min="15361" max="15361" width="18.5703125" style="100" customWidth="1"/>
    <col min="15362" max="15362" width="13.140625" style="100" customWidth="1"/>
    <col min="15363" max="15364" width="9.140625" style="100"/>
    <col min="15365" max="15365" width="12.5703125" style="100" customWidth="1"/>
    <col min="15366" max="15366" width="10.28515625" style="100" customWidth="1"/>
    <col min="15367" max="15616" width="9.140625" style="100"/>
    <col min="15617" max="15617" width="18.5703125" style="100" customWidth="1"/>
    <col min="15618" max="15618" width="13.140625" style="100" customWidth="1"/>
    <col min="15619" max="15620" width="9.140625" style="100"/>
    <col min="15621" max="15621" width="12.5703125" style="100" customWidth="1"/>
    <col min="15622" max="15622" width="10.28515625" style="100" customWidth="1"/>
    <col min="15623" max="15872" width="9.140625" style="100"/>
    <col min="15873" max="15873" width="18.5703125" style="100" customWidth="1"/>
    <col min="15874" max="15874" width="13.140625" style="100" customWidth="1"/>
    <col min="15875" max="15876" width="9.140625" style="100"/>
    <col min="15877" max="15877" width="12.5703125" style="100" customWidth="1"/>
    <col min="15878" max="15878" width="10.28515625" style="100" customWidth="1"/>
    <col min="15879" max="16128" width="9.140625" style="100"/>
    <col min="16129" max="16129" width="18.5703125" style="100" customWidth="1"/>
    <col min="16130" max="16130" width="13.140625" style="100" customWidth="1"/>
    <col min="16131" max="16132" width="9.140625" style="100"/>
    <col min="16133" max="16133" width="12.5703125" style="100" customWidth="1"/>
    <col min="16134" max="16134" width="10.28515625" style="100" customWidth="1"/>
    <col min="16135" max="16384" width="9.140625" style="100"/>
  </cols>
  <sheetData>
    <row r="1" spans="1:7" ht="18" x14ac:dyDescent="0.25">
      <c r="A1" s="117" t="s">
        <v>177</v>
      </c>
      <c r="G1" s="118"/>
    </row>
    <row r="2" spans="1:7" x14ac:dyDescent="0.2">
      <c r="A2" s="104" t="s">
        <v>132</v>
      </c>
      <c r="G2" s="120"/>
    </row>
    <row r="3" spans="1:7" x14ac:dyDescent="0.2">
      <c r="A3" s="104"/>
      <c r="G3" s="121"/>
    </row>
    <row r="4" spans="1:7" x14ac:dyDescent="0.2">
      <c r="G4" s="121"/>
    </row>
    <row r="7" spans="1:7" x14ac:dyDescent="0.2">
      <c r="A7" s="104" t="s">
        <v>133</v>
      </c>
    </row>
    <row r="8" spans="1:7" x14ac:dyDescent="0.2">
      <c r="B8" s="104"/>
      <c r="C8" s="104"/>
      <c r="D8" s="104"/>
      <c r="E8" s="141" t="s">
        <v>134</v>
      </c>
      <c r="G8" s="141" t="s">
        <v>135</v>
      </c>
    </row>
    <row r="9" spans="1:7" x14ac:dyDescent="0.2">
      <c r="B9" s="451"/>
      <c r="C9" s="142" t="s">
        <v>136</v>
      </c>
      <c r="D9" s="142" t="s">
        <v>31</v>
      </c>
      <c r="E9" s="142" t="s">
        <v>137</v>
      </c>
      <c r="F9" s="142" t="s">
        <v>138</v>
      </c>
      <c r="G9" s="143" t="s">
        <v>31</v>
      </c>
    </row>
    <row r="10" spans="1:7" x14ac:dyDescent="0.2">
      <c r="A10" s="100" t="s">
        <v>181</v>
      </c>
      <c r="B10" s="452"/>
      <c r="C10" s="152">
        <v>1.7181755744303865E-2</v>
      </c>
      <c r="D10" s="216">
        <v>4.5912749740748019E-3</v>
      </c>
      <c r="E10" s="152">
        <f>C10*D10</f>
        <v>7.8886165159488303E-5</v>
      </c>
      <c r="F10" s="171">
        <f>+'LGE-E Meter Pu WACOC-Tax Table'!F10</f>
        <v>0.2495</v>
      </c>
      <c r="G10" s="152">
        <f>E10*(1-F10)</f>
        <v>5.9204066952195969E-5</v>
      </c>
    </row>
    <row r="11" spans="1:7" x14ac:dyDescent="0.2">
      <c r="A11" s="100" t="s">
        <v>182</v>
      </c>
      <c r="B11" s="453"/>
      <c r="C11" s="152">
        <v>0.45050097221027657</v>
      </c>
      <c r="D11" s="216">
        <v>4.1618462004870925E-2</v>
      </c>
      <c r="E11" s="152">
        <f>C11*D11</f>
        <v>1.8749157595090809E-2</v>
      </c>
      <c r="F11" s="171">
        <f>+F10</f>
        <v>0.2495</v>
      </c>
      <c r="G11" s="152">
        <f>E11*(1-F11)</f>
        <v>1.4071242775115652E-2</v>
      </c>
    </row>
    <row r="12" spans="1:7" x14ac:dyDescent="0.2">
      <c r="A12" s="100" t="s">
        <v>139</v>
      </c>
      <c r="B12" s="453"/>
      <c r="C12" s="152">
        <v>0.53231727204541945</v>
      </c>
      <c r="D12" s="448">
        <v>0.1</v>
      </c>
      <c r="E12" s="164">
        <f>C12*D12</f>
        <v>5.3231727204541945E-2</v>
      </c>
      <c r="G12" s="148">
        <f>E12</f>
        <v>5.3231727204541945E-2</v>
      </c>
    </row>
    <row r="13" spans="1:7" x14ac:dyDescent="0.2">
      <c r="B13" s="454"/>
      <c r="E13" s="140">
        <f>SUM(E10:E12)</f>
        <v>7.2059770964792241E-2</v>
      </c>
      <c r="G13" s="140">
        <f>SUM(G10:G12)</f>
        <v>6.7362174046609796E-2</v>
      </c>
    </row>
    <row r="14" spans="1:7" x14ac:dyDescent="0.2">
      <c r="B14" s="19"/>
    </row>
    <row r="15" spans="1:7" x14ac:dyDescent="0.2">
      <c r="B15" s="471" t="s">
        <v>140</v>
      </c>
      <c r="C15" s="471"/>
      <c r="D15" s="471"/>
      <c r="E15" s="471"/>
    </row>
    <row r="17" spans="1:6" x14ac:dyDescent="0.2">
      <c r="B17" s="100">
        <v>5</v>
      </c>
      <c r="C17" s="100">
        <v>10</v>
      </c>
      <c r="D17" s="100">
        <v>15</v>
      </c>
      <c r="E17" s="100">
        <v>20</v>
      </c>
    </row>
    <row r="18" spans="1:6" x14ac:dyDescent="0.2">
      <c r="A18" s="100">
        <v>1</v>
      </c>
      <c r="B18" s="150">
        <v>0.2</v>
      </c>
      <c r="C18" s="150">
        <v>0.1</v>
      </c>
      <c r="D18" s="150">
        <v>0.05</v>
      </c>
      <c r="E18" s="150">
        <v>3.7499999999999999E-2</v>
      </c>
      <c r="F18" s="152"/>
    </row>
    <row r="19" spans="1:6" x14ac:dyDescent="0.2">
      <c r="A19" s="100">
        <v>2</v>
      </c>
      <c r="B19" s="150">
        <v>0.32</v>
      </c>
      <c r="C19" s="150">
        <v>0.18</v>
      </c>
      <c r="D19" s="150">
        <v>9.5000000000000001E-2</v>
      </c>
      <c r="E19" s="150">
        <v>7.2190000000000004E-2</v>
      </c>
      <c r="F19" s="152"/>
    </row>
    <row r="20" spans="1:6" x14ac:dyDescent="0.2">
      <c r="A20" s="100">
        <v>3</v>
      </c>
      <c r="B20" s="150">
        <v>0.192</v>
      </c>
      <c r="C20" s="150">
        <v>0.14399999999999999</v>
      </c>
      <c r="D20" s="150">
        <v>8.5500000000000007E-2</v>
      </c>
      <c r="E20" s="150">
        <v>6.6769999999999996E-2</v>
      </c>
      <c r="F20" s="152"/>
    </row>
    <row r="21" spans="1:6" x14ac:dyDescent="0.2">
      <c r="A21" s="100">
        <v>4</v>
      </c>
      <c r="B21" s="150">
        <v>0.1152</v>
      </c>
      <c r="C21" s="150">
        <v>0.1152</v>
      </c>
      <c r="D21" s="150">
        <v>7.6999999999999999E-2</v>
      </c>
      <c r="E21" s="150">
        <v>6.1769999999999999E-2</v>
      </c>
      <c r="F21" s="152"/>
    </row>
    <row r="22" spans="1:6" x14ac:dyDescent="0.2">
      <c r="A22" s="100">
        <v>5</v>
      </c>
      <c r="B22" s="150">
        <v>0.1152</v>
      </c>
      <c r="C22" s="150">
        <v>9.2200000000000004E-2</v>
      </c>
      <c r="D22" s="150">
        <v>6.93E-2</v>
      </c>
      <c r="E22" s="150">
        <v>5.713E-2</v>
      </c>
      <c r="F22" s="152"/>
    </row>
    <row r="23" spans="1:6" x14ac:dyDescent="0.2">
      <c r="A23" s="100">
        <v>6</v>
      </c>
      <c r="B23" s="150">
        <v>5.7600000000000047E-2</v>
      </c>
      <c r="C23" s="150">
        <v>7.3700000000000002E-2</v>
      </c>
      <c r="D23" s="150">
        <v>6.2300000000000001E-2</v>
      </c>
      <c r="E23" s="150">
        <v>5.2850000000000001E-2</v>
      </c>
      <c r="F23" s="152"/>
    </row>
    <row r="24" spans="1:6" x14ac:dyDescent="0.2">
      <c r="A24" s="100">
        <v>7</v>
      </c>
      <c r="B24" s="150">
        <v>0</v>
      </c>
      <c r="C24" s="150">
        <v>6.5500000000000003E-2</v>
      </c>
      <c r="D24" s="150">
        <v>5.8999999999999997E-2</v>
      </c>
      <c r="E24" s="150">
        <v>4.888E-2</v>
      </c>
      <c r="F24" s="152"/>
    </row>
    <row r="25" spans="1:6" x14ac:dyDescent="0.2">
      <c r="A25" s="100">
        <v>8</v>
      </c>
      <c r="B25" s="150">
        <v>0</v>
      </c>
      <c r="C25" s="150">
        <v>6.5500000000000003E-2</v>
      </c>
      <c r="D25" s="150">
        <v>5.8999999999999997E-2</v>
      </c>
      <c r="E25" s="150">
        <v>4.5220000000000003E-2</v>
      </c>
      <c r="F25" s="152"/>
    </row>
    <row r="26" spans="1:6" x14ac:dyDescent="0.2">
      <c r="A26" s="100">
        <v>9</v>
      </c>
      <c r="B26" s="150">
        <v>0</v>
      </c>
      <c r="C26" s="150">
        <v>6.5600000000000006E-2</v>
      </c>
      <c r="D26" s="150">
        <v>5.91E-2</v>
      </c>
      <c r="E26" s="150">
        <v>4.462E-2</v>
      </c>
      <c r="F26" s="152"/>
    </row>
    <row r="27" spans="1:6" x14ac:dyDescent="0.2">
      <c r="A27" s="100">
        <v>10</v>
      </c>
      <c r="B27" s="150">
        <v>0</v>
      </c>
      <c r="C27" s="150">
        <v>6.5500000000000003E-2</v>
      </c>
      <c r="D27" s="150">
        <v>5.8999999999999997E-2</v>
      </c>
      <c r="E27" s="150">
        <v>4.4609999999999997E-2</v>
      </c>
      <c r="F27" s="152"/>
    </row>
    <row r="28" spans="1:6" x14ac:dyDescent="0.2">
      <c r="A28" s="100">
        <v>11</v>
      </c>
      <c r="B28" s="150">
        <v>0</v>
      </c>
      <c r="C28" s="150">
        <v>3.2800000000000003E-2</v>
      </c>
      <c r="D28" s="150">
        <v>5.91E-2</v>
      </c>
      <c r="E28" s="150">
        <v>4.462E-2</v>
      </c>
      <c r="F28" s="152"/>
    </row>
    <row r="29" spans="1:6" x14ac:dyDescent="0.2">
      <c r="A29" s="100">
        <v>12</v>
      </c>
      <c r="B29" s="150">
        <v>0</v>
      </c>
      <c r="C29" s="150">
        <v>0</v>
      </c>
      <c r="D29" s="150">
        <v>5.8999999999999997E-2</v>
      </c>
      <c r="E29" s="150">
        <v>4.4609999999999997E-2</v>
      </c>
      <c r="F29" s="152"/>
    </row>
    <row r="30" spans="1:6" x14ac:dyDescent="0.2">
      <c r="A30" s="100">
        <v>13</v>
      </c>
      <c r="B30" s="150">
        <v>0</v>
      </c>
      <c r="C30" s="150">
        <v>0</v>
      </c>
      <c r="D30" s="150">
        <v>5.91E-2</v>
      </c>
      <c r="E30" s="150">
        <v>4.462E-2</v>
      </c>
      <c r="F30" s="152"/>
    </row>
    <row r="31" spans="1:6" x14ac:dyDescent="0.2">
      <c r="A31" s="100">
        <v>14</v>
      </c>
      <c r="B31" s="150">
        <v>0</v>
      </c>
      <c r="C31" s="150">
        <v>0</v>
      </c>
      <c r="D31" s="150">
        <v>5.8999999999999997E-2</v>
      </c>
      <c r="E31" s="150">
        <v>4.4609999999999997E-2</v>
      </c>
      <c r="F31" s="152"/>
    </row>
    <row r="32" spans="1:6" x14ac:dyDescent="0.2">
      <c r="A32" s="100">
        <v>15</v>
      </c>
      <c r="B32" s="150">
        <v>0</v>
      </c>
      <c r="C32" s="150">
        <v>0</v>
      </c>
      <c r="D32" s="150">
        <v>5.91E-2</v>
      </c>
      <c r="E32" s="150">
        <v>4.462E-2</v>
      </c>
      <c r="F32" s="152"/>
    </row>
    <row r="33" spans="1:6" x14ac:dyDescent="0.2">
      <c r="A33" s="100">
        <v>16</v>
      </c>
      <c r="B33" s="150">
        <v>0</v>
      </c>
      <c r="C33" s="150">
        <v>0</v>
      </c>
      <c r="D33" s="150">
        <v>2.9499999999999998E-2</v>
      </c>
      <c r="E33" s="150">
        <v>4.4609999999999997E-2</v>
      </c>
      <c r="F33" s="152"/>
    </row>
    <row r="34" spans="1:6" x14ac:dyDescent="0.2">
      <c r="A34" s="100">
        <v>17</v>
      </c>
      <c r="B34" s="150">
        <v>0</v>
      </c>
      <c r="C34" s="150">
        <v>0</v>
      </c>
      <c r="D34" s="150">
        <v>0</v>
      </c>
      <c r="E34" s="150">
        <v>4.462E-2</v>
      </c>
      <c r="F34" s="152"/>
    </row>
    <row r="35" spans="1:6" x14ac:dyDescent="0.2">
      <c r="A35" s="100">
        <v>18</v>
      </c>
      <c r="B35" s="150">
        <v>0</v>
      </c>
      <c r="C35" s="150">
        <v>0</v>
      </c>
      <c r="D35" s="150">
        <v>0</v>
      </c>
      <c r="E35" s="150">
        <v>4.4609999999999997E-2</v>
      </c>
      <c r="F35" s="152"/>
    </row>
    <row r="36" spans="1:6" x14ac:dyDescent="0.2">
      <c r="A36" s="100">
        <v>19</v>
      </c>
      <c r="B36" s="150">
        <v>0</v>
      </c>
      <c r="C36" s="150">
        <v>0</v>
      </c>
      <c r="D36" s="150">
        <v>0</v>
      </c>
      <c r="E36" s="150">
        <v>4.462E-2</v>
      </c>
      <c r="F36" s="152"/>
    </row>
    <row r="37" spans="1:6" x14ac:dyDescent="0.2">
      <c r="A37" s="100">
        <v>20</v>
      </c>
      <c r="B37" s="150">
        <v>0</v>
      </c>
      <c r="C37" s="150">
        <v>0</v>
      </c>
      <c r="D37" s="150">
        <v>0</v>
      </c>
      <c r="E37" s="150">
        <v>4.4609999999999997E-2</v>
      </c>
      <c r="F37" s="152"/>
    </row>
    <row r="38" spans="1:6" x14ac:dyDescent="0.2">
      <c r="A38" s="100">
        <v>21</v>
      </c>
      <c r="B38" s="150">
        <v>0</v>
      </c>
      <c r="C38" s="150">
        <v>0</v>
      </c>
      <c r="D38" s="150">
        <v>0</v>
      </c>
      <c r="E38" s="150">
        <v>2.231E-2</v>
      </c>
      <c r="F38" s="152"/>
    </row>
    <row r="39" spans="1:6" x14ac:dyDescent="0.2">
      <c r="A39" s="100">
        <v>22</v>
      </c>
      <c r="B39" s="150">
        <v>0</v>
      </c>
      <c r="C39" s="150">
        <v>0</v>
      </c>
      <c r="D39" s="150">
        <v>0</v>
      </c>
      <c r="E39" s="150">
        <v>0</v>
      </c>
    </row>
    <row r="40" spans="1:6" x14ac:dyDescent="0.2">
      <c r="A40" s="100">
        <v>23</v>
      </c>
      <c r="B40" s="150">
        <v>0</v>
      </c>
      <c r="C40" s="150">
        <v>0</v>
      </c>
      <c r="D40" s="150">
        <v>0</v>
      </c>
      <c r="E40" s="150">
        <v>0</v>
      </c>
    </row>
    <row r="41" spans="1:6" x14ac:dyDescent="0.2">
      <c r="A41" s="100">
        <v>24</v>
      </c>
      <c r="B41" s="150">
        <v>0</v>
      </c>
      <c r="C41" s="150">
        <v>0</v>
      </c>
      <c r="D41" s="150">
        <v>0</v>
      </c>
      <c r="E41" s="150">
        <v>0</v>
      </c>
    </row>
    <row r="42" spans="1:6" x14ac:dyDescent="0.2">
      <c r="A42" s="100">
        <v>25</v>
      </c>
      <c r="B42" s="150">
        <v>0</v>
      </c>
      <c r="C42" s="150">
        <v>0</v>
      </c>
      <c r="D42" s="150">
        <v>0</v>
      </c>
      <c r="E42" s="150">
        <v>0</v>
      </c>
    </row>
    <row r="43" spans="1:6" x14ac:dyDescent="0.2">
      <c r="A43" s="100">
        <v>26</v>
      </c>
      <c r="B43" s="150">
        <v>0</v>
      </c>
      <c r="C43" s="150">
        <v>0</v>
      </c>
      <c r="D43" s="150">
        <v>0</v>
      </c>
      <c r="E43" s="150">
        <v>0</v>
      </c>
    </row>
    <row r="44" spans="1:6" x14ac:dyDescent="0.2">
      <c r="A44" s="100">
        <v>27</v>
      </c>
      <c r="B44" s="150">
        <v>0</v>
      </c>
      <c r="C44" s="150">
        <v>0</v>
      </c>
      <c r="D44" s="150">
        <v>0</v>
      </c>
      <c r="E44" s="150">
        <v>0</v>
      </c>
    </row>
    <row r="45" spans="1:6" x14ac:dyDescent="0.2">
      <c r="A45" s="100">
        <v>28</v>
      </c>
      <c r="B45" s="150">
        <v>0</v>
      </c>
      <c r="C45" s="150">
        <v>0</v>
      </c>
      <c r="D45" s="150">
        <v>0</v>
      </c>
      <c r="E45" s="150">
        <v>0</v>
      </c>
    </row>
    <row r="46" spans="1:6" x14ac:dyDescent="0.2">
      <c r="A46" s="100">
        <v>29</v>
      </c>
      <c r="B46" s="150">
        <v>0</v>
      </c>
      <c r="C46" s="150">
        <v>0</v>
      </c>
      <c r="D46" s="150">
        <v>0</v>
      </c>
      <c r="E46" s="150">
        <v>0</v>
      </c>
    </row>
    <row r="47" spans="1:6" x14ac:dyDescent="0.2">
      <c r="A47" s="100">
        <v>30</v>
      </c>
      <c r="B47" s="150">
        <v>0</v>
      </c>
      <c r="C47" s="150">
        <v>0</v>
      </c>
      <c r="D47" s="150">
        <v>0</v>
      </c>
      <c r="E47" s="150">
        <v>0</v>
      </c>
    </row>
    <row r="48" spans="1:6" x14ac:dyDescent="0.2">
      <c r="A48" s="100">
        <v>31</v>
      </c>
      <c r="B48" s="150">
        <v>0</v>
      </c>
      <c r="C48" s="150">
        <v>0</v>
      </c>
      <c r="D48" s="150">
        <v>0</v>
      </c>
      <c r="E48" s="150">
        <v>0</v>
      </c>
    </row>
    <row r="49" spans="1:5" x14ac:dyDescent="0.2">
      <c r="A49" s="100">
        <v>31</v>
      </c>
      <c r="B49" s="150">
        <v>0</v>
      </c>
      <c r="C49" s="150">
        <v>0</v>
      </c>
      <c r="D49" s="150">
        <v>0</v>
      </c>
      <c r="E49" s="150">
        <v>0</v>
      </c>
    </row>
    <row r="51" spans="1:5" x14ac:dyDescent="0.2">
      <c r="B51" s="149"/>
    </row>
    <row r="53" spans="1:5" x14ac:dyDescent="0.2">
      <c r="B53" s="149"/>
    </row>
  </sheetData>
  <mergeCells count="1">
    <mergeCell ref="B15:E15"/>
  </mergeCells>
  <pageMargins left="0.75" right="0.75" top="1" bottom="1" header="0.5" footer="0.5"/>
  <pageSetup orientation="portrait" verticalDpi="12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T86"/>
  <sheetViews>
    <sheetView topLeftCell="A4" zoomScaleNormal="100" workbookViewId="0"/>
  </sheetViews>
  <sheetFormatPr defaultRowHeight="12.75" x14ac:dyDescent="0.2"/>
  <cols>
    <col min="1" max="1" width="9.140625" style="100"/>
    <col min="2" max="2" width="12.28515625" style="100" customWidth="1"/>
    <col min="3" max="3" width="13.5703125" style="100" customWidth="1"/>
    <col min="4" max="4" width="12.5703125" style="100" customWidth="1"/>
    <col min="5" max="5" width="13" style="100" customWidth="1"/>
    <col min="6" max="7" width="12.85546875" style="100" customWidth="1"/>
    <col min="8" max="8" width="14" style="100" customWidth="1"/>
    <col min="9" max="9" width="13.140625" style="100" customWidth="1"/>
    <col min="10" max="10" width="12.85546875" style="100" customWidth="1"/>
    <col min="11" max="11" width="12.140625" style="100" customWidth="1"/>
    <col min="12" max="12" width="12" style="100" hidden="1" customWidth="1"/>
    <col min="13" max="13" width="11" style="100" hidden="1" customWidth="1"/>
    <col min="14" max="14" width="11.85546875" style="100" customWidth="1"/>
    <col min="15" max="15" width="14.28515625" style="100" customWidth="1"/>
    <col min="16" max="16" width="12.28515625" style="100" customWidth="1"/>
    <col min="17" max="17" width="13.85546875" style="100" customWidth="1"/>
    <col min="18" max="18" width="15" style="100" customWidth="1"/>
    <col min="19" max="257" width="9.140625" style="100"/>
    <col min="258" max="258" width="12.28515625" style="100" customWidth="1"/>
    <col min="259" max="259" width="13.5703125" style="100" customWidth="1"/>
    <col min="260" max="260" width="12.5703125" style="100" customWidth="1"/>
    <col min="261" max="261" width="13" style="100" customWidth="1"/>
    <col min="262" max="263" width="12.85546875" style="100" customWidth="1"/>
    <col min="264" max="264" width="14" style="100" customWidth="1"/>
    <col min="265" max="265" width="13.140625" style="100" customWidth="1"/>
    <col min="266" max="266" width="12.85546875" style="100" customWidth="1"/>
    <col min="267" max="267" width="12.140625" style="100" customWidth="1"/>
    <col min="268" max="269" width="0" style="100" hidden="1" customWidth="1"/>
    <col min="270" max="270" width="11.85546875" style="100" customWidth="1"/>
    <col min="271" max="271" width="14.28515625" style="100" customWidth="1"/>
    <col min="272" max="272" width="12.28515625" style="100" customWidth="1"/>
    <col min="273" max="273" width="13.85546875" style="100" customWidth="1"/>
    <col min="274" max="274" width="15" style="100" customWidth="1"/>
    <col min="275" max="513" width="9.140625" style="100"/>
    <col min="514" max="514" width="12.28515625" style="100" customWidth="1"/>
    <col min="515" max="515" width="13.5703125" style="100" customWidth="1"/>
    <col min="516" max="516" width="12.5703125" style="100" customWidth="1"/>
    <col min="517" max="517" width="13" style="100" customWidth="1"/>
    <col min="518" max="519" width="12.85546875" style="100" customWidth="1"/>
    <col min="520" max="520" width="14" style="100" customWidth="1"/>
    <col min="521" max="521" width="13.140625" style="100" customWidth="1"/>
    <col min="522" max="522" width="12.85546875" style="100" customWidth="1"/>
    <col min="523" max="523" width="12.140625" style="100" customWidth="1"/>
    <col min="524" max="525" width="0" style="100" hidden="1" customWidth="1"/>
    <col min="526" max="526" width="11.85546875" style="100" customWidth="1"/>
    <col min="527" max="527" width="14.28515625" style="100" customWidth="1"/>
    <col min="528" max="528" width="12.28515625" style="100" customWidth="1"/>
    <col min="529" max="529" width="13.85546875" style="100" customWidth="1"/>
    <col min="530" max="530" width="15" style="100" customWidth="1"/>
    <col min="531" max="769" width="9.140625" style="100"/>
    <col min="770" max="770" width="12.28515625" style="100" customWidth="1"/>
    <col min="771" max="771" width="13.5703125" style="100" customWidth="1"/>
    <col min="772" max="772" width="12.5703125" style="100" customWidth="1"/>
    <col min="773" max="773" width="13" style="100" customWidth="1"/>
    <col min="774" max="775" width="12.85546875" style="100" customWidth="1"/>
    <col min="776" max="776" width="14" style="100" customWidth="1"/>
    <col min="777" max="777" width="13.140625" style="100" customWidth="1"/>
    <col min="778" max="778" width="12.85546875" style="100" customWidth="1"/>
    <col min="779" max="779" width="12.140625" style="100" customWidth="1"/>
    <col min="780" max="781" width="0" style="100" hidden="1" customWidth="1"/>
    <col min="782" max="782" width="11.85546875" style="100" customWidth="1"/>
    <col min="783" max="783" width="14.28515625" style="100" customWidth="1"/>
    <col min="784" max="784" width="12.28515625" style="100" customWidth="1"/>
    <col min="785" max="785" width="13.85546875" style="100" customWidth="1"/>
    <col min="786" max="786" width="15" style="100" customWidth="1"/>
    <col min="787" max="1025" width="9.140625" style="100"/>
    <col min="1026" max="1026" width="12.28515625" style="100" customWidth="1"/>
    <col min="1027" max="1027" width="13.5703125" style="100" customWidth="1"/>
    <col min="1028" max="1028" width="12.5703125" style="100" customWidth="1"/>
    <col min="1029" max="1029" width="13" style="100" customWidth="1"/>
    <col min="1030" max="1031" width="12.85546875" style="100" customWidth="1"/>
    <col min="1032" max="1032" width="14" style="100" customWidth="1"/>
    <col min="1033" max="1033" width="13.140625" style="100" customWidth="1"/>
    <col min="1034" max="1034" width="12.85546875" style="100" customWidth="1"/>
    <col min="1035" max="1035" width="12.140625" style="100" customWidth="1"/>
    <col min="1036" max="1037" width="0" style="100" hidden="1" customWidth="1"/>
    <col min="1038" max="1038" width="11.85546875" style="100" customWidth="1"/>
    <col min="1039" max="1039" width="14.28515625" style="100" customWidth="1"/>
    <col min="1040" max="1040" width="12.28515625" style="100" customWidth="1"/>
    <col min="1041" max="1041" width="13.85546875" style="100" customWidth="1"/>
    <col min="1042" max="1042" width="15" style="100" customWidth="1"/>
    <col min="1043" max="1281" width="9.140625" style="100"/>
    <col min="1282" max="1282" width="12.28515625" style="100" customWidth="1"/>
    <col min="1283" max="1283" width="13.5703125" style="100" customWidth="1"/>
    <col min="1284" max="1284" width="12.5703125" style="100" customWidth="1"/>
    <col min="1285" max="1285" width="13" style="100" customWidth="1"/>
    <col min="1286" max="1287" width="12.85546875" style="100" customWidth="1"/>
    <col min="1288" max="1288" width="14" style="100" customWidth="1"/>
    <col min="1289" max="1289" width="13.140625" style="100" customWidth="1"/>
    <col min="1290" max="1290" width="12.85546875" style="100" customWidth="1"/>
    <col min="1291" max="1291" width="12.140625" style="100" customWidth="1"/>
    <col min="1292" max="1293" width="0" style="100" hidden="1" customWidth="1"/>
    <col min="1294" max="1294" width="11.85546875" style="100" customWidth="1"/>
    <col min="1295" max="1295" width="14.28515625" style="100" customWidth="1"/>
    <col min="1296" max="1296" width="12.28515625" style="100" customWidth="1"/>
    <col min="1297" max="1297" width="13.85546875" style="100" customWidth="1"/>
    <col min="1298" max="1298" width="15" style="100" customWidth="1"/>
    <col min="1299" max="1537" width="9.140625" style="100"/>
    <col min="1538" max="1538" width="12.28515625" style="100" customWidth="1"/>
    <col min="1539" max="1539" width="13.5703125" style="100" customWidth="1"/>
    <col min="1540" max="1540" width="12.5703125" style="100" customWidth="1"/>
    <col min="1541" max="1541" width="13" style="100" customWidth="1"/>
    <col min="1542" max="1543" width="12.85546875" style="100" customWidth="1"/>
    <col min="1544" max="1544" width="14" style="100" customWidth="1"/>
    <col min="1545" max="1545" width="13.140625" style="100" customWidth="1"/>
    <col min="1546" max="1546" width="12.85546875" style="100" customWidth="1"/>
    <col min="1547" max="1547" width="12.140625" style="100" customWidth="1"/>
    <col min="1548" max="1549" width="0" style="100" hidden="1" customWidth="1"/>
    <col min="1550" max="1550" width="11.85546875" style="100" customWidth="1"/>
    <col min="1551" max="1551" width="14.28515625" style="100" customWidth="1"/>
    <col min="1552" max="1552" width="12.28515625" style="100" customWidth="1"/>
    <col min="1553" max="1553" width="13.85546875" style="100" customWidth="1"/>
    <col min="1554" max="1554" width="15" style="100" customWidth="1"/>
    <col min="1555" max="1793" width="9.140625" style="100"/>
    <col min="1794" max="1794" width="12.28515625" style="100" customWidth="1"/>
    <col min="1795" max="1795" width="13.5703125" style="100" customWidth="1"/>
    <col min="1796" max="1796" width="12.5703125" style="100" customWidth="1"/>
    <col min="1797" max="1797" width="13" style="100" customWidth="1"/>
    <col min="1798" max="1799" width="12.85546875" style="100" customWidth="1"/>
    <col min="1800" max="1800" width="14" style="100" customWidth="1"/>
    <col min="1801" max="1801" width="13.140625" style="100" customWidth="1"/>
    <col min="1802" max="1802" width="12.85546875" style="100" customWidth="1"/>
    <col min="1803" max="1803" width="12.140625" style="100" customWidth="1"/>
    <col min="1804" max="1805" width="0" style="100" hidden="1" customWidth="1"/>
    <col min="1806" max="1806" width="11.85546875" style="100" customWidth="1"/>
    <col min="1807" max="1807" width="14.28515625" style="100" customWidth="1"/>
    <col min="1808" max="1808" width="12.28515625" style="100" customWidth="1"/>
    <col min="1809" max="1809" width="13.85546875" style="100" customWidth="1"/>
    <col min="1810" max="1810" width="15" style="100" customWidth="1"/>
    <col min="1811" max="2049" width="9.140625" style="100"/>
    <col min="2050" max="2050" width="12.28515625" style="100" customWidth="1"/>
    <col min="2051" max="2051" width="13.5703125" style="100" customWidth="1"/>
    <col min="2052" max="2052" width="12.5703125" style="100" customWidth="1"/>
    <col min="2053" max="2053" width="13" style="100" customWidth="1"/>
    <col min="2054" max="2055" width="12.85546875" style="100" customWidth="1"/>
    <col min="2056" max="2056" width="14" style="100" customWidth="1"/>
    <col min="2057" max="2057" width="13.140625" style="100" customWidth="1"/>
    <col min="2058" max="2058" width="12.85546875" style="100" customWidth="1"/>
    <col min="2059" max="2059" width="12.140625" style="100" customWidth="1"/>
    <col min="2060" max="2061" width="0" style="100" hidden="1" customWidth="1"/>
    <col min="2062" max="2062" width="11.85546875" style="100" customWidth="1"/>
    <col min="2063" max="2063" width="14.28515625" style="100" customWidth="1"/>
    <col min="2064" max="2064" width="12.28515625" style="100" customWidth="1"/>
    <col min="2065" max="2065" width="13.85546875" style="100" customWidth="1"/>
    <col min="2066" max="2066" width="15" style="100" customWidth="1"/>
    <col min="2067" max="2305" width="9.140625" style="100"/>
    <col min="2306" max="2306" width="12.28515625" style="100" customWidth="1"/>
    <col min="2307" max="2307" width="13.5703125" style="100" customWidth="1"/>
    <col min="2308" max="2308" width="12.5703125" style="100" customWidth="1"/>
    <col min="2309" max="2309" width="13" style="100" customWidth="1"/>
    <col min="2310" max="2311" width="12.85546875" style="100" customWidth="1"/>
    <col min="2312" max="2312" width="14" style="100" customWidth="1"/>
    <col min="2313" max="2313" width="13.140625" style="100" customWidth="1"/>
    <col min="2314" max="2314" width="12.85546875" style="100" customWidth="1"/>
    <col min="2315" max="2315" width="12.140625" style="100" customWidth="1"/>
    <col min="2316" max="2317" width="0" style="100" hidden="1" customWidth="1"/>
    <col min="2318" max="2318" width="11.85546875" style="100" customWidth="1"/>
    <col min="2319" max="2319" width="14.28515625" style="100" customWidth="1"/>
    <col min="2320" max="2320" width="12.28515625" style="100" customWidth="1"/>
    <col min="2321" max="2321" width="13.85546875" style="100" customWidth="1"/>
    <col min="2322" max="2322" width="15" style="100" customWidth="1"/>
    <col min="2323" max="2561" width="9.140625" style="100"/>
    <col min="2562" max="2562" width="12.28515625" style="100" customWidth="1"/>
    <col min="2563" max="2563" width="13.5703125" style="100" customWidth="1"/>
    <col min="2564" max="2564" width="12.5703125" style="100" customWidth="1"/>
    <col min="2565" max="2565" width="13" style="100" customWidth="1"/>
    <col min="2566" max="2567" width="12.85546875" style="100" customWidth="1"/>
    <col min="2568" max="2568" width="14" style="100" customWidth="1"/>
    <col min="2569" max="2569" width="13.140625" style="100" customWidth="1"/>
    <col min="2570" max="2570" width="12.85546875" style="100" customWidth="1"/>
    <col min="2571" max="2571" width="12.140625" style="100" customWidth="1"/>
    <col min="2572" max="2573" width="0" style="100" hidden="1" customWidth="1"/>
    <col min="2574" max="2574" width="11.85546875" style="100" customWidth="1"/>
    <col min="2575" max="2575" width="14.28515625" style="100" customWidth="1"/>
    <col min="2576" max="2576" width="12.28515625" style="100" customWidth="1"/>
    <col min="2577" max="2577" width="13.85546875" style="100" customWidth="1"/>
    <col min="2578" max="2578" width="15" style="100" customWidth="1"/>
    <col min="2579" max="2817" width="9.140625" style="100"/>
    <col min="2818" max="2818" width="12.28515625" style="100" customWidth="1"/>
    <col min="2819" max="2819" width="13.5703125" style="100" customWidth="1"/>
    <col min="2820" max="2820" width="12.5703125" style="100" customWidth="1"/>
    <col min="2821" max="2821" width="13" style="100" customWidth="1"/>
    <col min="2822" max="2823" width="12.85546875" style="100" customWidth="1"/>
    <col min="2824" max="2824" width="14" style="100" customWidth="1"/>
    <col min="2825" max="2825" width="13.140625" style="100" customWidth="1"/>
    <col min="2826" max="2826" width="12.85546875" style="100" customWidth="1"/>
    <col min="2827" max="2827" width="12.140625" style="100" customWidth="1"/>
    <col min="2828" max="2829" width="0" style="100" hidden="1" customWidth="1"/>
    <col min="2830" max="2830" width="11.85546875" style="100" customWidth="1"/>
    <col min="2831" max="2831" width="14.28515625" style="100" customWidth="1"/>
    <col min="2832" max="2832" width="12.28515625" style="100" customWidth="1"/>
    <col min="2833" max="2833" width="13.85546875" style="100" customWidth="1"/>
    <col min="2834" max="2834" width="15" style="100" customWidth="1"/>
    <col min="2835" max="3073" width="9.140625" style="100"/>
    <col min="3074" max="3074" width="12.28515625" style="100" customWidth="1"/>
    <col min="3075" max="3075" width="13.5703125" style="100" customWidth="1"/>
    <col min="3076" max="3076" width="12.5703125" style="100" customWidth="1"/>
    <col min="3077" max="3077" width="13" style="100" customWidth="1"/>
    <col min="3078" max="3079" width="12.85546875" style="100" customWidth="1"/>
    <col min="3080" max="3080" width="14" style="100" customWidth="1"/>
    <col min="3081" max="3081" width="13.140625" style="100" customWidth="1"/>
    <col min="3082" max="3082" width="12.85546875" style="100" customWidth="1"/>
    <col min="3083" max="3083" width="12.140625" style="100" customWidth="1"/>
    <col min="3084" max="3085" width="0" style="100" hidden="1" customWidth="1"/>
    <col min="3086" max="3086" width="11.85546875" style="100" customWidth="1"/>
    <col min="3087" max="3087" width="14.28515625" style="100" customWidth="1"/>
    <col min="3088" max="3088" width="12.28515625" style="100" customWidth="1"/>
    <col min="3089" max="3089" width="13.85546875" style="100" customWidth="1"/>
    <col min="3090" max="3090" width="15" style="100" customWidth="1"/>
    <col min="3091" max="3329" width="9.140625" style="100"/>
    <col min="3330" max="3330" width="12.28515625" style="100" customWidth="1"/>
    <col min="3331" max="3331" width="13.5703125" style="100" customWidth="1"/>
    <col min="3332" max="3332" width="12.5703125" style="100" customWidth="1"/>
    <col min="3333" max="3333" width="13" style="100" customWidth="1"/>
    <col min="3334" max="3335" width="12.85546875" style="100" customWidth="1"/>
    <col min="3336" max="3336" width="14" style="100" customWidth="1"/>
    <col min="3337" max="3337" width="13.140625" style="100" customWidth="1"/>
    <col min="3338" max="3338" width="12.85546875" style="100" customWidth="1"/>
    <col min="3339" max="3339" width="12.140625" style="100" customWidth="1"/>
    <col min="3340" max="3341" width="0" style="100" hidden="1" customWidth="1"/>
    <col min="3342" max="3342" width="11.85546875" style="100" customWidth="1"/>
    <col min="3343" max="3343" width="14.28515625" style="100" customWidth="1"/>
    <col min="3344" max="3344" width="12.28515625" style="100" customWidth="1"/>
    <col min="3345" max="3345" width="13.85546875" style="100" customWidth="1"/>
    <col min="3346" max="3346" width="15" style="100" customWidth="1"/>
    <col min="3347" max="3585" width="9.140625" style="100"/>
    <col min="3586" max="3586" width="12.28515625" style="100" customWidth="1"/>
    <col min="3587" max="3587" width="13.5703125" style="100" customWidth="1"/>
    <col min="3588" max="3588" width="12.5703125" style="100" customWidth="1"/>
    <col min="3589" max="3589" width="13" style="100" customWidth="1"/>
    <col min="3590" max="3591" width="12.85546875" style="100" customWidth="1"/>
    <col min="3592" max="3592" width="14" style="100" customWidth="1"/>
    <col min="3593" max="3593" width="13.140625" style="100" customWidth="1"/>
    <col min="3594" max="3594" width="12.85546875" style="100" customWidth="1"/>
    <col min="3595" max="3595" width="12.140625" style="100" customWidth="1"/>
    <col min="3596" max="3597" width="0" style="100" hidden="1" customWidth="1"/>
    <col min="3598" max="3598" width="11.85546875" style="100" customWidth="1"/>
    <col min="3599" max="3599" width="14.28515625" style="100" customWidth="1"/>
    <col min="3600" max="3600" width="12.28515625" style="100" customWidth="1"/>
    <col min="3601" max="3601" width="13.85546875" style="100" customWidth="1"/>
    <col min="3602" max="3602" width="15" style="100" customWidth="1"/>
    <col min="3603" max="3841" width="9.140625" style="100"/>
    <col min="3842" max="3842" width="12.28515625" style="100" customWidth="1"/>
    <col min="3843" max="3843" width="13.5703125" style="100" customWidth="1"/>
    <col min="3844" max="3844" width="12.5703125" style="100" customWidth="1"/>
    <col min="3845" max="3845" width="13" style="100" customWidth="1"/>
    <col min="3846" max="3847" width="12.85546875" style="100" customWidth="1"/>
    <col min="3848" max="3848" width="14" style="100" customWidth="1"/>
    <col min="3849" max="3849" width="13.140625" style="100" customWidth="1"/>
    <col min="3850" max="3850" width="12.85546875" style="100" customWidth="1"/>
    <col min="3851" max="3851" width="12.140625" style="100" customWidth="1"/>
    <col min="3852" max="3853" width="0" style="100" hidden="1" customWidth="1"/>
    <col min="3854" max="3854" width="11.85546875" style="100" customWidth="1"/>
    <col min="3855" max="3855" width="14.28515625" style="100" customWidth="1"/>
    <col min="3856" max="3856" width="12.28515625" style="100" customWidth="1"/>
    <col min="3857" max="3857" width="13.85546875" style="100" customWidth="1"/>
    <col min="3858" max="3858" width="15" style="100" customWidth="1"/>
    <col min="3859" max="4097" width="9.140625" style="100"/>
    <col min="4098" max="4098" width="12.28515625" style="100" customWidth="1"/>
    <col min="4099" max="4099" width="13.5703125" style="100" customWidth="1"/>
    <col min="4100" max="4100" width="12.5703125" style="100" customWidth="1"/>
    <col min="4101" max="4101" width="13" style="100" customWidth="1"/>
    <col min="4102" max="4103" width="12.85546875" style="100" customWidth="1"/>
    <col min="4104" max="4104" width="14" style="100" customWidth="1"/>
    <col min="4105" max="4105" width="13.140625" style="100" customWidth="1"/>
    <col min="4106" max="4106" width="12.85546875" style="100" customWidth="1"/>
    <col min="4107" max="4107" width="12.140625" style="100" customWidth="1"/>
    <col min="4108" max="4109" width="0" style="100" hidden="1" customWidth="1"/>
    <col min="4110" max="4110" width="11.85546875" style="100" customWidth="1"/>
    <col min="4111" max="4111" width="14.28515625" style="100" customWidth="1"/>
    <col min="4112" max="4112" width="12.28515625" style="100" customWidth="1"/>
    <col min="4113" max="4113" width="13.85546875" style="100" customWidth="1"/>
    <col min="4114" max="4114" width="15" style="100" customWidth="1"/>
    <col min="4115" max="4353" width="9.140625" style="100"/>
    <col min="4354" max="4354" width="12.28515625" style="100" customWidth="1"/>
    <col min="4355" max="4355" width="13.5703125" style="100" customWidth="1"/>
    <col min="4356" max="4356" width="12.5703125" style="100" customWidth="1"/>
    <col min="4357" max="4357" width="13" style="100" customWidth="1"/>
    <col min="4358" max="4359" width="12.85546875" style="100" customWidth="1"/>
    <col min="4360" max="4360" width="14" style="100" customWidth="1"/>
    <col min="4361" max="4361" width="13.140625" style="100" customWidth="1"/>
    <col min="4362" max="4362" width="12.85546875" style="100" customWidth="1"/>
    <col min="4363" max="4363" width="12.140625" style="100" customWidth="1"/>
    <col min="4364" max="4365" width="0" style="100" hidden="1" customWidth="1"/>
    <col min="4366" max="4366" width="11.85546875" style="100" customWidth="1"/>
    <col min="4367" max="4367" width="14.28515625" style="100" customWidth="1"/>
    <col min="4368" max="4368" width="12.28515625" style="100" customWidth="1"/>
    <col min="4369" max="4369" width="13.85546875" style="100" customWidth="1"/>
    <col min="4370" max="4370" width="15" style="100" customWidth="1"/>
    <col min="4371" max="4609" width="9.140625" style="100"/>
    <col min="4610" max="4610" width="12.28515625" style="100" customWidth="1"/>
    <col min="4611" max="4611" width="13.5703125" style="100" customWidth="1"/>
    <col min="4612" max="4612" width="12.5703125" style="100" customWidth="1"/>
    <col min="4613" max="4613" width="13" style="100" customWidth="1"/>
    <col min="4614" max="4615" width="12.85546875" style="100" customWidth="1"/>
    <col min="4616" max="4616" width="14" style="100" customWidth="1"/>
    <col min="4617" max="4617" width="13.140625" style="100" customWidth="1"/>
    <col min="4618" max="4618" width="12.85546875" style="100" customWidth="1"/>
    <col min="4619" max="4619" width="12.140625" style="100" customWidth="1"/>
    <col min="4620" max="4621" width="0" style="100" hidden="1" customWidth="1"/>
    <col min="4622" max="4622" width="11.85546875" style="100" customWidth="1"/>
    <col min="4623" max="4623" width="14.28515625" style="100" customWidth="1"/>
    <col min="4624" max="4624" width="12.28515625" style="100" customWidth="1"/>
    <col min="4625" max="4625" width="13.85546875" style="100" customWidth="1"/>
    <col min="4626" max="4626" width="15" style="100" customWidth="1"/>
    <col min="4627" max="4865" width="9.140625" style="100"/>
    <col min="4866" max="4866" width="12.28515625" style="100" customWidth="1"/>
    <col min="4867" max="4867" width="13.5703125" style="100" customWidth="1"/>
    <col min="4868" max="4868" width="12.5703125" style="100" customWidth="1"/>
    <col min="4869" max="4869" width="13" style="100" customWidth="1"/>
    <col min="4870" max="4871" width="12.85546875" style="100" customWidth="1"/>
    <col min="4872" max="4872" width="14" style="100" customWidth="1"/>
    <col min="4873" max="4873" width="13.140625" style="100" customWidth="1"/>
    <col min="4874" max="4874" width="12.85546875" style="100" customWidth="1"/>
    <col min="4875" max="4875" width="12.140625" style="100" customWidth="1"/>
    <col min="4876" max="4877" width="0" style="100" hidden="1" customWidth="1"/>
    <col min="4878" max="4878" width="11.85546875" style="100" customWidth="1"/>
    <col min="4879" max="4879" width="14.28515625" style="100" customWidth="1"/>
    <col min="4880" max="4880" width="12.28515625" style="100" customWidth="1"/>
    <col min="4881" max="4881" width="13.85546875" style="100" customWidth="1"/>
    <col min="4882" max="4882" width="15" style="100" customWidth="1"/>
    <col min="4883" max="5121" width="9.140625" style="100"/>
    <col min="5122" max="5122" width="12.28515625" style="100" customWidth="1"/>
    <col min="5123" max="5123" width="13.5703125" style="100" customWidth="1"/>
    <col min="5124" max="5124" width="12.5703125" style="100" customWidth="1"/>
    <col min="5125" max="5125" width="13" style="100" customWidth="1"/>
    <col min="5126" max="5127" width="12.85546875" style="100" customWidth="1"/>
    <col min="5128" max="5128" width="14" style="100" customWidth="1"/>
    <col min="5129" max="5129" width="13.140625" style="100" customWidth="1"/>
    <col min="5130" max="5130" width="12.85546875" style="100" customWidth="1"/>
    <col min="5131" max="5131" width="12.140625" style="100" customWidth="1"/>
    <col min="5132" max="5133" width="0" style="100" hidden="1" customWidth="1"/>
    <col min="5134" max="5134" width="11.85546875" style="100" customWidth="1"/>
    <col min="5135" max="5135" width="14.28515625" style="100" customWidth="1"/>
    <col min="5136" max="5136" width="12.28515625" style="100" customWidth="1"/>
    <col min="5137" max="5137" width="13.85546875" style="100" customWidth="1"/>
    <col min="5138" max="5138" width="15" style="100" customWidth="1"/>
    <col min="5139" max="5377" width="9.140625" style="100"/>
    <col min="5378" max="5378" width="12.28515625" style="100" customWidth="1"/>
    <col min="5379" max="5379" width="13.5703125" style="100" customWidth="1"/>
    <col min="5380" max="5380" width="12.5703125" style="100" customWidth="1"/>
    <col min="5381" max="5381" width="13" style="100" customWidth="1"/>
    <col min="5382" max="5383" width="12.85546875" style="100" customWidth="1"/>
    <col min="5384" max="5384" width="14" style="100" customWidth="1"/>
    <col min="5385" max="5385" width="13.140625" style="100" customWidth="1"/>
    <col min="5386" max="5386" width="12.85546875" style="100" customWidth="1"/>
    <col min="5387" max="5387" width="12.140625" style="100" customWidth="1"/>
    <col min="5388" max="5389" width="0" style="100" hidden="1" customWidth="1"/>
    <col min="5390" max="5390" width="11.85546875" style="100" customWidth="1"/>
    <col min="5391" max="5391" width="14.28515625" style="100" customWidth="1"/>
    <col min="5392" max="5392" width="12.28515625" style="100" customWidth="1"/>
    <col min="5393" max="5393" width="13.85546875" style="100" customWidth="1"/>
    <col min="5394" max="5394" width="15" style="100" customWidth="1"/>
    <col min="5395" max="5633" width="9.140625" style="100"/>
    <col min="5634" max="5634" width="12.28515625" style="100" customWidth="1"/>
    <col min="5635" max="5635" width="13.5703125" style="100" customWidth="1"/>
    <col min="5636" max="5636" width="12.5703125" style="100" customWidth="1"/>
    <col min="5637" max="5637" width="13" style="100" customWidth="1"/>
    <col min="5638" max="5639" width="12.85546875" style="100" customWidth="1"/>
    <col min="5640" max="5640" width="14" style="100" customWidth="1"/>
    <col min="5641" max="5641" width="13.140625" style="100" customWidth="1"/>
    <col min="5642" max="5642" width="12.85546875" style="100" customWidth="1"/>
    <col min="5643" max="5643" width="12.140625" style="100" customWidth="1"/>
    <col min="5644" max="5645" width="0" style="100" hidden="1" customWidth="1"/>
    <col min="5646" max="5646" width="11.85546875" style="100" customWidth="1"/>
    <col min="5647" max="5647" width="14.28515625" style="100" customWidth="1"/>
    <col min="5648" max="5648" width="12.28515625" style="100" customWidth="1"/>
    <col min="5649" max="5649" width="13.85546875" style="100" customWidth="1"/>
    <col min="5650" max="5650" width="15" style="100" customWidth="1"/>
    <col min="5651" max="5889" width="9.140625" style="100"/>
    <col min="5890" max="5890" width="12.28515625" style="100" customWidth="1"/>
    <col min="5891" max="5891" width="13.5703125" style="100" customWidth="1"/>
    <col min="5892" max="5892" width="12.5703125" style="100" customWidth="1"/>
    <col min="5893" max="5893" width="13" style="100" customWidth="1"/>
    <col min="5894" max="5895" width="12.85546875" style="100" customWidth="1"/>
    <col min="5896" max="5896" width="14" style="100" customWidth="1"/>
    <col min="5897" max="5897" width="13.140625" style="100" customWidth="1"/>
    <col min="5898" max="5898" width="12.85546875" style="100" customWidth="1"/>
    <col min="5899" max="5899" width="12.140625" style="100" customWidth="1"/>
    <col min="5900" max="5901" width="0" style="100" hidden="1" customWidth="1"/>
    <col min="5902" max="5902" width="11.85546875" style="100" customWidth="1"/>
    <col min="5903" max="5903" width="14.28515625" style="100" customWidth="1"/>
    <col min="5904" max="5904" width="12.28515625" style="100" customWidth="1"/>
    <col min="5905" max="5905" width="13.85546875" style="100" customWidth="1"/>
    <col min="5906" max="5906" width="15" style="100" customWidth="1"/>
    <col min="5907" max="6145" width="9.140625" style="100"/>
    <col min="6146" max="6146" width="12.28515625" style="100" customWidth="1"/>
    <col min="6147" max="6147" width="13.5703125" style="100" customWidth="1"/>
    <col min="6148" max="6148" width="12.5703125" style="100" customWidth="1"/>
    <col min="6149" max="6149" width="13" style="100" customWidth="1"/>
    <col min="6150" max="6151" width="12.85546875" style="100" customWidth="1"/>
    <col min="6152" max="6152" width="14" style="100" customWidth="1"/>
    <col min="6153" max="6153" width="13.140625" style="100" customWidth="1"/>
    <col min="6154" max="6154" width="12.85546875" style="100" customWidth="1"/>
    <col min="6155" max="6155" width="12.140625" style="100" customWidth="1"/>
    <col min="6156" max="6157" width="0" style="100" hidden="1" customWidth="1"/>
    <col min="6158" max="6158" width="11.85546875" style="100" customWidth="1"/>
    <col min="6159" max="6159" width="14.28515625" style="100" customWidth="1"/>
    <col min="6160" max="6160" width="12.28515625" style="100" customWidth="1"/>
    <col min="6161" max="6161" width="13.85546875" style="100" customWidth="1"/>
    <col min="6162" max="6162" width="15" style="100" customWidth="1"/>
    <col min="6163" max="6401" width="9.140625" style="100"/>
    <col min="6402" max="6402" width="12.28515625" style="100" customWidth="1"/>
    <col min="6403" max="6403" width="13.5703125" style="100" customWidth="1"/>
    <col min="6404" max="6404" width="12.5703125" style="100" customWidth="1"/>
    <col min="6405" max="6405" width="13" style="100" customWidth="1"/>
    <col min="6406" max="6407" width="12.85546875" style="100" customWidth="1"/>
    <col min="6408" max="6408" width="14" style="100" customWidth="1"/>
    <col min="6409" max="6409" width="13.140625" style="100" customWidth="1"/>
    <col min="6410" max="6410" width="12.85546875" style="100" customWidth="1"/>
    <col min="6411" max="6411" width="12.140625" style="100" customWidth="1"/>
    <col min="6412" max="6413" width="0" style="100" hidden="1" customWidth="1"/>
    <col min="6414" max="6414" width="11.85546875" style="100" customWidth="1"/>
    <col min="6415" max="6415" width="14.28515625" style="100" customWidth="1"/>
    <col min="6416" max="6416" width="12.28515625" style="100" customWidth="1"/>
    <col min="6417" max="6417" width="13.85546875" style="100" customWidth="1"/>
    <col min="6418" max="6418" width="15" style="100" customWidth="1"/>
    <col min="6419" max="6657" width="9.140625" style="100"/>
    <col min="6658" max="6658" width="12.28515625" style="100" customWidth="1"/>
    <col min="6659" max="6659" width="13.5703125" style="100" customWidth="1"/>
    <col min="6660" max="6660" width="12.5703125" style="100" customWidth="1"/>
    <col min="6661" max="6661" width="13" style="100" customWidth="1"/>
    <col min="6662" max="6663" width="12.85546875" style="100" customWidth="1"/>
    <col min="6664" max="6664" width="14" style="100" customWidth="1"/>
    <col min="6665" max="6665" width="13.140625" style="100" customWidth="1"/>
    <col min="6666" max="6666" width="12.85546875" style="100" customWidth="1"/>
    <col min="6667" max="6667" width="12.140625" style="100" customWidth="1"/>
    <col min="6668" max="6669" width="0" style="100" hidden="1" customWidth="1"/>
    <col min="6670" max="6670" width="11.85546875" style="100" customWidth="1"/>
    <col min="6671" max="6671" width="14.28515625" style="100" customWidth="1"/>
    <col min="6672" max="6672" width="12.28515625" style="100" customWidth="1"/>
    <col min="6673" max="6673" width="13.85546875" style="100" customWidth="1"/>
    <col min="6674" max="6674" width="15" style="100" customWidth="1"/>
    <col min="6675" max="6913" width="9.140625" style="100"/>
    <col min="6914" max="6914" width="12.28515625" style="100" customWidth="1"/>
    <col min="6915" max="6915" width="13.5703125" style="100" customWidth="1"/>
    <col min="6916" max="6916" width="12.5703125" style="100" customWidth="1"/>
    <col min="6917" max="6917" width="13" style="100" customWidth="1"/>
    <col min="6918" max="6919" width="12.85546875" style="100" customWidth="1"/>
    <col min="6920" max="6920" width="14" style="100" customWidth="1"/>
    <col min="6921" max="6921" width="13.140625" style="100" customWidth="1"/>
    <col min="6922" max="6922" width="12.85546875" style="100" customWidth="1"/>
    <col min="6923" max="6923" width="12.140625" style="100" customWidth="1"/>
    <col min="6924" max="6925" width="0" style="100" hidden="1" customWidth="1"/>
    <col min="6926" max="6926" width="11.85546875" style="100" customWidth="1"/>
    <col min="6927" max="6927" width="14.28515625" style="100" customWidth="1"/>
    <col min="6928" max="6928" width="12.28515625" style="100" customWidth="1"/>
    <col min="6929" max="6929" width="13.85546875" style="100" customWidth="1"/>
    <col min="6930" max="6930" width="15" style="100" customWidth="1"/>
    <col min="6931" max="7169" width="9.140625" style="100"/>
    <col min="7170" max="7170" width="12.28515625" style="100" customWidth="1"/>
    <col min="7171" max="7171" width="13.5703125" style="100" customWidth="1"/>
    <col min="7172" max="7172" width="12.5703125" style="100" customWidth="1"/>
    <col min="7173" max="7173" width="13" style="100" customWidth="1"/>
    <col min="7174" max="7175" width="12.85546875" style="100" customWidth="1"/>
    <col min="7176" max="7176" width="14" style="100" customWidth="1"/>
    <col min="7177" max="7177" width="13.140625" style="100" customWidth="1"/>
    <col min="7178" max="7178" width="12.85546875" style="100" customWidth="1"/>
    <col min="7179" max="7179" width="12.140625" style="100" customWidth="1"/>
    <col min="7180" max="7181" width="0" style="100" hidden="1" customWidth="1"/>
    <col min="7182" max="7182" width="11.85546875" style="100" customWidth="1"/>
    <col min="7183" max="7183" width="14.28515625" style="100" customWidth="1"/>
    <col min="7184" max="7184" width="12.28515625" style="100" customWidth="1"/>
    <col min="7185" max="7185" width="13.85546875" style="100" customWidth="1"/>
    <col min="7186" max="7186" width="15" style="100" customWidth="1"/>
    <col min="7187" max="7425" width="9.140625" style="100"/>
    <col min="7426" max="7426" width="12.28515625" style="100" customWidth="1"/>
    <col min="7427" max="7427" width="13.5703125" style="100" customWidth="1"/>
    <col min="7428" max="7428" width="12.5703125" style="100" customWidth="1"/>
    <col min="7429" max="7429" width="13" style="100" customWidth="1"/>
    <col min="7430" max="7431" width="12.85546875" style="100" customWidth="1"/>
    <col min="7432" max="7432" width="14" style="100" customWidth="1"/>
    <col min="7433" max="7433" width="13.140625" style="100" customWidth="1"/>
    <col min="7434" max="7434" width="12.85546875" style="100" customWidth="1"/>
    <col min="7435" max="7435" width="12.140625" style="100" customWidth="1"/>
    <col min="7436" max="7437" width="0" style="100" hidden="1" customWidth="1"/>
    <col min="7438" max="7438" width="11.85546875" style="100" customWidth="1"/>
    <col min="7439" max="7439" width="14.28515625" style="100" customWidth="1"/>
    <col min="7440" max="7440" width="12.28515625" style="100" customWidth="1"/>
    <col min="7441" max="7441" width="13.85546875" style="100" customWidth="1"/>
    <col min="7442" max="7442" width="15" style="100" customWidth="1"/>
    <col min="7443" max="7681" width="9.140625" style="100"/>
    <col min="7682" max="7682" width="12.28515625" style="100" customWidth="1"/>
    <col min="7683" max="7683" width="13.5703125" style="100" customWidth="1"/>
    <col min="7684" max="7684" width="12.5703125" style="100" customWidth="1"/>
    <col min="7685" max="7685" width="13" style="100" customWidth="1"/>
    <col min="7686" max="7687" width="12.85546875" style="100" customWidth="1"/>
    <col min="7688" max="7688" width="14" style="100" customWidth="1"/>
    <col min="7689" max="7689" width="13.140625" style="100" customWidth="1"/>
    <col min="7690" max="7690" width="12.85546875" style="100" customWidth="1"/>
    <col min="7691" max="7691" width="12.140625" style="100" customWidth="1"/>
    <col min="7692" max="7693" width="0" style="100" hidden="1" customWidth="1"/>
    <col min="7694" max="7694" width="11.85546875" style="100" customWidth="1"/>
    <col min="7695" max="7695" width="14.28515625" style="100" customWidth="1"/>
    <col min="7696" max="7696" width="12.28515625" style="100" customWidth="1"/>
    <col min="7697" max="7697" width="13.85546875" style="100" customWidth="1"/>
    <col min="7698" max="7698" width="15" style="100" customWidth="1"/>
    <col min="7699" max="7937" width="9.140625" style="100"/>
    <col min="7938" max="7938" width="12.28515625" style="100" customWidth="1"/>
    <col min="7939" max="7939" width="13.5703125" style="100" customWidth="1"/>
    <col min="7940" max="7940" width="12.5703125" style="100" customWidth="1"/>
    <col min="7941" max="7941" width="13" style="100" customWidth="1"/>
    <col min="7942" max="7943" width="12.85546875" style="100" customWidth="1"/>
    <col min="7944" max="7944" width="14" style="100" customWidth="1"/>
    <col min="7945" max="7945" width="13.140625" style="100" customWidth="1"/>
    <col min="7946" max="7946" width="12.85546875" style="100" customWidth="1"/>
    <col min="7947" max="7947" width="12.140625" style="100" customWidth="1"/>
    <col min="7948" max="7949" width="0" style="100" hidden="1" customWidth="1"/>
    <col min="7950" max="7950" width="11.85546875" style="100" customWidth="1"/>
    <col min="7951" max="7951" width="14.28515625" style="100" customWidth="1"/>
    <col min="7952" max="7952" width="12.28515625" style="100" customWidth="1"/>
    <col min="7953" max="7953" width="13.85546875" style="100" customWidth="1"/>
    <col min="7954" max="7954" width="15" style="100" customWidth="1"/>
    <col min="7955" max="8193" width="9.140625" style="100"/>
    <col min="8194" max="8194" width="12.28515625" style="100" customWidth="1"/>
    <col min="8195" max="8195" width="13.5703125" style="100" customWidth="1"/>
    <col min="8196" max="8196" width="12.5703125" style="100" customWidth="1"/>
    <col min="8197" max="8197" width="13" style="100" customWidth="1"/>
    <col min="8198" max="8199" width="12.85546875" style="100" customWidth="1"/>
    <col min="8200" max="8200" width="14" style="100" customWidth="1"/>
    <col min="8201" max="8201" width="13.140625" style="100" customWidth="1"/>
    <col min="8202" max="8202" width="12.85546875" style="100" customWidth="1"/>
    <col min="8203" max="8203" width="12.140625" style="100" customWidth="1"/>
    <col min="8204" max="8205" width="0" style="100" hidden="1" customWidth="1"/>
    <col min="8206" max="8206" width="11.85546875" style="100" customWidth="1"/>
    <col min="8207" max="8207" width="14.28515625" style="100" customWidth="1"/>
    <col min="8208" max="8208" width="12.28515625" style="100" customWidth="1"/>
    <col min="8209" max="8209" width="13.85546875" style="100" customWidth="1"/>
    <col min="8210" max="8210" width="15" style="100" customWidth="1"/>
    <col min="8211" max="8449" width="9.140625" style="100"/>
    <col min="8450" max="8450" width="12.28515625" style="100" customWidth="1"/>
    <col min="8451" max="8451" width="13.5703125" style="100" customWidth="1"/>
    <col min="8452" max="8452" width="12.5703125" style="100" customWidth="1"/>
    <col min="8453" max="8453" width="13" style="100" customWidth="1"/>
    <col min="8454" max="8455" width="12.85546875" style="100" customWidth="1"/>
    <col min="8456" max="8456" width="14" style="100" customWidth="1"/>
    <col min="8457" max="8457" width="13.140625" style="100" customWidth="1"/>
    <col min="8458" max="8458" width="12.85546875" style="100" customWidth="1"/>
    <col min="8459" max="8459" width="12.140625" style="100" customWidth="1"/>
    <col min="8460" max="8461" width="0" style="100" hidden="1" customWidth="1"/>
    <col min="8462" max="8462" width="11.85546875" style="100" customWidth="1"/>
    <col min="8463" max="8463" width="14.28515625" style="100" customWidth="1"/>
    <col min="8464" max="8464" width="12.28515625" style="100" customWidth="1"/>
    <col min="8465" max="8465" width="13.85546875" style="100" customWidth="1"/>
    <col min="8466" max="8466" width="15" style="100" customWidth="1"/>
    <col min="8467" max="8705" width="9.140625" style="100"/>
    <col min="8706" max="8706" width="12.28515625" style="100" customWidth="1"/>
    <col min="8707" max="8707" width="13.5703125" style="100" customWidth="1"/>
    <col min="8708" max="8708" width="12.5703125" style="100" customWidth="1"/>
    <col min="8709" max="8709" width="13" style="100" customWidth="1"/>
    <col min="8710" max="8711" width="12.85546875" style="100" customWidth="1"/>
    <col min="8712" max="8712" width="14" style="100" customWidth="1"/>
    <col min="8713" max="8713" width="13.140625" style="100" customWidth="1"/>
    <col min="8714" max="8714" width="12.85546875" style="100" customWidth="1"/>
    <col min="8715" max="8715" width="12.140625" style="100" customWidth="1"/>
    <col min="8716" max="8717" width="0" style="100" hidden="1" customWidth="1"/>
    <col min="8718" max="8718" width="11.85546875" style="100" customWidth="1"/>
    <col min="8719" max="8719" width="14.28515625" style="100" customWidth="1"/>
    <col min="8720" max="8720" width="12.28515625" style="100" customWidth="1"/>
    <col min="8721" max="8721" width="13.85546875" style="100" customWidth="1"/>
    <col min="8722" max="8722" width="15" style="100" customWidth="1"/>
    <col min="8723" max="8961" width="9.140625" style="100"/>
    <col min="8962" max="8962" width="12.28515625" style="100" customWidth="1"/>
    <col min="8963" max="8963" width="13.5703125" style="100" customWidth="1"/>
    <col min="8964" max="8964" width="12.5703125" style="100" customWidth="1"/>
    <col min="8965" max="8965" width="13" style="100" customWidth="1"/>
    <col min="8966" max="8967" width="12.85546875" style="100" customWidth="1"/>
    <col min="8968" max="8968" width="14" style="100" customWidth="1"/>
    <col min="8969" max="8969" width="13.140625" style="100" customWidth="1"/>
    <col min="8970" max="8970" width="12.85546875" style="100" customWidth="1"/>
    <col min="8971" max="8971" width="12.140625" style="100" customWidth="1"/>
    <col min="8972" max="8973" width="0" style="100" hidden="1" customWidth="1"/>
    <col min="8974" max="8974" width="11.85546875" style="100" customWidth="1"/>
    <col min="8975" max="8975" width="14.28515625" style="100" customWidth="1"/>
    <col min="8976" max="8976" width="12.28515625" style="100" customWidth="1"/>
    <col min="8977" max="8977" width="13.85546875" style="100" customWidth="1"/>
    <col min="8978" max="8978" width="15" style="100" customWidth="1"/>
    <col min="8979" max="9217" width="9.140625" style="100"/>
    <col min="9218" max="9218" width="12.28515625" style="100" customWidth="1"/>
    <col min="9219" max="9219" width="13.5703125" style="100" customWidth="1"/>
    <col min="9220" max="9220" width="12.5703125" style="100" customWidth="1"/>
    <col min="9221" max="9221" width="13" style="100" customWidth="1"/>
    <col min="9222" max="9223" width="12.85546875" style="100" customWidth="1"/>
    <col min="9224" max="9224" width="14" style="100" customWidth="1"/>
    <col min="9225" max="9225" width="13.140625" style="100" customWidth="1"/>
    <col min="9226" max="9226" width="12.85546875" style="100" customWidth="1"/>
    <col min="9227" max="9227" width="12.140625" style="100" customWidth="1"/>
    <col min="9228" max="9229" width="0" style="100" hidden="1" customWidth="1"/>
    <col min="9230" max="9230" width="11.85546875" style="100" customWidth="1"/>
    <col min="9231" max="9231" width="14.28515625" style="100" customWidth="1"/>
    <col min="9232" max="9232" width="12.28515625" style="100" customWidth="1"/>
    <col min="9233" max="9233" width="13.85546875" style="100" customWidth="1"/>
    <col min="9234" max="9234" width="15" style="100" customWidth="1"/>
    <col min="9235" max="9473" width="9.140625" style="100"/>
    <col min="9474" max="9474" width="12.28515625" style="100" customWidth="1"/>
    <col min="9475" max="9475" width="13.5703125" style="100" customWidth="1"/>
    <col min="9476" max="9476" width="12.5703125" style="100" customWidth="1"/>
    <col min="9477" max="9477" width="13" style="100" customWidth="1"/>
    <col min="9478" max="9479" width="12.85546875" style="100" customWidth="1"/>
    <col min="9480" max="9480" width="14" style="100" customWidth="1"/>
    <col min="9481" max="9481" width="13.140625" style="100" customWidth="1"/>
    <col min="9482" max="9482" width="12.85546875" style="100" customWidth="1"/>
    <col min="9483" max="9483" width="12.140625" style="100" customWidth="1"/>
    <col min="9484" max="9485" width="0" style="100" hidden="1" customWidth="1"/>
    <col min="9486" max="9486" width="11.85546875" style="100" customWidth="1"/>
    <col min="9487" max="9487" width="14.28515625" style="100" customWidth="1"/>
    <col min="9488" max="9488" width="12.28515625" style="100" customWidth="1"/>
    <col min="9489" max="9489" width="13.85546875" style="100" customWidth="1"/>
    <col min="9490" max="9490" width="15" style="100" customWidth="1"/>
    <col min="9491" max="9729" width="9.140625" style="100"/>
    <col min="9730" max="9730" width="12.28515625" style="100" customWidth="1"/>
    <col min="9731" max="9731" width="13.5703125" style="100" customWidth="1"/>
    <col min="9732" max="9732" width="12.5703125" style="100" customWidth="1"/>
    <col min="9733" max="9733" width="13" style="100" customWidth="1"/>
    <col min="9734" max="9735" width="12.85546875" style="100" customWidth="1"/>
    <col min="9736" max="9736" width="14" style="100" customWidth="1"/>
    <col min="9737" max="9737" width="13.140625" style="100" customWidth="1"/>
    <col min="9738" max="9738" width="12.85546875" style="100" customWidth="1"/>
    <col min="9739" max="9739" width="12.140625" style="100" customWidth="1"/>
    <col min="9740" max="9741" width="0" style="100" hidden="1" customWidth="1"/>
    <col min="9742" max="9742" width="11.85546875" style="100" customWidth="1"/>
    <col min="9743" max="9743" width="14.28515625" style="100" customWidth="1"/>
    <col min="9744" max="9744" width="12.28515625" style="100" customWidth="1"/>
    <col min="9745" max="9745" width="13.85546875" style="100" customWidth="1"/>
    <col min="9746" max="9746" width="15" style="100" customWidth="1"/>
    <col min="9747" max="9985" width="9.140625" style="100"/>
    <col min="9986" max="9986" width="12.28515625" style="100" customWidth="1"/>
    <col min="9987" max="9987" width="13.5703125" style="100" customWidth="1"/>
    <col min="9988" max="9988" width="12.5703125" style="100" customWidth="1"/>
    <col min="9989" max="9989" width="13" style="100" customWidth="1"/>
    <col min="9990" max="9991" width="12.85546875" style="100" customWidth="1"/>
    <col min="9992" max="9992" width="14" style="100" customWidth="1"/>
    <col min="9993" max="9993" width="13.140625" style="100" customWidth="1"/>
    <col min="9994" max="9994" width="12.85546875" style="100" customWidth="1"/>
    <col min="9995" max="9995" width="12.140625" style="100" customWidth="1"/>
    <col min="9996" max="9997" width="0" style="100" hidden="1" customWidth="1"/>
    <col min="9998" max="9998" width="11.85546875" style="100" customWidth="1"/>
    <col min="9999" max="9999" width="14.28515625" style="100" customWidth="1"/>
    <col min="10000" max="10000" width="12.28515625" style="100" customWidth="1"/>
    <col min="10001" max="10001" width="13.85546875" style="100" customWidth="1"/>
    <col min="10002" max="10002" width="15" style="100" customWidth="1"/>
    <col min="10003" max="10241" width="9.140625" style="100"/>
    <col min="10242" max="10242" width="12.28515625" style="100" customWidth="1"/>
    <col min="10243" max="10243" width="13.5703125" style="100" customWidth="1"/>
    <col min="10244" max="10244" width="12.5703125" style="100" customWidth="1"/>
    <col min="10245" max="10245" width="13" style="100" customWidth="1"/>
    <col min="10246" max="10247" width="12.85546875" style="100" customWidth="1"/>
    <col min="10248" max="10248" width="14" style="100" customWidth="1"/>
    <col min="10249" max="10249" width="13.140625" style="100" customWidth="1"/>
    <col min="10250" max="10250" width="12.85546875" style="100" customWidth="1"/>
    <col min="10251" max="10251" width="12.140625" style="100" customWidth="1"/>
    <col min="10252" max="10253" width="0" style="100" hidden="1" customWidth="1"/>
    <col min="10254" max="10254" width="11.85546875" style="100" customWidth="1"/>
    <col min="10255" max="10255" width="14.28515625" style="100" customWidth="1"/>
    <col min="10256" max="10256" width="12.28515625" style="100" customWidth="1"/>
    <col min="10257" max="10257" width="13.85546875" style="100" customWidth="1"/>
    <col min="10258" max="10258" width="15" style="100" customWidth="1"/>
    <col min="10259" max="10497" width="9.140625" style="100"/>
    <col min="10498" max="10498" width="12.28515625" style="100" customWidth="1"/>
    <col min="10499" max="10499" width="13.5703125" style="100" customWidth="1"/>
    <col min="10500" max="10500" width="12.5703125" style="100" customWidth="1"/>
    <col min="10501" max="10501" width="13" style="100" customWidth="1"/>
    <col min="10502" max="10503" width="12.85546875" style="100" customWidth="1"/>
    <col min="10504" max="10504" width="14" style="100" customWidth="1"/>
    <col min="10505" max="10505" width="13.140625" style="100" customWidth="1"/>
    <col min="10506" max="10506" width="12.85546875" style="100" customWidth="1"/>
    <col min="10507" max="10507" width="12.140625" style="100" customWidth="1"/>
    <col min="10508" max="10509" width="0" style="100" hidden="1" customWidth="1"/>
    <col min="10510" max="10510" width="11.85546875" style="100" customWidth="1"/>
    <col min="10511" max="10511" width="14.28515625" style="100" customWidth="1"/>
    <col min="10512" max="10512" width="12.28515625" style="100" customWidth="1"/>
    <col min="10513" max="10513" width="13.85546875" style="100" customWidth="1"/>
    <col min="10514" max="10514" width="15" style="100" customWidth="1"/>
    <col min="10515" max="10753" width="9.140625" style="100"/>
    <col min="10754" max="10754" width="12.28515625" style="100" customWidth="1"/>
    <col min="10755" max="10755" width="13.5703125" style="100" customWidth="1"/>
    <col min="10756" max="10756" width="12.5703125" style="100" customWidth="1"/>
    <col min="10757" max="10757" width="13" style="100" customWidth="1"/>
    <col min="10758" max="10759" width="12.85546875" style="100" customWidth="1"/>
    <col min="10760" max="10760" width="14" style="100" customWidth="1"/>
    <col min="10761" max="10761" width="13.140625" style="100" customWidth="1"/>
    <col min="10762" max="10762" width="12.85546875" style="100" customWidth="1"/>
    <col min="10763" max="10763" width="12.140625" style="100" customWidth="1"/>
    <col min="10764" max="10765" width="0" style="100" hidden="1" customWidth="1"/>
    <col min="10766" max="10766" width="11.85546875" style="100" customWidth="1"/>
    <col min="10767" max="10767" width="14.28515625" style="100" customWidth="1"/>
    <col min="10768" max="10768" width="12.28515625" style="100" customWidth="1"/>
    <col min="10769" max="10769" width="13.85546875" style="100" customWidth="1"/>
    <col min="10770" max="10770" width="15" style="100" customWidth="1"/>
    <col min="10771" max="11009" width="9.140625" style="100"/>
    <col min="11010" max="11010" width="12.28515625" style="100" customWidth="1"/>
    <col min="11011" max="11011" width="13.5703125" style="100" customWidth="1"/>
    <col min="11012" max="11012" width="12.5703125" style="100" customWidth="1"/>
    <col min="11013" max="11013" width="13" style="100" customWidth="1"/>
    <col min="11014" max="11015" width="12.85546875" style="100" customWidth="1"/>
    <col min="11016" max="11016" width="14" style="100" customWidth="1"/>
    <col min="11017" max="11017" width="13.140625" style="100" customWidth="1"/>
    <col min="11018" max="11018" width="12.85546875" style="100" customWidth="1"/>
    <col min="11019" max="11019" width="12.140625" style="100" customWidth="1"/>
    <col min="11020" max="11021" width="0" style="100" hidden="1" customWidth="1"/>
    <col min="11022" max="11022" width="11.85546875" style="100" customWidth="1"/>
    <col min="11023" max="11023" width="14.28515625" style="100" customWidth="1"/>
    <col min="11024" max="11024" width="12.28515625" style="100" customWidth="1"/>
    <col min="11025" max="11025" width="13.85546875" style="100" customWidth="1"/>
    <col min="11026" max="11026" width="15" style="100" customWidth="1"/>
    <col min="11027" max="11265" width="9.140625" style="100"/>
    <col min="11266" max="11266" width="12.28515625" style="100" customWidth="1"/>
    <col min="11267" max="11267" width="13.5703125" style="100" customWidth="1"/>
    <col min="11268" max="11268" width="12.5703125" style="100" customWidth="1"/>
    <col min="11269" max="11269" width="13" style="100" customWidth="1"/>
    <col min="11270" max="11271" width="12.85546875" style="100" customWidth="1"/>
    <col min="11272" max="11272" width="14" style="100" customWidth="1"/>
    <col min="11273" max="11273" width="13.140625" style="100" customWidth="1"/>
    <col min="11274" max="11274" width="12.85546875" style="100" customWidth="1"/>
    <col min="11275" max="11275" width="12.140625" style="100" customWidth="1"/>
    <col min="11276" max="11277" width="0" style="100" hidden="1" customWidth="1"/>
    <col min="11278" max="11278" width="11.85546875" style="100" customWidth="1"/>
    <col min="11279" max="11279" width="14.28515625" style="100" customWidth="1"/>
    <col min="11280" max="11280" width="12.28515625" style="100" customWidth="1"/>
    <col min="11281" max="11281" width="13.85546875" style="100" customWidth="1"/>
    <col min="11282" max="11282" width="15" style="100" customWidth="1"/>
    <col min="11283" max="11521" width="9.140625" style="100"/>
    <col min="11522" max="11522" width="12.28515625" style="100" customWidth="1"/>
    <col min="11523" max="11523" width="13.5703125" style="100" customWidth="1"/>
    <col min="11524" max="11524" width="12.5703125" style="100" customWidth="1"/>
    <col min="11525" max="11525" width="13" style="100" customWidth="1"/>
    <col min="11526" max="11527" width="12.85546875" style="100" customWidth="1"/>
    <col min="11528" max="11528" width="14" style="100" customWidth="1"/>
    <col min="11529" max="11529" width="13.140625" style="100" customWidth="1"/>
    <col min="11530" max="11530" width="12.85546875" style="100" customWidth="1"/>
    <col min="11531" max="11531" width="12.140625" style="100" customWidth="1"/>
    <col min="11532" max="11533" width="0" style="100" hidden="1" customWidth="1"/>
    <col min="11534" max="11534" width="11.85546875" style="100" customWidth="1"/>
    <col min="11535" max="11535" width="14.28515625" style="100" customWidth="1"/>
    <col min="11536" max="11536" width="12.28515625" style="100" customWidth="1"/>
    <col min="11537" max="11537" width="13.85546875" style="100" customWidth="1"/>
    <col min="11538" max="11538" width="15" style="100" customWidth="1"/>
    <col min="11539" max="11777" width="9.140625" style="100"/>
    <col min="11778" max="11778" width="12.28515625" style="100" customWidth="1"/>
    <col min="11779" max="11779" width="13.5703125" style="100" customWidth="1"/>
    <col min="11780" max="11780" width="12.5703125" style="100" customWidth="1"/>
    <col min="11781" max="11781" width="13" style="100" customWidth="1"/>
    <col min="11782" max="11783" width="12.85546875" style="100" customWidth="1"/>
    <col min="11784" max="11784" width="14" style="100" customWidth="1"/>
    <col min="11785" max="11785" width="13.140625" style="100" customWidth="1"/>
    <col min="11786" max="11786" width="12.85546875" style="100" customWidth="1"/>
    <col min="11787" max="11787" width="12.140625" style="100" customWidth="1"/>
    <col min="11788" max="11789" width="0" style="100" hidden="1" customWidth="1"/>
    <col min="11790" max="11790" width="11.85546875" style="100" customWidth="1"/>
    <col min="11791" max="11791" width="14.28515625" style="100" customWidth="1"/>
    <col min="11792" max="11792" width="12.28515625" style="100" customWidth="1"/>
    <col min="11793" max="11793" width="13.85546875" style="100" customWidth="1"/>
    <col min="11794" max="11794" width="15" style="100" customWidth="1"/>
    <col min="11795" max="12033" width="9.140625" style="100"/>
    <col min="12034" max="12034" width="12.28515625" style="100" customWidth="1"/>
    <col min="12035" max="12035" width="13.5703125" style="100" customWidth="1"/>
    <col min="12036" max="12036" width="12.5703125" style="100" customWidth="1"/>
    <col min="12037" max="12037" width="13" style="100" customWidth="1"/>
    <col min="12038" max="12039" width="12.85546875" style="100" customWidth="1"/>
    <col min="12040" max="12040" width="14" style="100" customWidth="1"/>
    <col min="12041" max="12041" width="13.140625" style="100" customWidth="1"/>
    <col min="12042" max="12042" width="12.85546875" style="100" customWidth="1"/>
    <col min="12043" max="12043" width="12.140625" style="100" customWidth="1"/>
    <col min="12044" max="12045" width="0" style="100" hidden="1" customWidth="1"/>
    <col min="12046" max="12046" width="11.85546875" style="100" customWidth="1"/>
    <col min="12047" max="12047" width="14.28515625" style="100" customWidth="1"/>
    <col min="12048" max="12048" width="12.28515625" style="100" customWidth="1"/>
    <col min="12049" max="12049" width="13.85546875" style="100" customWidth="1"/>
    <col min="12050" max="12050" width="15" style="100" customWidth="1"/>
    <col min="12051" max="12289" width="9.140625" style="100"/>
    <col min="12290" max="12290" width="12.28515625" style="100" customWidth="1"/>
    <col min="12291" max="12291" width="13.5703125" style="100" customWidth="1"/>
    <col min="12292" max="12292" width="12.5703125" style="100" customWidth="1"/>
    <col min="12293" max="12293" width="13" style="100" customWidth="1"/>
    <col min="12294" max="12295" width="12.85546875" style="100" customWidth="1"/>
    <col min="12296" max="12296" width="14" style="100" customWidth="1"/>
    <col min="12297" max="12297" width="13.140625" style="100" customWidth="1"/>
    <col min="12298" max="12298" width="12.85546875" style="100" customWidth="1"/>
    <col min="12299" max="12299" width="12.140625" style="100" customWidth="1"/>
    <col min="12300" max="12301" width="0" style="100" hidden="1" customWidth="1"/>
    <col min="12302" max="12302" width="11.85546875" style="100" customWidth="1"/>
    <col min="12303" max="12303" width="14.28515625" style="100" customWidth="1"/>
    <col min="12304" max="12304" width="12.28515625" style="100" customWidth="1"/>
    <col min="12305" max="12305" width="13.85546875" style="100" customWidth="1"/>
    <col min="12306" max="12306" width="15" style="100" customWidth="1"/>
    <col min="12307" max="12545" width="9.140625" style="100"/>
    <col min="12546" max="12546" width="12.28515625" style="100" customWidth="1"/>
    <col min="12547" max="12547" width="13.5703125" style="100" customWidth="1"/>
    <col min="12548" max="12548" width="12.5703125" style="100" customWidth="1"/>
    <col min="12549" max="12549" width="13" style="100" customWidth="1"/>
    <col min="12550" max="12551" width="12.85546875" style="100" customWidth="1"/>
    <col min="12552" max="12552" width="14" style="100" customWidth="1"/>
    <col min="12553" max="12553" width="13.140625" style="100" customWidth="1"/>
    <col min="12554" max="12554" width="12.85546875" style="100" customWidth="1"/>
    <col min="12555" max="12555" width="12.140625" style="100" customWidth="1"/>
    <col min="12556" max="12557" width="0" style="100" hidden="1" customWidth="1"/>
    <col min="12558" max="12558" width="11.85546875" style="100" customWidth="1"/>
    <col min="12559" max="12559" width="14.28515625" style="100" customWidth="1"/>
    <col min="12560" max="12560" width="12.28515625" style="100" customWidth="1"/>
    <col min="12561" max="12561" width="13.85546875" style="100" customWidth="1"/>
    <col min="12562" max="12562" width="15" style="100" customWidth="1"/>
    <col min="12563" max="12801" width="9.140625" style="100"/>
    <col min="12802" max="12802" width="12.28515625" style="100" customWidth="1"/>
    <col min="12803" max="12803" width="13.5703125" style="100" customWidth="1"/>
    <col min="12804" max="12804" width="12.5703125" style="100" customWidth="1"/>
    <col min="12805" max="12805" width="13" style="100" customWidth="1"/>
    <col min="12806" max="12807" width="12.85546875" style="100" customWidth="1"/>
    <col min="12808" max="12808" width="14" style="100" customWidth="1"/>
    <col min="12809" max="12809" width="13.140625" style="100" customWidth="1"/>
    <col min="12810" max="12810" width="12.85546875" style="100" customWidth="1"/>
    <col min="12811" max="12811" width="12.140625" style="100" customWidth="1"/>
    <col min="12812" max="12813" width="0" style="100" hidden="1" customWidth="1"/>
    <col min="12814" max="12814" width="11.85546875" style="100" customWidth="1"/>
    <col min="12815" max="12815" width="14.28515625" style="100" customWidth="1"/>
    <col min="12816" max="12816" width="12.28515625" style="100" customWidth="1"/>
    <col min="12817" max="12817" width="13.85546875" style="100" customWidth="1"/>
    <col min="12818" max="12818" width="15" style="100" customWidth="1"/>
    <col min="12819" max="13057" width="9.140625" style="100"/>
    <col min="13058" max="13058" width="12.28515625" style="100" customWidth="1"/>
    <col min="13059" max="13059" width="13.5703125" style="100" customWidth="1"/>
    <col min="13060" max="13060" width="12.5703125" style="100" customWidth="1"/>
    <col min="13061" max="13061" width="13" style="100" customWidth="1"/>
    <col min="13062" max="13063" width="12.85546875" style="100" customWidth="1"/>
    <col min="13064" max="13064" width="14" style="100" customWidth="1"/>
    <col min="13065" max="13065" width="13.140625" style="100" customWidth="1"/>
    <col min="13066" max="13066" width="12.85546875" style="100" customWidth="1"/>
    <col min="13067" max="13067" width="12.140625" style="100" customWidth="1"/>
    <col min="13068" max="13069" width="0" style="100" hidden="1" customWidth="1"/>
    <col min="13070" max="13070" width="11.85546875" style="100" customWidth="1"/>
    <col min="13071" max="13071" width="14.28515625" style="100" customWidth="1"/>
    <col min="13072" max="13072" width="12.28515625" style="100" customWidth="1"/>
    <col min="13073" max="13073" width="13.85546875" style="100" customWidth="1"/>
    <col min="13074" max="13074" width="15" style="100" customWidth="1"/>
    <col min="13075" max="13313" width="9.140625" style="100"/>
    <col min="13314" max="13314" width="12.28515625" style="100" customWidth="1"/>
    <col min="13315" max="13315" width="13.5703125" style="100" customWidth="1"/>
    <col min="13316" max="13316" width="12.5703125" style="100" customWidth="1"/>
    <col min="13317" max="13317" width="13" style="100" customWidth="1"/>
    <col min="13318" max="13319" width="12.85546875" style="100" customWidth="1"/>
    <col min="13320" max="13320" width="14" style="100" customWidth="1"/>
    <col min="13321" max="13321" width="13.140625" style="100" customWidth="1"/>
    <col min="13322" max="13322" width="12.85546875" style="100" customWidth="1"/>
    <col min="13323" max="13323" width="12.140625" style="100" customWidth="1"/>
    <col min="13324" max="13325" width="0" style="100" hidden="1" customWidth="1"/>
    <col min="13326" max="13326" width="11.85546875" style="100" customWidth="1"/>
    <col min="13327" max="13327" width="14.28515625" style="100" customWidth="1"/>
    <col min="13328" max="13328" width="12.28515625" style="100" customWidth="1"/>
    <col min="13329" max="13329" width="13.85546875" style="100" customWidth="1"/>
    <col min="13330" max="13330" width="15" style="100" customWidth="1"/>
    <col min="13331" max="13569" width="9.140625" style="100"/>
    <col min="13570" max="13570" width="12.28515625" style="100" customWidth="1"/>
    <col min="13571" max="13571" width="13.5703125" style="100" customWidth="1"/>
    <col min="13572" max="13572" width="12.5703125" style="100" customWidth="1"/>
    <col min="13573" max="13573" width="13" style="100" customWidth="1"/>
    <col min="13574" max="13575" width="12.85546875" style="100" customWidth="1"/>
    <col min="13576" max="13576" width="14" style="100" customWidth="1"/>
    <col min="13577" max="13577" width="13.140625" style="100" customWidth="1"/>
    <col min="13578" max="13578" width="12.85546875" style="100" customWidth="1"/>
    <col min="13579" max="13579" width="12.140625" style="100" customWidth="1"/>
    <col min="13580" max="13581" width="0" style="100" hidden="1" customWidth="1"/>
    <col min="13582" max="13582" width="11.85546875" style="100" customWidth="1"/>
    <col min="13583" max="13583" width="14.28515625" style="100" customWidth="1"/>
    <col min="13584" max="13584" width="12.28515625" style="100" customWidth="1"/>
    <col min="13585" max="13585" width="13.85546875" style="100" customWidth="1"/>
    <col min="13586" max="13586" width="15" style="100" customWidth="1"/>
    <col min="13587" max="13825" width="9.140625" style="100"/>
    <col min="13826" max="13826" width="12.28515625" style="100" customWidth="1"/>
    <col min="13827" max="13827" width="13.5703125" style="100" customWidth="1"/>
    <col min="13828" max="13828" width="12.5703125" style="100" customWidth="1"/>
    <col min="13829" max="13829" width="13" style="100" customWidth="1"/>
    <col min="13830" max="13831" width="12.85546875" style="100" customWidth="1"/>
    <col min="13832" max="13832" width="14" style="100" customWidth="1"/>
    <col min="13833" max="13833" width="13.140625" style="100" customWidth="1"/>
    <col min="13834" max="13834" width="12.85546875" style="100" customWidth="1"/>
    <col min="13835" max="13835" width="12.140625" style="100" customWidth="1"/>
    <col min="13836" max="13837" width="0" style="100" hidden="1" customWidth="1"/>
    <col min="13838" max="13838" width="11.85546875" style="100" customWidth="1"/>
    <col min="13839" max="13839" width="14.28515625" style="100" customWidth="1"/>
    <col min="13840" max="13840" width="12.28515625" style="100" customWidth="1"/>
    <col min="13841" max="13841" width="13.85546875" style="100" customWidth="1"/>
    <col min="13842" max="13842" width="15" style="100" customWidth="1"/>
    <col min="13843" max="14081" width="9.140625" style="100"/>
    <col min="14082" max="14082" width="12.28515625" style="100" customWidth="1"/>
    <col min="14083" max="14083" width="13.5703125" style="100" customWidth="1"/>
    <col min="14084" max="14084" width="12.5703125" style="100" customWidth="1"/>
    <col min="14085" max="14085" width="13" style="100" customWidth="1"/>
    <col min="14086" max="14087" width="12.85546875" style="100" customWidth="1"/>
    <col min="14088" max="14088" width="14" style="100" customWidth="1"/>
    <col min="14089" max="14089" width="13.140625" style="100" customWidth="1"/>
    <col min="14090" max="14090" width="12.85546875" style="100" customWidth="1"/>
    <col min="14091" max="14091" width="12.140625" style="100" customWidth="1"/>
    <col min="14092" max="14093" width="0" style="100" hidden="1" customWidth="1"/>
    <col min="14094" max="14094" width="11.85546875" style="100" customWidth="1"/>
    <col min="14095" max="14095" width="14.28515625" style="100" customWidth="1"/>
    <col min="14096" max="14096" width="12.28515625" style="100" customWidth="1"/>
    <col min="14097" max="14097" width="13.85546875" style="100" customWidth="1"/>
    <col min="14098" max="14098" width="15" style="100" customWidth="1"/>
    <col min="14099" max="14337" width="9.140625" style="100"/>
    <col min="14338" max="14338" width="12.28515625" style="100" customWidth="1"/>
    <col min="14339" max="14339" width="13.5703125" style="100" customWidth="1"/>
    <col min="14340" max="14340" width="12.5703125" style="100" customWidth="1"/>
    <col min="14341" max="14341" width="13" style="100" customWidth="1"/>
    <col min="14342" max="14343" width="12.85546875" style="100" customWidth="1"/>
    <col min="14344" max="14344" width="14" style="100" customWidth="1"/>
    <col min="14345" max="14345" width="13.140625" style="100" customWidth="1"/>
    <col min="14346" max="14346" width="12.85546875" style="100" customWidth="1"/>
    <col min="14347" max="14347" width="12.140625" style="100" customWidth="1"/>
    <col min="14348" max="14349" width="0" style="100" hidden="1" customWidth="1"/>
    <col min="14350" max="14350" width="11.85546875" style="100" customWidth="1"/>
    <col min="14351" max="14351" width="14.28515625" style="100" customWidth="1"/>
    <col min="14352" max="14352" width="12.28515625" style="100" customWidth="1"/>
    <col min="14353" max="14353" width="13.85546875" style="100" customWidth="1"/>
    <col min="14354" max="14354" width="15" style="100" customWidth="1"/>
    <col min="14355" max="14593" width="9.140625" style="100"/>
    <col min="14594" max="14594" width="12.28515625" style="100" customWidth="1"/>
    <col min="14595" max="14595" width="13.5703125" style="100" customWidth="1"/>
    <col min="14596" max="14596" width="12.5703125" style="100" customWidth="1"/>
    <col min="14597" max="14597" width="13" style="100" customWidth="1"/>
    <col min="14598" max="14599" width="12.85546875" style="100" customWidth="1"/>
    <col min="14600" max="14600" width="14" style="100" customWidth="1"/>
    <col min="14601" max="14601" width="13.140625" style="100" customWidth="1"/>
    <col min="14602" max="14602" width="12.85546875" style="100" customWidth="1"/>
    <col min="14603" max="14603" width="12.140625" style="100" customWidth="1"/>
    <col min="14604" max="14605" width="0" style="100" hidden="1" customWidth="1"/>
    <col min="14606" max="14606" width="11.85546875" style="100" customWidth="1"/>
    <col min="14607" max="14607" width="14.28515625" style="100" customWidth="1"/>
    <col min="14608" max="14608" width="12.28515625" style="100" customWidth="1"/>
    <col min="14609" max="14609" width="13.85546875" style="100" customWidth="1"/>
    <col min="14610" max="14610" width="15" style="100" customWidth="1"/>
    <col min="14611" max="14849" width="9.140625" style="100"/>
    <col min="14850" max="14850" width="12.28515625" style="100" customWidth="1"/>
    <col min="14851" max="14851" width="13.5703125" style="100" customWidth="1"/>
    <col min="14852" max="14852" width="12.5703125" style="100" customWidth="1"/>
    <col min="14853" max="14853" width="13" style="100" customWidth="1"/>
    <col min="14854" max="14855" width="12.85546875" style="100" customWidth="1"/>
    <col min="14856" max="14856" width="14" style="100" customWidth="1"/>
    <col min="14857" max="14857" width="13.140625" style="100" customWidth="1"/>
    <col min="14858" max="14858" width="12.85546875" style="100" customWidth="1"/>
    <col min="14859" max="14859" width="12.140625" style="100" customWidth="1"/>
    <col min="14860" max="14861" width="0" style="100" hidden="1" customWidth="1"/>
    <col min="14862" max="14862" width="11.85546875" style="100" customWidth="1"/>
    <col min="14863" max="14863" width="14.28515625" style="100" customWidth="1"/>
    <col min="14864" max="14864" width="12.28515625" style="100" customWidth="1"/>
    <col min="14865" max="14865" width="13.85546875" style="100" customWidth="1"/>
    <col min="14866" max="14866" width="15" style="100" customWidth="1"/>
    <col min="14867" max="15105" width="9.140625" style="100"/>
    <col min="15106" max="15106" width="12.28515625" style="100" customWidth="1"/>
    <col min="15107" max="15107" width="13.5703125" style="100" customWidth="1"/>
    <col min="15108" max="15108" width="12.5703125" style="100" customWidth="1"/>
    <col min="15109" max="15109" width="13" style="100" customWidth="1"/>
    <col min="15110" max="15111" width="12.85546875" style="100" customWidth="1"/>
    <col min="15112" max="15112" width="14" style="100" customWidth="1"/>
    <col min="15113" max="15113" width="13.140625" style="100" customWidth="1"/>
    <col min="15114" max="15114" width="12.85546875" style="100" customWidth="1"/>
    <col min="15115" max="15115" width="12.140625" style="100" customWidth="1"/>
    <col min="15116" max="15117" width="0" style="100" hidden="1" customWidth="1"/>
    <col min="15118" max="15118" width="11.85546875" style="100" customWidth="1"/>
    <col min="15119" max="15119" width="14.28515625" style="100" customWidth="1"/>
    <col min="15120" max="15120" width="12.28515625" style="100" customWidth="1"/>
    <col min="15121" max="15121" width="13.85546875" style="100" customWidth="1"/>
    <col min="15122" max="15122" width="15" style="100" customWidth="1"/>
    <col min="15123" max="15361" width="9.140625" style="100"/>
    <col min="15362" max="15362" width="12.28515625" style="100" customWidth="1"/>
    <col min="15363" max="15363" width="13.5703125" style="100" customWidth="1"/>
    <col min="15364" max="15364" width="12.5703125" style="100" customWidth="1"/>
    <col min="15365" max="15365" width="13" style="100" customWidth="1"/>
    <col min="15366" max="15367" width="12.85546875" style="100" customWidth="1"/>
    <col min="15368" max="15368" width="14" style="100" customWidth="1"/>
    <col min="15369" max="15369" width="13.140625" style="100" customWidth="1"/>
    <col min="15370" max="15370" width="12.85546875" style="100" customWidth="1"/>
    <col min="15371" max="15371" width="12.140625" style="100" customWidth="1"/>
    <col min="15372" max="15373" width="0" style="100" hidden="1" customWidth="1"/>
    <col min="15374" max="15374" width="11.85546875" style="100" customWidth="1"/>
    <col min="15375" max="15375" width="14.28515625" style="100" customWidth="1"/>
    <col min="15376" max="15376" width="12.28515625" style="100" customWidth="1"/>
    <col min="15377" max="15377" width="13.85546875" style="100" customWidth="1"/>
    <col min="15378" max="15378" width="15" style="100" customWidth="1"/>
    <col min="15379" max="15617" width="9.140625" style="100"/>
    <col min="15618" max="15618" width="12.28515625" style="100" customWidth="1"/>
    <col min="15619" max="15619" width="13.5703125" style="100" customWidth="1"/>
    <col min="15620" max="15620" width="12.5703125" style="100" customWidth="1"/>
    <col min="15621" max="15621" width="13" style="100" customWidth="1"/>
    <col min="15622" max="15623" width="12.85546875" style="100" customWidth="1"/>
    <col min="15624" max="15624" width="14" style="100" customWidth="1"/>
    <col min="15625" max="15625" width="13.140625" style="100" customWidth="1"/>
    <col min="15626" max="15626" width="12.85546875" style="100" customWidth="1"/>
    <col min="15627" max="15627" width="12.140625" style="100" customWidth="1"/>
    <col min="15628" max="15629" width="0" style="100" hidden="1" customWidth="1"/>
    <col min="15630" max="15630" width="11.85546875" style="100" customWidth="1"/>
    <col min="15631" max="15631" width="14.28515625" style="100" customWidth="1"/>
    <col min="15632" max="15632" width="12.28515625" style="100" customWidth="1"/>
    <col min="15633" max="15633" width="13.85546875" style="100" customWidth="1"/>
    <col min="15634" max="15634" width="15" style="100" customWidth="1"/>
    <col min="15635" max="15873" width="9.140625" style="100"/>
    <col min="15874" max="15874" width="12.28515625" style="100" customWidth="1"/>
    <col min="15875" max="15875" width="13.5703125" style="100" customWidth="1"/>
    <col min="15876" max="15876" width="12.5703125" style="100" customWidth="1"/>
    <col min="15877" max="15877" width="13" style="100" customWidth="1"/>
    <col min="15878" max="15879" width="12.85546875" style="100" customWidth="1"/>
    <col min="15880" max="15880" width="14" style="100" customWidth="1"/>
    <col min="15881" max="15881" width="13.140625" style="100" customWidth="1"/>
    <col min="15882" max="15882" width="12.85546875" style="100" customWidth="1"/>
    <col min="15883" max="15883" width="12.140625" style="100" customWidth="1"/>
    <col min="15884" max="15885" width="0" style="100" hidden="1" customWidth="1"/>
    <col min="15886" max="15886" width="11.85546875" style="100" customWidth="1"/>
    <col min="15887" max="15887" width="14.28515625" style="100" customWidth="1"/>
    <col min="15888" max="15888" width="12.28515625" style="100" customWidth="1"/>
    <col min="15889" max="15889" width="13.85546875" style="100" customWidth="1"/>
    <col min="15890" max="15890" width="15" style="100" customWidth="1"/>
    <col min="15891" max="16129" width="9.140625" style="100"/>
    <col min="16130" max="16130" width="12.28515625" style="100" customWidth="1"/>
    <col min="16131" max="16131" width="13.5703125" style="100" customWidth="1"/>
    <col min="16132" max="16132" width="12.5703125" style="100" customWidth="1"/>
    <col min="16133" max="16133" width="13" style="100" customWidth="1"/>
    <col min="16134" max="16135" width="12.85546875" style="100" customWidth="1"/>
    <col min="16136" max="16136" width="14" style="100" customWidth="1"/>
    <col min="16137" max="16137" width="13.140625" style="100" customWidth="1"/>
    <col min="16138" max="16138" width="12.85546875" style="100" customWidth="1"/>
    <col min="16139" max="16139" width="12.140625" style="100" customWidth="1"/>
    <col min="16140" max="16141" width="0" style="100" hidden="1" customWidth="1"/>
    <col min="16142" max="16142" width="11.85546875" style="100" customWidth="1"/>
    <col min="16143" max="16143" width="14.28515625" style="100" customWidth="1"/>
    <col min="16144" max="16144" width="12.28515625" style="100" customWidth="1"/>
    <col min="16145" max="16145" width="13.85546875" style="100" customWidth="1"/>
    <col min="16146" max="16146" width="15" style="100" customWidth="1"/>
    <col min="16147" max="16384" width="9.140625" style="100"/>
  </cols>
  <sheetData>
    <row r="1" spans="2:17" ht="18" x14ac:dyDescent="0.25">
      <c r="B1" s="117" t="s">
        <v>177</v>
      </c>
      <c r="H1" s="118"/>
      <c r="I1" s="117" t="s">
        <v>177</v>
      </c>
      <c r="Q1" s="118"/>
    </row>
    <row r="2" spans="2:17" x14ac:dyDescent="0.2">
      <c r="B2" s="104" t="s">
        <v>132</v>
      </c>
      <c r="H2" s="120"/>
      <c r="I2" s="104" t="s">
        <v>132</v>
      </c>
      <c r="Q2" s="120"/>
    </row>
    <row r="3" spans="2:17" x14ac:dyDescent="0.2">
      <c r="B3" s="104"/>
      <c r="H3" s="121"/>
      <c r="I3" s="104"/>
      <c r="Q3" s="121"/>
    </row>
    <row r="4" spans="2:17" x14ac:dyDescent="0.2">
      <c r="B4" s="104"/>
      <c r="H4" s="121"/>
      <c r="I4" s="104"/>
      <c r="Q4" s="121"/>
    </row>
    <row r="7" spans="2:17" x14ac:dyDescent="0.2">
      <c r="B7" s="104" t="s">
        <v>141</v>
      </c>
      <c r="I7" s="104" t="s">
        <v>141</v>
      </c>
    </row>
    <row r="8" spans="2:17" x14ac:dyDescent="0.2">
      <c r="B8" s="151" t="s">
        <v>142</v>
      </c>
      <c r="E8" s="139">
        <v>1000</v>
      </c>
      <c r="I8" s="151" t="s">
        <v>142</v>
      </c>
      <c r="L8" s="139">
        <v>1000</v>
      </c>
      <c r="O8" s="139">
        <f t="shared" ref="O8:O14" si="0">E8</f>
        <v>1000</v>
      </c>
    </row>
    <row r="9" spans="2:17" x14ac:dyDescent="0.2">
      <c r="B9" s="151" t="s">
        <v>143</v>
      </c>
      <c r="E9" s="100">
        <v>5</v>
      </c>
      <c r="I9" s="151" t="s">
        <v>143</v>
      </c>
      <c r="L9" s="100">
        <v>30</v>
      </c>
      <c r="O9" s="100">
        <f t="shared" si="0"/>
        <v>5</v>
      </c>
    </row>
    <row r="10" spans="2:17" x14ac:dyDescent="0.2">
      <c r="B10" s="151" t="s">
        <v>144</v>
      </c>
      <c r="E10" s="100">
        <v>5</v>
      </c>
      <c r="I10" s="151" t="s">
        <v>144</v>
      </c>
      <c r="L10" s="100">
        <v>20</v>
      </c>
      <c r="O10" s="100">
        <f t="shared" si="0"/>
        <v>5</v>
      </c>
    </row>
    <row r="11" spans="2:17" x14ac:dyDescent="0.2">
      <c r="B11" s="151" t="s">
        <v>145</v>
      </c>
      <c r="E11" s="152">
        <f>'KU Meter Pulse -WACOC-Tax Table'!F10</f>
        <v>0.2495</v>
      </c>
      <c r="I11" s="151" t="s">
        <v>145</v>
      </c>
      <c r="L11" s="153">
        <v>0.37602808360000001</v>
      </c>
      <c r="O11" s="152">
        <f t="shared" si="0"/>
        <v>0.2495</v>
      </c>
    </row>
    <row r="12" spans="2:17" x14ac:dyDescent="0.2">
      <c r="B12" s="151" t="s">
        <v>146</v>
      </c>
      <c r="E12" s="152">
        <v>0</v>
      </c>
      <c r="I12" s="151" t="s">
        <v>146</v>
      </c>
      <c r="L12" s="152">
        <v>0</v>
      </c>
      <c r="O12" s="152">
        <f t="shared" si="0"/>
        <v>0</v>
      </c>
    </row>
    <row r="13" spans="2:17" x14ac:dyDescent="0.2">
      <c r="B13" s="151" t="s">
        <v>147</v>
      </c>
      <c r="E13" s="100">
        <v>5</v>
      </c>
      <c r="I13" s="151" t="s">
        <v>147</v>
      </c>
      <c r="L13" s="100">
        <v>35</v>
      </c>
      <c r="O13" s="100">
        <f t="shared" si="0"/>
        <v>5</v>
      </c>
    </row>
    <row r="14" spans="2:17" x14ac:dyDescent="0.2">
      <c r="B14" s="151" t="s">
        <v>148</v>
      </c>
      <c r="E14" s="152">
        <v>0</v>
      </c>
      <c r="I14" s="151" t="s">
        <v>148</v>
      </c>
      <c r="L14" s="152">
        <v>0</v>
      </c>
      <c r="O14" s="152">
        <f t="shared" si="0"/>
        <v>0</v>
      </c>
    </row>
    <row r="15" spans="2:17" x14ac:dyDescent="0.2">
      <c r="B15" s="151"/>
      <c r="E15" s="152"/>
      <c r="I15" s="151"/>
      <c r="L15" s="152"/>
      <c r="O15" s="152"/>
    </row>
    <row r="17" spans="1:20" x14ac:dyDescent="0.2">
      <c r="B17" s="104" t="s">
        <v>149</v>
      </c>
      <c r="I17" s="104" t="s">
        <v>149</v>
      </c>
    </row>
    <row r="18" spans="1:20" x14ac:dyDescent="0.2">
      <c r="B18" s="151" t="s">
        <v>150</v>
      </c>
      <c r="E18" s="154">
        <f>Q71</f>
        <v>978.77729960634565</v>
      </c>
      <c r="I18" s="151" t="s">
        <v>150</v>
      </c>
      <c r="L18" s="154">
        <f>X71</f>
        <v>0</v>
      </c>
      <c r="O18" s="154">
        <f>E18</f>
        <v>978.77729960634565</v>
      </c>
    </row>
    <row r="19" spans="1:20" x14ac:dyDescent="0.2">
      <c r="B19" s="151" t="s">
        <v>151</v>
      </c>
      <c r="E19" s="155">
        <f>PMT('KU Meter Pulse -WACOC-Tax Table'!E13,E13,Q71)*-1</f>
        <v>240.03268929148757</v>
      </c>
      <c r="I19" s="151" t="s">
        <v>151</v>
      </c>
      <c r="L19" s="155">
        <f>PMT('KU Meter Pulse -WACOC-Tax Table'!L13,L13,X71)*-1</f>
        <v>0</v>
      </c>
      <c r="O19" s="155">
        <f>E19</f>
        <v>240.03268929148757</v>
      </c>
    </row>
    <row r="20" spans="1:20" x14ac:dyDescent="0.2">
      <c r="B20" s="151" t="s">
        <v>152</v>
      </c>
      <c r="E20" s="152">
        <f>E19/E8</f>
        <v>0.24003268929148758</v>
      </c>
      <c r="I20" s="151" t="s">
        <v>152</v>
      </c>
      <c r="L20" s="152">
        <f>L19/L8</f>
        <v>0</v>
      </c>
      <c r="O20" s="152">
        <f>E20</f>
        <v>0.24003268929148758</v>
      </c>
    </row>
    <row r="21" spans="1:20" x14ac:dyDescent="0.2">
      <c r="B21" s="151" t="s">
        <v>153</v>
      </c>
      <c r="E21" s="156">
        <f>1/E20</f>
        <v>4.166099221534088</v>
      </c>
      <c r="F21" s="100" t="s">
        <v>154</v>
      </c>
      <c r="I21" s="151" t="s">
        <v>153</v>
      </c>
      <c r="L21" s="156" t="e">
        <f>1/L20</f>
        <v>#DIV/0!</v>
      </c>
      <c r="M21" s="100" t="s">
        <v>154</v>
      </c>
      <c r="O21" s="156">
        <f>E21</f>
        <v>4.166099221534088</v>
      </c>
      <c r="P21" s="100" t="s">
        <v>154</v>
      </c>
    </row>
    <row r="22" spans="1:20" x14ac:dyDescent="0.2">
      <c r="C22" s="156"/>
    </row>
    <row r="23" spans="1:20" x14ac:dyDescent="0.2">
      <c r="C23" s="156"/>
    </row>
    <row r="24" spans="1:20" x14ac:dyDescent="0.2">
      <c r="A24" s="120"/>
      <c r="B24" s="120"/>
      <c r="C24" s="120"/>
      <c r="D24" s="120"/>
      <c r="E24" s="120"/>
      <c r="F24" s="120"/>
      <c r="G24" s="120"/>
      <c r="H24" s="120"/>
      <c r="I24" s="120"/>
      <c r="J24" s="120"/>
      <c r="K24" s="120"/>
      <c r="L24" s="120"/>
      <c r="M24" s="120"/>
      <c r="N24" s="120"/>
      <c r="O24" s="120"/>
      <c r="P24" s="141"/>
      <c r="Q24" s="120"/>
      <c r="R24" s="141" t="s">
        <v>94</v>
      </c>
      <c r="S24" s="120"/>
    </row>
    <row r="25" spans="1:20" x14ac:dyDescent="0.2">
      <c r="A25" s="120"/>
      <c r="B25" s="120"/>
      <c r="C25" s="120"/>
      <c r="D25" s="120"/>
      <c r="E25" s="120"/>
      <c r="F25" s="120"/>
      <c r="G25" s="120"/>
      <c r="H25" s="120"/>
      <c r="I25" s="141"/>
      <c r="J25" s="120"/>
      <c r="K25" s="120"/>
      <c r="L25" s="120"/>
      <c r="M25" s="120"/>
      <c r="N25" s="141"/>
      <c r="O25" s="141"/>
      <c r="P25" s="141" t="s">
        <v>95</v>
      </c>
      <c r="Q25" s="141" t="s">
        <v>95</v>
      </c>
      <c r="R25" s="141" t="s">
        <v>95</v>
      </c>
      <c r="S25" s="141" t="s">
        <v>101</v>
      </c>
    </row>
    <row r="26" spans="1:20" x14ac:dyDescent="0.2">
      <c r="A26" s="120"/>
      <c r="B26" s="120"/>
      <c r="C26" s="120"/>
      <c r="D26" s="120"/>
      <c r="E26" s="120"/>
      <c r="F26" s="120"/>
      <c r="G26" s="120"/>
      <c r="H26" s="141" t="s">
        <v>155</v>
      </c>
      <c r="I26" s="141"/>
      <c r="J26" s="120"/>
      <c r="K26" s="120"/>
      <c r="L26" s="120"/>
      <c r="M26" s="120"/>
      <c r="N26" s="141"/>
      <c r="O26" s="141" t="s">
        <v>101</v>
      </c>
      <c r="P26" s="141" t="s">
        <v>156</v>
      </c>
      <c r="Q26" s="141" t="s">
        <v>156</v>
      </c>
      <c r="R26" s="141" t="s">
        <v>156</v>
      </c>
      <c r="S26" s="141" t="s">
        <v>157</v>
      </c>
    </row>
    <row r="27" spans="1:20" x14ac:dyDescent="0.2">
      <c r="A27" s="120"/>
      <c r="B27" s="141"/>
      <c r="C27" s="141" t="s">
        <v>158</v>
      </c>
      <c r="D27" s="141" t="s">
        <v>159</v>
      </c>
      <c r="E27" s="141" t="s">
        <v>160</v>
      </c>
      <c r="F27" s="141" t="s">
        <v>159</v>
      </c>
      <c r="G27" s="141" t="s">
        <v>161</v>
      </c>
      <c r="H27" s="141" t="s">
        <v>161</v>
      </c>
      <c r="I27" s="141"/>
      <c r="J27" s="141"/>
      <c r="K27" s="141"/>
      <c r="L27" s="141"/>
      <c r="M27" s="141" t="s">
        <v>162</v>
      </c>
      <c r="N27" s="141" t="s">
        <v>163</v>
      </c>
      <c r="O27" s="141" t="s">
        <v>164</v>
      </c>
      <c r="P27" s="141" t="s">
        <v>165</v>
      </c>
      <c r="Q27" s="141" t="s">
        <v>164</v>
      </c>
      <c r="R27" s="141" t="s">
        <v>164</v>
      </c>
      <c r="S27" s="141" t="s">
        <v>166</v>
      </c>
    </row>
    <row r="28" spans="1:20" x14ac:dyDescent="0.2">
      <c r="A28" s="141" t="s">
        <v>107</v>
      </c>
      <c r="B28" s="141" t="s">
        <v>167</v>
      </c>
      <c r="C28" s="141" t="s">
        <v>168</v>
      </c>
      <c r="D28" s="141" t="s">
        <v>169</v>
      </c>
      <c r="E28" s="141" t="s">
        <v>168</v>
      </c>
      <c r="F28" s="141" t="s">
        <v>169</v>
      </c>
      <c r="G28" s="141" t="s">
        <v>170</v>
      </c>
      <c r="H28" s="141" t="s">
        <v>170</v>
      </c>
      <c r="I28" s="141" t="s">
        <v>171</v>
      </c>
      <c r="J28" s="141" t="s">
        <v>165</v>
      </c>
      <c r="K28" s="141" t="s">
        <v>172</v>
      </c>
      <c r="L28" s="141" t="s">
        <v>173</v>
      </c>
      <c r="M28" s="141" t="s">
        <v>174</v>
      </c>
      <c r="N28" s="141" t="s">
        <v>174</v>
      </c>
      <c r="O28" s="141" t="s">
        <v>175</v>
      </c>
      <c r="P28" s="141" t="s">
        <v>176</v>
      </c>
      <c r="Q28" s="141" t="s">
        <v>175</v>
      </c>
      <c r="R28" s="141" t="s">
        <v>175</v>
      </c>
      <c r="S28" s="141" t="s">
        <v>31</v>
      </c>
    </row>
    <row r="30" spans="1:20" x14ac:dyDescent="0.2">
      <c r="A30" s="100">
        <v>0</v>
      </c>
      <c r="B30" s="139">
        <f>E8</f>
        <v>1000</v>
      </c>
      <c r="C30" s="157"/>
      <c r="D30" s="157"/>
      <c r="E30" s="157"/>
      <c r="F30" s="157"/>
      <c r="G30" s="157"/>
      <c r="H30" s="157"/>
      <c r="I30" s="154">
        <v>0</v>
      </c>
      <c r="J30" s="133">
        <f>'KU Meter Pulse -WACOC-Tax Table'!$E$10*I30</f>
        <v>0</v>
      </c>
      <c r="K30" s="139">
        <f>I30*('KU Meter Pulse -WACOC-Tax Table'!$E$11+'KU Meter Pulse -WACOC-Tax Table'!$E$12)</f>
        <v>0</v>
      </c>
      <c r="M30" s="154">
        <f t="shared" ref="M30:M70" si="1">$E$12*D30</f>
        <v>0</v>
      </c>
      <c r="N30" s="146">
        <f t="shared" ref="N30:N70" si="2">($E$11/(1-$E$11))*K30</f>
        <v>0</v>
      </c>
      <c r="O30" s="139">
        <f t="shared" ref="O30:O70" si="3">C30+J30+K30+L30+M30+N30</f>
        <v>0</v>
      </c>
      <c r="P30" s="158">
        <f>1/(1+'KU Meter Pulse -WACOC-Tax Table'!$E$13)^A30</f>
        <v>1</v>
      </c>
      <c r="Q30" s="159">
        <f t="shared" ref="Q30:Q70" si="4">O30*P30</f>
        <v>0</v>
      </c>
      <c r="R30" s="154">
        <f>Q30</f>
        <v>0</v>
      </c>
    </row>
    <row r="31" spans="1:20" x14ac:dyDescent="0.2">
      <c r="A31" s="100">
        <v>1</v>
      </c>
      <c r="C31" s="146">
        <f>(1/$E$9)*$B$30</f>
        <v>200</v>
      </c>
      <c r="D31" s="146">
        <f>$B$30-C31</f>
        <v>800</v>
      </c>
      <c r="E31" s="146">
        <f>HLOOKUP($E$10,'KU Meter Pulse -WACOC-Tax Table'!$B$17:$E$58,A32)*$B$30</f>
        <v>200</v>
      </c>
      <c r="F31" s="146">
        <f>B30-E31</f>
        <v>800</v>
      </c>
      <c r="G31" s="146">
        <f t="shared" ref="G31:G70" si="5">(E31-C31)*$E$11</f>
        <v>0</v>
      </c>
      <c r="H31" s="146">
        <f>G31</f>
        <v>0</v>
      </c>
      <c r="I31" s="146">
        <f t="shared" ref="I31:I36" si="6">D31-H31</f>
        <v>800</v>
      </c>
      <c r="J31" s="146">
        <f>'KU Meter Pulse -WACOC-Tax Table'!$E$10*I31</f>
        <v>6.3108932127590639E-2</v>
      </c>
      <c r="K31" s="146">
        <f>I31*('KU Meter Pulse -WACOC-Tax Table'!$E$11+'KU Meter Pulse -WACOC-Tax Table'!$E$12)</f>
        <v>57.584707839706205</v>
      </c>
      <c r="L31" s="146">
        <f>$E$14*$E$8</f>
        <v>0</v>
      </c>
      <c r="M31" s="146">
        <f t="shared" si="1"/>
        <v>0</v>
      </c>
      <c r="N31" s="146">
        <f t="shared" si="2"/>
        <v>19.143750307803728</v>
      </c>
      <c r="O31" s="146">
        <f t="shared" si="3"/>
        <v>276.7915670796375</v>
      </c>
      <c r="P31" s="158">
        <f>1/(1+'KU Meter Pulse -WACOC-Tax Table'!$E$13)^A31</f>
        <v>0.93278381213769201</v>
      </c>
      <c r="Q31" s="160">
        <f t="shared" si="4"/>
        <v>258.18669310810998</v>
      </c>
      <c r="R31" s="146">
        <f t="shared" ref="R31:R69" si="7">R30+Q31</f>
        <v>258.18669310810998</v>
      </c>
      <c r="S31" s="152">
        <f t="shared" ref="S31:S70" si="8">O31/$B$30</f>
        <v>0.27679156707963748</v>
      </c>
      <c r="T31" s="155"/>
    </row>
    <row r="32" spans="1:20" x14ac:dyDescent="0.2">
      <c r="A32" s="100">
        <v>2</v>
      </c>
      <c r="C32" s="146">
        <f t="shared" ref="C32:C69" si="9">IF(D31&lt;=0.001,0,(1/$E$9)*$B$30)</f>
        <v>200</v>
      </c>
      <c r="D32" s="146">
        <f t="shared" ref="D32:D69" si="10">D31-C32</f>
        <v>600</v>
      </c>
      <c r="E32" s="146">
        <f>HLOOKUP($E$10,'KU Meter Pulse -WACOC-Tax Table'!$B$17:$E$58,A33)*$B$30</f>
        <v>320</v>
      </c>
      <c r="F32" s="146">
        <f t="shared" ref="F32:F69" si="11">F31-E32</f>
        <v>480</v>
      </c>
      <c r="G32" s="146">
        <f t="shared" si="5"/>
        <v>29.94</v>
      </c>
      <c r="H32" s="146">
        <f t="shared" ref="H32:H69" si="12">H31+G32</f>
        <v>29.94</v>
      </c>
      <c r="I32" s="146">
        <f t="shared" si="6"/>
        <v>570.05999999999995</v>
      </c>
      <c r="J32" s="146">
        <f>'KU Meter Pulse -WACOC-Tax Table'!$E$10*I32</f>
        <v>4.4969847310817899E-2</v>
      </c>
      <c r="K32" s="146">
        <f>I32*('KU Meter Pulse -WACOC-Tax Table'!$E$11+'KU Meter Pulse -WACOC-Tax Table'!$E$12)</f>
        <v>41.033423188878643</v>
      </c>
      <c r="L32" s="146">
        <f t="shared" ref="L32:L65" si="13">$E$14*$E$8*(1+$E$15)^A31</f>
        <v>0</v>
      </c>
      <c r="M32" s="146">
        <f t="shared" si="1"/>
        <v>0</v>
      </c>
      <c r="N32" s="146">
        <f t="shared" si="2"/>
        <v>13.641357875583241</v>
      </c>
      <c r="O32" s="146">
        <f t="shared" si="3"/>
        <v>254.71975091177273</v>
      </c>
      <c r="P32" s="158">
        <f>1/(1+'KU Meter Pulse -WACOC-Tax Table'!$E$13)^A32</f>
        <v>0.87008564018612511</v>
      </c>
      <c r="Q32" s="160">
        <f t="shared" si="4"/>
        <v>221.62799754012011</v>
      </c>
      <c r="R32" s="146">
        <f t="shared" si="7"/>
        <v>479.81469064823011</v>
      </c>
      <c r="S32" s="152">
        <f t="shared" si="8"/>
        <v>0.25471975091177274</v>
      </c>
      <c r="T32" s="155"/>
    </row>
    <row r="33" spans="1:20" x14ac:dyDescent="0.2">
      <c r="A33" s="100">
        <v>3</v>
      </c>
      <c r="C33" s="146">
        <f t="shared" si="9"/>
        <v>200</v>
      </c>
      <c r="D33" s="146">
        <f t="shared" si="10"/>
        <v>400</v>
      </c>
      <c r="E33" s="146">
        <f>HLOOKUP($E$10,'KU Meter Pulse -WACOC-Tax Table'!$B$17:$E$58,A34)*$B$30</f>
        <v>192</v>
      </c>
      <c r="F33" s="146">
        <f t="shared" si="11"/>
        <v>288</v>
      </c>
      <c r="G33" s="146">
        <f t="shared" si="5"/>
        <v>-1.996</v>
      </c>
      <c r="H33" s="146">
        <f t="shared" si="12"/>
        <v>27.944000000000003</v>
      </c>
      <c r="I33" s="146">
        <f t="shared" si="6"/>
        <v>372.05599999999998</v>
      </c>
      <c r="J33" s="146">
        <f>'KU Meter Pulse -WACOC-Tax Table'!$E$10*I33</f>
        <v>2.9350071064578577E-2</v>
      </c>
      <c r="K33" s="146">
        <f>I33*('KU Meter Pulse -WACOC-Tax Table'!$E$11+'KU Meter Pulse -WACOC-Tax Table'!$E$12)</f>
        <v>26.780920075012165</v>
      </c>
      <c r="L33" s="146">
        <f t="shared" si="13"/>
        <v>0</v>
      </c>
      <c r="M33" s="146">
        <f t="shared" si="1"/>
        <v>0</v>
      </c>
      <c r="N33" s="146">
        <f t="shared" si="2"/>
        <v>8.903183955650281</v>
      </c>
      <c r="O33" s="146">
        <f t="shared" si="3"/>
        <v>235.71345410172705</v>
      </c>
      <c r="P33" s="158">
        <f>1/(1+'KU Meter Pulse -WACOC-Tax Table'!$E$13)^A33</f>
        <v>0.81160180033907803</v>
      </c>
      <c r="Q33" s="160">
        <f t="shared" si="4"/>
        <v>191.3054637131043</v>
      </c>
      <c r="R33" s="146">
        <f t="shared" si="7"/>
        <v>671.12015436133447</v>
      </c>
      <c r="S33" s="152">
        <f t="shared" si="8"/>
        <v>0.23571345410172706</v>
      </c>
      <c r="T33" s="155"/>
    </row>
    <row r="34" spans="1:20" x14ac:dyDescent="0.2">
      <c r="A34" s="100">
        <v>4</v>
      </c>
      <c r="C34" s="146">
        <f t="shared" si="9"/>
        <v>200</v>
      </c>
      <c r="D34" s="146">
        <f t="shared" si="10"/>
        <v>200</v>
      </c>
      <c r="E34" s="146">
        <f>HLOOKUP($E$10,'KU Meter Pulse -WACOC-Tax Table'!$B$17:$E$58,A35)*$B$30</f>
        <v>115.2</v>
      </c>
      <c r="F34" s="146">
        <f t="shared" si="11"/>
        <v>172.8</v>
      </c>
      <c r="G34" s="146">
        <f t="shared" si="5"/>
        <v>-21.157599999999999</v>
      </c>
      <c r="H34" s="146">
        <f t="shared" si="12"/>
        <v>6.786400000000004</v>
      </c>
      <c r="I34" s="146">
        <f t="shared" si="6"/>
        <v>193.21359999999999</v>
      </c>
      <c r="J34" s="146">
        <f>'KU Meter Pulse -WACOC-Tax Table'!$E$10*I34</f>
        <v>1.5241879960659307E-2</v>
      </c>
      <c r="K34" s="146">
        <f>I34*('KU Meter Pulse -WACOC-Tax Table'!$E$11+'KU Meter Pulse -WACOC-Tax Table'!$E$12)</f>
        <v>13.907685883322323</v>
      </c>
      <c r="L34" s="146">
        <f t="shared" si="13"/>
        <v>0</v>
      </c>
      <c r="M34" s="146">
        <f t="shared" si="1"/>
        <v>0</v>
      </c>
      <c r="N34" s="146">
        <f t="shared" si="2"/>
        <v>4.6235411430898328</v>
      </c>
      <c r="O34" s="146">
        <f t="shared" si="3"/>
        <v>218.54646890637281</v>
      </c>
      <c r="P34" s="158">
        <f>1/(1+'KU Meter Pulse -WACOC-Tax Table'!$E$13)^A34</f>
        <v>0.75704902125809925</v>
      </c>
      <c r="Q34" s="160">
        <f t="shared" si="4"/>
        <v>165.45039038498317</v>
      </c>
      <c r="R34" s="146">
        <f t="shared" si="7"/>
        <v>836.57054474631764</v>
      </c>
      <c r="S34" s="152">
        <f t="shared" si="8"/>
        <v>0.2185464689063728</v>
      </c>
      <c r="T34" s="155"/>
    </row>
    <row r="35" spans="1:20" x14ac:dyDescent="0.2">
      <c r="A35" s="100">
        <v>5</v>
      </c>
      <c r="C35" s="146">
        <f t="shared" si="9"/>
        <v>200</v>
      </c>
      <c r="D35" s="146">
        <f t="shared" si="10"/>
        <v>0</v>
      </c>
      <c r="E35" s="146">
        <f>HLOOKUP($E$10,'KU Meter Pulse -WACOC-Tax Table'!$B$17:$E$58,A36)*$B$30</f>
        <v>115.2</v>
      </c>
      <c r="F35" s="146">
        <f t="shared" si="11"/>
        <v>57.600000000000009</v>
      </c>
      <c r="G35" s="146">
        <f t="shared" si="5"/>
        <v>-21.157599999999999</v>
      </c>
      <c r="H35" s="146">
        <f t="shared" si="12"/>
        <v>-14.371199999999995</v>
      </c>
      <c r="I35" s="146">
        <f t="shared" si="6"/>
        <v>14.371199999999995</v>
      </c>
      <c r="J35" s="146">
        <f>'KU Meter Pulse -WACOC-Tax Table'!$E$10*I35</f>
        <v>1.133688856740038E-3</v>
      </c>
      <c r="K35" s="146">
        <f>I35*('KU Meter Pulse -WACOC-Tax Table'!$E$11+'KU Meter Pulse -WACOC-Tax Table'!$E$12)</f>
        <v>1.034451691632482</v>
      </c>
      <c r="L35" s="146">
        <f t="shared" si="13"/>
        <v>0</v>
      </c>
      <c r="M35" s="146">
        <f t="shared" si="1"/>
        <v>0</v>
      </c>
      <c r="N35" s="146">
        <f t="shared" si="2"/>
        <v>0.34389833052938606</v>
      </c>
      <c r="O35" s="146">
        <f t="shared" si="3"/>
        <v>201.37948371101862</v>
      </c>
      <c r="P35" s="158">
        <f>1/(1+'KU Meter Pulse -WACOC-Tax Table'!$E$13)^A35</f>
        <v>0.70616307202423856</v>
      </c>
      <c r="Q35" s="160">
        <f t="shared" si="4"/>
        <v>142.20675486002801</v>
      </c>
      <c r="R35" s="146">
        <f t="shared" si="7"/>
        <v>978.77729960634565</v>
      </c>
      <c r="S35" s="152">
        <f t="shared" si="8"/>
        <v>0.20137948371101863</v>
      </c>
      <c r="T35" s="155"/>
    </row>
    <row r="36" spans="1:20" x14ac:dyDescent="0.2">
      <c r="A36" s="100">
        <v>6</v>
      </c>
      <c r="C36" s="146">
        <f t="shared" si="9"/>
        <v>0</v>
      </c>
      <c r="D36" s="146">
        <f t="shared" si="10"/>
        <v>0</v>
      </c>
      <c r="E36" s="146">
        <f>HLOOKUP($E$10,'KU Meter Pulse -WACOC-Tax Table'!$B$17:$E$58,A37)*$B$30</f>
        <v>57.600000000000044</v>
      </c>
      <c r="F36" s="146">
        <f t="shared" si="11"/>
        <v>0</v>
      </c>
      <c r="G36" s="146">
        <f t="shared" si="5"/>
        <v>14.371200000000011</v>
      </c>
      <c r="H36" s="146">
        <f t="shared" si="12"/>
        <v>1.5987211554602254E-14</v>
      </c>
      <c r="I36" s="146">
        <f t="shared" si="6"/>
        <v>-1.5987211554602254E-14</v>
      </c>
      <c r="J36" s="146">
        <f>'KU Meter Pulse -WACOC-Tax Table'!$E$10*I36</f>
        <v>-1.2611698111360332E-18</v>
      </c>
      <c r="K36" s="146">
        <f>I36*('KU Meter Pulse -WACOC-Tax Table'!$E$11+'KU Meter Pulse -WACOC-Tax Table'!$E$12)</f>
        <v>-1.1507736331791825E-15</v>
      </c>
      <c r="L36" s="146">
        <f t="shared" si="13"/>
        <v>0</v>
      </c>
      <c r="M36" s="146">
        <f t="shared" si="1"/>
        <v>0</v>
      </c>
      <c r="N36" s="146">
        <f t="shared" si="2"/>
        <v>-3.8256898264917528E-16</v>
      </c>
      <c r="O36" s="146">
        <f t="shared" si="3"/>
        <v>-1.5346037856394939E-15</v>
      </c>
      <c r="P36" s="158">
        <f>1/(1+'KU Meter Pulse -WACOC-Tax Table'!$E$13)^A36</f>
        <v>0.65869748231363279</v>
      </c>
      <c r="Q36" s="160">
        <f t="shared" si="4"/>
        <v>-1.0108396499497045E-15</v>
      </c>
      <c r="R36" s="146">
        <f t="shared" si="7"/>
        <v>978.77729960634565</v>
      </c>
      <c r="S36" s="152">
        <f t="shared" si="8"/>
        <v>-1.5346037856394939E-18</v>
      </c>
      <c r="T36" s="155"/>
    </row>
    <row r="37" spans="1:20" ht="10.5" hidden="1" customHeight="1" x14ac:dyDescent="0.2">
      <c r="A37" s="100">
        <v>7</v>
      </c>
      <c r="C37" s="146">
        <f t="shared" si="9"/>
        <v>0</v>
      </c>
      <c r="D37" s="146">
        <f t="shared" si="10"/>
        <v>0</v>
      </c>
      <c r="E37" s="146">
        <f>HLOOKUP($E$10,'KU Meter Pulse -WACOC-Tax Table'!$B$17:$E$58,A38)*$B$30</f>
        <v>0</v>
      </c>
      <c r="F37" s="146">
        <f t="shared" si="11"/>
        <v>0</v>
      </c>
      <c r="G37" s="146">
        <f t="shared" si="5"/>
        <v>0</v>
      </c>
      <c r="H37" s="146">
        <f t="shared" si="12"/>
        <v>1.5987211554602254E-14</v>
      </c>
      <c r="I37" s="146">
        <f t="shared" ref="I37:I70" si="14">D37</f>
        <v>0</v>
      </c>
      <c r="J37" s="146">
        <f>'KU Meter Pulse -WACOC-Tax Table'!$E$10*I37</f>
        <v>0</v>
      </c>
      <c r="K37" s="146">
        <f>I37*('KU Meter Pulse -WACOC-Tax Table'!$E$11+'KU Meter Pulse -WACOC-Tax Table'!$E$12)</f>
        <v>0</v>
      </c>
      <c r="L37" s="146">
        <f t="shared" si="13"/>
        <v>0</v>
      </c>
      <c r="M37" s="146">
        <f t="shared" si="1"/>
        <v>0</v>
      </c>
      <c r="N37" s="146">
        <f t="shared" si="2"/>
        <v>0</v>
      </c>
      <c r="O37" s="146">
        <f t="shared" si="3"/>
        <v>0</v>
      </c>
      <c r="P37" s="158">
        <f>1/(1+'KU Meter Pulse -WACOC-Tax Table'!$E$13)^A37</f>
        <v>0.61442234859801037</v>
      </c>
      <c r="Q37" s="160">
        <f t="shared" si="4"/>
        <v>0</v>
      </c>
      <c r="R37" s="146">
        <f t="shared" si="7"/>
        <v>978.77729960634565</v>
      </c>
      <c r="S37" s="152">
        <f t="shared" si="8"/>
        <v>0</v>
      </c>
      <c r="T37" s="155"/>
    </row>
    <row r="38" spans="1:20" hidden="1" x14ac:dyDescent="0.2">
      <c r="A38" s="100">
        <v>8</v>
      </c>
      <c r="C38" s="146">
        <f t="shared" si="9"/>
        <v>0</v>
      </c>
      <c r="D38" s="146">
        <f t="shared" si="10"/>
        <v>0</v>
      </c>
      <c r="E38" s="146">
        <f>HLOOKUP($E$10,'KU Meter Pulse -WACOC-Tax Table'!$B$17:$E$58,A39)*$B$30</f>
        <v>0</v>
      </c>
      <c r="F38" s="146">
        <f t="shared" si="11"/>
        <v>0</v>
      </c>
      <c r="G38" s="146">
        <f t="shared" si="5"/>
        <v>0</v>
      </c>
      <c r="H38" s="146">
        <f t="shared" si="12"/>
        <v>1.5987211554602254E-14</v>
      </c>
      <c r="I38" s="146">
        <f t="shared" si="14"/>
        <v>0</v>
      </c>
      <c r="J38" s="146">
        <f>'KU Meter Pulse -WACOC-Tax Table'!$E$10*I38</f>
        <v>0</v>
      </c>
      <c r="K38" s="146">
        <f>I38*('KU Meter Pulse -WACOC-Tax Table'!$E$11+'KU Meter Pulse -WACOC-Tax Table'!$E$12)</f>
        <v>0</v>
      </c>
      <c r="L38" s="146">
        <f t="shared" si="13"/>
        <v>0</v>
      </c>
      <c r="M38" s="146">
        <f t="shared" si="1"/>
        <v>0</v>
      </c>
      <c r="N38" s="146">
        <f t="shared" si="2"/>
        <v>0</v>
      </c>
      <c r="O38" s="146">
        <f t="shared" si="3"/>
        <v>0</v>
      </c>
      <c r="P38" s="158">
        <f>1/(1+'KU Meter Pulse -WACOC-Tax Table'!$E$13)^A38</f>
        <v>0.57312322058784604</v>
      </c>
      <c r="Q38" s="160">
        <f t="shared" si="4"/>
        <v>0</v>
      </c>
      <c r="R38" s="146">
        <f t="shared" si="7"/>
        <v>978.77729960634565</v>
      </c>
      <c r="S38" s="152">
        <f t="shared" si="8"/>
        <v>0</v>
      </c>
      <c r="T38" s="155"/>
    </row>
    <row r="39" spans="1:20" hidden="1" x14ac:dyDescent="0.2">
      <c r="A39" s="100">
        <v>9</v>
      </c>
      <c r="C39" s="146">
        <f t="shared" si="9"/>
        <v>0</v>
      </c>
      <c r="D39" s="146">
        <f t="shared" si="10"/>
        <v>0</v>
      </c>
      <c r="E39" s="146">
        <f>HLOOKUP($E$10,'KU Meter Pulse -WACOC-Tax Table'!$B$17:$E$58,A40)*$B$30</f>
        <v>0</v>
      </c>
      <c r="F39" s="146">
        <f t="shared" si="11"/>
        <v>0</v>
      </c>
      <c r="G39" s="146">
        <f t="shared" si="5"/>
        <v>0</v>
      </c>
      <c r="H39" s="146">
        <f t="shared" si="12"/>
        <v>1.5987211554602254E-14</v>
      </c>
      <c r="I39" s="146">
        <f t="shared" si="14"/>
        <v>0</v>
      </c>
      <c r="J39" s="146">
        <f>'KU Meter Pulse -WACOC-Tax Table'!$E$10*I39</f>
        <v>0</v>
      </c>
      <c r="K39" s="146">
        <f>I39*('KU Meter Pulse -WACOC-Tax Table'!$E$11+'KU Meter Pulse -WACOC-Tax Table'!$E$12)</f>
        <v>0</v>
      </c>
      <c r="L39" s="146">
        <f t="shared" si="13"/>
        <v>0</v>
      </c>
      <c r="M39" s="146">
        <f t="shared" si="1"/>
        <v>0</v>
      </c>
      <c r="N39" s="146">
        <f t="shared" si="2"/>
        <v>0</v>
      </c>
      <c r="O39" s="146">
        <f t="shared" si="3"/>
        <v>0</v>
      </c>
      <c r="P39" s="158">
        <f>1/(1+'KU Meter Pulse -WACOC-Tax Table'!$E$13)^A39</f>
        <v>0.53460006252456238</v>
      </c>
      <c r="Q39" s="160">
        <f t="shared" si="4"/>
        <v>0</v>
      </c>
      <c r="R39" s="146">
        <f t="shared" si="7"/>
        <v>978.77729960634565</v>
      </c>
      <c r="S39" s="152">
        <f t="shared" si="8"/>
        <v>0</v>
      </c>
      <c r="T39" s="155"/>
    </row>
    <row r="40" spans="1:20" hidden="1" x14ac:dyDescent="0.2">
      <c r="A40" s="100">
        <v>10</v>
      </c>
      <c r="C40" s="146">
        <f t="shared" si="9"/>
        <v>0</v>
      </c>
      <c r="D40" s="146">
        <f t="shared" si="10"/>
        <v>0</v>
      </c>
      <c r="E40" s="146">
        <f>HLOOKUP($E$10,'KU Meter Pulse -WACOC-Tax Table'!$B$17:$E$58,A41)*$B$30</f>
        <v>0</v>
      </c>
      <c r="F40" s="146">
        <f t="shared" si="11"/>
        <v>0</v>
      </c>
      <c r="G40" s="146">
        <f t="shared" si="5"/>
        <v>0</v>
      </c>
      <c r="H40" s="146">
        <f t="shared" si="12"/>
        <v>1.5987211554602254E-14</v>
      </c>
      <c r="I40" s="146">
        <f t="shared" si="14"/>
        <v>0</v>
      </c>
      <c r="J40" s="146">
        <f>'KU Meter Pulse -WACOC-Tax Table'!$E$10*I40</f>
        <v>0</v>
      </c>
      <c r="K40" s="146">
        <f>I40*('KU Meter Pulse -WACOC-Tax Table'!$E$11+'KU Meter Pulse -WACOC-Tax Table'!$E$12)</f>
        <v>0</v>
      </c>
      <c r="L40" s="146">
        <f t="shared" si="13"/>
        <v>0</v>
      </c>
      <c r="M40" s="146">
        <f t="shared" si="1"/>
        <v>0</v>
      </c>
      <c r="N40" s="146">
        <f t="shared" si="2"/>
        <v>0</v>
      </c>
      <c r="O40" s="146">
        <f t="shared" si="3"/>
        <v>0</v>
      </c>
      <c r="P40" s="158">
        <f>1/(1+'KU Meter Pulse -WACOC-Tax Table'!$E$13)^A40</f>
        <v>0.49866628429070986</v>
      </c>
      <c r="Q40" s="160">
        <f t="shared" si="4"/>
        <v>0</v>
      </c>
      <c r="R40" s="146">
        <f t="shared" si="7"/>
        <v>978.77729960634565</v>
      </c>
      <c r="S40" s="152">
        <f t="shared" si="8"/>
        <v>0</v>
      </c>
      <c r="T40" s="155"/>
    </row>
    <row r="41" spans="1:20" hidden="1" x14ac:dyDescent="0.2">
      <c r="A41" s="100">
        <v>11</v>
      </c>
      <c r="C41" s="146">
        <f t="shared" si="9"/>
        <v>0</v>
      </c>
      <c r="D41" s="146">
        <f t="shared" si="10"/>
        <v>0</v>
      </c>
      <c r="E41" s="146">
        <f>HLOOKUP($E$10,'KU Meter Pulse -WACOC-Tax Table'!$B$17:$E$58,A42)*$B$30</f>
        <v>0</v>
      </c>
      <c r="F41" s="146">
        <f t="shared" si="11"/>
        <v>0</v>
      </c>
      <c r="G41" s="146">
        <f t="shared" si="5"/>
        <v>0</v>
      </c>
      <c r="H41" s="146">
        <f t="shared" si="12"/>
        <v>1.5987211554602254E-14</v>
      </c>
      <c r="I41" s="146">
        <f t="shared" si="14"/>
        <v>0</v>
      </c>
      <c r="J41" s="146">
        <f>'KU Meter Pulse -WACOC-Tax Table'!$E$10*I41</f>
        <v>0</v>
      </c>
      <c r="K41" s="146">
        <f>I41*('KU Meter Pulse -WACOC-Tax Table'!$E$11+'KU Meter Pulse -WACOC-Tax Table'!$E$12)</f>
        <v>0</v>
      </c>
      <c r="L41" s="146">
        <f t="shared" si="13"/>
        <v>0</v>
      </c>
      <c r="M41" s="146">
        <f t="shared" si="1"/>
        <v>0</v>
      </c>
      <c r="N41" s="146">
        <f t="shared" si="2"/>
        <v>0</v>
      </c>
      <c r="O41" s="146">
        <f t="shared" si="3"/>
        <v>0</v>
      </c>
      <c r="P41" s="158">
        <f>1/(1+'KU Meter Pulse -WACOC-Tax Table'!$E$13)^A41</f>
        <v>0.46514783764522644</v>
      </c>
      <c r="Q41" s="160">
        <f t="shared" si="4"/>
        <v>0</v>
      </c>
      <c r="R41" s="146">
        <f t="shared" si="7"/>
        <v>978.77729960634565</v>
      </c>
      <c r="S41" s="152">
        <f t="shared" si="8"/>
        <v>0</v>
      </c>
      <c r="T41" s="155"/>
    </row>
    <row r="42" spans="1:20" hidden="1" x14ac:dyDescent="0.2">
      <c r="A42" s="100">
        <v>12</v>
      </c>
      <c r="C42" s="146">
        <f t="shared" si="9"/>
        <v>0</v>
      </c>
      <c r="D42" s="146">
        <f t="shared" si="10"/>
        <v>0</v>
      </c>
      <c r="E42" s="146">
        <f>HLOOKUP($E$10,'KU Meter Pulse -WACOC-Tax Table'!$B$17:$E$58,A43)*$B$30</f>
        <v>0</v>
      </c>
      <c r="F42" s="146">
        <f t="shared" si="11"/>
        <v>0</v>
      </c>
      <c r="G42" s="146">
        <f t="shared" si="5"/>
        <v>0</v>
      </c>
      <c r="H42" s="146">
        <f t="shared" si="12"/>
        <v>1.5987211554602254E-14</v>
      </c>
      <c r="I42" s="146">
        <f t="shared" si="14"/>
        <v>0</v>
      </c>
      <c r="J42" s="146">
        <f>'KU Meter Pulse -WACOC-Tax Table'!$E$10*I42</f>
        <v>0</v>
      </c>
      <c r="K42" s="146">
        <f>I42*('KU Meter Pulse -WACOC-Tax Table'!$E$11+'KU Meter Pulse -WACOC-Tax Table'!$E$12)</f>
        <v>0</v>
      </c>
      <c r="L42" s="146">
        <f t="shared" si="13"/>
        <v>0</v>
      </c>
      <c r="M42" s="146">
        <f t="shared" si="1"/>
        <v>0</v>
      </c>
      <c r="N42" s="146">
        <f t="shared" si="2"/>
        <v>0</v>
      </c>
      <c r="O42" s="146">
        <f t="shared" si="3"/>
        <v>0</v>
      </c>
      <c r="P42" s="158">
        <f>1/(1+'KU Meter Pulse -WACOC-Tax Table'!$E$13)^A42</f>
        <v>0.43388237320631862</v>
      </c>
      <c r="Q42" s="160">
        <f t="shared" si="4"/>
        <v>0</v>
      </c>
      <c r="R42" s="146">
        <f t="shared" si="7"/>
        <v>978.77729960634565</v>
      </c>
      <c r="S42" s="152">
        <f t="shared" si="8"/>
        <v>0</v>
      </c>
      <c r="T42" s="155"/>
    </row>
    <row r="43" spans="1:20" hidden="1" x14ac:dyDescent="0.2">
      <c r="A43" s="100">
        <v>13</v>
      </c>
      <c r="C43" s="146">
        <f t="shared" si="9"/>
        <v>0</v>
      </c>
      <c r="D43" s="146">
        <f t="shared" si="10"/>
        <v>0</v>
      </c>
      <c r="E43" s="146">
        <f>HLOOKUP($E$10,'KU Meter Pulse -WACOC-Tax Table'!$B$17:$E$58,A44)*$B$30</f>
        <v>0</v>
      </c>
      <c r="F43" s="146">
        <f t="shared" si="11"/>
        <v>0</v>
      </c>
      <c r="G43" s="146">
        <f t="shared" si="5"/>
        <v>0</v>
      </c>
      <c r="H43" s="146">
        <f t="shared" si="12"/>
        <v>1.5987211554602254E-14</v>
      </c>
      <c r="I43" s="146">
        <f t="shared" si="14"/>
        <v>0</v>
      </c>
      <c r="J43" s="146">
        <f>'KU Meter Pulse -WACOC-Tax Table'!$E$10*I43</f>
        <v>0</v>
      </c>
      <c r="K43" s="146">
        <f>I43*('KU Meter Pulse -WACOC-Tax Table'!$E$11+'KU Meter Pulse -WACOC-Tax Table'!$E$12)</f>
        <v>0</v>
      </c>
      <c r="L43" s="146">
        <f t="shared" si="13"/>
        <v>0</v>
      </c>
      <c r="M43" s="146">
        <f t="shared" si="1"/>
        <v>0</v>
      </c>
      <c r="N43" s="146">
        <f t="shared" si="2"/>
        <v>0</v>
      </c>
      <c r="O43" s="146">
        <f t="shared" si="3"/>
        <v>0</v>
      </c>
      <c r="P43" s="158">
        <f>1/(1+'KU Meter Pulse -WACOC-Tax Table'!$E$13)^A43</f>
        <v>0.40471845409873874</v>
      </c>
      <c r="Q43" s="160">
        <f t="shared" si="4"/>
        <v>0</v>
      </c>
      <c r="R43" s="146">
        <f t="shared" si="7"/>
        <v>978.77729960634565</v>
      </c>
      <c r="S43" s="152">
        <f t="shared" si="8"/>
        <v>0</v>
      </c>
      <c r="T43" s="155"/>
    </row>
    <row r="44" spans="1:20" hidden="1" x14ac:dyDescent="0.2">
      <c r="A44" s="100">
        <v>14</v>
      </c>
      <c r="C44" s="146">
        <f t="shared" si="9"/>
        <v>0</v>
      </c>
      <c r="D44" s="146">
        <f t="shared" si="10"/>
        <v>0</v>
      </c>
      <c r="E44" s="146">
        <f>HLOOKUP($E$10,'KU Meter Pulse -WACOC-Tax Table'!$B$17:$E$58,A45)*$B$30</f>
        <v>0</v>
      </c>
      <c r="F44" s="146">
        <f t="shared" si="11"/>
        <v>0</v>
      </c>
      <c r="G44" s="146">
        <f t="shared" si="5"/>
        <v>0</v>
      </c>
      <c r="H44" s="146">
        <f t="shared" si="12"/>
        <v>1.5987211554602254E-14</v>
      </c>
      <c r="I44" s="146">
        <f t="shared" si="14"/>
        <v>0</v>
      </c>
      <c r="J44" s="146">
        <f>'KU Meter Pulse -WACOC-Tax Table'!$E$10*I44</f>
        <v>0</v>
      </c>
      <c r="K44" s="146">
        <f>I44*('KU Meter Pulse -WACOC-Tax Table'!$E$11+'KU Meter Pulse -WACOC-Tax Table'!$E$12)</f>
        <v>0</v>
      </c>
      <c r="L44" s="146">
        <f t="shared" si="13"/>
        <v>0</v>
      </c>
      <c r="M44" s="146">
        <f t="shared" si="1"/>
        <v>0</v>
      </c>
      <c r="N44" s="146">
        <f t="shared" si="2"/>
        <v>0</v>
      </c>
      <c r="O44" s="146">
        <f t="shared" si="3"/>
        <v>0</v>
      </c>
      <c r="P44" s="158">
        <f>1/(1+'KU Meter Pulse -WACOC-Tax Table'!$E$13)^A44</f>
        <v>0.37751482245669504</v>
      </c>
      <c r="Q44" s="160">
        <f t="shared" si="4"/>
        <v>0</v>
      </c>
      <c r="R44" s="146">
        <f t="shared" si="7"/>
        <v>978.77729960634565</v>
      </c>
      <c r="S44" s="152">
        <f t="shared" si="8"/>
        <v>0</v>
      </c>
      <c r="T44" s="155"/>
    </row>
    <row r="45" spans="1:20" hidden="1" x14ac:dyDescent="0.2">
      <c r="A45" s="100">
        <v>15</v>
      </c>
      <c r="C45" s="146">
        <f t="shared" si="9"/>
        <v>0</v>
      </c>
      <c r="D45" s="146">
        <f t="shared" si="10"/>
        <v>0</v>
      </c>
      <c r="E45" s="146">
        <f>HLOOKUP($E$10,'KU Meter Pulse -WACOC-Tax Table'!$B$17:$E$58,A46)*$B$30</f>
        <v>0</v>
      </c>
      <c r="F45" s="146">
        <f t="shared" si="11"/>
        <v>0</v>
      </c>
      <c r="G45" s="146">
        <f t="shared" si="5"/>
        <v>0</v>
      </c>
      <c r="H45" s="146">
        <f t="shared" si="12"/>
        <v>1.5987211554602254E-14</v>
      </c>
      <c r="I45" s="146">
        <f t="shared" si="14"/>
        <v>0</v>
      </c>
      <c r="J45" s="146">
        <f>'KU Meter Pulse -WACOC-Tax Table'!$E$10*I45</f>
        <v>0</v>
      </c>
      <c r="K45" s="146">
        <f>I45*('KU Meter Pulse -WACOC-Tax Table'!$E$11+'KU Meter Pulse -WACOC-Tax Table'!$E$12)</f>
        <v>0</v>
      </c>
      <c r="L45" s="146">
        <f t="shared" si="13"/>
        <v>0</v>
      </c>
      <c r="M45" s="146">
        <f t="shared" si="1"/>
        <v>0</v>
      </c>
      <c r="N45" s="146">
        <f t="shared" si="2"/>
        <v>0</v>
      </c>
      <c r="O45" s="146">
        <f t="shared" si="3"/>
        <v>0</v>
      </c>
      <c r="P45" s="158">
        <f>1/(1+'KU Meter Pulse -WACOC-Tax Table'!$E$13)^A45</f>
        <v>0.35213971522963999</v>
      </c>
      <c r="Q45" s="160">
        <f t="shared" si="4"/>
        <v>0</v>
      </c>
      <c r="R45" s="146">
        <f t="shared" si="7"/>
        <v>978.77729960634565</v>
      </c>
      <c r="S45" s="152">
        <f t="shared" si="8"/>
        <v>0</v>
      </c>
      <c r="T45" s="155"/>
    </row>
    <row r="46" spans="1:20" hidden="1" x14ac:dyDescent="0.2">
      <c r="A46" s="100">
        <v>16</v>
      </c>
      <c r="C46" s="146">
        <f t="shared" si="9"/>
        <v>0</v>
      </c>
      <c r="D46" s="146">
        <f t="shared" si="10"/>
        <v>0</v>
      </c>
      <c r="E46" s="146">
        <f>HLOOKUP($E$10,'KU Meter Pulse -WACOC-Tax Table'!$B$17:$E$58,A47)*$B$30</f>
        <v>0</v>
      </c>
      <c r="F46" s="146">
        <f t="shared" si="11"/>
        <v>0</v>
      </c>
      <c r="G46" s="146">
        <f t="shared" si="5"/>
        <v>0</v>
      </c>
      <c r="H46" s="146">
        <f t="shared" si="12"/>
        <v>1.5987211554602254E-14</v>
      </c>
      <c r="I46" s="146">
        <f t="shared" si="14"/>
        <v>0</v>
      </c>
      <c r="J46" s="146">
        <f>'KU Meter Pulse -WACOC-Tax Table'!$E$10*I46</f>
        <v>0</v>
      </c>
      <c r="K46" s="146">
        <f>I46*('KU Meter Pulse -WACOC-Tax Table'!$E$11+'KU Meter Pulse -WACOC-Tax Table'!$E$12)</f>
        <v>0</v>
      </c>
      <c r="L46" s="146">
        <f t="shared" si="13"/>
        <v>0</v>
      </c>
      <c r="M46" s="146">
        <f t="shared" si="1"/>
        <v>0</v>
      </c>
      <c r="N46" s="146">
        <f t="shared" si="2"/>
        <v>0</v>
      </c>
      <c r="O46" s="146">
        <f t="shared" si="3"/>
        <v>0</v>
      </c>
      <c r="P46" s="158">
        <f>1/(1+'KU Meter Pulse -WACOC-Tax Table'!$E$13)^A46</f>
        <v>0.32847022597698489</v>
      </c>
      <c r="Q46" s="160">
        <f t="shared" si="4"/>
        <v>0</v>
      </c>
      <c r="R46" s="146">
        <f t="shared" si="7"/>
        <v>978.77729960634565</v>
      </c>
      <c r="S46" s="152">
        <f t="shared" si="8"/>
        <v>0</v>
      </c>
      <c r="T46" s="155"/>
    </row>
    <row r="47" spans="1:20" hidden="1" x14ac:dyDescent="0.2">
      <c r="A47" s="100">
        <v>17</v>
      </c>
      <c r="C47" s="146">
        <f t="shared" si="9"/>
        <v>0</v>
      </c>
      <c r="D47" s="146">
        <f t="shared" si="10"/>
        <v>0</v>
      </c>
      <c r="E47" s="146">
        <f>HLOOKUP($E$10,'KU Meter Pulse -WACOC-Tax Table'!$B$17:$E$58,A48)*$B$30</f>
        <v>0</v>
      </c>
      <c r="F47" s="146">
        <f t="shared" si="11"/>
        <v>0</v>
      </c>
      <c r="G47" s="146">
        <f t="shared" si="5"/>
        <v>0</v>
      </c>
      <c r="H47" s="146">
        <f t="shared" si="12"/>
        <v>1.5987211554602254E-14</v>
      </c>
      <c r="I47" s="146">
        <f t="shared" si="14"/>
        <v>0</v>
      </c>
      <c r="J47" s="146">
        <f>'KU Meter Pulse -WACOC-Tax Table'!$E$10*I47</f>
        <v>0</v>
      </c>
      <c r="K47" s="146">
        <f>I47*('KU Meter Pulse -WACOC-Tax Table'!$E$11+'KU Meter Pulse -WACOC-Tax Table'!$E$12)</f>
        <v>0</v>
      </c>
      <c r="L47" s="146">
        <f t="shared" si="13"/>
        <v>0</v>
      </c>
      <c r="M47" s="146">
        <f t="shared" si="1"/>
        <v>0</v>
      </c>
      <c r="N47" s="146">
        <f t="shared" si="2"/>
        <v>0</v>
      </c>
      <c r="O47" s="146">
        <f t="shared" si="3"/>
        <v>0</v>
      </c>
      <c r="P47" s="158">
        <f>1/(1+'KU Meter Pulse -WACOC-Tax Table'!$E$13)^A47</f>
        <v>0.30639170956054107</v>
      </c>
      <c r="Q47" s="160">
        <f t="shared" si="4"/>
        <v>0</v>
      </c>
      <c r="R47" s="146">
        <f t="shared" si="7"/>
        <v>978.77729960634565</v>
      </c>
      <c r="S47" s="152">
        <f t="shared" si="8"/>
        <v>0</v>
      </c>
      <c r="T47" s="155"/>
    </row>
    <row r="48" spans="1:20" hidden="1" x14ac:dyDescent="0.2">
      <c r="A48" s="100">
        <v>18</v>
      </c>
      <c r="C48" s="146">
        <f t="shared" si="9"/>
        <v>0</v>
      </c>
      <c r="D48" s="146">
        <f t="shared" si="10"/>
        <v>0</v>
      </c>
      <c r="E48" s="146">
        <f>HLOOKUP($E$10,'KU Meter Pulse -WACOC-Tax Table'!$B$17:$E$58,A49)*$B$30</f>
        <v>0</v>
      </c>
      <c r="F48" s="146">
        <f t="shared" si="11"/>
        <v>0</v>
      </c>
      <c r="G48" s="146">
        <f t="shared" si="5"/>
        <v>0</v>
      </c>
      <c r="H48" s="146">
        <f t="shared" si="12"/>
        <v>1.5987211554602254E-14</v>
      </c>
      <c r="I48" s="146">
        <f t="shared" si="14"/>
        <v>0</v>
      </c>
      <c r="J48" s="146">
        <f>'KU Meter Pulse -WACOC-Tax Table'!$E$10*I48</f>
        <v>0</v>
      </c>
      <c r="K48" s="146">
        <f>I48*('KU Meter Pulse -WACOC-Tax Table'!$E$11+'KU Meter Pulse -WACOC-Tax Table'!$E$12)</f>
        <v>0</v>
      </c>
      <c r="L48" s="146">
        <f t="shared" si="13"/>
        <v>0</v>
      </c>
      <c r="M48" s="146">
        <f t="shared" si="1"/>
        <v>0</v>
      </c>
      <c r="N48" s="146">
        <f t="shared" si="2"/>
        <v>0</v>
      </c>
      <c r="O48" s="146">
        <f t="shared" si="3"/>
        <v>0</v>
      </c>
      <c r="P48" s="158">
        <f>1/(1+'KU Meter Pulse -WACOC-Tax Table'!$E$13)^A48</f>
        <v>0.28579722685126607</v>
      </c>
      <c r="Q48" s="160">
        <f t="shared" si="4"/>
        <v>0</v>
      </c>
      <c r="R48" s="146">
        <f t="shared" si="7"/>
        <v>978.77729960634565</v>
      </c>
      <c r="S48" s="152">
        <f t="shared" si="8"/>
        <v>0</v>
      </c>
      <c r="T48" s="155"/>
    </row>
    <row r="49" spans="1:20" hidden="1" x14ac:dyDescent="0.2">
      <c r="A49" s="100">
        <v>19</v>
      </c>
      <c r="C49" s="146">
        <f t="shared" si="9"/>
        <v>0</v>
      </c>
      <c r="D49" s="146">
        <f t="shared" si="10"/>
        <v>0</v>
      </c>
      <c r="E49" s="146">
        <f>HLOOKUP($E$10,'KU Meter Pulse -WACOC-Tax Table'!$B$17:$E$58,A50)*$B$30</f>
        <v>0</v>
      </c>
      <c r="F49" s="146">
        <f t="shared" si="11"/>
        <v>0</v>
      </c>
      <c r="G49" s="146">
        <f t="shared" si="5"/>
        <v>0</v>
      </c>
      <c r="H49" s="146">
        <f t="shared" si="12"/>
        <v>1.5987211554602254E-14</v>
      </c>
      <c r="I49" s="146">
        <f t="shared" si="14"/>
        <v>0</v>
      </c>
      <c r="J49" s="146">
        <f>'KU Meter Pulse -WACOC-Tax Table'!$E$10*I49</f>
        <v>0</v>
      </c>
      <c r="K49" s="146">
        <f>I49*('KU Meter Pulse -WACOC-Tax Table'!$E$11+'KU Meter Pulse -WACOC-Tax Table'!$E$12)</f>
        <v>0</v>
      </c>
      <c r="L49" s="146">
        <f t="shared" si="13"/>
        <v>0</v>
      </c>
      <c r="M49" s="146">
        <f t="shared" si="1"/>
        <v>0</v>
      </c>
      <c r="N49" s="146">
        <f t="shared" si="2"/>
        <v>0</v>
      </c>
      <c r="O49" s="146">
        <f t="shared" si="3"/>
        <v>0</v>
      </c>
      <c r="P49" s="158">
        <f>1/(1+'KU Meter Pulse -WACOC-Tax Table'!$E$13)^A49</f>
        <v>0.26658702676070473</v>
      </c>
      <c r="Q49" s="160">
        <f t="shared" si="4"/>
        <v>0</v>
      </c>
      <c r="R49" s="146">
        <f t="shared" si="7"/>
        <v>978.77729960634565</v>
      </c>
      <c r="S49" s="152">
        <f t="shared" si="8"/>
        <v>0</v>
      </c>
      <c r="T49" s="155"/>
    </row>
    <row r="50" spans="1:20" hidden="1" x14ac:dyDescent="0.2">
      <c r="A50" s="100">
        <v>20</v>
      </c>
      <c r="C50" s="146">
        <f t="shared" si="9"/>
        <v>0</v>
      </c>
      <c r="D50" s="146">
        <f t="shared" si="10"/>
        <v>0</v>
      </c>
      <c r="E50" s="146">
        <f>HLOOKUP($E$10,'KU Meter Pulse -WACOC-Tax Table'!$B$17:$E$58,A51)*$B$30</f>
        <v>0</v>
      </c>
      <c r="F50" s="146">
        <f t="shared" si="11"/>
        <v>0</v>
      </c>
      <c r="G50" s="146">
        <f t="shared" si="5"/>
        <v>0</v>
      </c>
      <c r="H50" s="146">
        <f t="shared" si="12"/>
        <v>1.5987211554602254E-14</v>
      </c>
      <c r="I50" s="146">
        <f t="shared" si="14"/>
        <v>0</v>
      </c>
      <c r="J50" s="146">
        <f>'KU Meter Pulse -WACOC-Tax Table'!$E$10*I50</f>
        <v>0</v>
      </c>
      <c r="K50" s="146">
        <f>I50*('KU Meter Pulse -WACOC-Tax Table'!$E$11+'KU Meter Pulse -WACOC-Tax Table'!$E$12)</f>
        <v>0</v>
      </c>
      <c r="L50" s="146">
        <f t="shared" si="13"/>
        <v>0</v>
      </c>
      <c r="M50" s="146">
        <f t="shared" si="1"/>
        <v>0</v>
      </c>
      <c r="N50" s="146">
        <f t="shared" si="2"/>
        <v>0</v>
      </c>
      <c r="O50" s="146">
        <f t="shared" si="3"/>
        <v>0</v>
      </c>
      <c r="P50" s="158">
        <f>1/(1+'KU Meter Pulse -WACOC-Tax Table'!$E$13)^A50</f>
        <v>0.24866806308830308</v>
      </c>
      <c r="Q50" s="160">
        <f t="shared" si="4"/>
        <v>0</v>
      </c>
      <c r="R50" s="146">
        <f t="shared" si="7"/>
        <v>978.77729960634565</v>
      </c>
      <c r="S50" s="152">
        <f t="shared" si="8"/>
        <v>0</v>
      </c>
      <c r="T50" s="155"/>
    </row>
    <row r="51" spans="1:20" hidden="1" x14ac:dyDescent="0.2">
      <c r="A51" s="100">
        <v>21</v>
      </c>
      <c r="C51" s="146">
        <f t="shared" si="9"/>
        <v>0</v>
      </c>
      <c r="D51" s="146">
        <f t="shared" si="10"/>
        <v>0</v>
      </c>
      <c r="E51" s="146">
        <f>HLOOKUP($E$10,'KU Meter Pulse -WACOC-Tax Table'!$B$17:$E$58,A52)*$B$30</f>
        <v>0</v>
      </c>
      <c r="F51" s="146">
        <f t="shared" si="11"/>
        <v>0</v>
      </c>
      <c r="G51" s="146">
        <f t="shared" si="5"/>
        <v>0</v>
      </c>
      <c r="H51" s="146">
        <f t="shared" si="12"/>
        <v>1.5987211554602254E-14</v>
      </c>
      <c r="I51" s="146">
        <f t="shared" si="14"/>
        <v>0</v>
      </c>
      <c r="J51" s="146">
        <f>'KU Meter Pulse -WACOC-Tax Table'!$E$10*I51</f>
        <v>0</v>
      </c>
      <c r="K51" s="146">
        <f>I51*('KU Meter Pulse -WACOC-Tax Table'!$E$11+'KU Meter Pulse -WACOC-Tax Table'!$E$12)</f>
        <v>0</v>
      </c>
      <c r="L51" s="146">
        <f t="shared" si="13"/>
        <v>0</v>
      </c>
      <c r="M51" s="146">
        <f t="shared" si="1"/>
        <v>0</v>
      </c>
      <c r="N51" s="146">
        <f t="shared" si="2"/>
        <v>0</v>
      </c>
      <c r="O51" s="146">
        <f t="shared" si="3"/>
        <v>0</v>
      </c>
      <c r="P51" s="158">
        <f>1/(1+'KU Meter Pulse -WACOC-Tax Table'!$E$13)^A51</f>
        <v>0.23195354384440348</v>
      </c>
      <c r="Q51" s="160">
        <f t="shared" si="4"/>
        <v>0</v>
      </c>
      <c r="R51" s="146">
        <f t="shared" si="7"/>
        <v>978.77729960634565</v>
      </c>
      <c r="S51" s="152">
        <f t="shared" si="8"/>
        <v>0</v>
      </c>
      <c r="T51" s="155"/>
    </row>
    <row r="52" spans="1:20" hidden="1" x14ac:dyDescent="0.2">
      <c r="A52" s="100">
        <v>22</v>
      </c>
      <c r="C52" s="146">
        <f t="shared" si="9"/>
        <v>0</v>
      </c>
      <c r="D52" s="146">
        <f t="shared" si="10"/>
        <v>0</v>
      </c>
      <c r="E52" s="146">
        <f>HLOOKUP($E$10,'KU Meter Pulse -WACOC-Tax Table'!$B$17:$E$58,A53)*$B$30</f>
        <v>0</v>
      </c>
      <c r="F52" s="146">
        <f t="shared" si="11"/>
        <v>0</v>
      </c>
      <c r="G52" s="146">
        <f t="shared" si="5"/>
        <v>0</v>
      </c>
      <c r="H52" s="146">
        <f t="shared" si="12"/>
        <v>1.5987211554602254E-14</v>
      </c>
      <c r="I52" s="146">
        <f t="shared" si="14"/>
        <v>0</v>
      </c>
      <c r="J52" s="146">
        <f>'KU Meter Pulse -WACOC-Tax Table'!$E$10*I52</f>
        <v>0</v>
      </c>
      <c r="K52" s="146">
        <f>I52*('KU Meter Pulse -WACOC-Tax Table'!$E$11+'KU Meter Pulse -WACOC-Tax Table'!$E$12)</f>
        <v>0</v>
      </c>
      <c r="L52" s="146">
        <f t="shared" si="13"/>
        <v>0</v>
      </c>
      <c r="M52" s="146">
        <f t="shared" si="1"/>
        <v>0</v>
      </c>
      <c r="N52" s="146">
        <f t="shared" si="2"/>
        <v>0</v>
      </c>
      <c r="O52" s="146">
        <f t="shared" si="3"/>
        <v>0</v>
      </c>
      <c r="P52" s="158">
        <f>1/(1+'KU Meter Pulse -WACOC-Tax Table'!$E$13)^A52</f>
        <v>0.21636251086602995</v>
      </c>
      <c r="Q52" s="160">
        <f t="shared" si="4"/>
        <v>0</v>
      </c>
      <c r="R52" s="146">
        <f t="shared" si="7"/>
        <v>978.77729960634565</v>
      </c>
      <c r="S52" s="152">
        <f t="shared" si="8"/>
        <v>0</v>
      </c>
      <c r="T52" s="155"/>
    </row>
    <row r="53" spans="1:20" hidden="1" x14ac:dyDescent="0.2">
      <c r="A53" s="100">
        <v>23</v>
      </c>
      <c r="C53" s="146">
        <f t="shared" si="9"/>
        <v>0</v>
      </c>
      <c r="D53" s="146">
        <f t="shared" si="10"/>
        <v>0</v>
      </c>
      <c r="E53" s="146">
        <f>HLOOKUP($E$10,'KU Meter Pulse -WACOC-Tax Table'!$B$17:$E$58,A54)*$B$30</f>
        <v>0</v>
      </c>
      <c r="F53" s="146">
        <f t="shared" si="11"/>
        <v>0</v>
      </c>
      <c r="G53" s="146">
        <f t="shared" si="5"/>
        <v>0</v>
      </c>
      <c r="H53" s="146">
        <f t="shared" si="12"/>
        <v>1.5987211554602254E-14</v>
      </c>
      <c r="I53" s="146">
        <f t="shared" si="14"/>
        <v>0</v>
      </c>
      <c r="J53" s="146">
        <f>'KU Meter Pulse -WACOC-Tax Table'!$E$10*I53</f>
        <v>0</v>
      </c>
      <c r="K53" s="146">
        <f>I53*('KU Meter Pulse -WACOC-Tax Table'!$E$11+'KU Meter Pulse -WACOC-Tax Table'!$E$12)</f>
        <v>0</v>
      </c>
      <c r="L53" s="146">
        <f t="shared" si="13"/>
        <v>0</v>
      </c>
      <c r="M53" s="146">
        <f t="shared" si="1"/>
        <v>0</v>
      </c>
      <c r="N53" s="146">
        <f t="shared" si="2"/>
        <v>0</v>
      </c>
      <c r="O53" s="146">
        <f t="shared" si="3"/>
        <v>0</v>
      </c>
      <c r="P53" s="158">
        <f>1/(1+'KU Meter Pulse -WACOC-Tax Table'!$E$13)^A53</f>
        <v>0.20181944768929827</v>
      </c>
      <c r="Q53" s="160">
        <f t="shared" si="4"/>
        <v>0</v>
      </c>
      <c r="R53" s="146">
        <f t="shared" si="7"/>
        <v>978.77729960634565</v>
      </c>
      <c r="S53" s="152">
        <f t="shared" si="8"/>
        <v>0</v>
      </c>
      <c r="T53" s="155"/>
    </row>
    <row r="54" spans="1:20" hidden="1" x14ac:dyDescent="0.2">
      <c r="A54" s="100">
        <v>24</v>
      </c>
      <c r="C54" s="146">
        <f t="shared" si="9"/>
        <v>0</v>
      </c>
      <c r="D54" s="146">
        <f t="shared" si="10"/>
        <v>0</v>
      </c>
      <c r="E54" s="146">
        <f>HLOOKUP($E$10,'KU Meter Pulse -WACOC-Tax Table'!$B$17:$E$58,A55)*$B$30</f>
        <v>0</v>
      </c>
      <c r="F54" s="146">
        <f t="shared" si="11"/>
        <v>0</v>
      </c>
      <c r="G54" s="146">
        <f t="shared" si="5"/>
        <v>0</v>
      </c>
      <c r="H54" s="146">
        <f t="shared" si="12"/>
        <v>1.5987211554602254E-14</v>
      </c>
      <c r="I54" s="146">
        <f t="shared" si="14"/>
        <v>0</v>
      </c>
      <c r="J54" s="146">
        <f>'KU Meter Pulse -WACOC-Tax Table'!$E$10*I54</f>
        <v>0</v>
      </c>
      <c r="K54" s="146">
        <f>I54*('KU Meter Pulse -WACOC-Tax Table'!$E$11+'KU Meter Pulse -WACOC-Tax Table'!$E$12)</f>
        <v>0</v>
      </c>
      <c r="L54" s="146">
        <f t="shared" si="13"/>
        <v>0</v>
      </c>
      <c r="M54" s="146">
        <f t="shared" si="1"/>
        <v>0</v>
      </c>
      <c r="N54" s="146">
        <f t="shared" si="2"/>
        <v>0</v>
      </c>
      <c r="O54" s="146">
        <f t="shared" si="3"/>
        <v>0</v>
      </c>
      <c r="P54" s="158">
        <f>1/(1+'KU Meter Pulse -WACOC-Tax Table'!$E$13)^A54</f>
        <v>0.18825391377914713</v>
      </c>
      <c r="Q54" s="160">
        <f t="shared" si="4"/>
        <v>0</v>
      </c>
      <c r="R54" s="146">
        <f t="shared" si="7"/>
        <v>978.77729960634565</v>
      </c>
      <c r="S54" s="152">
        <f t="shared" si="8"/>
        <v>0</v>
      </c>
      <c r="T54" s="155"/>
    </row>
    <row r="55" spans="1:20" hidden="1" x14ac:dyDescent="0.2">
      <c r="A55" s="100">
        <v>25</v>
      </c>
      <c r="C55" s="146">
        <f t="shared" si="9"/>
        <v>0</v>
      </c>
      <c r="D55" s="146">
        <f t="shared" si="10"/>
        <v>0</v>
      </c>
      <c r="E55" s="146">
        <f>HLOOKUP($E$10,'KU Meter Pulse -WACOC-Tax Table'!$B$17:$E$58,A56)*$B$30</f>
        <v>0</v>
      </c>
      <c r="F55" s="146">
        <f t="shared" si="11"/>
        <v>0</v>
      </c>
      <c r="G55" s="146">
        <f t="shared" si="5"/>
        <v>0</v>
      </c>
      <c r="H55" s="146">
        <f t="shared" si="12"/>
        <v>1.5987211554602254E-14</v>
      </c>
      <c r="I55" s="146">
        <f t="shared" si="14"/>
        <v>0</v>
      </c>
      <c r="J55" s="146">
        <f>'KU Meter Pulse -WACOC-Tax Table'!$E$10*I55</f>
        <v>0</v>
      </c>
      <c r="K55" s="146">
        <f>I55*('KU Meter Pulse -WACOC-Tax Table'!$E$11+'KU Meter Pulse -WACOC-Tax Table'!$E$12)</f>
        <v>0</v>
      </c>
      <c r="L55" s="146">
        <f t="shared" si="13"/>
        <v>0</v>
      </c>
      <c r="M55" s="146">
        <f t="shared" si="1"/>
        <v>0</v>
      </c>
      <c r="N55" s="146">
        <f t="shared" si="2"/>
        <v>0</v>
      </c>
      <c r="O55" s="146">
        <f t="shared" si="3"/>
        <v>0</v>
      </c>
      <c r="P55" s="158">
        <f>1/(1+'KU Meter Pulse -WACOC-Tax Table'!$E$13)^A55</f>
        <v>0.17560020334475326</v>
      </c>
      <c r="Q55" s="160">
        <f t="shared" si="4"/>
        <v>0</v>
      </c>
      <c r="R55" s="146">
        <f t="shared" si="7"/>
        <v>978.77729960634565</v>
      </c>
      <c r="S55" s="152">
        <f t="shared" si="8"/>
        <v>0</v>
      </c>
      <c r="T55" s="155"/>
    </row>
    <row r="56" spans="1:20" hidden="1" x14ac:dyDescent="0.2">
      <c r="A56" s="100">
        <v>26</v>
      </c>
      <c r="C56" s="146">
        <f t="shared" si="9"/>
        <v>0</v>
      </c>
      <c r="D56" s="146">
        <f t="shared" si="10"/>
        <v>0</v>
      </c>
      <c r="E56" s="146">
        <f>HLOOKUP($E$10,'KU Meter Pulse -WACOC-Tax Table'!$B$17:$E$58,A57)*$B$30</f>
        <v>0</v>
      </c>
      <c r="F56" s="146">
        <f t="shared" si="11"/>
        <v>0</v>
      </c>
      <c r="G56" s="146">
        <f t="shared" si="5"/>
        <v>0</v>
      </c>
      <c r="H56" s="146">
        <f t="shared" si="12"/>
        <v>1.5987211554602254E-14</v>
      </c>
      <c r="I56" s="146">
        <f t="shared" si="14"/>
        <v>0</v>
      </c>
      <c r="J56" s="146">
        <f>'KU Meter Pulse -WACOC-Tax Table'!$E$10*I56</f>
        <v>0</v>
      </c>
      <c r="K56" s="146">
        <f>I56*('KU Meter Pulse -WACOC-Tax Table'!$E$11+'KU Meter Pulse -WACOC-Tax Table'!$E$12)</f>
        <v>0</v>
      </c>
      <c r="L56" s="146">
        <f t="shared" si="13"/>
        <v>0</v>
      </c>
      <c r="M56" s="146">
        <f t="shared" si="1"/>
        <v>0</v>
      </c>
      <c r="N56" s="146">
        <f t="shared" si="2"/>
        <v>0</v>
      </c>
      <c r="O56" s="146">
        <f t="shared" si="3"/>
        <v>0</v>
      </c>
      <c r="P56" s="158">
        <f>1/(1+'KU Meter Pulse -WACOC-Tax Table'!$E$13)^A56</f>
        <v>0.16379702708807284</v>
      </c>
      <c r="Q56" s="160">
        <f t="shared" si="4"/>
        <v>0</v>
      </c>
      <c r="R56" s="146">
        <f t="shared" si="7"/>
        <v>978.77729960634565</v>
      </c>
      <c r="S56" s="152">
        <f t="shared" si="8"/>
        <v>0</v>
      </c>
      <c r="T56" s="155"/>
    </row>
    <row r="57" spans="1:20" hidden="1" x14ac:dyDescent="0.2">
      <c r="A57" s="100">
        <v>27</v>
      </c>
      <c r="C57" s="146">
        <f t="shared" si="9"/>
        <v>0</v>
      </c>
      <c r="D57" s="146">
        <f t="shared" si="10"/>
        <v>0</v>
      </c>
      <c r="E57" s="146">
        <f>HLOOKUP($E$10,'KU Meter Pulse -WACOC-Tax Table'!$B$17:$E$58,A58)*$B$30</f>
        <v>0</v>
      </c>
      <c r="F57" s="146">
        <f t="shared" si="11"/>
        <v>0</v>
      </c>
      <c r="G57" s="146">
        <f t="shared" si="5"/>
        <v>0</v>
      </c>
      <c r="H57" s="146">
        <f t="shared" si="12"/>
        <v>1.5987211554602254E-14</v>
      </c>
      <c r="I57" s="146">
        <f t="shared" si="14"/>
        <v>0</v>
      </c>
      <c r="J57" s="146">
        <f>'KU Meter Pulse -WACOC-Tax Table'!$E$10*I57</f>
        <v>0</v>
      </c>
      <c r="K57" s="146">
        <f>I57*('KU Meter Pulse -WACOC-Tax Table'!$E$11+'KU Meter Pulse -WACOC-Tax Table'!$E$12)</f>
        <v>0</v>
      </c>
      <c r="L57" s="146">
        <f t="shared" si="13"/>
        <v>0</v>
      </c>
      <c r="M57" s="146">
        <f t="shared" si="1"/>
        <v>0</v>
      </c>
      <c r="N57" s="146">
        <f t="shared" si="2"/>
        <v>0</v>
      </c>
      <c r="O57" s="146">
        <f t="shared" si="3"/>
        <v>0</v>
      </c>
      <c r="P57" s="158">
        <f>1/(1+'KU Meter Pulse -WACOC-Tax Table'!$E$13)^A57</f>
        <v>0.15278721534403342</v>
      </c>
      <c r="Q57" s="160">
        <f t="shared" si="4"/>
        <v>0</v>
      </c>
      <c r="R57" s="146">
        <f t="shared" si="7"/>
        <v>978.77729960634565</v>
      </c>
      <c r="S57" s="152">
        <f t="shared" si="8"/>
        <v>0</v>
      </c>
      <c r="T57" s="155"/>
    </row>
    <row r="58" spans="1:20" hidden="1" x14ac:dyDescent="0.2">
      <c r="A58" s="100">
        <v>28</v>
      </c>
      <c r="C58" s="146">
        <f t="shared" si="9"/>
        <v>0</v>
      </c>
      <c r="D58" s="146">
        <f t="shared" si="10"/>
        <v>0</v>
      </c>
      <c r="E58" s="146">
        <f>HLOOKUP($E$10,'KU Meter Pulse -WACOC-Tax Table'!$B$17:$E$58,A59)*$B$30</f>
        <v>0</v>
      </c>
      <c r="F58" s="146">
        <f t="shared" si="11"/>
        <v>0</v>
      </c>
      <c r="G58" s="146">
        <f t="shared" si="5"/>
        <v>0</v>
      </c>
      <c r="H58" s="146">
        <f t="shared" si="12"/>
        <v>1.5987211554602254E-14</v>
      </c>
      <c r="I58" s="146">
        <f t="shared" si="14"/>
        <v>0</v>
      </c>
      <c r="J58" s="146">
        <f>'KU Meter Pulse -WACOC-Tax Table'!$E$10*I58</f>
        <v>0</v>
      </c>
      <c r="K58" s="146">
        <f>I58*('KU Meter Pulse -WACOC-Tax Table'!$E$11+'KU Meter Pulse -WACOC-Tax Table'!$E$12)</f>
        <v>0</v>
      </c>
      <c r="L58" s="146">
        <f t="shared" si="13"/>
        <v>0</v>
      </c>
      <c r="M58" s="146">
        <f t="shared" si="1"/>
        <v>0</v>
      </c>
      <c r="N58" s="146">
        <f t="shared" si="2"/>
        <v>0</v>
      </c>
      <c r="O58" s="146">
        <f t="shared" si="3"/>
        <v>0</v>
      </c>
      <c r="P58" s="158">
        <f>1/(1+'KU Meter Pulse -WACOC-Tax Table'!$E$13)^A58</f>
        <v>0.14251744117450996</v>
      </c>
      <c r="Q58" s="160">
        <f t="shared" si="4"/>
        <v>0</v>
      </c>
      <c r="R58" s="146">
        <f t="shared" si="7"/>
        <v>978.77729960634565</v>
      </c>
      <c r="S58" s="152">
        <f t="shared" si="8"/>
        <v>0</v>
      </c>
      <c r="T58" s="155"/>
    </row>
    <row r="59" spans="1:20" hidden="1" x14ac:dyDescent="0.2">
      <c r="A59" s="100">
        <v>29</v>
      </c>
      <c r="C59" s="146">
        <f t="shared" si="9"/>
        <v>0</v>
      </c>
      <c r="D59" s="146">
        <f t="shared" si="10"/>
        <v>0</v>
      </c>
      <c r="E59" s="146">
        <f>HLOOKUP($E$10,'KU Meter Pulse -WACOC-Tax Table'!$B$17:$E$58,A60)*$B$30</f>
        <v>0</v>
      </c>
      <c r="F59" s="146">
        <f t="shared" si="11"/>
        <v>0</v>
      </c>
      <c r="G59" s="146">
        <f t="shared" si="5"/>
        <v>0</v>
      </c>
      <c r="H59" s="146">
        <f t="shared" si="12"/>
        <v>1.5987211554602254E-14</v>
      </c>
      <c r="I59" s="146">
        <f t="shared" si="14"/>
        <v>0</v>
      </c>
      <c r="J59" s="146">
        <f>'KU Meter Pulse -WACOC-Tax Table'!$E$10*I59</f>
        <v>0</v>
      </c>
      <c r="K59" s="146">
        <f>I59*('KU Meter Pulse -WACOC-Tax Table'!$E$11+'KU Meter Pulse -WACOC-Tax Table'!$E$12)</f>
        <v>0</v>
      </c>
      <c r="L59" s="146">
        <f t="shared" si="13"/>
        <v>0</v>
      </c>
      <c r="M59" s="146">
        <f t="shared" si="1"/>
        <v>0</v>
      </c>
      <c r="N59" s="146">
        <f t="shared" si="2"/>
        <v>0</v>
      </c>
      <c r="O59" s="146">
        <f t="shared" si="3"/>
        <v>0</v>
      </c>
      <c r="P59" s="158">
        <f>1/(1+'KU Meter Pulse -WACOC-Tax Table'!$E$13)^A59</f>
        <v>0.13293796207486869</v>
      </c>
      <c r="Q59" s="160">
        <f t="shared" si="4"/>
        <v>0</v>
      </c>
      <c r="R59" s="146">
        <f t="shared" si="7"/>
        <v>978.77729960634565</v>
      </c>
      <c r="S59" s="152">
        <f t="shared" si="8"/>
        <v>0</v>
      </c>
      <c r="T59" s="155"/>
    </row>
    <row r="60" spans="1:20" hidden="1" x14ac:dyDescent="0.2">
      <c r="A60" s="100">
        <v>30</v>
      </c>
      <c r="C60" s="146">
        <f t="shared" si="9"/>
        <v>0</v>
      </c>
      <c r="D60" s="146">
        <f t="shared" si="10"/>
        <v>0</v>
      </c>
      <c r="E60" s="146">
        <f>HLOOKUP($E$10,'KU Meter Pulse -WACOC-Tax Table'!$B$17:$E$58,A61)*$B$30</f>
        <v>0</v>
      </c>
      <c r="F60" s="146">
        <f t="shared" si="11"/>
        <v>0</v>
      </c>
      <c r="G60" s="146">
        <f t="shared" si="5"/>
        <v>0</v>
      </c>
      <c r="H60" s="146">
        <f t="shared" si="12"/>
        <v>1.5987211554602254E-14</v>
      </c>
      <c r="I60" s="146">
        <f t="shared" si="14"/>
        <v>0</v>
      </c>
      <c r="J60" s="146">
        <f>'KU Meter Pulse -WACOC-Tax Table'!$E$10*I60</f>
        <v>0</v>
      </c>
      <c r="K60" s="146">
        <f>I60*('KU Meter Pulse -WACOC-Tax Table'!$E$11+'KU Meter Pulse -WACOC-Tax Table'!$E$12)</f>
        <v>0</v>
      </c>
      <c r="L60" s="146">
        <f t="shared" si="13"/>
        <v>0</v>
      </c>
      <c r="M60" s="146">
        <f t="shared" si="1"/>
        <v>0</v>
      </c>
      <c r="N60" s="146">
        <f t="shared" si="2"/>
        <v>0</v>
      </c>
      <c r="O60" s="146">
        <f t="shared" si="3"/>
        <v>0</v>
      </c>
      <c r="P60" s="158">
        <f>1/(1+'KU Meter Pulse -WACOC-Tax Table'!$E$13)^A60</f>
        <v>0.12400237904201195</v>
      </c>
      <c r="Q60" s="160">
        <f t="shared" si="4"/>
        <v>0</v>
      </c>
      <c r="R60" s="146">
        <f t="shared" si="7"/>
        <v>978.77729960634565</v>
      </c>
      <c r="S60" s="152">
        <f t="shared" si="8"/>
        <v>0</v>
      </c>
      <c r="T60" s="155"/>
    </row>
    <row r="61" spans="1:20" hidden="1" x14ac:dyDescent="0.2">
      <c r="A61" s="100">
        <v>31</v>
      </c>
      <c r="C61" s="146">
        <f>IF(D60&lt;=0.001,0,(1/$E$9)*$B$30)</f>
        <v>0</v>
      </c>
      <c r="D61" s="146">
        <f>D60-C61</f>
        <v>0</v>
      </c>
      <c r="E61" s="139">
        <f>HLOOKUP($E$10,'KU Meter Pulse -WACOC-Tax Table'!$B$17:$E$58,A62)*$B$30</f>
        <v>0</v>
      </c>
      <c r="F61" s="146">
        <f>F60-E61</f>
        <v>0</v>
      </c>
      <c r="G61" s="139">
        <f t="shared" si="5"/>
        <v>0</v>
      </c>
      <c r="H61" s="154">
        <f>H60+G61</f>
        <v>1.5987211554602254E-14</v>
      </c>
      <c r="I61" s="154">
        <f t="shared" si="14"/>
        <v>0</v>
      </c>
      <c r="J61" s="133">
        <f>'KU Meter Pulse -WACOC-Tax Table'!$E$10*I61</f>
        <v>0</v>
      </c>
      <c r="K61" s="139">
        <f>I61*('KU Meter Pulse -WACOC-Tax Table'!$E$11+'KU Meter Pulse -WACOC-Tax Table'!$E$12)</f>
        <v>0</v>
      </c>
      <c r="L61" s="139">
        <f>$E$14*$E$8*(1+$E$15)^A60</f>
        <v>0</v>
      </c>
      <c r="M61" s="154">
        <f t="shared" si="1"/>
        <v>0</v>
      </c>
      <c r="N61" s="146">
        <f t="shared" si="2"/>
        <v>0</v>
      </c>
      <c r="O61" s="139">
        <f t="shared" si="3"/>
        <v>0</v>
      </c>
      <c r="P61" s="161">
        <f>1/(1+'KU Meter Pulse -WACOC-Tax Table'!$E$13)^A61</f>
        <v>0.11566741183695094</v>
      </c>
      <c r="Q61" s="159">
        <f t="shared" si="4"/>
        <v>0</v>
      </c>
      <c r="R61" s="154">
        <f>R60+Q61</f>
        <v>978.77729960634565</v>
      </c>
      <c r="S61" s="152">
        <f t="shared" si="8"/>
        <v>0</v>
      </c>
      <c r="T61" s="155"/>
    </row>
    <row r="62" spans="1:20" hidden="1" x14ac:dyDescent="0.2">
      <c r="A62" s="100">
        <v>32</v>
      </c>
      <c r="C62" s="146">
        <f t="shared" si="9"/>
        <v>0</v>
      </c>
      <c r="D62" s="146">
        <f t="shared" si="10"/>
        <v>0</v>
      </c>
      <c r="E62" s="139">
        <f>HLOOKUP($E$10,'KU Meter Pulse -WACOC-Tax Table'!$B$17:$E$58,A63)*$B$30</f>
        <v>0</v>
      </c>
      <c r="F62" s="146">
        <f t="shared" si="11"/>
        <v>0</v>
      </c>
      <c r="G62" s="139">
        <f t="shared" si="5"/>
        <v>0</v>
      </c>
      <c r="H62" s="154">
        <f t="shared" si="12"/>
        <v>1.5987211554602254E-14</v>
      </c>
      <c r="I62" s="154">
        <f t="shared" si="14"/>
        <v>0</v>
      </c>
      <c r="J62" s="133">
        <f>'KU Meter Pulse -WACOC-Tax Table'!$E$10*I62</f>
        <v>0</v>
      </c>
      <c r="K62" s="139">
        <f>I62*('KU Meter Pulse -WACOC-Tax Table'!$E$11+'KU Meter Pulse -WACOC-Tax Table'!$E$12)</f>
        <v>0</v>
      </c>
      <c r="L62" s="139">
        <f t="shared" si="13"/>
        <v>0</v>
      </c>
      <c r="M62" s="154">
        <f t="shared" si="1"/>
        <v>0</v>
      </c>
      <c r="N62" s="146">
        <f t="shared" si="2"/>
        <v>0</v>
      </c>
      <c r="O62" s="139">
        <f t="shared" si="3"/>
        <v>0</v>
      </c>
      <c r="P62" s="161">
        <f>1/(1+'KU Meter Pulse -WACOC-Tax Table'!$E$13)^A62</f>
        <v>0.10789268935337151</v>
      </c>
      <c r="Q62" s="159">
        <f t="shared" si="4"/>
        <v>0</v>
      </c>
      <c r="R62" s="154">
        <f t="shared" si="7"/>
        <v>978.77729960634565</v>
      </c>
      <c r="S62" s="152">
        <f t="shared" si="8"/>
        <v>0</v>
      </c>
      <c r="T62" s="155"/>
    </row>
    <row r="63" spans="1:20" hidden="1" x14ac:dyDescent="0.2">
      <c r="A63" s="100">
        <v>33</v>
      </c>
      <c r="C63" s="146">
        <f t="shared" si="9"/>
        <v>0</v>
      </c>
      <c r="D63" s="146">
        <f t="shared" si="10"/>
        <v>0</v>
      </c>
      <c r="E63" s="139">
        <f>HLOOKUP($E$10,'KU Meter Pulse -WACOC-Tax Table'!$B$17:$E$58,A64)*$B$30</f>
        <v>0</v>
      </c>
      <c r="F63" s="146">
        <f t="shared" si="11"/>
        <v>0</v>
      </c>
      <c r="G63" s="139">
        <f t="shared" si="5"/>
        <v>0</v>
      </c>
      <c r="H63" s="154">
        <f t="shared" si="12"/>
        <v>1.5987211554602254E-14</v>
      </c>
      <c r="I63" s="154">
        <f t="shared" si="14"/>
        <v>0</v>
      </c>
      <c r="J63" s="133">
        <f>'KU Meter Pulse -WACOC-Tax Table'!$E$10*I63</f>
        <v>0</v>
      </c>
      <c r="K63" s="139">
        <f>I63*('KU Meter Pulse -WACOC-Tax Table'!$E$11+'KU Meter Pulse -WACOC-Tax Table'!$E$12)</f>
        <v>0</v>
      </c>
      <c r="L63" s="139">
        <f t="shared" si="13"/>
        <v>0</v>
      </c>
      <c r="M63" s="154">
        <f t="shared" si="1"/>
        <v>0</v>
      </c>
      <c r="N63" s="146">
        <f t="shared" si="2"/>
        <v>0</v>
      </c>
      <c r="O63" s="139">
        <f t="shared" si="3"/>
        <v>0</v>
      </c>
      <c r="P63" s="161">
        <f>1/(1+'KU Meter Pulse -WACOC-Tax Table'!$E$13)^A63</f>
        <v>0.10064055407682566</v>
      </c>
      <c r="Q63" s="159">
        <f t="shared" si="4"/>
        <v>0</v>
      </c>
      <c r="R63" s="154">
        <f t="shared" si="7"/>
        <v>978.77729960634565</v>
      </c>
      <c r="S63" s="152">
        <f t="shared" si="8"/>
        <v>0</v>
      </c>
      <c r="T63" s="155"/>
    </row>
    <row r="64" spans="1:20" hidden="1" x14ac:dyDescent="0.2">
      <c r="A64" s="100">
        <v>34</v>
      </c>
      <c r="C64" s="146">
        <f t="shared" si="9"/>
        <v>0</v>
      </c>
      <c r="D64" s="146">
        <f t="shared" si="10"/>
        <v>0</v>
      </c>
      <c r="E64" s="139">
        <f>HLOOKUP($E$10,'KU Meter Pulse -WACOC-Tax Table'!$B$17:$E$58,A65)*$B$30</f>
        <v>0</v>
      </c>
      <c r="F64" s="146">
        <f t="shared" si="11"/>
        <v>0</v>
      </c>
      <c r="G64" s="139">
        <f t="shared" si="5"/>
        <v>0</v>
      </c>
      <c r="H64" s="154">
        <f t="shared" si="12"/>
        <v>1.5987211554602254E-14</v>
      </c>
      <c r="I64" s="154">
        <f t="shared" si="14"/>
        <v>0</v>
      </c>
      <c r="J64" s="133">
        <f>'KU Meter Pulse -WACOC-Tax Table'!$E$10*I64</f>
        <v>0</v>
      </c>
      <c r="K64" s="139">
        <f>I64*('KU Meter Pulse -WACOC-Tax Table'!$E$11+'KU Meter Pulse -WACOC-Tax Table'!$E$12)</f>
        <v>0</v>
      </c>
      <c r="L64" s="139">
        <f t="shared" si="13"/>
        <v>0</v>
      </c>
      <c r="M64" s="154">
        <f t="shared" si="1"/>
        <v>0</v>
      </c>
      <c r="N64" s="146">
        <f t="shared" si="2"/>
        <v>0</v>
      </c>
      <c r="O64" s="139">
        <f t="shared" si="3"/>
        <v>0</v>
      </c>
      <c r="P64" s="161">
        <f>1/(1+'KU Meter Pulse -WACOC-Tax Table'!$E$13)^A64</f>
        <v>9.3875879687430969E-2</v>
      </c>
      <c r="Q64" s="159">
        <f t="shared" si="4"/>
        <v>0</v>
      </c>
      <c r="R64" s="154">
        <f t="shared" si="7"/>
        <v>978.77729960634565</v>
      </c>
      <c r="S64" s="152">
        <f t="shared" si="8"/>
        <v>0</v>
      </c>
      <c r="T64" s="155"/>
    </row>
    <row r="65" spans="1:20" hidden="1" x14ac:dyDescent="0.2">
      <c r="A65" s="100">
        <v>35</v>
      </c>
      <c r="C65" s="146">
        <f t="shared" si="9"/>
        <v>0</v>
      </c>
      <c r="D65" s="146">
        <f t="shared" si="10"/>
        <v>0</v>
      </c>
      <c r="E65" s="139">
        <f>HLOOKUP($E$10,'KU Meter Pulse -WACOC-Tax Table'!$B$17:$E$58,A66)*$B$30</f>
        <v>0</v>
      </c>
      <c r="F65" s="146">
        <f t="shared" si="11"/>
        <v>0</v>
      </c>
      <c r="G65" s="139">
        <f t="shared" si="5"/>
        <v>0</v>
      </c>
      <c r="H65" s="154">
        <f t="shared" si="12"/>
        <v>1.5987211554602254E-14</v>
      </c>
      <c r="I65" s="154">
        <f t="shared" si="14"/>
        <v>0</v>
      </c>
      <c r="J65" s="133">
        <f>'KU Meter Pulse -WACOC-Tax Table'!$E$10*I65</f>
        <v>0</v>
      </c>
      <c r="K65" s="139">
        <f>I65*('KU Meter Pulse -WACOC-Tax Table'!$E$11+'KU Meter Pulse -WACOC-Tax Table'!$E$12)</f>
        <v>0</v>
      </c>
      <c r="L65" s="139">
        <f t="shared" si="13"/>
        <v>0</v>
      </c>
      <c r="M65" s="154">
        <f t="shared" si="1"/>
        <v>0</v>
      </c>
      <c r="N65" s="146">
        <f t="shared" si="2"/>
        <v>0</v>
      </c>
      <c r="O65" s="139">
        <f t="shared" si="3"/>
        <v>0</v>
      </c>
      <c r="P65" s="161">
        <f>1/(1+'KU Meter Pulse -WACOC-Tax Table'!$E$13)^A65</f>
        <v>8.7565900922621204E-2</v>
      </c>
      <c r="Q65" s="159">
        <f t="shared" si="4"/>
        <v>0</v>
      </c>
      <c r="R65" s="154">
        <f t="shared" si="7"/>
        <v>978.77729960634565</v>
      </c>
      <c r="S65" s="152">
        <f t="shared" si="8"/>
        <v>0</v>
      </c>
      <c r="T65" s="155"/>
    </row>
    <row r="66" spans="1:20" hidden="1" x14ac:dyDescent="0.2">
      <c r="A66" s="100">
        <v>36</v>
      </c>
      <c r="C66" s="146">
        <f t="shared" si="9"/>
        <v>0</v>
      </c>
      <c r="D66" s="146">
        <f t="shared" si="10"/>
        <v>0</v>
      </c>
      <c r="E66" s="139">
        <f>HLOOKUP($E$10,'KU Meter Pulse -WACOC-Tax Table'!$B$17:$E$58,A67)*$B$30</f>
        <v>0</v>
      </c>
      <c r="F66" s="146">
        <f t="shared" si="11"/>
        <v>0</v>
      </c>
      <c r="G66" s="139">
        <f t="shared" si="5"/>
        <v>0</v>
      </c>
      <c r="H66" s="154">
        <f t="shared" si="12"/>
        <v>1.5987211554602254E-14</v>
      </c>
      <c r="I66" s="154">
        <f t="shared" si="14"/>
        <v>0</v>
      </c>
      <c r="J66" s="133">
        <f>'KU Meter Pulse -WACOC-Tax Table'!$E$10*I66</f>
        <v>0</v>
      </c>
      <c r="K66" s="139">
        <f>I66*('KU Meter Pulse -WACOC-Tax Table'!$E$11+'KU Meter Pulse -WACOC-Tax Table'!$E$12)</f>
        <v>0</v>
      </c>
      <c r="L66" s="146">
        <v>0</v>
      </c>
      <c r="M66" s="154">
        <f t="shared" si="1"/>
        <v>0</v>
      </c>
      <c r="N66" s="146">
        <f t="shared" si="2"/>
        <v>0</v>
      </c>
      <c r="O66" s="139">
        <f t="shared" si="3"/>
        <v>0</v>
      </c>
      <c r="P66" s="161">
        <f>1/(1+'KU Meter Pulse -WACOC-Tax Table'!$E$13)^A66</f>
        <v>8.1680054875874056E-2</v>
      </c>
      <c r="Q66" s="159">
        <f t="shared" si="4"/>
        <v>0</v>
      </c>
      <c r="R66" s="154">
        <f t="shared" si="7"/>
        <v>978.77729960634565</v>
      </c>
      <c r="S66" s="152">
        <f t="shared" si="8"/>
        <v>0</v>
      </c>
      <c r="T66" s="140"/>
    </row>
    <row r="67" spans="1:20" hidden="1" x14ac:dyDescent="0.2">
      <c r="A67" s="100">
        <v>37</v>
      </c>
      <c r="C67" s="146">
        <f t="shared" si="9"/>
        <v>0</v>
      </c>
      <c r="D67" s="146">
        <f t="shared" si="10"/>
        <v>0</v>
      </c>
      <c r="E67" s="139">
        <f>HLOOKUP($E$10,'KU Meter Pulse -WACOC-Tax Table'!$B$17:$E$58,A68)*$B$30</f>
        <v>0</v>
      </c>
      <c r="F67" s="146">
        <f t="shared" si="11"/>
        <v>0</v>
      </c>
      <c r="G67" s="139">
        <f t="shared" si="5"/>
        <v>0</v>
      </c>
      <c r="H67" s="154">
        <f t="shared" si="12"/>
        <v>1.5987211554602254E-14</v>
      </c>
      <c r="I67" s="154">
        <f t="shared" si="14"/>
        <v>0</v>
      </c>
      <c r="J67" s="133">
        <f>'KU Meter Pulse -WACOC-Tax Table'!$E$10*I67</f>
        <v>0</v>
      </c>
      <c r="K67" s="139">
        <f>I67*('KU Meter Pulse -WACOC-Tax Table'!$E$11+'KU Meter Pulse -WACOC-Tax Table'!$E$12)</f>
        <v>0</v>
      </c>
      <c r="L67" s="146">
        <v>0</v>
      </c>
      <c r="M67" s="154">
        <f t="shared" si="1"/>
        <v>0</v>
      </c>
      <c r="N67" s="146">
        <f t="shared" si="2"/>
        <v>0</v>
      </c>
      <c r="O67" s="139">
        <f t="shared" si="3"/>
        <v>0</v>
      </c>
      <c r="P67" s="161">
        <f>1/(1+'KU Meter Pulse -WACOC-Tax Table'!$E$13)^A67</f>
        <v>7.6189832962733683E-2</v>
      </c>
      <c r="Q67" s="159">
        <f t="shared" si="4"/>
        <v>0</v>
      </c>
      <c r="R67" s="154">
        <f t="shared" si="7"/>
        <v>978.77729960634565</v>
      </c>
      <c r="S67" s="152">
        <f t="shared" si="8"/>
        <v>0</v>
      </c>
      <c r="T67" s="140"/>
    </row>
    <row r="68" spans="1:20" hidden="1" x14ac:dyDescent="0.2">
      <c r="A68" s="100">
        <v>38</v>
      </c>
      <c r="C68" s="146">
        <f t="shared" si="9"/>
        <v>0</v>
      </c>
      <c r="D68" s="146">
        <f t="shared" si="10"/>
        <v>0</v>
      </c>
      <c r="E68" s="139">
        <f>HLOOKUP($E$10,'KU Meter Pulse -WACOC-Tax Table'!$B$17:$E$58,A69)*$B$30</f>
        <v>0</v>
      </c>
      <c r="F68" s="146">
        <f t="shared" si="11"/>
        <v>0</v>
      </c>
      <c r="G68" s="139">
        <f t="shared" si="5"/>
        <v>0</v>
      </c>
      <c r="H68" s="154">
        <f t="shared" si="12"/>
        <v>1.5987211554602254E-14</v>
      </c>
      <c r="I68" s="154">
        <f t="shared" si="14"/>
        <v>0</v>
      </c>
      <c r="J68" s="133">
        <f>'KU Meter Pulse -WACOC-Tax Table'!$E$10*I68</f>
        <v>0</v>
      </c>
      <c r="K68" s="139">
        <f>I68*('KU Meter Pulse -WACOC-Tax Table'!$E$11+'KU Meter Pulse -WACOC-Tax Table'!$E$12)</f>
        <v>0</v>
      </c>
      <c r="L68" s="146">
        <v>0</v>
      </c>
      <c r="M68" s="154">
        <f t="shared" si="1"/>
        <v>0</v>
      </c>
      <c r="N68" s="146">
        <f t="shared" si="2"/>
        <v>0</v>
      </c>
      <c r="O68" s="139">
        <f t="shared" si="3"/>
        <v>0</v>
      </c>
      <c r="P68" s="161">
        <f>1/(1+'KU Meter Pulse -WACOC-Tax Table'!$E$13)^A68</f>
        <v>7.1068642837112714E-2</v>
      </c>
      <c r="Q68" s="159">
        <f t="shared" si="4"/>
        <v>0</v>
      </c>
      <c r="R68" s="154">
        <f t="shared" si="7"/>
        <v>978.77729960634565</v>
      </c>
      <c r="S68" s="152">
        <f t="shared" si="8"/>
        <v>0</v>
      </c>
      <c r="T68" s="140"/>
    </row>
    <row r="69" spans="1:20" hidden="1" x14ac:dyDescent="0.2">
      <c r="A69" s="100">
        <v>39</v>
      </c>
      <c r="C69" s="146">
        <f t="shared" si="9"/>
        <v>0</v>
      </c>
      <c r="D69" s="146">
        <f t="shared" si="10"/>
        <v>0</v>
      </c>
      <c r="E69" s="139">
        <f>HLOOKUP($E$10,'KU Meter Pulse -WACOC-Tax Table'!$B$17:$E$58,A70)*$B$30</f>
        <v>0</v>
      </c>
      <c r="F69" s="146">
        <f t="shared" si="11"/>
        <v>0</v>
      </c>
      <c r="G69" s="139">
        <f t="shared" si="5"/>
        <v>0</v>
      </c>
      <c r="H69" s="154">
        <f t="shared" si="12"/>
        <v>1.5987211554602254E-14</v>
      </c>
      <c r="I69" s="154">
        <f t="shared" si="14"/>
        <v>0</v>
      </c>
      <c r="J69" s="133">
        <f>'KU Meter Pulse -WACOC-Tax Table'!$E$10*I69</f>
        <v>0</v>
      </c>
      <c r="K69" s="139">
        <f>I69*('KU Meter Pulse -WACOC-Tax Table'!$E$11+'KU Meter Pulse -WACOC-Tax Table'!$E$12)</f>
        <v>0</v>
      </c>
      <c r="L69" s="146">
        <v>0</v>
      </c>
      <c r="M69" s="154">
        <f t="shared" si="1"/>
        <v>0</v>
      </c>
      <c r="N69" s="146">
        <f t="shared" si="2"/>
        <v>0</v>
      </c>
      <c r="O69" s="139">
        <f t="shared" si="3"/>
        <v>0</v>
      </c>
      <c r="P69" s="161">
        <f>1/(1+'KU Meter Pulse -WACOC-Tax Table'!$E$13)^A69</f>
        <v>6.6291679589054076E-2</v>
      </c>
      <c r="Q69" s="159">
        <f t="shared" si="4"/>
        <v>0</v>
      </c>
      <c r="R69" s="154">
        <f t="shared" si="7"/>
        <v>978.77729960634565</v>
      </c>
      <c r="S69" s="152">
        <f t="shared" si="8"/>
        <v>0</v>
      </c>
      <c r="T69" s="140"/>
    </row>
    <row r="70" spans="1:20" hidden="1" x14ac:dyDescent="0.2">
      <c r="A70" s="100">
        <v>40</v>
      </c>
      <c r="C70" s="146">
        <f>IF(D69&lt;=0.001,0,(1/$E$9)*$B$30)</f>
        <v>0</v>
      </c>
      <c r="D70" s="146">
        <f>D69-C70</f>
        <v>0</v>
      </c>
      <c r="E70" s="139">
        <f>HLOOKUP($E$10,'KU Meter Pulse -WACOC-Tax Table'!$B$17:$E$58,A71)*$B$30</f>
        <v>0</v>
      </c>
      <c r="F70" s="146">
        <f>F69-E70</f>
        <v>0</v>
      </c>
      <c r="G70" s="139">
        <f t="shared" si="5"/>
        <v>0</v>
      </c>
      <c r="H70" s="154">
        <f>H69+G70</f>
        <v>1.5987211554602254E-14</v>
      </c>
      <c r="I70" s="154">
        <f t="shared" si="14"/>
        <v>0</v>
      </c>
      <c r="J70" s="133">
        <f>'KU Meter Pulse -WACOC-Tax Table'!$E$10*I70</f>
        <v>0</v>
      </c>
      <c r="K70" s="139">
        <f>I70*('KU Meter Pulse -WACOC-Tax Table'!$E$11+'KU Meter Pulse -WACOC-Tax Table'!$E$12)</f>
        <v>0</v>
      </c>
      <c r="L70" s="146">
        <v>0</v>
      </c>
      <c r="M70" s="154">
        <f t="shared" si="1"/>
        <v>0</v>
      </c>
      <c r="N70" s="146">
        <f t="shared" si="2"/>
        <v>0</v>
      </c>
      <c r="O70" s="139">
        <f t="shared" si="3"/>
        <v>0</v>
      </c>
      <c r="P70" s="161">
        <f>1/(1+'KU Meter Pulse -WACOC-Tax Table'!$E$13)^A70</f>
        <v>6.1835805600088285E-2</v>
      </c>
      <c r="Q70" s="162">
        <f t="shared" si="4"/>
        <v>0</v>
      </c>
      <c r="R70" s="154">
        <f>R69+Q70</f>
        <v>978.77729960634565</v>
      </c>
      <c r="S70" s="152">
        <f t="shared" si="8"/>
        <v>0</v>
      </c>
      <c r="T70" s="140"/>
    </row>
    <row r="71" spans="1:20" hidden="1" x14ac:dyDescent="0.2">
      <c r="A71" s="100">
        <v>41</v>
      </c>
      <c r="Q71" s="154">
        <f>SUM(Q30:Q70)</f>
        <v>978.77729960634565</v>
      </c>
    </row>
    <row r="72" spans="1:20" x14ac:dyDescent="0.2">
      <c r="Q72" s="154">
        <f>SUM(Q30:Q60)</f>
        <v>978.77729960634565</v>
      </c>
    </row>
    <row r="79" spans="1:20" x14ac:dyDescent="0.2">
      <c r="K79" s="127"/>
      <c r="O79" s="163"/>
      <c r="Q79" s="154"/>
    </row>
    <row r="80" spans="1:20" x14ac:dyDescent="0.2">
      <c r="K80" s="127"/>
      <c r="O80" s="163"/>
    </row>
    <row r="81" spans="11:15" x14ac:dyDescent="0.2">
      <c r="K81" s="127"/>
      <c r="O81" s="163"/>
    </row>
    <row r="82" spans="11:15" x14ac:dyDescent="0.2">
      <c r="K82" s="127"/>
      <c r="O82" s="163"/>
    </row>
    <row r="83" spans="11:15" x14ac:dyDescent="0.2">
      <c r="K83" s="127"/>
      <c r="O83" s="163"/>
    </row>
    <row r="84" spans="11:15" x14ac:dyDescent="0.2">
      <c r="K84" s="127"/>
      <c r="O84" s="163"/>
    </row>
    <row r="85" spans="11:15" x14ac:dyDescent="0.2">
      <c r="K85" s="127"/>
      <c r="O85" s="163"/>
    </row>
    <row r="86" spans="11:15" x14ac:dyDescent="0.2">
      <c r="K86" s="127"/>
      <c r="O86" s="163"/>
    </row>
  </sheetData>
  <pageMargins left="0.75" right="0.75" top="1" bottom="1" header="0.5" footer="0.5"/>
  <pageSetup scale="75" orientation="landscape" verticalDpi="1200" r:id="rId1"/>
  <headerFooter differentOddEven="1" differentFirst="1" alignWithMargins="0"/>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I63"/>
  <sheetViews>
    <sheetView view="pageBreakPreview" zoomScaleNormal="100" zoomScaleSheetLayoutView="100" workbookViewId="0"/>
  </sheetViews>
  <sheetFormatPr defaultRowHeight="12.75" x14ac:dyDescent="0.2"/>
  <cols>
    <col min="1" max="1" width="59.28515625" bestFit="1" customWidth="1"/>
    <col min="2" max="2" width="13.7109375" customWidth="1"/>
    <col min="4" max="4" width="8.7109375" hidden="1" customWidth="1"/>
    <col min="5" max="5" width="8.7109375" style="1" hidden="1" customWidth="1"/>
    <col min="6" max="6" width="8.7109375" hidden="1" customWidth="1"/>
  </cols>
  <sheetData>
    <row r="1" spans="1:6" x14ac:dyDescent="0.2">
      <c r="A1" s="16"/>
    </row>
    <row r="2" spans="1:6" x14ac:dyDescent="0.2">
      <c r="A2" s="10"/>
    </row>
    <row r="3" spans="1:6" x14ac:dyDescent="0.2">
      <c r="A3" s="10"/>
    </row>
    <row r="4" spans="1:6" x14ac:dyDescent="0.2">
      <c r="A4" s="10"/>
    </row>
    <row r="5" spans="1:6" x14ac:dyDescent="0.2">
      <c r="A5" s="10"/>
      <c r="F5" t="s">
        <v>348</v>
      </c>
    </row>
    <row r="6" spans="1:6" x14ac:dyDescent="0.2">
      <c r="A6" s="10"/>
    </row>
    <row r="7" spans="1:6" x14ac:dyDescent="0.2">
      <c r="A7" s="10"/>
    </row>
    <row r="9" spans="1:6" x14ac:dyDescent="0.2">
      <c r="A9" s="473" t="s">
        <v>9</v>
      </c>
      <c r="B9" s="473"/>
    </row>
    <row r="10" spans="1:6" x14ac:dyDescent="0.2">
      <c r="A10" s="473" t="s">
        <v>265</v>
      </c>
      <c r="B10" s="473"/>
    </row>
    <row r="11" spans="1:6" x14ac:dyDescent="0.2">
      <c r="A11" s="465" t="s">
        <v>7</v>
      </c>
      <c r="B11" s="465"/>
    </row>
    <row r="14" spans="1:6" x14ac:dyDescent="0.2">
      <c r="B14" s="286" t="s">
        <v>26</v>
      </c>
    </row>
    <row r="15" spans="1:6" x14ac:dyDescent="0.2">
      <c r="A15" s="115" t="s">
        <v>304</v>
      </c>
      <c r="B15" s="273">
        <v>15.57</v>
      </c>
      <c r="C15" s="1"/>
      <c r="D15" s="173">
        <f>+B15+B16+B17</f>
        <v>37.510000000000005</v>
      </c>
      <c r="E15" s="1">
        <f>+D15/B19</f>
        <v>0.76348463260736832</v>
      </c>
      <c r="F15" s="330">
        <f>+E15*Data!E21</f>
        <v>2.2904538978221048E-2</v>
      </c>
    </row>
    <row r="16" spans="1:6" x14ac:dyDescent="0.2">
      <c r="A16" s="115" t="s">
        <v>305</v>
      </c>
      <c r="B16" s="273">
        <v>1.57</v>
      </c>
      <c r="C16" s="136"/>
    </row>
    <row r="17" spans="1:7" x14ac:dyDescent="0.2">
      <c r="A17" s="116" t="s">
        <v>351</v>
      </c>
      <c r="B17" s="273">
        <v>20.37</v>
      </c>
      <c r="C17" s="173"/>
    </row>
    <row r="18" spans="1:7" x14ac:dyDescent="0.2">
      <c r="A18" s="115" t="s">
        <v>267</v>
      </c>
      <c r="B18" s="273">
        <v>11.62</v>
      </c>
      <c r="C18" s="173"/>
      <c r="D18" s="173">
        <f>+B18</f>
        <v>11.62</v>
      </c>
      <c r="E18" s="1">
        <f>+D18/B19</f>
        <v>0.23651536739263176</v>
      </c>
      <c r="F18" s="330">
        <f>+E18*Data!E22</f>
        <v>4.7303073478526352E-3</v>
      </c>
    </row>
    <row r="19" spans="1:7" x14ac:dyDescent="0.2">
      <c r="A19" s="172" t="s">
        <v>319</v>
      </c>
      <c r="B19" s="12">
        <f>SUM(B15:B18)</f>
        <v>49.13</v>
      </c>
      <c r="F19" s="330">
        <f>+F15+F18</f>
        <v>2.7634846326073683E-2</v>
      </c>
      <c r="G19" s="1">
        <v>46.524026714105041</v>
      </c>
    </row>
    <row r="20" spans="1:7" x14ac:dyDescent="0.2">
      <c r="A20" s="172"/>
      <c r="B20" s="285"/>
    </row>
    <row r="21" spans="1:7" x14ac:dyDescent="0.2">
      <c r="A21" s="294"/>
      <c r="B21" s="457"/>
      <c r="G21">
        <v>2.7635630280328886E-2</v>
      </c>
    </row>
    <row r="22" spans="1:7" x14ac:dyDescent="0.2">
      <c r="A22" s="299"/>
      <c r="B22" s="298"/>
      <c r="G22" s="17">
        <v>49.131000021663205</v>
      </c>
    </row>
    <row r="23" spans="1:7" x14ac:dyDescent="0.2">
      <c r="A23" s="172"/>
      <c r="B23" s="285"/>
    </row>
    <row r="24" spans="1:7" x14ac:dyDescent="0.2">
      <c r="A24" s="172" t="s">
        <v>269</v>
      </c>
      <c r="B24" s="285"/>
    </row>
    <row r="25" spans="1:7" x14ac:dyDescent="0.2">
      <c r="A25" s="116" t="s">
        <v>273</v>
      </c>
      <c r="B25" s="285"/>
    </row>
    <row r="26" spans="1:7" x14ac:dyDescent="0.2">
      <c r="A26" s="172" t="s">
        <v>271</v>
      </c>
      <c r="B26" s="334">
        <v>49.07</v>
      </c>
      <c r="E26" s="1">
        <f>+B26/B28</f>
        <v>0.69940136830102628</v>
      </c>
      <c r="F26" s="330">
        <f>+E26*Data!$E$21</f>
        <v>2.0982041049030786E-2</v>
      </c>
    </row>
    <row r="27" spans="1:7" x14ac:dyDescent="0.2">
      <c r="A27" s="115" t="s">
        <v>272</v>
      </c>
      <c r="B27" s="334">
        <v>21.09</v>
      </c>
      <c r="C27" s="114"/>
      <c r="E27" s="1">
        <f>+B27/B28</f>
        <v>0.30059863169897377</v>
      </c>
      <c r="F27" s="330">
        <f>+E27*Data!$E$22</f>
        <v>6.0119726339794757E-3</v>
      </c>
    </row>
    <row r="28" spans="1:7" x14ac:dyDescent="0.2">
      <c r="A28" s="116"/>
      <c r="B28" s="12">
        <f>+B26+B27</f>
        <v>70.16</v>
      </c>
      <c r="F28" s="330">
        <f>+F26+F27</f>
        <v>2.6994013683010264E-2</v>
      </c>
    </row>
    <row r="29" spans="1:7" x14ac:dyDescent="0.2">
      <c r="A29" s="294"/>
      <c r="B29" s="457"/>
      <c r="G29">
        <v>2.6993567439031852E-2</v>
      </c>
    </row>
    <row r="30" spans="1:7" x14ac:dyDescent="0.2">
      <c r="A30" s="299"/>
      <c r="B30" s="298"/>
      <c r="G30" s="17">
        <v>70.163941227506243</v>
      </c>
    </row>
    <row r="31" spans="1:7" x14ac:dyDescent="0.2">
      <c r="A31" s="116"/>
      <c r="B31" s="285"/>
    </row>
    <row r="32" spans="1:7" x14ac:dyDescent="0.2">
      <c r="A32" s="116" t="s">
        <v>274</v>
      </c>
      <c r="B32" s="285"/>
    </row>
    <row r="33" spans="1:9" x14ac:dyDescent="0.2">
      <c r="A33" s="172" t="s">
        <v>271</v>
      </c>
      <c r="B33" s="285">
        <v>48.92</v>
      </c>
      <c r="E33" s="1">
        <f>+B33/B35</f>
        <v>0.53775970100032977</v>
      </c>
      <c r="F33" s="330">
        <f>+E33*Data!$E$21</f>
        <v>1.6132791030009891E-2</v>
      </c>
    </row>
    <row r="34" spans="1:9" x14ac:dyDescent="0.2">
      <c r="A34" s="115" t="s">
        <v>284</v>
      </c>
      <c r="B34" s="334">
        <v>42.05</v>
      </c>
      <c r="E34" s="1">
        <f>+B34/B35</f>
        <v>0.46224029899967017</v>
      </c>
      <c r="F34" s="330">
        <f>+E34*Data!$E$22</f>
        <v>9.2448059799934042E-3</v>
      </c>
    </row>
    <row r="35" spans="1:9" x14ac:dyDescent="0.2">
      <c r="A35" s="115"/>
      <c r="B35" s="350">
        <f>+B33+B34</f>
        <v>90.97</v>
      </c>
      <c r="F35" s="330">
        <f>+F33+F34</f>
        <v>2.5377597010003295E-2</v>
      </c>
    </row>
    <row r="36" spans="1:9" x14ac:dyDescent="0.2">
      <c r="A36" s="351"/>
      <c r="B36" s="352"/>
      <c r="G36">
        <v>2.5377006651323676E-2</v>
      </c>
    </row>
    <row r="37" spans="1:9" x14ac:dyDescent="0.2">
      <c r="A37" s="299"/>
      <c r="B37" s="354"/>
      <c r="G37">
        <v>90.971189138333514</v>
      </c>
    </row>
    <row r="38" spans="1:9" x14ac:dyDescent="0.2">
      <c r="A38" s="114"/>
      <c r="B38" s="114"/>
    </row>
    <row r="39" spans="1:9" x14ac:dyDescent="0.2">
      <c r="A39" s="115" t="s">
        <v>275</v>
      </c>
      <c r="B39" s="334"/>
    </row>
    <row r="40" spans="1:9" x14ac:dyDescent="0.2">
      <c r="A40" s="271" t="s">
        <v>271</v>
      </c>
      <c r="B40" s="334">
        <v>48.7054197126227</v>
      </c>
      <c r="E40" s="1" t="e">
        <f>+B40/#REF!</f>
        <v>#REF!</v>
      </c>
      <c r="F40" s="330" t="e">
        <f>+E40*Data!$E$21</f>
        <v>#REF!</v>
      </c>
    </row>
    <row r="41" spans="1:9" x14ac:dyDescent="0.2">
      <c r="A41" s="351"/>
      <c r="B41" s="459"/>
      <c r="G41">
        <v>2.3175180737073371E-2</v>
      </c>
    </row>
    <row r="42" spans="1:9" x14ac:dyDescent="0.2">
      <c r="A42" s="299"/>
      <c r="B42" s="354"/>
      <c r="G42">
        <v>153.39416476025701</v>
      </c>
    </row>
    <row r="43" spans="1:9" x14ac:dyDescent="0.2">
      <c r="A43" s="114"/>
      <c r="B43" s="114"/>
    </row>
    <row r="44" spans="1:9" x14ac:dyDescent="0.2">
      <c r="A44" s="115" t="s">
        <v>276</v>
      </c>
      <c r="B44" s="334"/>
      <c r="I44" s="136"/>
    </row>
    <row r="45" spans="1:9" x14ac:dyDescent="0.2">
      <c r="A45" s="271" t="s">
        <v>271</v>
      </c>
      <c r="B45" s="334">
        <v>48.695445192643298</v>
      </c>
      <c r="E45" s="1">
        <f>+B45/B47</f>
        <v>0.30704059100730208</v>
      </c>
      <c r="F45" s="330">
        <f>+E45*Data!$E$21</f>
        <v>9.2112177302190613E-3</v>
      </c>
    </row>
    <row r="46" spans="1:9" x14ac:dyDescent="0.2">
      <c r="A46" s="115" t="s">
        <v>285</v>
      </c>
      <c r="B46" s="334">
        <v>109.90067082214516</v>
      </c>
      <c r="E46" s="1">
        <f>+B46/B47</f>
        <v>0.69295940899269781</v>
      </c>
      <c r="F46" s="330">
        <f>+E46*Data!$E$22</f>
        <v>1.3859188179853956E-2</v>
      </c>
    </row>
    <row r="47" spans="1:9" x14ac:dyDescent="0.2">
      <c r="A47" s="115"/>
      <c r="B47" s="350">
        <f>+B45+B46</f>
        <v>158.59611601478846</v>
      </c>
      <c r="F47" s="330">
        <f>+F45+F46</f>
        <v>2.3070405910073019E-2</v>
      </c>
    </row>
    <row r="48" spans="1:9" x14ac:dyDescent="0.2">
      <c r="A48" s="351"/>
      <c r="B48" s="459"/>
      <c r="G48">
        <v>2.3070405910073019E-2</v>
      </c>
    </row>
    <row r="49" spans="1:7" x14ac:dyDescent="0.2">
      <c r="A49" s="299"/>
      <c r="B49" s="354"/>
      <c r="G49">
        <v>158.59611601478846</v>
      </c>
    </row>
    <row r="50" spans="1:7" x14ac:dyDescent="0.2">
      <c r="A50" s="353"/>
      <c r="B50" s="354"/>
    </row>
    <row r="51" spans="1:7" ht="34.5" customHeight="1" x14ac:dyDescent="0.2">
      <c r="A51" s="472" t="s">
        <v>268</v>
      </c>
      <c r="B51" s="472"/>
    </row>
    <row r="52" spans="1:7" x14ac:dyDescent="0.2">
      <c r="A52" s="284"/>
      <c r="B52" s="284"/>
    </row>
    <row r="54" spans="1:7" hidden="1" x14ac:dyDescent="0.2"/>
    <row r="55" spans="1:7" hidden="1" x14ac:dyDescent="0.2">
      <c r="A55" t="s">
        <v>18</v>
      </c>
    </row>
    <row r="56" spans="1:7" hidden="1" x14ac:dyDescent="0.2">
      <c r="A56" s="2" t="s">
        <v>11</v>
      </c>
      <c r="B56" s="1">
        <f>+Data!E8*0.333333</f>
        <v>23.102926220784781</v>
      </c>
    </row>
    <row r="57" spans="1:7" hidden="1" x14ac:dyDescent="0.2">
      <c r="A57" s="2" t="s">
        <v>12</v>
      </c>
      <c r="B57" s="5">
        <f>+B56</f>
        <v>23.102926220784781</v>
      </c>
    </row>
    <row r="58" spans="1:7" hidden="1" x14ac:dyDescent="0.2">
      <c r="A58" t="s">
        <v>13</v>
      </c>
      <c r="B58" s="5">
        <f>+B57</f>
        <v>23.102926220784781</v>
      </c>
    </row>
    <row r="59" spans="1:7" hidden="1" x14ac:dyDescent="0.2">
      <c r="A59" s="2" t="s">
        <v>14</v>
      </c>
      <c r="B59" s="5">
        <f>+Data!C13*0.666</f>
        <v>5.0127600000000001</v>
      </c>
    </row>
    <row r="60" spans="1:7" hidden="1" x14ac:dyDescent="0.2">
      <c r="B60" s="13">
        <f>SUM(B56:B59)</f>
        <v>74.321538662354342</v>
      </c>
    </row>
    <row r="61" spans="1:7" hidden="1" x14ac:dyDescent="0.2">
      <c r="B61" s="14"/>
    </row>
    <row r="62" spans="1:7" hidden="1" x14ac:dyDescent="0.2">
      <c r="B62" s="8"/>
    </row>
    <row r="63" spans="1:7" hidden="1" x14ac:dyDescent="0.2"/>
  </sheetData>
  <mergeCells count="4">
    <mergeCell ref="A51:B51"/>
    <mergeCell ref="A9:B9"/>
    <mergeCell ref="A10:B10"/>
    <mergeCell ref="A11:B11"/>
  </mergeCells>
  <printOptions horizontalCentered="1"/>
  <pageMargins left="0.75" right="0.75" top="1" bottom="1" header="0.5" footer="0.5"/>
  <pageSetup scale="99" orientation="portrait" r:id="rId1"/>
  <headerFooter alignWithMargins="0">
    <oddHeader>&amp;L+&amp;R&amp;"Arial,Bold"&amp;12Exhibit WSS-19
Page &amp;P of 18</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G37"/>
  <sheetViews>
    <sheetView view="pageBreakPreview" zoomScaleNormal="100" zoomScaleSheetLayoutView="100" workbookViewId="0"/>
  </sheetViews>
  <sheetFormatPr defaultRowHeight="12.75" x14ac:dyDescent="0.2"/>
  <cols>
    <col min="1" max="1" width="59.28515625" bestFit="1" customWidth="1"/>
    <col min="2" max="2" width="13.7109375" customWidth="1"/>
    <col min="4" max="6" width="0" hidden="1" customWidth="1"/>
  </cols>
  <sheetData>
    <row r="1" spans="1:6" x14ac:dyDescent="0.2">
      <c r="A1" s="16"/>
    </row>
    <row r="2" spans="1:6" x14ac:dyDescent="0.2">
      <c r="A2" s="10"/>
    </row>
    <row r="3" spans="1:6" x14ac:dyDescent="0.2">
      <c r="A3" s="10"/>
    </row>
    <row r="4" spans="1:6" x14ac:dyDescent="0.2">
      <c r="A4" s="10"/>
    </row>
    <row r="5" spans="1:6" x14ac:dyDescent="0.2">
      <c r="A5" s="10"/>
      <c r="F5" t="s">
        <v>348</v>
      </c>
    </row>
    <row r="6" spans="1:6" x14ac:dyDescent="0.2">
      <c r="A6" s="10"/>
    </row>
    <row r="7" spans="1:6" x14ac:dyDescent="0.2">
      <c r="A7" s="10"/>
    </row>
    <row r="9" spans="1:6" x14ac:dyDescent="0.2">
      <c r="A9" s="473" t="s">
        <v>9</v>
      </c>
      <c r="B9" s="473"/>
    </row>
    <row r="10" spans="1:6" x14ac:dyDescent="0.2">
      <c r="A10" s="473" t="s">
        <v>270</v>
      </c>
      <c r="B10" s="473"/>
    </row>
    <row r="11" spans="1:6" x14ac:dyDescent="0.2">
      <c r="A11" s="465" t="s">
        <v>7</v>
      </c>
      <c r="B11" s="465"/>
    </row>
    <row r="14" spans="1:6" x14ac:dyDescent="0.2">
      <c r="B14" s="286" t="s">
        <v>26</v>
      </c>
    </row>
    <row r="15" spans="1:6" x14ac:dyDescent="0.2">
      <c r="A15" s="115" t="s">
        <v>304</v>
      </c>
      <c r="B15" s="273">
        <v>15.574780500685115</v>
      </c>
      <c r="C15" s="1"/>
      <c r="D15" s="173">
        <f>+B15+B16+B17</f>
        <v>37.514615146825065</v>
      </c>
      <c r="E15" s="1">
        <f>+D15/B19</f>
        <v>0.76356302803288845</v>
      </c>
      <c r="F15" s="330">
        <f>+E15*Data!E21</f>
        <v>2.2906890840986651E-2</v>
      </c>
    </row>
    <row r="16" spans="1:6" x14ac:dyDescent="0.2">
      <c r="A16" s="115" t="s">
        <v>305</v>
      </c>
      <c r="B16" s="273">
        <v>1.5745519701141859</v>
      </c>
      <c r="C16" s="136"/>
      <c r="E16" s="1"/>
    </row>
    <row r="17" spans="1:7" x14ac:dyDescent="0.2">
      <c r="A17" s="116" t="s">
        <v>351</v>
      </c>
      <c r="B17" s="273">
        <v>20.365282676025764</v>
      </c>
      <c r="C17" s="173"/>
      <c r="E17" s="1"/>
    </row>
    <row r="18" spans="1:7" x14ac:dyDescent="0.2">
      <c r="A18" s="115" t="s">
        <v>267</v>
      </c>
      <c r="B18" s="273">
        <v>11.616384874838138</v>
      </c>
      <c r="C18" s="173"/>
      <c r="D18" s="173">
        <f>+B18</f>
        <v>11.616384874838138</v>
      </c>
      <c r="E18" s="1">
        <f>+D18/B19</f>
        <v>0.2364369719671115</v>
      </c>
      <c r="F18" s="330">
        <f>+E18*Data!E22</f>
        <v>4.7287394393422302E-3</v>
      </c>
    </row>
    <row r="19" spans="1:7" x14ac:dyDescent="0.2">
      <c r="A19" s="172" t="s">
        <v>319</v>
      </c>
      <c r="B19" s="350">
        <f>SUM(B15:B18)</f>
        <v>49.131000021663205</v>
      </c>
      <c r="E19" s="1"/>
      <c r="F19" s="330">
        <f>+F15+F18</f>
        <v>2.7635630280328879E-2</v>
      </c>
      <c r="G19" s="1">
        <v>46.524026714105041</v>
      </c>
    </row>
    <row r="20" spans="1:7" x14ac:dyDescent="0.2">
      <c r="A20" s="172"/>
      <c r="B20" s="285"/>
    </row>
    <row r="21" spans="1:7" x14ac:dyDescent="0.2">
      <c r="A21" s="294"/>
      <c r="B21" s="457"/>
      <c r="G21">
        <v>2.7635630280328886E-2</v>
      </c>
    </row>
    <row r="22" spans="1:7" x14ac:dyDescent="0.2">
      <c r="A22" s="299"/>
      <c r="B22" s="298"/>
      <c r="G22" s="1">
        <v>49.131000021663205</v>
      </c>
    </row>
    <row r="23" spans="1:7" x14ac:dyDescent="0.2">
      <c r="A23" s="299"/>
      <c r="B23" s="298"/>
    </row>
    <row r="24" spans="1:7" x14ac:dyDescent="0.2">
      <c r="A24" s="172" t="s">
        <v>269</v>
      </c>
      <c r="B24" s="285"/>
    </row>
    <row r="25" spans="1:7" x14ac:dyDescent="0.2">
      <c r="A25" s="116" t="s">
        <v>292</v>
      </c>
      <c r="B25" s="285"/>
    </row>
    <row r="26" spans="1:7" x14ac:dyDescent="0.2">
      <c r="A26" s="172" t="s">
        <v>271</v>
      </c>
      <c r="B26" s="285">
        <v>48.811325411076659</v>
      </c>
      <c r="E26" s="1">
        <f>+B26/B28</f>
        <v>0.42869794019593116</v>
      </c>
      <c r="F26" s="330">
        <f>+E26*Data!$E$21</f>
        <v>1.2860938205877935E-2</v>
      </c>
    </row>
    <row r="27" spans="1:7" x14ac:dyDescent="0.2">
      <c r="A27" s="116" t="s">
        <v>293</v>
      </c>
      <c r="B27" s="334">
        <v>65.048156602688181</v>
      </c>
      <c r="E27" s="1">
        <f>+B27/B28</f>
        <v>0.57130205980406878</v>
      </c>
      <c r="F27" s="330">
        <f>+E27*Data!$E$22</f>
        <v>1.1426041196081376E-2</v>
      </c>
    </row>
    <row r="28" spans="1:7" x14ac:dyDescent="0.2">
      <c r="A28" s="116"/>
      <c r="B28" s="12">
        <f>+B26+B27</f>
        <v>113.85948201376485</v>
      </c>
      <c r="E28" s="1"/>
      <c r="F28" s="330">
        <f>+F26+F27</f>
        <v>2.4286979401959313E-2</v>
      </c>
    </row>
    <row r="29" spans="1:7" x14ac:dyDescent="0.2">
      <c r="A29" s="116"/>
      <c r="B29" s="285"/>
    </row>
    <row r="30" spans="1:7" x14ac:dyDescent="0.2">
      <c r="A30" s="294"/>
      <c r="B30" s="457"/>
      <c r="G30">
        <v>2.4286979401959313E-2</v>
      </c>
    </row>
    <row r="31" spans="1:7" x14ac:dyDescent="0.2">
      <c r="A31" s="299"/>
      <c r="B31" s="298"/>
      <c r="G31" s="1">
        <v>113.85948201376485</v>
      </c>
    </row>
    <row r="32" spans="1:7" x14ac:dyDescent="0.2">
      <c r="A32" s="116"/>
      <c r="B32" s="285"/>
    </row>
    <row r="33" spans="1:2" x14ac:dyDescent="0.2">
      <c r="A33" s="116"/>
      <c r="B33" s="285"/>
    </row>
    <row r="34" spans="1:2" x14ac:dyDescent="0.2">
      <c r="A34" s="116"/>
      <c r="B34" s="285"/>
    </row>
    <row r="35" spans="1:2" x14ac:dyDescent="0.2">
      <c r="A35" s="116"/>
      <c r="B35" s="285"/>
    </row>
    <row r="36" spans="1:2" ht="34.5" customHeight="1" x14ac:dyDescent="0.2">
      <c r="A36" s="474" t="s">
        <v>268</v>
      </c>
      <c r="B36" s="474"/>
    </row>
    <row r="37" spans="1:2" x14ac:dyDescent="0.2">
      <c r="A37" s="284"/>
      <c r="B37" s="284"/>
    </row>
  </sheetData>
  <mergeCells count="4">
    <mergeCell ref="A9:B9"/>
    <mergeCell ref="A10:B10"/>
    <mergeCell ref="A11:B11"/>
    <mergeCell ref="A36:B36"/>
  </mergeCells>
  <printOptions horizontalCentered="1"/>
  <pageMargins left="0.75" right="0.75" top="1" bottom="1" header="0.5" footer="0.5"/>
  <pageSetup orientation="portrait" r:id="rId1"/>
  <headerFooter alignWithMargins="0">
    <oddHeader>&amp;L+&amp;R&amp;"Arial,Bold"&amp;12Exhibit WSS-19
Page &amp;P of 18</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I62"/>
  <sheetViews>
    <sheetView view="pageBreakPreview" zoomScaleNormal="100" zoomScaleSheetLayoutView="100" workbookViewId="0"/>
  </sheetViews>
  <sheetFormatPr defaultRowHeight="12.75" x14ac:dyDescent="0.2"/>
  <cols>
    <col min="1" max="1" width="59.28515625" bestFit="1" customWidth="1"/>
    <col min="2" max="2" width="13.7109375" customWidth="1"/>
    <col min="4" max="6" width="0" hidden="1" customWidth="1"/>
  </cols>
  <sheetData>
    <row r="1" spans="1:7" x14ac:dyDescent="0.2">
      <c r="A1" s="16"/>
    </row>
    <row r="2" spans="1:7" x14ac:dyDescent="0.2">
      <c r="A2" s="10"/>
    </row>
    <row r="3" spans="1:7" x14ac:dyDescent="0.2">
      <c r="A3" s="10"/>
    </row>
    <row r="4" spans="1:7" x14ac:dyDescent="0.2">
      <c r="A4" s="10"/>
    </row>
    <row r="5" spans="1:7" x14ac:dyDescent="0.2">
      <c r="A5" s="10"/>
      <c r="F5" t="s">
        <v>348</v>
      </c>
    </row>
    <row r="6" spans="1:7" x14ac:dyDescent="0.2">
      <c r="A6" s="10"/>
    </row>
    <row r="7" spans="1:7" x14ac:dyDescent="0.2">
      <c r="A7" s="10"/>
    </row>
    <row r="9" spans="1:7" x14ac:dyDescent="0.2">
      <c r="A9" s="473" t="s">
        <v>4</v>
      </c>
      <c r="B9" s="473"/>
    </row>
    <row r="10" spans="1:7" x14ac:dyDescent="0.2">
      <c r="A10" s="473" t="s">
        <v>265</v>
      </c>
      <c r="B10" s="473"/>
    </row>
    <row r="11" spans="1:7" x14ac:dyDescent="0.2">
      <c r="A11" s="465" t="s">
        <v>7</v>
      </c>
      <c r="B11" s="465"/>
    </row>
    <row r="14" spans="1:7" x14ac:dyDescent="0.2">
      <c r="B14" s="297" t="s">
        <v>26</v>
      </c>
    </row>
    <row r="15" spans="1:7" x14ac:dyDescent="0.2">
      <c r="A15" s="115" t="s">
        <v>304</v>
      </c>
      <c r="B15" s="6">
        <v>11.141473373090458</v>
      </c>
      <c r="C15" s="1"/>
      <c r="D15" s="173">
        <f>+B15+B16+B17</f>
        <v>33.071308353665913</v>
      </c>
      <c r="E15" s="1">
        <f>+D15/B19</f>
        <v>0.74014173988413257</v>
      </c>
      <c r="F15" s="330">
        <f>+E15*Data!E21</f>
        <v>2.2204252196523975E-2</v>
      </c>
      <c r="G15" s="330"/>
    </row>
    <row r="16" spans="1:7" x14ac:dyDescent="0.2">
      <c r="A16" s="115" t="s">
        <v>305</v>
      </c>
      <c r="B16" s="6">
        <v>1.5738343260038719</v>
      </c>
      <c r="C16" s="136"/>
      <c r="E16" s="1"/>
    </row>
    <row r="17" spans="1:7" x14ac:dyDescent="0.2">
      <c r="A17" s="116" t="s">
        <v>351</v>
      </c>
      <c r="B17" s="6">
        <v>20.356000654571581</v>
      </c>
      <c r="C17" s="173"/>
      <c r="E17" s="1"/>
    </row>
    <row r="18" spans="1:7" x14ac:dyDescent="0.2">
      <c r="A18" s="116" t="s">
        <v>267</v>
      </c>
      <c r="B18" s="273">
        <v>11.611090397204627</v>
      </c>
      <c r="C18" s="173"/>
      <c r="D18" s="173">
        <f>+B18</f>
        <v>11.611090397204627</v>
      </c>
      <c r="E18" s="1">
        <f>+D18/B19</f>
        <v>0.25985826011586743</v>
      </c>
      <c r="F18" s="330">
        <f>+E18*Data!E22</f>
        <v>5.1971652023173488E-3</v>
      </c>
      <c r="G18" s="330"/>
    </row>
    <row r="19" spans="1:7" x14ac:dyDescent="0.2">
      <c r="A19" s="172" t="s">
        <v>319</v>
      </c>
      <c r="B19" s="12">
        <f>SUM(B15:B18)</f>
        <v>44.68239875087054</v>
      </c>
      <c r="E19" s="1"/>
      <c r="F19" s="330">
        <f>+F15+F18</f>
        <v>2.7401417398841325E-2</v>
      </c>
      <c r="G19" s="1">
        <v>42.330769070397224</v>
      </c>
    </row>
    <row r="20" spans="1:7" x14ac:dyDescent="0.2">
      <c r="A20" s="172"/>
      <c r="B20" s="285"/>
      <c r="E20" s="1"/>
    </row>
    <row r="21" spans="1:7" x14ac:dyDescent="0.2">
      <c r="A21" s="294"/>
      <c r="B21" s="457"/>
      <c r="E21" s="1"/>
      <c r="G21">
        <v>2.7401417398841325E-2</v>
      </c>
    </row>
    <row r="22" spans="1:7" x14ac:dyDescent="0.2">
      <c r="A22" s="299"/>
      <c r="B22" s="298"/>
      <c r="E22" s="1"/>
      <c r="G22" s="1">
        <v>44.682398750870533</v>
      </c>
    </row>
    <row r="23" spans="1:7" x14ac:dyDescent="0.2">
      <c r="A23" s="172"/>
      <c r="B23" s="285"/>
      <c r="E23" s="1"/>
    </row>
    <row r="24" spans="1:7" x14ac:dyDescent="0.2">
      <c r="A24" s="172" t="s">
        <v>269</v>
      </c>
      <c r="B24" s="285"/>
      <c r="E24" s="1"/>
    </row>
    <row r="25" spans="1:7" x14ac:dyDescent="0.2">
      <c r="A25" s="116" t="s">
        <v>273</v>
      </c>
      <c r="B25" s="285"/>
      <c r="E25" s="1"/>
    </row>
    <row r="26" spans="1:7" x14ac:dyDescent="0.2">
      <c r="A26" s="172" t="s">
        <v>271</v>
      </c>
      <c r="B26" s="285">
        <v>44.629346682537587</v>
      </c>
      <c r="E26" s="1">
        <f>+B26/B28</f>
        <v>0.67913118515493154</v>
      </c>
      <c r="F26" s="330">
        <f>+E26*Data!$E$21</f>
        <v>2.0373935554647945E-2</v>
      </c>
      <c r="G26" s="330"/>
    </row>
    <row r="27" spans="1:7" x14ac:dyDescent="0.2">
      <c r="A27" s="115" t="s">
        <v>272</v>
      </c>
      <c r="B27" s="334">
        <v>21.086007961876511</v>
      </c>
      <c r="E27" s="1">
        <f>+B27/B28</f>
        <v>0.32086881484506835</v>
      </c>
      <c r="F27" s="330">
        <f>+E27*Data!$E$22</f>
        <v>6.417376296901367E-3</v>
      </c>
      <c r="G27" s="330"/>
    </row>
    <row r="28" spans="1:7" ht="12" customHeight="1" x14ac:dyDescent="0.2">
      <c r="A28" s="116"/>
      <c r="B28" s="12">
        <f>+B26+B27</f>
        <v>65.715354644414106</v>
      </c>
      <c r="E28" s="1"/>
      <c r="F28" s="330">
        <f>+F26+F27</f>
        <v>2.6791311851549312E-2</v>
      </c>
      <c r="G28" s="330"/>
    </row>
    <row r="29" spans="1:7" x14ac:dyDescent="0.2">
      <c r="A29" s="302"/>
      <c r="B29" s="457"/>
      <c r="E29" s="1"/>
      <c r="G29">
        <v>2.6791311851549315E-2</v>
      </c>
    </row>
    <row r="30" spans="1:7" x14ac:dyDescent="0.2">
      <c r="A30" s="299"/>
      <c r="B30" s="298"/>
      <c r="E30" s="1"/>
      <c r="G30" s="1">
        <v>65.715354644414091</v>
      </c>
    </row>
    <row r="31" spans="1:7" x14ac:dyDescent="0.2">
      <c r="A31" s="460"/>
      <c r="B31" s="285"/>
      <c r="E31" s="1"/>
    </row>
    <row r="32" spans="1:7" x14ac:dyDescent="0.2">
      <c r="A32" s="116" t="s">
        <v>274</v>
      </c>
      <c r="B32" s="285"/>
      <c r="E32" s="1"/>
    </row>
    <row r="33" spans="1:9" x14ac:dyDescent="0.2">
      <c r="A33" s="172" t="s">
        <v>271</v>
      </c>
      <c r="B33" s="285">
        <v>44.486048460411652</v>
      </c>
      <c r="E33" s="1">
        <f>+B33/B35</f>
        <v>0.51415490889198601</v>
      </c>
      <c r="F33" s="330">
        <f>+E33*Data!$E$21</f>
        <v>1.5424647266759579E-2</v>
      </c>
      <c r="G33" s="330"/>
    </row>
    <row r="34" spans="1:9" x14ac:dyDescent="0.2">
      <c r="A34" s="115" t="s">
        <v>284</v>
      </c>
      <c r="B34" s="334">
        <v>42.036607826737225</v>
      </c>
      <c r="E34" s="1">
        <f>+B34/B35</f>
        <v>0.48584509110801399</v>
      </c>
      <c r="F34" s="330">
        <f>+E34*Data!$E$22</f>
        <v>9.7169018221602808E-3</v>
      </c>
      <c r="G34" s="330"/>
    </row>
    <row r="35" spans="1:9" x14ac:dyDescent="0.2">
      <c r="A35" s="116"/>
      <c r="B35" s="12">
        <f>+B33+B34</f>
        <v>86.522656287148877</v>
      </c>
      <c r="E35" s="1"/>
      <c r="F35" s="330">
        <f>+F33+F34</f>
        <v>2.514154908891986E-2</v>
      </c>
      <c r="G35" s="330"/>
    </row>
    <row r="36" spans="1:9" x14ac:dyDescent="0.2">
      <c r="A36" s="302"/>
      <c r="B36" s="457"/>
      <c r="E36" s="1"/>
      <c r="G36">
        <v>2.514154908891986E-2</v>
      </c>
    </row>
    <row r="37" spans="1:9" x14ac:dyDescent="0.2">
      <c r="A37" s="299"/>
      <c r="B37" s="298"/>
      <c r="E37" s="1"/>
      <c r="G37" s="1">
        <v>86.522656287148877</v>
      </c>
    </row>
    <row r="38" spans="1:9" x14ac:dyDescent="0.2">
      <c r="E38" s="1"/>
    </row>
    <row r="39" spans="1:9" x14ac:dyDescent="0.2">
      <c r="A39" s="116" t="s">
        <v>275</v>
      </c>
      <c r="B39" s="285"/>
      <c r="E39" s="1"/>
    </row>
    <row r="40" spans="1:9" x14ac:dyDescent="0.2">
      <c r="A40" s="172" t="s">
        <v>271</v>
      </c>
      <c r="B40" s="285">
        <v>44.298135351257997</v>
      </c>
      <c r="E40" s="1" t="e">
        <f>+B40/#REF!</f>
        <v>#REF!</v>
      </c>
      <c r="F40" s="330" t="e">
        <f>+E40*Data!$E$21</f>
        <v>#REF!</v>
      </c>
      <c r="G40" s="330"/>
    </row>
    <row r="41" spans="1:9" x14ac:dyDescent="0.2">
      <c r="A41" s="116" t="s">
        <v>352</v>
      </c>
      <c r="B41" s="334">
        <v>104.65289999999999</v>
      </c>
      <c r="E41" s="1"/>
      <c r="G41">
        <v>2.2974112298196063E-2</v>
      </c>
    </row>
    <row r="42" spans="1:9" x14ac:dyDescent="0.2">
      <c r="A42" s="353"/>
      <c r="B42" s="12">
        <f>SUM(B40:B41)</f>
        <v>148.95103535125799</v>
      </c>
      <c r="E42" s="1"/>
      <c r="G42" s="1">
        <v>148.94573879448623</v>
      </c>
      <c r="H42" s="173"/>
    </row>
    <row r="43" spans="1:9" x14ac:dyDescent="0.2">
      <c r="A43" s="114"/>
      <c r="B43" s="114"/>
      <c r="E43" s="1"/>
    </row>
    <row r="44" spans="1:9" x14ac:dyDescent="0.2">
      <c r="A44" s="115" t="s">
        <v>276</v>
      </c>
      <c r="B44" s="334"/>
      <c r="E44" s="1"/>
      <c r="I44" s="136"/>
    </row>
    <row r="45" spans="1:9" x14ac:dyDescent="0.2">
      <c r="A45" s="271" t="s">
        <v>271</v>
      </c>
      <c r="B45" s="334">
        <v>44.289394307716115</v>
      </c>
      <c r="E45" s="1">
        <f>+B45/B47</f>
        <v>0.28731791286700498</v>
      </c>
      <c r="F45" s="330">
        <f>+E45*Data!$E$21</f>
        <v>8.6195373860101492E-3</v>
      </c>
      <c r="G45" s="330"/>
    </row>
    <row r="46" spans="1:9" x14ac:dyDescent="0.2">
      <c r="A46" s="115" t="s">
        <v>285</v>
      </c>
      <c r="B46" s="334">
        <v>109.85830176098318</v>
      </c>
      <c r="E46" s="1">
        <f>+B46/B47</f>
        <v>0.71268208713299497</v>
      </c>
      <c r="F46" s="330">
        <f>+E46*Data!$E$22</f>
        <v>1.42536417426599E-2</v>
      </c>
      <c r="G46" s="330"/>
    </row>
    <row r="47" spans="1:9" x14ac:dyDescent="0.2">
      <c r="A47" s="115"/>
      <c r="B47" s="350">
        <f>+B45+B46</f>
        <v>154.1476960686993</v>
      </c>
      <c r="E47" s="1"/>
      <c r="F47" s="330">
        <f>+F45+F46</f>
        <v>2.2873179128670047E-2</v>
      </c>
      <c r="G47" s="330"/>
    </row>
    <row r="48" spans="1:9" x14ac:dyDescent="0.2">
      <c r="A48" s="355"/>
      <c r="B48" s="459"/>
      <c r="E48" s="1"/>
      <c r="G48">
        <v>2.2873179128670047E-2</v>
      </c>
    </row>
    <row r="49" spans="1:7" x14ac:dyDescent="0.2">
      <c r="A49" s="353"/>
      <c r="B49" s="354"/>
      <c r="G49" s="1">
        <v>154.1476960686993</v>
      </c>
    </row>
    <row r="50" spans="1:7" x14ac:dyDescent="0.2">
      <c r="A50" s="353"/>
      <c r="B50" s="354"/>
    </row>
    <row r="51" spans="1:7" ht="34.5" customHeight="1" x14ac:dyDescent="0.2">
      <c r="A51" s="472" t="s">
        <v>268</v>
      </c>
      <c r="B51" s="472"/>
    </row>
    <row r="52" spans="1:7" x14ac:dyDescent="0.2">
      <c r="A52" s="356"/>
      <c r="B52" s="356"/>
    </row>
    <row r="53" spans="1:7" x14ac:dyDescent="0.2">
      <c r="A53" s="114"/>
      <c r="B53" s="114"/>
    </row>
    <row r="54" spans="1:7" x14ac:dyDescent="0.2">
      <c r="A54" s="114"/>
      <c r="B54" s="114"/>
    </row>
    <row r="55" spans="1:7" hidden="1" x14ac:dyDescent="0.2">
      <c r="A55" s="114" t="s">
        <v>18</v>
      </c>
      <c r="B55" s="114"/>
    </row>
    <row r="56" spans="1:7" hidden="1" x14ac:dyDescent="0.2">
      <c r="A56" s="270" t="s">
        <v>11</v>
      </c>
      <c r="B56" s="357">
        <f>+Data!E8*0.333333</f>
        <v>23.102926220784781</v>
      </c>
    </row>
    <row r="57" spans="1:7" hidden="1" x14ac:dyDescent="0.2">
      <c r="A57" s="270" t="s">
        <v>12</v>
      </c>
      <c r="B57" s="358">
        <f>+B56</f>
        <v>23.102926220784781</v>
      </c>
    </row>
    <row r="58" spans="1:7" hidden="1" x14ac:dyDescent="0.2">
      <c r="A58" s="114" t="s">
        <v>13</v>
      </c>
      <c r="B58" s="358">
        <f>+B57</f>
        <v>23.102926220784781</v>
      </c>
    </row>
    <row r="59" spans="1:7" hidden="1" x14ac:dyDescent="0.2">
      <c r="A59" s="270" t="s">
        <v>14</v>
      </c>
      <c r="B59" s="358">
        <f>+Data!C13*0.666</f>
        <v>5.0127600000000001</v>
      </c>
    </row>
    <row r="60" spans="1:7" hidden="1" x14ac:dyDescent="0.2">
      <c r="A60" s="114"/>
      <c r="B60" s="359">
        <f>SUM(B56:B59)</f>
        <v>74.321538662354342</v>
      </c>
    </row>
    <row r="61" spans="1:7" x14ac:dyDescent="0.2">
      <c r="A61" s="114"/>
      <c r="B61" s="360"/>
    </row>
    <row r="62" spans="1:7" x14ac:dyDescent="0.2">
      <c r="B62" s="8"/>
    </row>
  </sheetData>
  <mergeCells count="4">
    <mergeCell ref="A51:B51"/>
    <mergeCell ref="A9:B9"/>
    <mergeCell ref="A10:B10"/>
    <mergeCell ref="A11:B11"/>
  </mergeCells>
  <printOptions horizontalCentered="1"/>
  <pageMargins left="0.75" right="0.75" top="1" bottom="1" header="0.5" footer="0.5"/>
  <pageSetup orientation="portrait" r:id="rId1"/>
  <headerFooter alignWithMargins="0">
    <oddHeader>&amp;L+&amp;R&amp;"Arial,Bold"&amp;12Exhibit WSS-19
Page &amp;P of 18</oddHead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rgb="FF92D050"/>
  </sheetPr>
  <dimension ref="A2:J109"/>
  <sheetViews>
    <sheetView zoomScaleNormal="100" workbookViewId="0">
      <pane xSplit="1" ySplit="7" topLeftCell="B8" activePane="bottomRight" state="frozen"/>
      <selection activeCell="E22" sqref="E22"/>
      <selection pane="topRight" activeCell="E22" sqref="E22"/>
      <selection pane="bottomLeft" activeCell="E22" sqref="E22"/>
      <selection pane="bottomRight" activeCell="E22" sqref="E22"/>
    </sheetView>
  </sheetViews>
  <sheetFormatPr defaultRowHeight="12.75" x14ac:dyDescent="0.2"/>
  <cols>
    <col min="1" max="1" width="44.28515625" bestFit="1" customWidth="1"/>
    <col min="2" max="2" width="12" bestFit="1" customWidth="1"/>
    <col min="3" max="3" width="10.7109375" bestFit="1" customWidth="1"/>
    <col min="4" max="4" width="10.7109375" customWidth="1"/>
    <col min="5" max="7" width="11" customWidth="1"/>
    <col min="9" max="9" width="24.28515625" bestFit="1" customWidth="1"/>
  </cols>
  <sheetData>
    <row r="2" spans="1:10" x14ac:dyDescent="0.2">
      <c r="A2" s="115"/>
    </row>
    <row r="3" spans="1:10" x14ac:dyDescent="0.2">
      <c r="A3" s="110" t="s">
        <v>306</v>
      </c>
    </row>
    <row r="4" spans="1:10" x14ac:dyDescent="0.2">
      <c r="A4" s="311"/>
    </row>
    <row r="6" spans="1:10" ht="15" x14ac:dyDescent="0.35">
      <c r="B6" s="468" t="s">
        <v>20</v>
      </c>
      <c r="C6" s="468"/>
      <c r="D6" s="468"/>
      <c r="E6" s="468" t="s">
        <v>21</v>
      </c>
      <c r="F6" s="468"/>
      <c r="G6" s="468"/>
      <c r="J6" s="281"/>
    </row>
    <row r="7" spans="1:10" x14ac:dyDescent="0.2">
      <c r="A7" s="9" t="s">
        <v>247</v>
      </c>
      <c r="B7" s="4" t="s">
        <v>0</v>
      </c>
      <c r="C7" s="4" t="s">
        <v>1</v>
      </c>
      <c r="D7" s="4" t="s">
        <v>184</v>
      </c>
      <c r="E7" s="4" t="s">
        <v>0</v>
      </c>
      <c r="F7" s="4" t="s">
        <v>1</v>
      </c>
      <c r="G7" s="4" t="s">
        <v>184</v>
      </c>
      <c r="I7" s="282" t="s">
        <v>241</v>
      </c>
    </row>
    <row r="8" spans="1:10" x14ac:dyDescent="0.2">
      <c r="A8" s="288" t="s">
        <v>310</v>
      </c>
      <c r="B8" s="337">
        <v>41.12</v>
      </c>
      <c r="C8" s="337">
        <v>43.05</v>
      </c>
      <c r="D8" s="275"/>
      <c r="E8" s="337">
        <f>+B8+(B8*B17)</f>
        <v>69.308847971202312</v>
      </c>
      <c r="F8" s="337">
        <f>+C8+(C8*C17)</f>
        <v>69.907231731287041</v>
      </c>
      <c r="G8" s="292"/>
      <c r="H8" s="116"/>
      <c r="I8" t="s">
        <v>242</v>
      </c>
      <c r="J8" s="281"/>
    </row>
    <row r="9" spans="1:10" x14ac:dyDescent="0.2">
      <c r="A9" s="288" t="s">
        <v>311</v>
      </c>
      <c r="B9" s="275"/>
      <c r="C9" s="337">
        <v>43.05</v>
      </c>
      <c r="D9" s="275"/>
      <c r="E9" s="337"/>
      <c r="F9" s="337">
        <f>+F8</f>
        <v>69.907231731287041</v>
      </c>
      <c r="G9" s="292"/>
      <c r="H9" s="303"/>
      <c r="I9" t="s">
        <v>242</v>
      </c>
      <c r="J9" s="281"/>
    </row>
    <row r="10" spans="1:10" x14ac:dyDescent="0.2">
      <c r="A10" s="288" t="s">
        <v>312</v>
      </c>
      <c r="B10" s="275"/>
      <c r="C10" s="337">
        <v>43.05</v>
      </c>
      <c r="D10" s="275"/>
      <c r="E10" s="337"/>
      <c r="F10" s="337">
        <f>+F9</f>
        <v>69.907231731287041</v>
      </c>
      <c r="G10" s="292"/>
      <c r="H10" s="116"/>
      <c r="I10" t="s">
        <v>242</v>
      </c>
      <c r="J10" s="281"/>
    </row>
    <row r="11" spans="1:10" x14ac:dyDescent="0.2">
      <c r="A11" s="288" t="s">
        <v>238</v>
      </c>
      <c r="B11" s="337">
        <v>5.964014401338396</v>
      </c>
      <c r="C11" s="337">
        <v>7.5221775659769126</v>
      </c>
      <c r="D11" s="275"/>
      <c r="E11" s="275"/>
      <c r="F11" s="290"/>
      <c r="G11" s="116"/>
      <c r="H11" s="341">
        <f>AVERAGE(B11:C11)</f>
        <v>6.7430959836576543</v>
      </c>
      <c r="I11" t="s">
        <v>243</v>
      </c>
      <c r="J11" s="281"/>
    </row>
    <row r="12" spans="1:10" x14ac:dyDescent="0.2">
      <c r="A12" s="288" t="s">
        <v>239</v>
      </c>
      <c r="B12" s="337">
        <v>8.7795257675438609</v>
      </c>
      <c r="C12" s="337">
        <v>5.3450501253132856</v>
      </c>
      <c r="D12" s="275"/>
      <c r="E12" s="275"/>
      <c r="F12" s="290"/>
      <c r="G12" s="116"/>
      <c r="H12" s="116"/>
      <c r="I12" t="s">
        <v>243</v>
      </c>
      <c r="J12" s="281"/>
    </row>
    <row r="13" spans="1:10" x14ac:dyDescent="0.2">
      <c r="A13" s="288" t="s">
        <v>240</v>
      </c>
      <c r="B13" s="340">
        <f>(7.52+5.56+5.35)/3</f>
        <v>6.1433333333333335</v>
      </c>
      <c r="C13" s="340">
        <f>(5.96+7.84+8.78)/3</f>
        <v>7.5266666666666664</v>
      </c>
      <c r="D13" s="275"/>
      <c r="E13" s="275"/>
      <c r="F13" s="290"/>
      <c r="G13" s="116"/>
      <c r="H13" s="116"/>
      <c r="I13" t="s">
        <v>243</v>
      </c>
      <c r="J13" s="281"/>
    </row>
    <row r="14" spans="1:10" x14ac:dyDescent="0.2">
      <c r="A14" s="271"/>
      <c r="B14" s="275"/>
      <c r="C14" s="275"/>
      <c r="D14" s="275"/>
      <c r="E14" s="275"/>
      <c r="F14" s="290"/>
      <c r="G14" s="116"/>
      <c r="H14" s="116"/>
    </row>
    <row r="15" spans="1:10" x14ac:dyDescent="0.2">
      <c r="A15" s="114"/>
      <c r="B15" s="338"/>
      <c r="C15" s="338"/>
      <c r="D15" s="338"/>
      <c r="E15" s="115"/>
      <c r="F15" s="116"/>
      <c r="G15" s="116"/>
      <c r="H15" s="116"/>
    </row>
    <row r="16" spans="1:10" x14ac:dyDescent="0.2">
      <c r="A16" s="114"/>
      <c r="B16" s="338"/>
      <c r="C16" s="338"/>
      <c r="D16" s="338"/>
      <c r="E16" s="115"/>
      <c r="F16" s="116"/>
      <c r="G16" s="116"/>
      <c r="H16" s="116"/>
    </row>
    <row r="17" spans="1:10" x14ac:dyDescent="0.2">
      <c r="A17" s="293" t="s">
        <v>29</v>
      </c>
      <c r="B17" s="339">
        <v>0.68552645844363602</v>
      </c>
      <c r="C17" s="339">
        <v>0.6238613642575388</v>
      </c>
      <c r="D17" s="339">
        <v>0.72184523235612763</v>
      </c>
      <c r="E17" s="115"/>
      <c r="F17" s="116"/>
      <c r="G17" s="116"/>
      <c r="H17" s="116"/>
      <c r="I17" s="116" t="s">
        <v>313</v>
      </c>
      <c r="J17" s="281"/>
    </row>
    <row r="18" spans="1:10" x14ac:dyDescent="0.2">
      <c r="A18" s="361" t="s">
        <v>329</v>
      </c>
      <c r="B18" s="369">
        <v>1.2907405193814196E-2</v>
      </c>
      <c r="C18" s="111"/>
      <c r="D18" s="111"/>
      <c r="E18" s="114"/>
      <c r="I18" s="116" t="s">
        <v>313</v>
      </c>
    </row>
    <row r="19" spans="1:10" x14ac:dyDescent="0.2">
      <c r="A19" s="114"/>
      <c r="B19" s="368"/>
      <c r="C19" s="111"/>
      <c r="D19" s="111"/>
      <c r="E19" s="114"/>
    </row>
    <row r="20" spans="1:10" x14ac:dyDescent="0.2">
      <c r="A20" s="114" t="s">
        <v>298</v>
      </c>
      <c r="B20" s="111" t="s">
        <v>301</v>
      </c>
      <c r="D20" s="111"/>
      <c r="E20" s="335">
        <v>0.02</v>
      </c>
      <c r="F20" s="335">
        <v>0.02</v>
      </c>
      <c r="G20" s="335">
        <v>0.02</v>
      </c>
      <c r="I20" s="116" t="s">
        <v>314</v>
      </c>
    </row>
    <row r="21" spans="1:10" x14ac:dyDescent="0.2">
      <c r="B21" s="111" t="s">
        <v>299</v>
      </c>
      <c r="E21" s="335">
        <v>0.03</v>
      </c>
      <c r="F21" s="335">
        <v>0.03</v>
      </c>
      <c r="G21" s="335">
        <v>0.03</v>
      </c>
      <c r="I21" s="116" t="s">
        <v>314</v>
      </c>
    </row>
    <row r="22" spans="1:10" x14ac:dyDescent="0.2">
      <c r="B22" s="111" t="s">
        <v>300</v>
      </c>
      <c r="E22" s="336">
        <v>0.02</v>
      </c>
      <c r="F22" s="336">
        <v>0.02</v>
      </c>
      <c r="G22" s="336">
        <v>0.02</v>
      </c>
      <c r="I22" s="116" t="s">
        <v>314</v>
      </c>
    </row>
    <row r="23" spans="1:10" x14ac:dyDescent="0.2">
      <c r="C23" s="136"/>
    </row>
    <row r="24" spans="1:10" x14ac:dyDescent="0.2">
      <c r="A24" s="8"/>
      <c r="B24" s="8"/>
      <c r="C24" s="137"/>
    </row>
    <row r="25" spans="1:10" x14ac:dyDescent="0.2">
      <c r="A25" s="307" t="s">
        <v>70</v>
      </c>
      <c r="B25" s="280" t="s">
        <v>71</v>
      </c>
      <c r="C25" s="280" t="s">
        <v>72</v>
      </c>
      <c r="D25" s="8"/>
    </row>
    <row r="26" spans="1:10" x14ac:dyDescent="0.2">
      <c r="A26" s="107" t="s">
        <v>73</v>
      </c>
      <c r="B26" s="344">
        <v>42</v>
      </c>
      <c r="C26" s="337">
        <f>+B26+(B26*B17)</f>
        <v>70.792111254632715</v>
      </c>
      <c r="D26" s="17"/>
      <c r="I26" t="s">
        <v>244</v>
      </c>
      <c r="J26" s="281"/>
    </row>
    <row r="27" spans="1:10" x14ac:dyDescent="0.2">
      <c r="A27" s="107" t="s">
        <v>74</v>
      </c>
      <c r="B27" s="344">
        <v>40.159999999999997</v>
      </c>
      <c r="C27" s="337">
        <f>+B27+(B27*B17)</f>
        <v>67.690742571096422</v>
      </c>
      <c r="D27" s="17"/>
      <c r="I27" t="s">
        <v>244</v>
      </c>
    </row>
    <row r="28" spans="1:10" x14ac:dyDescent="0.2">
      <c r="A28" s="107" t="s">
        <v>75</v>
      </c>
      <c r="B28" s="276"/>
      <c r="C28" s="345">
        <v>7.84</v>
      </c>
      <c r="D28" s="215"/>
      <c r="I28" t="s">
        <v>243</v>
      </c>
    </row>
    <row r="29" spans="1:10" x14ac:dyDescent="0.2">
      <c r="A29" s="107"/>
      <c r="B29" s="166"/>
      <c r="C29" s="166"/>
      <c r="D29" s="8"/>
    </row>
    <row r="30" spans="1:10" x14ac:dyDescent="0.2">
      <c r="A30" s="107" t="s">
        <v>76</v>
      </c>
      <c r="B30" s="166"/>
      <c r="C30" s="345">
        <f>SUM(C26:C29)</f>
        <v>146.32285382572914</v>
      </c>
      <c r="D30" s="108"/>
    </row>
    <row r="31" spans="1:10" x14ac:dyDescent="0.2">
      <c r="A31" s="107"/>
      <c r="B31" s="8"/>
      <c r="C31" s="8"/>
      <c r="D31" s="8"/>
    </row>
    <row r="34" spans="1:10" x14ac:dyDescent="0.2">
      <c r="A34" s="296" t="s">
        <v>248</v>
      </c>
      <c r="B34" s="277" t="s">
        <v>1</v>
      </c>
      <c r="C34" s="277" t="s">
        <v>0</v>
      </c>
    </row>
    <row r="35" spans="1:10" x14ac:dyDescent="0.2">
      <c r="A35" s="114" t="s">
        <v>37</v>
      </c>
      <c r="B35" s="337">
        <v>55</v>
      </c>
      <c r="C35" s="337">
        <v>55</v>
      </c>
      <c r="D35" s="114"/>
      <c r="E35" s="114"/>
      <c r="F35" s="114"/>
      <c r="G35" s="114"/>
      <c r="H35" s="114"/>
      <c r="I35" s="114" t="s">
        <v>245</v>
      </c>
      <c r="J35" s="281">
        <v>43263</v>
      </c>
    </row>
    <row r="36" spans="1:10" x14ac:dyDescent="0.2">
      <c r="A36" s="114" t="s">
        <v>34</v>
      </c>
      <c r="B36" s="337">
        <v>150</v>
      </c>
      <c r="C36" s="337">
        <v>150</v>
      </c>
      <c r="D36" s="114"/>
      <c r="E36" s="114"/>
      <c r="F36" s="114"/>
      <c r="G36" s="114"/>
      <c r="H36" s="114"/>
      <c r="I36" s="114" t="s">
        <v>245</v>
      </c>
      <c r="J36" s="281">
        <v>43263</v>
      </c>
    </row>
    <row r="37" spans="1:10" x14ac:dyDescent="0.2">
      <c r="A37" s="114" t="s">
        <v>35</v>
      </c>
      <c r="B37" s="337">
        <v>85</v>
      </c>
      <c r="C37" s="337">
        <v>85</v>
      </c>
      <c r="D37" s="114"/>
      <c r="E37" s="114"/>
      <c r="F37" s="114"/>
      <c r="G37" s="114"/>
      <c r="H37" s="114"/>
      <c r="I37" s="114" t="s">
        <v>245</v>
      </c>
      <c r="J37" s="281">
        <v>43263</v>
      </c>
    </row>
    <row r="38" spans="1:10" x14ac:dyDescent="0.2">
      <c r="A38" s="114" t="s">
        <v>237</v>
      </c>
      <c r="B38" s="110">
        <v>5</v>
      </c>
      <c r="C38" s="110">
        <v>5</v>
      </c>
      <c r="D38" s="114"/>
      <c r="E38" s="114"/>
      <c r="F38" s="114"/>
      <c r="G38" s="114"/>
      <c r="H38" s="114"/>
      <c r="I38" s="114" t="s">
        <v>245</v>
      </c>
      <c r="J38" s="281">
        <v>43263</v>
      </c>
    </row>
    <row r="39" spans="1:10" x14ac:dyDescent="0.2">
      <c r="A39" s="114" t="s">
        <v>236</v>
      </c>
      <c r="B39" s="110">
        <v>2</v>
      </c>
      <c r="C39" s="110">
        <v>2</v>
      </c>
      <c r="D39" s="114"/>
      <c r="E39" s="114"/>
      <c r="F39" s="114"/>
      <c r="G39" s="114"/>
      <c r="H39" s="114"/>
      <c r="I39" s="114" t="s">
        <v>245</v>
      </c>
      <c r="J39" s="281">
        <v>43263</v>
      </c>
    </row>
    <row r="40" spans="1:10" x14ac:dyDescent="0.2">
      <c r="A40" s="114"/>
      <c r="B40" s="114"/>
      <c r="C40" s="114"/>
      <c r="D40" s="114"/>
      <c r="E40" s="114"/>
      <c r="F40" s="114"/>
      <c r="G40" s="114"/>
      <c r="H40" s="114"/>
      <c r="I40" s="114"/>
    </row>
    <row r="41" spans="1:10" x14ac:dyDescent="0.2">
      <c r="A41" s="296" t="s">
        <v>15</v>
      </c>
    </row>
    <row r="42" spans="1:10" x14ac:dyDescent="0.2">
      <c r="A42" s="287" t="s">
        <v>326</v>
      </c>
      <c r="B42" s="275">
        <f>+E47</f>
        <v>53.147999999999996</v>
      </c>
      <c r="C42" s="111"/>
      <c r="D42" s="111"/>
      <c r="E42" s="114"/>
      <c r="I42" t="s">
        <v>245</v>
      </c>
    </row>
    <row r="43" spans="1:10" x14ac:dyDescent="0.2">
      <c r="A43" s="375" t="s">
        <v>332</v>
      </c>
      <c r="B43" s="275">
        <f>+E52</f>
        <v>42.302500290789155</v>
      </c>
      <c r="C43" s="111"/>
      <c r="D43" s="111"/>
      <c r="E43" s="114"/>
      <c r="I43" t="s">
        <v>245</v>
      </c>
    </row>
    <row r="44" spans="1:10" x14ac:dyDescent="0.2">
      <c r="A44" s="376" t="s">
        <v>333</v>
      </c>
      <c r="B44" s="111"/>
      <c r="C44" s="111"/>
      <c r="D44" s="111"/>
      <c r="E44" s="114"/>
    </row>
    <row r="45" spans="1:10" x14ac:dyDescent="0.2">
      <c r="A45" s="272"/>
      <c r="B45" s="279" t="s">
        <v>87</v>
      </c>
      <c r="C45" s="114"/>
      <c r="D45" s="114"/>
      <c r="E45" s="114"/>
    </row>
    <row r="46" spans="1:10" x14ac:dyDescent="0.2">
      <c r="A46" s="272"/>
      <c r="B46" s="278" t="s">
        <v>88</v>
      </c>
      <c r="C46" s="304" t="s">
        <v>279</v>
      </c>
      <c r="D46" s="115" t="s">
        <v>282</v>
      </c>
      <c r="E46" s="114"/>
    </row>
    <row r="47" spans="1:10" x14ac:dyDescent="0.2">
      <c r="A47" s="115" t="s">
        <v>299</v>
      </c>
      <c r="B47" s="346">
        <v>1.2</v>
      </c>
      <c r="C47" s="275"/>
      <c r="D47" s="341">
        <v>44.29</v>
      </c>
      <c r="E47" s="275">
        <f>+B47*D47</f>
        <v>53.147999999999996</v>
      </c>
      <c r="I47" t="s">
        <v>245</v>
      </c>
    </row>
    <row r="48" spans="1:10" x14ac:dyDescent="0.2">
      <c r="A48" s="114"/>
      <c r="B48" s="312"/>
      <c r="C48" s="310"/>
      <c r="D48" s="311"/>
      <c r="E48" s="310"/>
    </row>
    <row r="49" spans="1:10" x14ac:dyDescent="0.2">
      <c r="A49" s="115"/>
      <c r="B49" s="115"/>
      <c r="C49" s="275"/>
      <c r="D49" s="342"/>
      <c r="E49" s="275"/>
      <c r="I49" t="s">
        <v>245</v>
      </c>
    </row>
    <row r="50" spans="1:10" x14ac:dyDescent="0.2">
      <c r="A50" s="115" t="s">
        <v>327</v>
      </c>
      <c r="B50" s="110">
        <v>0.5</v>
      </c>
      <c r="C50" s="337">
        <v>38.83</v>
      </c>
      <c r="D50" s="341">
        <f>+C50+(C50*$B$17)</f>
        <v>65.448992381366381</v>
      </c>
      <c r="E50" s="275">
        <f t="shared" ref="E50:E51" si="0">+B50*D50</f>
        <v>32.72449619068319</v>
      </c>
      <c r="I50" t="s">
        <v>245</v>
      </c>
    </row>
    <row r="51" spans="1:10" x14ac:dyDescent="0.2">
      <c r="A51" s="115" t="s">
        <v>328</v>
      </c>
      <c r="B51" s="110">
        <v>0.25</v>
      </c>
      <c r="C51" s="337">
        <v>22.73</v>
      </c>
      <c r="D51" s="341">
        <f t="shared" ref="D51" si="1">+C51+(C51*$B$17)</f>
        <v>38.312016400423843</v>
      </c>
      <c r="E51" s="275">
        <f t="shared" si="0"/>
        <v>9.5780041001059608</v>
      </c>
      <c r="I51" t="s">
        <v>245</v>
      </c>
    </row>
    <row r="52" spans="1:10" x14ac:dyDescent="0.2">
      <c r="A52" s="114"/>
      <c r="B52" s="115"/>
      <c r="C52" s="115"/>
      <c r="D52" s="116"/>
      <c r="E52" s="342">
        <f>SUM(E49:E51)</f>
        <v>42.302500290789155</v>
      </c>
      <c r="I52" t="s">
        <v>245</v>
      </c>
    </row>
    <row r="54" spans="1:10" x14ac:dyDescent="0.2">
      <c r="A54" s="293" t="s">
        <v>246</v>
      </c>
      <c r="D54" s="361">
        <v>18.5</v>
      </c>
      <c r="G54" s="348">
        <f>(+D54*$D$17)+D54</f>
        <v>31.85413679858836</v>
      </c>
      <c r="I54" s="116" t="s">
        <v>302</v>
      </c>
      <c r="J54" s="281"/>
    </row>
    <row r="57" spans="1:10" x14ac:dyDescent="0.2">
      <c r="A57" s="296" t="s">
        <v>249</v>
      </c>
      <c r="F57" s="370"/>
      <c r="I57" s="116" t="s">
        <v>250</v>
      </c>
      <c r="J57" s="281"/>
    </row>
    <row r="58" spans="1:10" x14ac:dyDescent="0.2">
      <c r="A58" s="112" t="s">
        <v>89</v>
      </c>
      <c r="I58" s="116" t="s">
        <v>250</v>
      </c>
      <c r="J58" s="281"/>
    </row>
    <row r="59" spans="1:10" x14ac:dyDescent="0.2">
      <c r="A59" t="s">
        <v>82</v>
      </c>
      <c r="I59" s="116" t="s">
        <v>250</v>
      </c>
      <c r="J59" s="281"/>
    </row>
    <row r="60" spans="1:10" x14ac:dyDescent="0.2">
      <c r="A60" s="114" t="s">
        <v>86</v>
      </c>
      <c r="B60" s="346">
        <v>640.74</v>
      </c>
      <c r="C60" s="116"/>
      <c r="D60" s="116"/>
      <c r="E60" s="116"/>
      <c r="F60" s="116"/>
      <c r="G60" s="116"/>
      <c r="H60" s="116"/>
      <c r="I60" s="116" t="s">
        <v>250</v>
      </c>
      <c r="J60" s="281"/>
    </row>
    <row r="61" spans="1:10" x14ac:dyDescent="0.2">
      <c r="A61" s="114" t="s">
        <v>84</v>
      </c>
      <c r="B61" s="346">
        <f>120*(1+B17)</f>
        <v>202.26317501323632</v>
      </c>
      <c r="C61" s="116"/>
      <c r="D61" s="116"/>
      <c r="E61" s="116"/>
      <c r="F61" s="116"/>
      <c r="G61" s="116"/>
      <c r="H61" s="116"/>
      <c r="I61" s="116" t="s">
        <v>250</v>
      </c>
      <c r="J61" s="281"/>
    </row>
    <row r="62" spans="1:10" x14ac:dyDescent="0.2">
      <c r="A62" s="115" t="s">
        <v>236</v>
      </c>
      <c r="B62" s="346">
        <v>21.08</v>
      </c>
      <c r="C62" s="116"/>
      <c r="D62" s="116"/>
      <c r="E62" s="116"/>
      <c r="F62" s="116"/>
      <c r="G62" s="116"/>
      <c r="H62" s="116"/>
      <c r="I62" s="116" t="s">
        <v>250</v>
      </c>
      <c r="J62" s="281"/>
    </row>
    <row r="63" spans="1:10" x14ac:dyDescent="0.2">
      <c r="A63" s="114" t="s">
        <v>85</v>
      </c>
      <c r="B63" s="347">
        <f>SUM(B60:B62)</f>
        <v>864.08317501323643</v>
      </c>
      <c r="C63" s="116"/>
      <c r="D63" s="116"/>
      <c r="E63" s="116"/>
      <c r="F63" s="116"/>
      <c r="G63" s="116"/>
      <c r="H63" s="116"/>
      <c r="I63" s="116" t="s">
        <v>250</v>
      </c>
      <c r="J63" s="281"/>
    </row>
    <row r="64" spans="1:10" x14ac:dyDescent="0.2">
      <c r="A64" s="114"/>
      <c r="B64" s="290"/>
      <c r="C64" s="116"/>
      <c r="D64" s="116"/>
      <c r="E64" s="116"/>
      <c r="F64" s="116"/>
      <c r="G64" s="116"/>
      <c r="H64" s="116"/>
      <c r="I64" s="116" t="s">
        <v>250</v>
      </c>
      <c r="J64" s="281"/>
    </row>
    <row r="65" spans="1:10" x14ac:dyDescent="0.2">
      <c r="A65" s="306" t="s">
        <v>90</v>
      </c>
      <c r="B65" s="116"/>
      <c r="C65" s="116"/>
      <c r="D65" s="116"/>
      <c r="E65" s="116"/>
      <c r="F65" s="116"/>
      <c r="G65" s="116"/>
      <c r="H65" s="116"/>
      <c r="I65" s="116" t="s">
        <v>250</v>
      </c>
      <c r="J65" s="281"/>
    </row>
    <row r="66" spans="1:10" x14ac:dyDescent="0.2">
      <c r="A66" s="114" t="s">
        <v>82</v>
      </c>
      <c r="B66" s="116"/>
      <c r="C66" s="116"/>
      <c r="D66" s="116"/>
      <c r="E66" s="116"/>
      <c r="F66" s="116"/>
      <c r="G66" s="116"/>
      <c r="H66" s="116"/>
      <c r="I66" s="116" t="s">
        <v>250</v>
      </c>
      <c r="J66" s="281"/>
    </row>
    <row r="67" spans="1:10" x14ac:dyDescent="0.2">
      <c r="A67" s="114" t="s">
        <v>86</v>
      </c>
      <c r="B67" s="346">
        <v>0</v>
      </c>
      <c r="C67" s="116"/>
      <c r="D67" s="116"/>
      <c r="E67" s="116"/>
      <c r="F67" s="116"/>
      <c r="G67" s="116"/>
      <c r="H67" s="116"/>
      <c r="I67" s="116" t="s">
        <v>250</v>
      </c>
      <c r="J67" s="281"/>
    </row>
    <row r="68" spans="1:10" x14ac:dyDescent="0.2">
      <c r="A68" s="114" t="s">
        <v>84</v>
      </c>
      <c r="B68" s="346">
        <f>135*(1+B17)</f>
        <v>227.54607188989087</v>
      </c>
      <c r="C68" s="116"/>
      <c r="D68" s="116"/>
      <c r="E68" s="116"/>
      <c r="F68" s="116"/>
      <c r="G68" s="116"/>
      <c r="H68" s="116"/>
      <c r="I68" s="116" t="s">
        <v>250</v>
      </c>
      <c r="J68" s="281"/>
    </row>
    <row r="69" spans="1:10" x14ac:dyDescent="0.2">
      <c r="A69" s="114" t="s">
        <v>36</v>
      </c>
      <c r="B69" s="346">
        <v>25.96</v>
      </c>
      <c r="C69" s="116"/>
      <c r="D69" s="116"/>
      <c r="E69" s="116"/>
      <c r="F69" s="116"/>
      <c r="G69" s="116"/>
      <c r="H69" s="116"/>
      <c r="I69" s="116" t="s">
        <v>250</v>
      </c>
      <c r="J69" s="281"/>
    </row>
    <row r="70" spans="1:10" x14ac:dyDescent="0.2">
      <c r="A70" t="s">
        <v>85</v>
      </c>
      <c r="B70" s="347">
        <f>SUM(B67:B69)</f>
        <v>253.50607188989088</v>
      </c>
      <c r="C70" s="116"/>
      <c r="D70" s="116"/>
      <c r="E70" s="116"/>
      <c r="F70" s="116"/>
      <c r="G70" s="116"/>
      <c r="H70" s="116"/>
      <c r="I70" s="116" t="s">
        <v>250</v>
      </c>
      <c r="J70" s="281"/>
    </row>
    <row r="71" spans="1:10" x14ac:dyDescent="0.2">
      <c r="B71" s="116"/>
      <c r="C71" s="116"/>
      <c r="D71" s="116"/>
      <c r="E71" s="116"/>
      <c r="F71" s="116"/>
      <c r="G71" s="116"/>
      <c r="H71" s="116"/>
    </row>
    <row r="72" spans="1:10" x14ac:dyDescent="0.2">
      <c r="B72" s="116"/>
      <c r="C72" s="116"/>
      <c r="D72" s="116"/>
      <c r="E72" s="116"/>
      <c r="F72" s="116"/>
      <c r="G72" s="116"/>
      <c r="H72" s="116"/>
    </row>
    <row r="73" spans="1:10" x14ac:dyDescent="0.2">
      <c r="A73" s="296" t="s">
        <v>251</v>
      </c>
      <c r="B73" s="116"/>
      <c r="C73" s="116"/>
      <c r="D73" s="116"/>
      <c r="E73" s="116"/>
      <c r="F73" s="116"/>
      <c r="G73" s="116"/>
      <c r="H73" s="116"/>
      <c r="J73" s="281"/>
    </row>
    <row r="74" spans="1:10" x14ac:dyDescent="0.2">
      <c r="A74" s="114" t="s">
        <v>286</v>
      </c>
      <c r="B74" s="337">
        <v>35</v>
      </c>
      <c r="C74" s="337">
        <v>26</v>
      </c>
      <c r="D74" s="290"/>
      <c r="E74" s="348">
        <f>(+B74*$B$17)+B74</f>
        <v>58.993426045527258</v>
      </c>
      <c r="F74" s="348">
        <f>(+C74*$C$17)+C74</f>
        <v>42.220395470696005</v>
      </c>
      <c r="G74" s="348"/>
      <c r="H74" s="116"/>
      <c r="I74" s="116" t="s">
        <v>315</v>
      </c>
    </row>
    <row r="75" spans="1:10" x14ac:dyDescent="0.2">
      <c r="A75" s="114" t="s">
        <v>252</v>
      </c>
      <c r="B75" s="275"/>
      <c r="C75" s="275"/>
      <c r="D75" s="337">
        <v>22.4</v>
      </c>
      <c r="E75" s="348">
        <f>+G75</f>
        <v>38.569333204777251</v>
      </c>
      <c r="F75" s="348">
        <f>+G75</f>
        <v>38.569333204777251</v>
      </c>
      <c r="G75" s="348">
        <f>(+D75*$D$17)+D75</f>
        <v>38.569333204777251</v>
      </c>
      <c r="H75" s="116"/>
      <c r="I75" s="116" t="s">
        <v>302</v>
      </c>
    </row>
    <row r="76" spans="1:10" x14ac:dyDescent="0.2">
      <c r="A76" s="114" t="s">
        <v>253</v>
      </c>
      <c r="B76" s="290"/>
      <c r="C76" s="290"/>
      <c r="D76" s="275"/>
      <c r="E76" s="349"/>
      <c r="F76" s="349"/>
      <c r="G76" s="349"/>
      <c r="H76" s="115"/>
      <c r="I76" s="116"/>
    </row>
    <row r="77" spans="1:10" x14ac:dyDescent="0.2">
      <c r="A77" s="114" t="s">
        <v>254</v>
      </c>
      <c r="B77" s="116"/>
      <c r="C77" s="116"/>
      <c r="D77" s="290"/>
      <c r="E77" s="116"/>
      <c r="F77" s="116"/>
      <c r="G77" s="116"/>
      <c r="H77" s="116"/>
    </row>
    <row r="78" spans="1:10" ht="15.75" x14ac:dyDescent="0.25">
      <c r="A78" s="114" t="s">
        <v>255</v>
      </c>
      <c r="B78" s="116"/>
      <c r="C78" s="116"/>
      <c r="D78" s="290"/>
      <c r="E78" s="343"/>
      <c r="F78" s="116"/>
      <c r="G78" s="116"/>
      <c r="H78" s="116"/>
    </row>
    <row r="79" spans="1:10" ht="15.75" x14ac:dyDescent="0.25">
      <c r="A79" s="114" t="s">
        <v>256</v>
      </c>
      <c r="B79" s="116"/>
      <c r="C79" s="116"/>
      <c r="D79" s="290"/>
      <c r="E79" s="343"/>
      <c r="F79" s="116"/>
      <c r="G79" s="116"/>
      <c r="H79" s="116"/>
    </row>
    <row r="80" spans="1:10" ht="15.75" x14ac:dyDescent="0.25">
      <c r="A80" s="114" t="s">
        <v>257</v>
      </c>
      <c r="B80" s="116"/>
      <c r="C80" s="116"/>
      <c r="D80" s="290"/>
      <c r="E80" s="343"/>
      <c r="F80" s="116"/>
      <c r="G80" s="116"/>
      <c r="H80" s="116"/>
    </row>
    <row r="81" spans="1:9" ht="15.75" x14ac:dyDescent="0.25">
      <c r="A81" s="114" t="s">
        <v>258</v>
      </c>
      <c r="B81" s="116"/>
      <c r="C81" s="116"/>
      <c r="D81" s="290"/>
      <c r="E81" s="343"/>
      <c r="F81" s="116"/>
      <c r="G81" s="116"/>
      <c r="H81" s="116"/>
    </row>
    <row r="82" spans="1:9" ht="15.75" x14ac:dyDescent="0.25">
      <c r="A82" s="115" t="s">
        <v>266</v>
      </c>
      <c r="B82" s="337">
        <v>11</v>
      </c>
      <c r="C82" s="337">
        <v>11</v>
      </c>
      <c r="D82" s="337">
        <v>11</v>
      </c>
      <c r="E82" s="343"/>
      <c r="F82" s="116"/>
      <c r="G82" s="116"/>
      <c r="H82" s="116"/>
      <c r="I82" s="116" t="s">
        <v>315</v>
      </c>
    </row>
    <row r="83" spans="1:9" ht="15.75" x14ac:dyDescent="0.25">
      <c r="A83" s="114" t="s">
        <v>259</v>
      </c>
      <c r="B83" s="290"/>
      <c r="C83" s="290"/>
      <c r="D83" s="290"/>
      <c r="E83" s="343"/>
      <c r="F83" s="116"/>
      <c r="G83" s="116"/>
      <c r="H83" s="116"/>
    </row>
    <row r="84" spans="1:9" ht="15.75" x14ac:dyDescent="0.25">
      <c r="A84" s="114" t="s">
        <v>260</v>
      </c>
      <c r="B84" s="290"/>
      <c r="C84" s="290"/>
      <c r="D84" s="290"/>
      <c r="E84" s="343"/>
      <c r="F84" s="116"/>
      <c r="G84" s="116"/>
      <c r="H84" s="116"/>
    </row>
    <row r="85" spans="1:9" ht="15.75" x14ac:dyDescent="0.25">
      <c r="A85" s="114" t="s">
        <v>261</v>
      </c>
      <c r="B85" s="337">
        <v>20</v>
      </c>
      <c r="C85" s="337">
        <v>20</v>
      </c>
      <c r="D85" s="337">
        <v>20</v>
      </c>
      <c r="E85" s="343"/>
      <c r="F85" s="116"/>
      <c r="G85" s="116"/>
      <c r="H85" s="116"/>
      <c r="I85" s="116" t="s">
        <v>303</v>
      </c>
    </row>
    <row r="86" spans="1:9" ht="15.75" x14ac:dyDescent="0.25">
      <c r="A86" s="114" t="s">
        <v>262</v>
      </c>
      <c r="B86" s="337">
        <v>40</v>
      </c>
      <c r="C86" s="337">
        <v>40</v>
      </c>
      <c r="D86" s="337">
        <v>40</v>
      </c>
      <c r="E86" s="343"/>
      <c r="F86" s="116"/>
      <c r="G86" s="116"/>
      <c r="H86" s="116"/>
      <c r="I86" s="116" t="s">
        <v>303</v>
      </c>
    </row>
    <row r="87" spans="1:9" ht="15.75" x14ac:dyDescent="0.25">
      <c r="A87" s="114" t="s">
        <v>263</v>
      </c>
      <c r="B87" s="337">
        <v>100</v>
      </c>
      <c r="C87" s="337">
        <v>100</v>
      </c>
      <c r="D87" s="337">
        <v>100</v>
      </c>
      <c r="E87" s="343"/>
      <c r="F87" s="116"/>
      <c r="G87" s="116"/>
      <c r="H87" s="116"/>
      <c r="I87" s="116" t="s">
        <v>303</v>
      </c>
    </row>
    <row r="88" spans="1:9" x14ac:dyDescent="0.2">
      <c r="A88" s="114" t="s">
        <v>264</v>
      </c>
      <c r="B88" s="337">
        <v>105</v>
      </c>
      <c r="C88" s="337">
        <v>105</v>
      </c>
      <c r="D88" s="337">
        <v>105</v>
      </c>
      <c r="E88" s="116"/>
      <c r="F88" s="116"/>
      <c r="G88" s="116"/>
      <c r="H88" s="116"/>
      <c r="I88" s="116" t="s">
        <v>303</v>
      </c>
    </row>
    <row r="89" spans="1:9" x14ac:dyDescent="0.2">
      <c r="A89" s="114" t="s">
        <v>316</v>
      </c>
      <c r="B89" s="337">
        <v>62</v>
      </c>
      <c r="C89" s="275"/>
      <c r="D89" s="275"/>
      <c r="E89" s="116"/>
      <c r="F89" s="116"/>
      <c r="G89" s="116"/>
      <c r="H89" s="116"/>
    </row>
    <row r="90" spans="1:9" x14ac:dyDescent="0.2">
      <c r="B90" s="116"/>
      <c r="C90" s="116"/>
      <c r="D90" s="116"/>
      <c r="E90" s="116"/>
      <c r="F90" s="116"/>
      <c r="G90" s="116"/>
      <c r="H90" s="116"/>
    </row>
    <row r="91" spans="1:9" x14ac:dyDescent="0.2">
      <c r="B91" s="116"/>
      <c r="C91" s="116"/>
      <c r="D91" s="116"/>
      <c r="E91" s="116"/>
      <c r="F91" s="116"/>
      <c r="G91" s="116"/>
      <c r="H91" s="116"/>
    </row>
    <row r="92" spans="1:9" x14ac:dyDescent="0.2">
      <c r="B92" s="116"/>
      <c r="C92" s="116"/>
      <c r="D92" s="116"/>
      <c r="E92" s="116"/>
      <c r="F92" s="116"/>
      <c r="G92" s="116"/>
      <c r="H92" s="116"/>
    </row>
    <row r="93" spans="1:9" x14ac:dyDescent="0.2">
      <c r="B93" s="116"/>
      <c r="C93" s="116"/>
      <c r="D93" s="116"/>
      <c r="E93" s="116"/>
      <c r="F93" s="116"/>
      <c r="G93" s="116"/>
      <c r="H93" s="116"/>
    </row>
    <row r="94" spans="1:9" x14ac:dyDescent="0.2">
      <c r="B94" s="116"/>
      <c r="C94" s="116"/>
      <c r="D94" s="116"/>
      <c r="E94" s="116"/>
      <c r="F94" s="116"/>
      <c r="G94" s="116"/>
      <c r="H94" s="116"/>
    </row>
    <row r="95" spans="1:9" x14ac:dyDescent="0.2">
      <c r="B95" s="116"/>
      <c r="C95" s="116"/>
      <c r="D95" s="116"/>
      <c r="E95" s="116"/>
      <c r="F95" s="116"/>
      <c r="G95" s="116"/>
      <c r="H95" s="116"/>
    </row>
    <row r="96" spans="1:9" x14ac:dyDescent="0.2">
      <c r="B96" s="116"/>
      <c r="C96" s="116"/>
      <c r="D96" s="116"/>
      <c r="E96" s="116"/>
      <c r="F96" s="116"/>
      <c r="G96" s="116"/>
      <c r="H96" s="116"/>
    </row>
    <row r="97" spans="2:8" x14ac:dyDescent="0.2">
      <c r="B97" s="116"/>
      <c r="C97" s="116"/>
      <c r="D97" s="116"/>
      <c r="E97" s="116"/>
      <c r="F97" s="116"/>
      <c r="G97" s="116"/>
      <c r="H97" s="116"/>
    </row>
    <row r="98" spans="2:8" x14ac:dyDescent="0.2">
      <c r="B98" s="116"/>
      <c r="C98" s="116"/>
      <c r="D98" s="116"/>
      <c r="E98" s="116"/>
      <c r="F98" s="116"/>
      <c r="G98" s="116"/>
      <c r="H98" s="116"/>
    </row>
    <row r="99" spans="2:8" x14ac:dyDescent="0.2">
      <c r="B99" s="116"/>
      <c r="C99" s="116"/>
      <c r="D99" s="116"/>
      <c r="E99" s="116"/>
      <c r="F99" s="116"/>
      <c r="G99" s="116"/>
      <c r="H99" s="116"/>
    </row>
    <row r="100" spans="2:8" x14ac:dyDescent="0.2">
      <c r="B100" s="116"/>
      <c r="C100" s="116"/>
      <c r="D100" s="116"/>
      <c r="E100" s="116"/>
      <c r="F100" s="116"/>
      <c r="G100" s="116"/>
      <c r="H100" s="116"/>
    </row>
    <row r="101" spans="2:8" x14ac:dyDescent="0.2">
      <c r="B101" s="116"/>
      <c r="C101" s="116"/>
      <c r="D101" s="116"/>
      <c r="E101" s="116"/>
      <c r="F101" s="116"/>
      <c r="G101" s="116"/>
      <c r="H101" s="116"/>
    </row>
    <row r="102" spans="2:8" x14ac:dyDescent="0.2">
      <c r="B102" s="116"/>
      <c r="C102" s="116"/>
      <c r="D102" s="116"/>
      <c r="E102" s="116"/>
      <c r="F102" s="116"/>
      <c r="G102" s="116"/>
      <c r="H102" s="116"/>
    </row>
    <row r="103" spans="2:8" x14ac:dyDescent="0.2">
      <c r="B103" s="116"/>
      <c r="C103" s="116"/>
      <c r="D103" s="116"/>
      <c r="E103" s="116"/>
      <c r="F103" s="116"/>
      <c r="G103" s="116"/>
      <c r="H103" s="116"/>
    </row>
    <row r="104" spans="2:8" x14ac:dyDescent="0.2">
      <c r="B104" s="116"/>
      <c r="C104" s="116"/>
      <c r="D104" s="116"/>
      <c r="E104" s="116"/>
      <c r="F104" s="116"/>
      <c r="G104" s="116"/>
      <c r="H104" s="116"/>
    </row>
    <row r="105" spans="2:8" x14ac:dyDescent="0.2">
      <c r="B105" s="116"/>
      <c r="C105" s="116"/>
      <c r="D105" s="116"/>
      <c r="E105" s="116"/>
      <c r="F105" s="116"/>
      <c r="G105" s="116"/>
      <c r="H105" s="116"/>
    </row>
    <row r="106" spans="2:8" x14ac:dyDescent="0.2">
      <c r="B106" s="116"/>
      <c r="C106" s="116"/>
      <c r="D106" s="116"/>
      <c r="E106" s="116"/>
      <c r="F106" s="116"/>
      <c r="G106" s="116"/>
      <c r="H106" s="116"/>
    </row>
    <row r="107" spans="2:8" x14ac:dyDescent="0.2">
      <c r="B107" s="116"/>
      <c r="C107" s="116"/>
      <c r="D107" s="116"/>
      <c r="E107" s="116"/>
      <c r="F107" s="116"/>
      <c r="G107" s="116"/>
      <c r="H107" s="116"/>
    </row>
    <row r="108" spans="2:8" x14ac:dyDescent="0.2">
      <c r="B108" s="116"/>
      <c r="C108" s="116"/>
      <c r="D108" s="116"/>
      <c r="E108" s="116"/>
      <c r="F108" s="116"/>
      <c r="G108" s="116"/>
      <c r="H108" s="116"/>
    </row>
    <row r="109" spans="2:8" x14ac:dyDescent="0.2">
      <c r="B109" s="116"/>
      <c r="C109" s="116"/>
      <c r="D109" s="116"/>
      <c r="E109" s="116"/>
      <c r="F109" s="116"/>
      <c r="G109" s="116"/>
      <c r="H109" s="116"/>
    </row>
  </sheetData>
  <mergeCells count="2">
    <mergeCell ref="B6:D6"/>
    <mergeCell ref="E6:G6"/>
  </mergeCells>
  <phoneticPr fontId="5" type="noConversion"/>
  <pageMargins left="0.75" right="0.75" top="1" bottom="1" header="0.5" footer="0.5"/>
  <pageSetup scale="58" orientation="portrait" r:id="rId1"/>
  <headerFooter alignWithMargins="0"/>
  <colBreaks count="1" manualBreakCount="1">
    <brk id="1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20"/>
  <sheetViews>
    <sheetView zoomScaleNormal="100" workbookViewId="0">
      <selection activeCell="E12" sqref="E12"/>
    </sheetView>
  </sheetViews>
  <sheetFormatPr defaultColWidth="9.140625" defaultRowHeight="12.75" x14ac:dyDescent="0.2"/>
  <cols>
    <col min="1" max="4" width="9.140625" style="22"/>
    <col min="5" max="7" width="16.5703125" style="22" customWidth="1"/>
    <col min="8" max="16384" width="9.140625" style="22"/>
  </cols>
  <sheetData>
    <row r="1" spans="1:7" x14ac:dyDescent="0.2">
      <c r="A1" s="21" t="s">
        <v>210</v>
      </c>
    </row>
    <row r="2" spans="1:7" x14ac:dyDescent="0.2">
      <c r="A2" s="105" t="s">
        <v>183</v>
      </c>
    </row>
    <row r="3" spans="1:7" x14ac:dyDescent="0.2">
      <c r="D3" s="30"/>
    </row>
    <row r="6" spans="1:7" ht="15" x14ac:dyDescent="0.35">
      <c r="E6" s="217" t="s">
        <v>212</v>
      </c>
      <c r="F6" s="217" t="s">
        <v>211</v>
      </c>
      <c r="G6" s="217" t="s">
        <v>1</v>
      </c>
    </row>
    <row r="7" spans="1:7" x14ac:dyDescent="0.2">
      <c r="E7" s="29"/>
      <c r="F7" s="29"/>
      <c r="G7" s="29"/>
    </row>
    <row r="8" spans="1:7" x14ac:dyDescent="0.2">
      <c r="A8" s="22" t="s">
        <v>42</v>
      </c>
      <c r="E8" s="28">
        <f>+'Summary-1'!G9</f>
        <v>35</v>
      </c>
      <c r="F8" s="28">
        <f>+'Summary-1'!G18</f>
        <v>35</v>
      </c>
      <c r="G8" s="28">
        <f>+'Summary-1'!G29</f>
        <v>27</v>
      </c>
    </row>
    <row r="9" spans="1:7" x14ac:dyDescent="0.2">
      <c r="A9" s="23" t="s">
        <v>43</v>
      </c>
      <c r="E9" s="28">
        <f>+'Summary-1'!G10</f>
        <v>3</v>
      </c>
      <c r="F9" s="28">
        <f>+'Summary-1'!G19</f>
        <v>3</v>
      </c>
      <c r="G9" s="28">
        <f>+'Summary-1'!G30</f>
        <v>3</v>
      </c>
    </row>
    <row r="10" spans="1:7" x14ac:dyDescent="0.2">
      <c r="A10" s="22" t="s">
        <v>44</v>
      </c>
      <c r="E10" s="28">
        <f>+'Summary-1'!G11</f>
        <v>70</v>
      </c>
      <c r="F10" s="28">
        <f>+'Summary-1'!G20</f>
        <v>97</v>
      </c>
      <c r="G10" s="28">
        <f>+'Summary-1'!G31</f>
        <v>70</v>
      </c>
    </row>
    <row r="11" spans="1:7" x14ac:dyDescent="0.2">
      <c r="A11" s="22" t="s">
        <v>45</v>
      </c>
      <c r="E11" s="28">
        <f>+'Summary-1'!G12</f>
        <v>2.5</v>
      </c>
      <c r="F11" s="222" t="s">
        <v>213</v>
      </c>
      <c r="G11" s="28">
        <f>+'Summary-1'!G32</f>
        <v>2.5</v>
      </c>
    </row>
    <row r="12" spans="1:7" x14ac:dyDescent="0.2">
      <c r="A12" s="22" t="s">
        <v>46</v>
      </c>
      <c r="E12" s="28">
        <f>+'Summary-1'!G13</f>
        <v>23.5</v>
      </c>
      <c r="F12" s="222" t="s">
        <v>213</v>
      </c>
      <c r="G12" s="28">
        <f>+'Summary-1'!G33</f>
        <v>23.5</v>
      </c>
    </row>
    <row r="13" spans="1:7" x14ac:dyDescent="0.2">
      <c r="A13" s="109" t="s">
        <v>201</v>
      </c>
      <c r="E13" s="222" t="s">
        <v>213</v>
      </c>
      <c r="F13" s="28">
        <f>+'Summary-1'!G21</f>
        <v>155.23999999999998</v>
      </c>
      <c r="G13" s="222" t="s">
        <v>213</v>
      </c>
    </row>
    <row r="14" spans="1:7" x14ac:dyDescent="0.2">
      <c r="A14" s="109" t="s">
        <v>204</v>
      </c>
      <c r="E14" s="222" t="s">
        <v>213</v>
      </c>
      <c r="F14" s="28">
        <f>+'Summary-1'!G22</f>
        <v>27.521944358198706</v>
      </c>
      <c r="G14" s="222" t="s">
        <v>213</v>
      </c>
    </row>
    <row r="15" spans="1:7" x14ac:dyDescent="0.2">
      <c r="A15" s="109" t="s">
        <v>200</v>
      </c>
      <c r="E15" s="222" t="s">
        <v>213</v>
      </c>
      <c r="F15" s="28">
        <f>+'Summary-1'!G23</f>
        <v>8.1918562511138955</v>
      </c>
      <c r="G15" s="222" t="s">
        <v>213</v>
      </c>
    </row>
    <row r="16" spans="1:7" x14ac:dyDescent="0.2">
      <c r="A16" s="109" t="s">
        <v>202</v>
      </c>
      <c r="E16" s="222" t="s">
        <v>213</v>
      </c>
      <c r="F16" s="28">
        <f>+'Summary-1'!G24</f>
        <v>155.23999999999998</v>
      </c>
      <c r="G16" s="222" t="s">
        <v>213</v>
      </c>
    </row>
    <row r="20" spans="1:1" x14ac:dyDescent="0.2">
      <c r="A20" s="219"/>
    </row>
  </sheetData>
  <pageMargins left="0.75" right="0.75" top="1" bottom="1" header="0.5" footer="0.5"/>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pageSetUpPr fitToPage="1"/>
  </sheetPr>
  <dimension ref="A1:J118"/>
  <sheetViews>
    <sheetView zoomScale="80" zoomScaleNormal="80" workbookViewId="0">
      <selection activeCell="E22" sqref="E22"/>
    </sheetView>
  </sheetViews>
  <sheetFormatPr defaultColWidth="9.140625" defaultRowHeight="12.75" x14ac:dyDescent="0.2"/>
  <cols>
    <col min="1" max="1" width="24.85546875" style="35" bestFit="1" customWidth="1"/>
    <col min="2" max="2" width="14.5703125" style="35" bestFit="1" customWidth="1"/>
    <col min="3" max="3" width="23.28515625" style="35" bestFit="1" customWidth="1"/>
    <col min="4" max="4" width="24" style="35" bestFit="1" customWidth="1"/>
    <col min="5" max="7" width="20.7109375" style="35" customWidth="1"/>
    <col min="8" max="8" width="25.85546875" style="35" bestFit="1" customWidth="1"/>
    <col min="9" max="9" width="14.28515625" style="35" customWidth="1"/>
    <col min="10" max="10" width="12.5703125" style="35" bestFit="1" customWidth="1"/>
    <col min="11" max="16384" width="9.140625" style="35"/>
  </cols>
  <sheetData>
    <row r="1" spans="1:10" ht="16.5" thickBot="1" x14ac:dyDescent="0.3">
      <c r="A1" s="475" t="s">
        <v>331</v>
      </c>
      <c r="B1" s="476"/>
      <c r="C1" s="476"/>
    </row>
    <row r="2" spans="1:10" ht="13.5" thickBot="1" x14ac:dyDescent="0.25">
      <c r="B2" s="34" t="s">
        <v>226</v>
      </c>
      <c r="C2" s="231" t="s">
        <v>51</v>
      </c>
      <c r="D2" s="214" t="s">
        <v>52</v>
      </c>
      <c r="E2" s="213" t="s">
        <v>53</v>
      </c>
      <c r="F2" s="33" t="s">
        <v>54</v>
      </c>
      <c r="I2" s="34"/>
    </row>
    <row r="3" spans="1:10" ht="13.5" thickBot="1" x14ac:dyDescent="0.25">
      <c r="A3" s="377" t="s">
        <v>342</v>
      </c>
      <c r="B3" s="232">
        <f>B25</f>
        <v>5478813</v>
      </c>
      <c r="C3" s="309">
        <f>1-D3</f>
        <v>0.62244193685190885</v>
      </c>
      <c r="D3" s="234">
        <f>+C37</f>
        <v>0.37755806314809115</v>
      </c>
      <c r="E3" s="211">
        <f>(B3*C3)</f>
        <v>3410242.9753694171</v>
      </c>
      <c r="F3" s="210">
        <f>(B3*D3)</f>
        <v>2068570.0246305827</v>
      </c>
      <c r="I3" s="34"/>
    </row>
    <row r="4" spans="1:10" ht="13.5" thickBot="1" x14ac:dyDescent="0.25">
      <c r="A4" s="378" t="s">
        <v>1</v>
      </c>
      <c r="B4" s="235">
        <f>C25</f>
        <v>7054342</v>
      </c>
      <c r="C4" s="309">
        <f>1-D4</f>
        <v>0.60646318318736614</v>
      </c>
      <c r="D4" s="237">
        <f>+C36</f>
        <v>0.39353681681263386</v>
      </c>
      <c r="E4" s="208">
        <f>B4*C4</f>
        <v>4278198.7046123305</v>
      </c>
      <c r="F4" s="207">
        <f>(B4*D4)</f>
        <v>2776143.295387669</v>
      </c>
      <c r="I4" s="34"/>
    </row>
    <row r="5" spans="1:10" x14ac:dyDescent="0.2">
      <c r="A5" s="34"/>
      <c r="B5" s="34"/>
      <c r="C5" s="308"/>
      <c r="D5" s="34"/>
      <c r="E5" s="34"/>
      <c r="F5" s="34"/>
      <c r="G5" s="34"/>
      <c r="H5" s="34"/>
      <c r="I5" s="34"/>
      <c r="J5" s="34"/>
    </row>
    <row r="6" spans="1:10" x14ac:dyDescent="0.2">
      <c r="A6" s="43"/>
      <c r="B6" s="34"/>
      <c r="C6" s="34"/>
      <c r="D6" s="34"/>
      <c r="E6" s="34"/>
      <c r="F6" s="34"/>
      <c r="G6" s="34"/>
      <c r="H6" s="34"/>
      <c r="I6" s="34"/>
      <c r="J6" s="34"/>
    </row>
    <row r="7" spans="1:10" ht="13.5" thickBot="1" x14ac:dyDescent="0.25">
      <c r="A7" s="34"/>
      <c r="B7" s="34"/>
      <c r="C7" s="34"/>
      <c r="D7" s="34"/>
      <c r="E7" s="34"/>
      <c r="F7" s="34"/>
      <c r="G7" s="34"/>
      <c r="H7" s="34"/>
      <c r="I7" s="34"/>
      <c r="J7" s="34"/>
    </row>
    <row r="8" spans="1:10" ht="13.5" thickBot="1" x14ac:dyDescent="0.25">
      <c r="A8" s="34"/>
      <c r="B8" s="477" t="s">
        <v>60</v>
      </c>
      <c r="C8" s="478"/>
      <c r="D8" s="477" t="s">
        <v>61</v>
      </c>
      <c r="E8" s="478"/>
      <c r="F8" s="477" t="s">
        <v>62</v>
      </c>
      <c r="G8" s="479"/>
      <c r="H8" s="195" t="s">
        <v>186</v>
      </c>
      <c r="J8" s="34"/>
    </row>
    <row r="9" spans="1:10" ht="13.5" thickBot="1" x14ac:dyDescent="0.25">
      <c r="A9" s="52"/>
      <c r="B9" s="53" t="s">
        <v>53</v>
      </c>
      <c r="C9" s="54" t="s">
        <v>54</v>
      </c>
      <c r="D9" s="55" t="s">
        <v>63</v>
      </c>
      <c r="E9" s="56" t="s">
        <v>64</v>
      </c>
      <c r="F9" s="53" t="s">
        <v>65</v>
      </c>
      <c r="G9" s="57" t="s">
        <v>66</v>
      </c>
      <c r="H9" s="191"/>
      <c r="J9" s="34"/>
    </row>
    <row r="10" spans="1:10" ht="13.5" thickBot="1" x14ac:dyDescent="0.25">
      <c r="A10" s="385" t="s">
        <v>342</v>
      </c>
      <c r="B10" s="386">
        <f>E3</f>
        <v>3410242.9753694171</v>
      </c>
      <c r="C10" s="387">
        <f>F3</f>
        <v>2068570.0246305827</v>
      </c>
      <c r="D10" s="388">
        <f>B31+D31</f>
        <v>224559</v>
      </c>
      <c r="E10" s="389">
        <f>C31</f>
        <v>136212</v>
      </c>
      <c r="F10" s="390">
        <f t="shared" ref="F10:F12" si="0">B10/D10</f>
        <v>15.186400791637908</v>
      </c>
      <c r="G10" s="391">
        <f>C10/E10</f>
        <v>15.186400791637908</v>
      </c>
      <c r="H10" s="189">
        <f>G10*2</f>
        <v>30.372801583275816</v>
      </c>
      <c r="J10" s="34"/>
    </row>
    <row r="11" spans="1:10" ht="13.5" thickBot="1" x14ac:dyDescent="0.25">
      <c r="A11" s="392" t="s">
        <v>1</v>
      </c>
      <c r="B11" s="393">
        <f>E4</f>
        <v>4278198.7046123305</v>
      </c>
      <c r="C11" s="394">
        <f>F4</f>
        <v>2776143.295387669</v>
      </c>
      <c r="D11" s="388">
        <f>B30+D30</f>
        <v>243817</v>
      </c>
      <c r="E11" s="389">
        <f>C30</f>
        <v>158214</v>
      </c>
      <c r="F11" s="395">
        <f t="shared" si="0"/>
        <v>17.546761319400741</v>
      </c>
      <c r="G11" s="396">
        <f>C11/E11</f>
        <v>17.546761319400741</v>
      </c>
      <c r="H11" s="188">
        <f>G11*2</f>
        <v>35.093522638801481</v>
      </c>
      <c r="J11" s="34"/>
    </row>
    <row r="12" spans="1:10" ht="13.5" thickBot="1" x14ac:dyDescent="0.25">
      <c r="A12" s="397" t="s">
        <v>67</v>
      </c>
      <c r="B12" s="398">
        <f>B10+B11</f>
        <v>7688441.6799817476</v>
      </c>
      <c r="C12" s="398">
        <f t="shared" ref="C12" si="1">C10+C11</f>
        <v>4844713.3200182514</v>
      </c>
      <c r="D12" s="399">
        <f>D10+D11</f>
        <v>468376</v>
      </c>
      <c r="E12" s="399">
        <f>E10+E11</f>
        <v>294426</v>
      </c>
      <c r="F12" s="398">
        <f t="shared" si="0"/>
        <v>16.41510598318818</v>
      </c>
      <c r="G12" s="400">
        <f>C12/E12</f>
        <v>16.454774102892582</v>
      </c>
      <c r="H12" s="202">
        <f>G12*2</f>
        <v>32.909548205785164</v>
      </c>
      <c r="J12" s="34"/>
    </row>
    <row r="13" spans="1:10" x14ac:dyDescent="0.2">
      <c r="C13" s="3"/>
    </row>
    <row r="14" spans="1:10" ht="13.5" thickBot="1" x14ac:dyDescent="0.25"/>
    <row r="15" spans="1:10" ht="27.75" thickBot="1" x14ac:dyDescent="0.4">
      <c r="A15" s="480" t="s">
        <v>198</v>
      </c>
      <c r="B15" s="481"/>
      <c r="C15" s="481"/>
      <c r="D15" s="481"/>
      <c r="E15" s="481"/>
      <c r="F15" s="482"/>
    </row>
    <row r="16" spans="1:10" x14ac:dyDescent="0.2">
      <c r="A16" s="187"/>
      <c r="B16" s="186"/>
      <c r="C16" s="186"/>
      <c r="D16" s="186"/>
      <c r="E16" s="186"/>
      <c r="F16" s="185"/>
    </row>
    <row r="17" spans="1:6" x14ac:dyDescent="0.2">
      <c r="A17" s="180"/>
      <c r="B17" s="179"/>
      <c r="C17" s="179"/>
      <c r="D17" s="179"/>
      <c r="E17" s="179"/>
      <c r="F17" s="178"/>
    </row>
    <row r="18" spans="1:6" x14ac:dyDescent="0.2">
      <c r="A18" s="238" t="s">
        <v>227</v>
      </c>
      <c r="B18" s="238" t="s">
        <v>194</v>
      </c>
      <c r="C18" s="238"/>
      <c r="D18" s="238"/>
      <c r="E18" s="179"/>
      <c r="F18" s="178"/>
    </row>
    <row r="19" spans="1:6" x14ac:dyDescent="0.2">
      <c r="A19" s="239" t="s">
        <v>197</v>
      </c>
      <c r="B19" s="239">
        <v>1295</v>
      </c>
      <c r="C19" s="239">
        <v>11370</v>
      </c>
      <c r="D19" s="239" t="s">
        <v>188</v>
      </c>
      <c r="E19" s="179"/>
      <c r="F19" s="178"/>
    </row>
    <row r="20" spans="1:6" x14ac:dyDescent="0.2">
      <c r="A20" s="240" t="s">
        <v>228</v>
      </c>
      <c r="B20" s="241">
        <v>180</v>
      </c>
      <c r="C20" s="241">
        <v>7013221</v>
      </c>
      <c r="D20" s="241">
        <f>+B20+C20</f>
        <v>7013401</v>
      </c>
      <c r="E20" s="179"/>
      <c r="F20" s="178"/>
    </row>
    <row r="21" spans="1:6" x14ac:dyDescent="0.2">
      <c r="A21" s="240" t="s">
        <v>229</v>
      </c>
      <c r="B21" s="241">
        <v>4780903</v>
      </c>
      <c r="C21" s="241"/>
      <c r="D21" s="241">
        <f t="shared" ref="D21:D24" si="2">+B21+C21</f>
        <v>4780903</v>
      </c>
      <c r="E21" s="179"/>
      <c r="F21" s="178"/>
    </row>
    <row r="22" spans="1:6" x14ac:dyDescent="0.2">
      <c r="A22" s="240" t="s">
        <v>230</v>
      </c>
      <c r="B22" s="241">
        <v>697730</v>
      </c>
      <c r="C22" s="241"/>
      <c r="D22" s="241">
        <f t="shared" si="2"/>
        <v>697730</v>
      </c>
      <c r="E22" s="179"/>
      <c r="F22" s="178"/>
    </row>
    <row r="23" spans="1:6" x14ac:dyDescent="0.2">
      <c r="A23" s="240" t="s">
        <v>231</v>
      </c>
      <c r="B23" s="241"/>
      <c r="C23" s="241">
        <v>41121</v>
      </c>
      <c r="D23" s="241">
        <f t="shared" si="2"/>
        <v>41121</v>
      </c>
      <c r="E23" s="179"/>
      <c r="F23" s="178"/>
    </row>
    <row r="24" spans="1:6" x14ac:dyDescent="0.2">
      <c r="A24" s="240" t="s">
        <v>232</v>
      </c>
      <c r="B24" s="241">
        <v>0</v>
      </c>
      <c r="C24" s="241"/>
      <c r="D24" s="241">
        <f t="shared" si="2"/>
        <v>0</v>
      </c>
      <c r="E24" s="179"/>
      <c r="F24" s="178"/>
    </row>
    <row r="25" spans="1:6" x14ac:dyDescent="0.2">
      <c r="A25" s="242" t="s">
        <v>188</v>
      </c>
      <c r="B25" s="243">
        <f>SUM(B20:B24)</f>
        <v>5478813</v>
      </c>
      <c r="C25" s="243">
        <f>SUM(C20:C24)</f>
        <v>7054342</v>
      </c>
      <c r="D25" s="243">
        <f>SUM(D20:D24)</f>
        <v>12533155</v>
      </c>
      <c r="E25" s="179"/>
      <c r="F25" s="178"/>
    </row>
    <row r="26" spans="1:6" ht="13.5" thickBot="1" x14ac:dyDescent="0.25">
      <c r="A26" s="180"/>
      <c r="B26" s="179"/>
      <c r="C26" s="179"/>
      <c r="D26" s="179"/>
      <c r="E26" s="179"/>
      <c r="F26" s="178"/>
    </row>
    <row r="27" spans="1:6" ht="13.5" thickBot="1" x14ac:dyDescent="0.25">
      <c r="A27" s="201" t="s">
        <v>283</v>
      </c>
      <c r="B27" s="179"/>
      <c r="C27" s="179"/>
      <c r="D27" s="179"/>
      <c r="E27" s="179"/>
      <c r="F27" s="178"/>
    </row>
    <row r="28" spans="1:6" ht="15" x14ac:dyDescent="0.25">
      <c r="A28" s="401" t="s">
        <v>195</v>
      </c>
      <c r="B28" s="402" t="s">
        <v>194</v>
      </c>
      <c r="C28" s="402"/>
      <c r="D28" s="402"/>
      <c r="E28" s="403"/>
      <c r="F28" s="178"/>
    </row>
    <row r="29" spans="1:6" ht="15" x14ac:dyDescent="0.25">
      <c r="A29" s="404"/>
      <c r="B29" s="405" t="s">
        <v>193</v>
      </c>
      <c r="C29" s="405" t="s">
        <v>192</v>
      </c>
      <c r="D29" s="405" t="s">
        <v>191</v>
      </c>
      <c r="E29" s="406" t="s">
        <v>188</v>
      </c>
      <c r="F29" s="178"/>
    </row>
    <row r="30" spans="1:6" ht="15" x14ac:dyDescent="0.25">
      <c r="A30" s="407" t="s">
        <v>190</v>
      </c>
      <c r="B30" s="408">
        <v>242910</v>
      </c>
      <c r="C30" s="408">
        <v>158214</v>
      </c>
      <c r="D30" s="408">
        <v>907</v>
      </c>
      <c r="E30" s="409">
        <f>+B30+C30+D30</f>
        <v>402031</v>
      </c>
      <c r="F30" s="178"/>
    </row>
    <row r="31" spans="1:6" ht="15" x14ac:dyDescent="0.25">
      <c r="A31" s="407" t="s">
        <v>189</v>
      </c>
      <c r="B31" s="408">
        <v>222706</v>
      </c>
      <c r="C31" s="408">
        <v>136212</v>
      </c>
      <c r="D31" s="408">
        <v>1853</v>
      </c>
      <c r="E31" s="409">
        <f>+B31+C31+D31</f>
        <v>360771</v>
      </c>
      <c r="F31" s="178"/>
    </row>
    <row r="32" spans="1:6" ht="15.75" thickBot="1" x14ac:dyDescent="0.3">
      <c r="A32" s="410" t="s">
        <v>188</v>
      </c>
      <c r="B32" s="411">
        <f>SUM(B30:B31)</f>
        <v>465616</v>
      </c>
      <c r="C32" s="411">
        <f t="shared" ref="C32:E32" si="3">SUM(C30:C31)</f>
        <v>294426</v>
      </c>
      <c r="D32" s="411">
        <f t="shared" si="3"/>
        <v>2760</v>
      </c>
      <c r="E32" s="411">
        <f t="shared" si="3"/>
        <v>762802</v>
      </c>
      <c r="F32" s="178"/>
    </row>
    <row r="33" spans="1:6" ht="15.75" thickBot="1" x14ac:dyDescent="0.3">
      <c r="A33" s="412" t="s">
        <v>233</v>
      </c>
      <c r="B33" s="413"/>
      <c r="C33" s="413"/>
      <c r="D33" s="413"/>
      <c r="E33" s="414"/>
      <c r="F33" s="178"/>
    </row>
    <row r="34" spans="1:6" ht="15" x14ac:dyDescent="0.25">
      <c r="A34" s="401" t="s">
        <v>195</v>
      </c>
      <c r="B34" s="402" t="s">
        <v>194</v>
      </c>
      <c r="C34" s="402"/>
      <c r="D34" s="402"/>
      <c r="E34" s="403"/>
      <c r="F34" s="178"/>
    </row>
    <row r="35" spans="1:6" ht="15" x14ac:dyDescent="0.25">
      <c r="A35" s="404" t="s">
        <v>234</v>
      </c>
      <c r="B35" s="405" t="s">
        <v>193</v>
      </c>
      <c r="C35" s="405" t="s">
        <v>192</v>
      </c>
      <c r="D35" s="405" t="s">
        <v>191</v>
      </c>
      <c r="E35" s="406" t="s">
        <v>188</v>
      </c>
      <c r="F35" s="178"/>
    </row>
    <row r="36" spans="1:6" ht="15" x14ac:dyDescent="0.25">
      <c r="A36" s="407" t="s">
        <v>190</v>
      </c>
      <c r="B36" s="415">
        <f>B30/$E30</f>
        <v>0.60420713825550765</v>
      </c>
      <c r="C36" s="415">
        <f t="shared" ref="C36:E38" si="4">C30/$E30</f>
        <v>0.39353681681263386</v>
      </c>
      <c r="D36" s="415">
        <f t="shared" si="4"/>
        <v>2.2560449318584884E-3</v>
      </c>
      <c r="E36" s="415">
        <f t="shared" si="4"/>
        <v>1</v>
      </c>
      <c r="F36" s="178"/>
    </row>
    <row r="37" spans="1:6" ht="15" x14ac:dyDescent="0.25">
      <c r="A37" s="407" t="s">
        <v>189</v>
      </c>
      <c r="B37" s="415">
        <f>B31/$E31</f>
        <v>0.61730571470545026</v>
      </c>
      <c r="C37" s="415">
        <f t="shared" si="4"/>
        <v>0.37755806314809115</v>
      </c>
      <c r="D37" s="415">
        <f t="shared" si="4"/>
        <v>5.1362221464585564E-3</v>
      </c>
      <c r="E37" s="416">
        <f t="shared" si="4"/>
        <v>1</v>
      </c>
      <c r="F37" s="178"/>
    </row>
    <row r="38" spans="1:6" ht="15.75" thickBot="1" x14ac:dyDescent="0.3">
      <c r="A38" s="410" t="s">
        <v>188</v>
      </c>
      <c r="B38" s="417">
        <f>B32/$E32</f>
        <v>0.61040217513850248</v>
      </c>
      <c r="C38" s="417">
        <f t="shared" si="4"/>
        <v>0.38597958579028374</v>
      </c>
      <c r="D38" s="417">
        <f t="shared" si="4"/>
        <v>3.618239071213762E-3</v>
      </c>
      <c r="E38" s="418">
        <f t="shared" si="4"/>
        <v>1</v>
      </c>
      <c r="F38" s="178"/>
    </row>
    <row r="39" spans="1:6" ht="13.5" thickBot="1" x14ac:dyDescent="0.25">
      <c r="A39" s="177"/>
      <c r="B39" s="176"/>
      <c r="C39" s="176"/>
      <c r="D39" s="176"/>
      <c r="E39" s="176"/>
      <c r="F39" s="175"/>
    </row>
    <row r="40" spans="1:6" ht="13.5" customHeight="1" x14ac:dyDescent="0.2"/>
    <row r="41" spans="1:6" x14ac:dyDescent="0.2">
      <c r="A41" s="35" t="s">
        <v>343</v>
      </c>
    </row>
    <row r="45" spans="1:6" x14ac:dyDescent="0.2">
      <c r="C45" s="35" t="s">
        <v>323</v>
      </c>
    </row>
    <row r="50" spans="1:4" x14ac:dyDescent="0.2">
      <c r="A50" s="119"/>
      <c r="B50" s="119"/>
      <c r="C50" s="119"/>
      <c r="D50" s="119"/>
    </row>
    <row r="51" spans="1:4" x14ac:dyDescent="0.2">
      <c r="A51" s="119"/>
      <c r="B51" s="119"/>
      <c r="C51" s="119"/>
      <c r="D51" s="119"/>
    </row>
    <row r="52" spans="1:4" x14ac:dyDescent="0.2">
      <c r="A52" s="119"/>
      <c r="B52" s="119"/>
      <c r="C52" s="119"/>
      <c r="D52" s="119"/>
    </row>
    <row r="53" spans="1:4" x14ac:dyDescent="0.2">
      <c r="A53" s="119"/>
      <c r="B53" s="119"/>
      <c r="C53" s="119"/>
      <c r="D53" s="119"/>
    </row>
    <row r="54" spans="1:4" x14ac:dyDescent="0.2">
      <c r="A54" s="119"/>
      <c r="B54" s="119"/>
      <c r="C54" s="119"/>
      <c r="D54" s="119"/>
    </row>
    <row r="55" spans="1:4" x14ac:dyDescent="0.2">
      <c r="A55" s="119"/>
      <c r="B55" s="119"/>
      <c r="C55" s="119"/>
      <c r="D55" s="119"/>
    </row>
    <row r="56" spans="1:4" x14ac:dyDescent="0.2">
      <c r="A56" s="119"/>
      <c r="B56" s="119"/>
      <c r="C56" s="119"/>
      <c r="D56" s="119"/>
    </row>
    <row r="57" spans="1:4" x14ac:dyDescent="0.2">
      <c r="A57" s="240"/>
      <c r="B57" s="241"/>
      <c r="C57" s="241"/>
      <c r="D57" s="241"/>
    </row>
    <row r="58" spans="1:4" x14ac:dyDescent="0.2">
      <c r="A58" s="269"/>
      <c r="B58" s="241"/>
      <c r="C58" s="241"/>
      <c r="D58" s="241"/>
    </row>
    <row r="59" spans="1:4" x14ac:dyDescent="0.2">
      <c r="A59" s="269"/>
      <c r="B59" s="241"/>
      <c r="C59" s="241"/>
      <c r="D59" s="241"/>
    </row>
    <row r="60" spans="1:4" x14ac:dyDescent="0.2">
      <c r="A60" s="269"/>
      <c r="B60" s="241"/>
      <c r="C60" s="241"/>
      <c r="D60" s="241"/>
    </row>
    <row r="61" spans="1:4" x14ac:dyDescent="0.2">
      <c r="A61" s="269"/>
      <c r="B61" s="241"/>
      <c r="C61" s="241"/>
      <c r="D61" s="241"/>
    </row>
    <row r="62" spans="1:4" x14ac:dyDescent="0.2">
      <c r="A62" s="269"/>
      <c r="B62" s="241"/>
      <c r="C62" s="241"/>
      <c r="D62" s="241"/>
    </row>
    <row r="63" spans="1:4" x14ac:dyDescent="0.2">
      <c r="A63" s="269"/>
      <c r="B63" s="241"/>
      <c r="C63" s="241"/>
      <c r="D63" s="241"/>
    </row>
    <row r="64" spans="1:4" x14ac:dyDescent="0.2">
      <c r="A64" s="269"/>
      <c r="B64" s="241"/>
      <c r="C64" s="241"/>
      <c r="D64" s="241"/>
    </row>
    <row r="65" spans="1:4" x14ac:dyDescent="0.2">
      <c r="A65" s="269"/>
      <c r="B65" s="241"/>
      <c r="C65" s="241"/>
      <c r="D65" s="241"/>
    </row>
    <row r="66" spans="1:4" x14ac:dyDescent="0.2">
      <c r="A66" s="269"/>
      <c r="B66" s="241"/>
      <c r="C66" s="241"/>
      <c r="D66" s="241"/>
    </row>
    <row r="67" spans="1:4" x14ac:dyDescent="0.2">
      <c r="A67" s="269"/>
      <c r="B67" s="241"/>
      <c r="C67" s="241"/>
      <c r="D67" s="241"/>
    </row>
    <row r="68" spans="1:4" x14ac:dyDescent="0.2">
      <c r="A68" s="269"/>
      <c r="B68" s="241"/>
      <c r="C68" s="241"/>
      <c r="D68" s="241"/>
    </row>
    <row r="69" spans="1:4" x14ac:dyDescent="0.2">
      <c r="A69" s="269"/>
      <c r="B69" s="241"/>
      <c r="C69" s="241"/>
      <c r="D69" s="241"/>
    </row>
    <row r="70" spans="1:4" x14ac:dyDescent="0.2">
      <c r="A70" s="269"/>
      <c r="B70" s="241"/>
      <c r="C70" s="241"/>
      <c r="D70" s="241"/>
    </row>
    <row r="71" spans="1:4" x14ac:dyDescent="0.2">
      <c r="A71" s="269"/>
      <c r="B71" s="241"/>
      <c r="C71" s="241"/>
      <c r="D71" s="241"/>
    </row>
    <row r="72" spans="1:4" x14ac:dyDescent="0.2">
      <c r="A72" s="269"/>
      <c r="B72" s="241"/>
      <c r="C72" s="241"/>
      <c r="D72" s="241"/>
    </row>
    <row r="73" spans="1:4" x14ac:dyDescent="0.2">
      <c r="A73" s="269"/>
      <c r="B73" s="241"/>
      <c r="C73" s="241"/>
      <c r="D73" s="241"/>
    </row>
    <row r="74" spans="1:4" x14ac:dyDescent="0.2">
      <c r="A74" s="269"/>
      <c r="B74" s="241"/>
      <c r="C74" s="241"/>
      <c r="D74" s="241"/>
    </row>
    <row r="75" spans="1:4" x14ac:dyDescent="0.2">
      <c r="A75" s="269"/>
      <c r="B75" s="241"/>
      <c r="C75" s="241"/>
      <c r="D75" s="241"/>
    </row>
    <row r="76" spans="1:4" x14ac:dyDescent="0.2">
      <c r="A76" s="269"/>
      <c r="B76" s="241"/>
      <c r="C76" s="241"/>
      <c r="D76" s="241"/>
    </row>
    <row r="77" spans="1:4" x14ac:dyDescent="0.2">
      <c r="A77" s="269"/>
      <c r="B77" s="241"/>
      <c r="C77" s="241"/>
      <c r="D77" s="241"/>
    </row>
    <row r="78" spans="1:4" x14ac:dyDescent="0.2">
      <c r="A78" s="269"/>
      <c r="B78" s="241"/>
      <c r="C78" s="241"/>
      <c r="D78" s="241"/>
    </row>
    <row r="79" spans="1:4" x14ac:dyDescent="0.2">
      <c r="A79" s="269"/>
      <c r="B79" s="241"/>
      <c r="C79" s="241"/>
      <c r="D79" s="241"/>
    </row>
    <row r="80" spans="1:4" x14ac:dyDescent="0.2">
      <c r="A80" s="269"/>
      <c r="B80" s="241"/>
      <c r="C80" s="241"/>
      <c r="D80" s="241"/>
    </row>
    <row r="81" spans="1:4" x14ac:dyDescent="0.2">
      <c r="A81" s="240"/>
      <c r="B81" s="241"/>
      <c r="C81" s="241"/>
      <c r="D81" s="241"/>
    </row>
    <row r="82" spans="1:4" x14ac:dyDescent="0.2">
      <c r="A82" s="269"/>
      <c r="B82" s="241"/>
      <c r="C82" s="241"/>
      <c r="D82" s="241"/>
    </row>
    <row r="83" spans="1:4" x14ac:dyDescent="0.2">
      <c r="A83" s="269"/>
      <c r="B83" s="241"/>
      <c r="C83" s="241"/>
      <c r="D83" s="241"/>
    </row>
    <row r="84" spans="1:4" x14ac:dyDescent="0.2">
      <c r="A84" s="269"/>
      <c r="B84" s="241"/>
      <c r="C84" s="241"/>
      <c r="D84" s="241"/>
    </row>
    <row r="85" spans="1:4" x14ac:dyDescent="0.2">
      <c r="A85" s="269"/>
      <c r="B85" s="241"/>
      <c r="C85" s="241"/>
      <c r="D85" s="241"/>
    </row>
    <row r="86" spans="1:4" x14ac:dyDescent="0.2">
      <c r="A86" s="269"/>
      <c r="B86" s="241"/>
      <c r="C86" s="241"/>
      <c r="D86" s="241"/>
    </row>
    <row r="87" spans="1:4" x14ac:dyDescent="0.2">
      <c r="A87" s="269"/>
      <c r="B87" s="241"/>
      <c r="C87" s="241"/>
      <c r="D87" s="241"/>
    </row>
    <row r="88" spans="1:4" x14ac:dyDescent="0.2">
      <c r="A88" s="269"/>
      <c r="B88" s="241"/>
      <c r="C88" s="241"/>
      <c r="D88" s="241"/>
    </row>
    <row r="89" spans="1:4" x14ac:dyDescent="0.2">
      <c r="A89" s="269"/>
      <c r="B89" s="241"/>
      <c r="C89" s="241"/>
      <c r="D89" s="241"/>
    </row>
    <row r="90" spans="1:4" x14ac:dyDescent="0.2">
      <c r="A90" s="269"/>
      <c r="B90" s="241"/>
      <c r="C90" s="241"/>
      <c r="D90" s="241"/>
    </row>
    <row r="91" spans="1:4" x14ac:dyDescent="0.2">
      <c r="A91" s="269"/>
      <c r="B91" s="241"/>
      <c r="C91" s="241"/>
      <c r="D91" s="241"/>
    </row>
    <row r="92" spans="1:4" x14ac:dyDescent="0.2">
      <c r="A92" s="269"/>
      <c r="B92" s="241"/>
      <c r="C92" s="241"/>
      <c r="D92" s="241"/>
    </row>
    <row r="93" spans="1:4" x14ac:dyDescent="0.2">
      <c r="A93" s="269"/>
      <c r="B93" s="241"/>
      <c r="C93" s="241"/>
      <c r="D93" s="241"/>
    </row>
    <row r="94" spans="1:4" x14ac:dyDescent="0.2">
      <c r="A94" s="269"/>
      <c r="B94" s="241"/>
      <c r="C94" s="241"/>
      <c r="D94" s="241"/>
    </row>
    <row r="95" spans="1:4" x14ac:dyDescent="0.2">
      <c r="A95" s="269"/>
      <c r="B95" s="241"/>
      <c r="C95" s="241"/>
      <c r="D95" s="241"/>
    </row>
    <row r="96" spans="1:4" x14ac:dyDescent="0.2">
      <c r="A96" s="269"/>
      <c r="B96" s="241"/>
      <c r="C96" s="241"/>
      <c r="D96" s="241"/>
    </row>
    <row r="97" spans="1:4" x14ac:dyDescent="0.2">
      <c r="A97" s="269"/>
      <c r="B97" s="241"/>
      <c r="C97" s="241"/>
      <c r="D97" s="241"/>
    </row>
    <row r="98" spans="1:4" x14ac:dyDescent="0.2">
      <c r="A98" s="240"/>
      <c r="B98" s="241"/>
      <c r="C98" s="241"/>
      <c r="D98" s="241"/>
    </row>
    <row r="99" spans="1:4" x14ac:dyDescent="0.2">
      <c r="A99" s="269"/>
      <c r="B99" s="241"/>
      <c r="C99" s="241"/>
      <c r="D99" s="241"/>
    </row>
    <row r="100" spans="1:4" x14ac:dyDescent="0.2">
      <c r="A100" s="269"/>
      <c r="B100" s="241"/>
      <c r="C100" s="241"/>
      <c r="D100" s="241"/>
    </row>
    <row r="101" spans="1:4" x14ac:dyDescent="0.2">
      <c r="A101" s="269"/>
      <c r="B101" s="241"/>
      <c r="C101" s="241"/>
      <c r="D101" s="241"/>
    </row>
    <row r="102" spans="1:4" x14ac:dyDescent="0.2">
      <c r="A102" s="269"/>
      <c r="B102" s="241"/>
      <c r="C102" s="241"/>
      <c r="D102" s="241"/>
    </row>
    <row r="103" spans="1:4" x14ac:dyDescent="0.2">
      <c r="A103" s="269"/>
      <c r="B103" s="241"/>
      <c r="C103" s="241"/>
      <c r="D103" s="241"/>
    </row>
    <row r="104" spans="1:4" x14ac:dyDescent="0.2">
      <c r="A104" s="269"/>
      <c r="B104" s="241"/>
      <c r="C104" s="241"/>
      <c r="D104" s="241"/>
    </row>
    <row r="105" spans="1:4" x14ac:dyDescent="0.2">
      <c r="A105" s="269"/>
      <c r="B105" s="241"/>
      <c r="C105" s="241"/>
      <c r="D105" s="241"/>
    </row>
    <row r="106" spans="1:4" x14ac:dyDescent="0.2">
      <c r="A106" s="269"/>
      <c r="B106" s="241"/>
      <c r="C106" s="241"/>
      <c r="D106" s="241"/>
    </row>
    <row r="107" spans="1:4" x14ac:dyDescent="0.2">
      <c r="A107" s="240"/>
      <c r="B107" s="241"/>
      <c r="C107" s="241"/>
      <c r="D107" s="241"/>
    </row>
    <row r="108" spans="1:4" x14ac:dyDescent="0.2">
      <c r="A108" s="269"/>
      <c r="B108" s="241"/>
      <c r="C108" s="241"/>
      <c r="D108" s="241"/>
    </row>
    <row r="109" spans="1:4" x14ac:dyDescent="0.2">
      <c r="A109" s="269"/>
      <c r="B109" s="241"/>
      <c r="C109" s="241"/>
      <c r="D109" s="241"/>
    </row>
    <row r="110" spans="1:4" x14ac:dyDescent="0.2">
      <c r="A110" s="269"/>
      <c r="B110" s="241"/>
      <c r="C110" s="241"/>
      <c r="D110" s="241"/>
    </row>
    <row r="111" spans="1:4" x14ac:dyDescent="0.2">
      <c r="A111" s="269"/>
      <c r="B111" s="241"/>
      <c r="C111" s="241"/>
      <c r="D111" s="241"/>
    </row>
    <row r="112" spans="1:4" x14ac:dyDescent="0.2">
      <c r="A112" s="269"/>
      <c r="B112" s="241"/>
      <c r="C112" s="241"/>
      <c r="D112" s="241"/>
    </row>
    <row r="113" spans="1:4" x14ac:dyDescent="0.2">
      <c r="A113" s="269"/>
      <c r="B113" s="241"/>
      <c r="C113" s="241"/>
      <c r="D113" s="241"/>
    </row>
    <row r="114" spans="1:4" x14ac:dyDescent="0.2">
      <c r="A114" s="269"/>
      <c r="B114" s="241"/>
      <c r="C114" s="241"/>
      <c r="D114" s="241"/>
    </row>
    <row r="115" spans="1:4" x14ac:dyDescent="0.2">
      <c r="A115" s="240"/>
      <c r="B115" s="241"/>
      <c r="C115" s="241"/>
      <c r="D115" s="241"/>
    </row>
    <row r="116" spans="1:4" x14ac:dyDescent="0.2">
      <c r="A116" s="269"/>
      <c r="B116" s="241"/>
      <c r="C116" s="241"/>
      <c r="D116" s="241"/>
    </row>
    <row r="117" spans="1:4" x14ac:dyDescent="0.2">
      <c r="A117" s="269"/>
      <c r="B117" s="241"/>
      <c r="C117" s="241"/>
      <c r="D117" s="241"/>
    </row>
    <row r="118" spans="1:4" x14ac:dyDescent="0.2">
      <c r="A118" s="240"/>
      <c r="B118" s="241"/>
      <c r="C118" s="241"/>
      <c r="D118" s="241"/>
    </row>
  </sheetData>
  <mergeCells count="5">
    <mergeCell ref="A1:C1"/>
    <mergeCell ref="B8:C8"/>
    <mergeCell ref="D8:E8"/>
    <mergeCell ref="F8:G8"/>
    <mergeCell ref="A15:F15"/>
  </mergeCells>
  <pageMargins left="0.7" right="0.7" top="0.75" bottom="0.75" header="0.3" footer="0.3"/>
  <pageSetup scale="71" orientation="landscape"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402ED-A0DE-4F87-BC9C-5C3AB88892AD}">
  <dimension ref="A1:I78"/>
  <sheetViews>
    <sheetView showGridLines="0" topLeftCell="A34" workbookViewId="0">
      <selection activeCell="E22" sqref="E22"/>
    </sheetView>
  </sheetViews>
  <sheetFormatPr defaultRowHeight="12.75" x14ac:dyDescent="0.2"/>
  <cols>
    <col min="1" max="1" width="39.5703125" bestFit="1" customWidth="1"/>
    <col min="2" max="2" width="27.5703125" bestFit="1" customWidth="1"/>
    <col min="3" max="3" width="13.85546875" bestFit="1" customWidth="1"/>
    <col min="4" max="4" width="31" bestFit="1" customWidth="1"/>
    <col min="5" max="5" width="13.85546875" bestFit="1" customWidth="1"/>
    <col min="6" max="6" width="19" bestFit="1" customWidth="1"/>
    <col min="7" max="7" width="11.28515625" bestFit="1" customWidth="1"/>
    <col min="8" max="8" width="24.5703125" bestFit="1" customWidth="1"/>
  </cols>
  <sheetData>
    <row r="1" spans="1:8" ht="15" x14ac:dyDescent="0.35">
      <c r="A1" s="484" t="s">
        <v>340</v>
      </c>
      <c r="B1" s="484"/>
      <c r="C1" s="484"/>
      <c r="D1" s="484"/>
      <c r="E1" s="484"/>
      <c r="F1" s="484"/>
      <c r="G1" s="484"/>
      <c r="H1" s="484"/>
    </row>
    <row r="3" spans="1:8" x14ac:dyDescent="0.2">
      <c r="A3" s="384" t="s">
        <v>336</v>
      </c>
      <c r="B3" s="381"/>
      <c r="C3" s="381"/>
      <c r="D3" s="381"/>
      <c r="E3" s="381"/>
      <c r="F3" s="381"/>
      <c r="G3" s="381"/>
      <c r="H3" s="381"/>
    </row>
    <row r="4" spans="1:8" x14ac:dyDescent="0.2">
      <c r="B4" s="433"/>
      <c r="C4" s="433"/>
      <c r="D4" s="433"/>
      <c r="E4" s="433"/>
      <c r="F4" s="433"/>
    </row>
    <row r="5" spans="1:8" x14ac:dyDescent="0.2">
      <c r="A5" s="383" t="s">
        <v>331</v>
      </c>
      <c r="B5" s="434" t="s">
        <v>226</v>
      </c>
      <c r="C5" s="382" t="s">
        <v>51</v>
      </c>
      <c r="D5" s="382" t="s">
        <v>52</v>
      </c>
      <c r="E5" s="434" t="s">
        <v>53</v>
      </c>
      <c r="F5" s="434" t="s">
        <v>54</v>
      </c>
    </row>
    <row r="6" spans="1:8" x14ac:dyDescent="0.2">
      <c r="A6" t="s">
        <v>55</v>
      </c>
      <c r="B6" s="6">
        <f>+'Cost Per Order Type Field Ser'!B25</f>
        <v>5478813</v>
      </c>
      <c r="C6" s="435">
        <f>+B52+D52</f>
        <v>0.62244193685190885</v>
      </c>
      <c r="D6" s="435">
        <f>+C52</f>
        <v>0.37755806314809115</v>
      </c>
      <c r="E6" s="6">
        <f>+B6*C6</f>
        <v>3410242.9753694171</v>
      </c>
      <c r="F6" s="6">
        <f>+B6*D6</f>
        <v>2068570.0246305827</v>
      </c>
    </row>
    <row r="7" spans="1:8" x14ac:dyDescent="0.2">
      <c r="A7" t="s">
        <v>58</v>
      </c>
      <c r="B7" s="6">
        <f>+'Cost Per Order Type Field Ser'!C25</f>
        <v>7054342</v>
      </c>
      <c r="C7" s="435">
        <f>+B51+D51</f>
        <v>0.60646318318736614</v>
      </c>
      <c r="D7" s="435">
        <f>+C51</f>
        <v>0.39353681681263386</v>
      </c>
      <c r="E7" s="6">
        <f>+B7*C7</f>
        <v>4278198.7046123305</v>
      </c>
      <c r="F7" s="6">
        <f>+B7*D7</f>
        <v>2776143.295387669</v>
      </c>
    </row>
    <row r="8" spans="1:8" x14ac:dyDescent="0.2">
      <c r="B8" s="419">
        <f t="shared" ref="B8:F8" si="0">SUM(B6:B7)</f>
        <v>12533155</v>
      </c>
      <c r="C8" s="436"/>
      <c r="D8" s="436"/>
      <c r="E8" s="419">
        <f t="shared" si="0"/>
        <v>7688441.6799817476</v>
      </c>
      <c r="F8" s="419">
        <f t="shared" si="0"/>
        <v>4844713.3200182514</v>
      </c>
    </row>
    <row r="9" spans="1:8" x14ac:dyDescent="0.2">
      <c r="B9" s="173"/>
      <c r="C9" s="373"/>
      <c r="D9" s="373"/>
    </row>
    <row r="10" spans="1:8" x14ac:dyDescent="0.2">
      <c r="C10" s="373"/>
      <c r="D10" s="373"/>
    </row>
    <row r="11" spans="1:8" x14ac:dyDescent="0.2">
      <c r="A11" s="383" t="s">
        <v>334</v>
      </c>
      <c r="B11" s="434" t="s">
        <v>226</v>
      </c>
      <c r="C11" s="382" t="s">
        <v>51</v>
      </c>
      <c r="D11" s="382" t="s">
        <v>52</v>
      </c>
      <c r="E11" s="434" t="s">
        <v>53</v>
      </c>
      <c r="F11" s="434" t="s">
        <v>54</v>
      </c>
    </row>
    <row r="12" spans="1:8" x14ac:dyDescent="0.2">
      <c r="A12" t="s">
        <v>55</v>
      </c>
      <c r="B12" s="6">
        <v>4862478</v>
      </c>
      <c r="C12" s="435">
        <v>0.70479180845140132</v>
      </c>
      <c r="D12" s="435">
        <v>0.29520819154859868</v>
      </c>
      <c r="E12" s="6">
        <f>+B12*C12</f>
        <v>3427034.6631751531</v>
      </c>
      <c r="F12" s="6">
        <f>+B12*D12</f>
        <v>1435443.3368248469</v>
      </c>
    </row>
    <row r="13" spans="1:8" x14ac:dyDescent="0.2">
      <c r="A13" t="s">
        <v>58</v>
      </c>
      <c r="B13" s="6">
        <v>5830895</v>
      </c>
      <c r="C13" s="435">
        <v>0.6074408086085189</v>
      </c>
      <c r="D13" s="435">
        <v>0.43724052666209284</v>
      </c>
      <c r="E13" s="6">
        <f>+B13*C13</f>
        <v>3541923.5737113697</v>
      </c>
      <c r="F13" s="6">
        <f>+B13*D13</f>
        <v>2549503.6007113638</v>
      </c>
    </row>
    <row r="14" spans="1:8" x14ac:dyDescent="0.2">
      <c r="B14" s="419">
        <f t="shared" ref="B14" si="1">SUM(B12:B13)</f>
        <v>10693373</v>
      </c>
      <c r="C14" s="436"/>
      <c r="D14" s="436"/>
      <c r="E14" s="419">
        <f t="shared" ref="E14" si="2">SUM(E12:E13)</f>
        <v>6968958.2368865227</v>
      </c>
      <c r="F14" s="419">
        <f t="shared" ref="F14" si="3">SUM(F12:F13)</f>
        <v>3984946.9375362108</v>
      </c>
    </row>
    <row r="15" spans="1:8" x14ac:dyDescent="0.2">
      <c r="B15" s="6"/>
      <c r="C15" s="373"/>
      <c r="D15" s="373"/>
      <c r="E15" s="6"/>
      <c r="F15" s="6"/>
    </row>
    <row r="16" spans="1:8" x14ac:dyDescent="0.2">
      <c r="A16" s="383" t="s">
        <v>335</v>
      </c>
      <c r="B16" s="434" t="s">
        <v>226</v>
      </c>
      <c r="C16" s="382" t="s">
        <v>51</v>
      </c>
      <c r="D16" s="382" t="s">
        <v>52</v>
      </c>
      <c r="E16" s="434" t="s">
        <v>53</v>
      </c>
      <c r="F16" s="434" t="s">
        <v>54</v>
      </c>
    </row>
    <row r="17" spans="1:8" x14ac:dyDescent="0.2">
      <c r="A17" t="s">
        <v>55</v>
      </c>
      <c r="B17" s="6">
        <f>+B6-B12</f>
        <v>616335</v>
      </c>
      <c r="C17" s="435">
        <f t="shared" ref="C17:F17" si="4">+C6-C12</f>
        <v>-8.2349871599492475E-2</v>
      </c>
      <c r="D17" s="435">
        <f t="shared" si="4"/>
        <v>8.2349871599492475E-2</v>
      </c>
      <c r="E17" s="6">
        <f t="shared" si="4"/>
        <v>-16791.687805735972</v>
      </c>
      <c r="F17" s="6">
        <f t="shared" si="4"/>
        <v>633126.68780573574</v>
      </c>
    </row>
    <row r="18" spans="1:8" x14ac:dyDescent="0.2">
      <c r="A18" t="s">
        <v>58</v>
      </c>
      <c r="B18" s="6">
        <f>+B7-B13</f>
        <v>1223447</v>
      </c>
      <c r="C18" s="435">
        <f t="shared" ref="C18:F18" si="5">+C7-C13</f>
        <v>-9.776254211527613E-4</v>
      </c>
      <c r="D18" s="435">
        <f t="shared" si="5"/>
        <v>-4.3703709849458983E-2</v>
      </c>
      <c r="E18" s="6">
        <f t="shared" si="5"/>
        <v>736275.13090096088</v>
      </c>
      <c r="F18" s="6">
        <f t="shared" si="5"/>
        <v>226639.69467630517</v>
      </c>
    </row>
    <row r="19" spans="1:8" x14ac:dyDescent="0.2">
      <c r="B19" s="420">
        <f t="shared" ref="B19" si="6">SUM(B17:B18)</f>
        <v>1839782</v>
      </c>
      <c r="C19" s="437"/>
      <c r="D19" s="437"/>
      <c r="E19" s="420">
        <f t="shared" ref="E19" si="7">SUM(E17:E18)</f>
        <v>719483.44309522491</v>
      </c>
      <c r="F19" s="420">
        <f t="shared" ref="F19" si="8">SUM(F17:F18)</f>
        <v>859766.38248204091</v>
      </c>
    </row>
    <row r="20" spans="1:8" x14ac:dyDescent="0.2">
      <c r="B20" s="6"/>
      <c r="E20" s="6"/>
      <c r="F20" s="6"/>
    </row>
    <row r="21" spans="1:8" x14ac:dyDescent="0.2">
      <c r="B21" s="6"/>
      <c r="E21" s="6"/>
      <c r="F21" s="6"/>
    </row>
    <row r="22" spans="1:8" x14ac:dyDescent="0.2">
      <c r="A22" s="384" t="s">
        <v>337</v>
      </c>
      <c r="B22" s="381"/>
      <c r="C22" s="381"/>
      <c r="D22" s="381"/>
      <c r="E22" s="381"/>
      <c r="F22" s="381"/>
      <c r="G22" s="381"/>
      <c r="H22" s="381"/>
    </row>
    <row r="23" spans="1:8" ht="15" x14ac:dyDescent="0.35">
      <c r="B23" s="483" t="s">
        <v>60</v>
      </c>
      <c r="C23" s="483"/>
      <c r="D23" s="483" t="s">
        <v>61</v>
      </c>
      <c r="E23" s="483"/>
      <c r="F23" s="483" t="s">
        <v>62</v>
      </c>
      <c r="G23" s="483"/>
      <c r="H23" s="374" t="s">
        <v>186</v>
      </c>
    </row>
    <row r="24" spans="1:8" x14ac:dyDescent="0.2">
      <c r="A24" s="383" t="s">
        <v>331</v>
      </c>
      <c r="B24" s="444" t="s">
        <v>53</v>
      </c>
      <c r="C24" s="444" t="s">
        <v>54</v>
      </c>
      <c r="D24" s="373" t="s">
        <v>63</v>
      </c>
      <c r="E24" s="373" t="s">
        <v>64</v>
      </c>
      <c r="F24" s="438" t="s">
        <v>65</v>
      </c>
      <c r="G24" s="438" t="s">
        <v>66</v>
      </c>
      <c r="H24" s="438"/>
    </row>
    <row r="25" spans="1:8" x14ac:dyDescent="0.2">
      <c r="A25" t="s">
        <v>55</v>
      </c>
      <c r="B25" s="439">
        <f>+E6</f>
        <v>3410242.9753694171</v>
      </c>
      <c r="C25" s="439">
        <f>+F6</f>
        <v>2068570.0246305827</v>
      </c>
      <c r="D25" s="441">
        <f>+B47+D47</f>
        <v>224559</v>
      </c>
      <c r="E25" s="441">
        <f>+C47</f>
        <v>136212</v>
      </c>
      <c r="F25" s="6">
        <f t="shared" ref="F25:G27" si="9">+B25/D25</f>
        <v>15.186400791637908</v>
      </c>
      <c r="G25" s="6">
        <f t="shared" si="9"/>
        <v>15.186400791637908</v>
      </c>
      <c r="H25" s="6">
        <f>+G25*2</f>
        <v>30.372801583275816</v>
      </c>
    </row>
    <row r="26" spans="1:8" x14ac:dyDescent="0.2">
      <c r="A26" t="s">
        <v>58</v>
      </c>
      <c r="B26" s="439">
        <f>+E7</f>
        <v>4278198.7046123305</v>
      </c>
      <c r="C26" s="439">
        <f>+F7</f>
        <v>2776143.295387669</v>
      </c>
      <c r="D26" s="441">
        <f>+B46+D46</f>
        <v>243817</v>
      </c>
      <c r="E26" s="441">
        <f>+C46</f>
        <v>158214</v>
      </c>
      <c r="F26" s="6">
        <f t="shared" si="9"/>
        <v>17.546761319400741</v>
      </c>
      <c r="G26" s="6">
        <f t="shared" si="9"/>
        <v>17.546761319400741</v>
      </c>
      <c r="H26" s="6">
        <f>+G26*2</f>
        <v>35.093522638801481</v>
      </c>
    </row>
    <row r="27" spans="1:8" x14ac:dyDescent="0.2">
      <c r="A27" t="s">
        <v>67</v>
      </c>
      <c r="B27" s="440">
        <f>SUM(B25:B26)</f>
        <v>7688441.6799817476</v>
      </c>
      <c r="C27" s="440">
        <f t="shared" ref="C27:E27" si="10">SUM(C25:C26)</f>
        <v>4844713.3200182514</v>
      </c>
      <c r="D27" s="442">
        <f t="shared" si="10"/>
        <v>468376</v>
      </c>
      <c r="E27" s="442">
        <f t="shared" si="10"/>
        <v>294426</v>
      </c>
      <c r="F27" s="7">
        <f t="shared" si="9"/>
        <v>16.41510598318818</v>
      </c>
      <c r="G27" s="7">
        <f t="shared" si="9"/>
        <v>16.454774102892582</v>
      </c>
      <c r="H27" s="7">
        <f>+G27*2</f>
        <v>32.909548205785164</v>
      </c>
    </row>
    <row r="28" spans="1:8" x14ac:dyDescent="0.2">
      <c r="B28" s="6"/>
      <c r="C28" s="6"/>
      <c r="D28" s="441"/>
      <c r="E28" s="441"/>
      <c r="F28" s="6"/>
      <c r="G28" s="6"/>
      <c r="H28" s="6"/>
    </row>
    <row r="29" spans="1:8" x14ac:dyDescent="0.2">
      <c r="B29" s="166"/>
      <c r="C29" s="166"/>
      <c r="D29" s="132"/>
      <c r="E29" s="132"/>
      <c r="F29" s="166"/>
      <c r="G29" s="166"/>
      <c r="H29" s="166"/>
    </row>
    <row r="30" spans="1:8" ht="15" x14ac:dyDescent="0.35">
      <c r="B30" s="485" t="s">
        <v>60</v>
      </c>
      <c r="C30" s="485"/>
      <c r="D30" s="485" t="s">
        <v>61</v>
      </c>
      <c r="E30" s="485"/>
      <c r="F30" s="485" t="s">
        <v>62</v>
      </c>
      <c r="G30" s="485"/>
      <c r="H30" s="374" t="s">
        <v>186</v>
      </c>
    </row>
    <row r="31" spans="1:8" x14ac:dyDescent="0.2">
      <c r="A31" s="383" t="s">
        <v>334</v>
      </c>
      <c r="B31" s="444" t="s">
        <v>53</v>
      </c>
      <c r="C31" s="444" t="s">
        <v>54</v>
      </c>
      <c r="D31" s="373" t="s">
        <v>63</v>
      </c>
      <c r="E31" s="373" t="s">
        <v>64</v>
      </c>
      <c r="F31" s="438" t="s">
        <v>65</v>
      </c>
      <c r="G31" s="438" t="s">
        <v>66</v>
      </c>
      <c r="H31" s="438"/>
    </row>
    <row r="32" spans="1:8" x14ac:dyDescent="0.2">
      <c r="A32" t="s">
        <v>55</v>
      </c>
      <c r="B32" s="6">
        <v>3427034.6631751531</v>
      </c>
      <c r="C32" s="6">
        <v>1435443.3368248469</v>
      </c>
      <c r="D32" s="441">
        <v>227831</v>
      </c>
      <c r="E32" s="441">
        <v>95429</v>
      </c>
      <c r="F32" s="6">
        <f>+B32/D32</f>
        <v>15.04200334096393</v>
      </c>
      <c r="G32" s="6">
        <f>+C32/E32</f>
        <v>15.04200334096393</v>
      </c>
      <c r="H32" s="6">
        <f>+G32*2</f>
        <v>30.08400668192786</v>
      </c>
    </row>
    <row r="33" spans="1:9" x14ac:dyDescent="0.2">
      <c r="A33" t="s">
        <v>58</v>
      </c>
      <c r="B33" s="6">
        <v>3541923.5737113697</v>
      </c>
      <c r="C33" s="6">
        <v>2549503.6007113638</v>
      </c>
      <c r="D33" s="441">
        <v>240336</v>
      </c>
      <c r="E33" s="441">
        <v>186731</v>
      </c>
      <c r="F33" s="6">
        <f>+B33/D33</f>
        <v>14.737382554887198</v>
      </c>
      <c r="G33" s="6">
        <f>+C33/E33</f>
        <v>13.653349474438437</v>
      </c>
      <c r="H33" s="6">
        <f>+G33*2</f>
        <v>27.306698948876875</v>
      </c>
    </row>
    <row r="34" spans="1:9" x14ac:dyDescent="0.2">
      <c r="A34" t="s">
        <v>67</v>
      </c>
      <c r="B34" s="7">
        <f>SUM(B32:B33)</f>
        <v>6968958.2368865227</v>
      </c>
      <c r="C34" s="7">
        <f t="shared" ref="C34" si="11">SUM(C32:C33)</f>
        <v>3984946.9375362108</v>
      </c>
      <c r="D34" s="442">
        <f t="shared" ref="D34" si="12">SUM(D32:D33)</f>
        <v>468167</v>
      </c>
      <c r="E34" s="442">
        <f t="shared" ref="E34" si="13">SUM(E32:E33)</f>
        <v>282160</v>
      </c>
      <c r="F34" s="7">
        <f t="shared" ref="F34" si="14">SUM(F32:F33)</f>
        <v>29.779385895851128</v>
      </c>
      <c r="G34" s="7">
        <f t="shared" ref="G34" si="15">SUM(G32:G33)</f>
        <v>28.695352815402366</v>
      </c>
      <c r="H34" s="7">
        <f t="shared" ref="H34" si="16">SUM(H32:H33)</f>
        <v>57.390705630804732</v>
      </c>
    </row>
    <row r="35" spans="1:9" x14ac:dyDescent="0.2">
      <c r="B35" s="6"/>
      <c r="C35" s="6"/>
      <c r="D35" s="131"/>
      <c r="E35" s="131"/>
      <c r="F35" s="6"/>
      <c r="G35" s="6"/>
      <c r="H35" s="6"/>
    </row>
    <row r="36" spans="1:9" x14ac:dyDescent="0.2">
      <c r="B36" s="6"/>
      <c r="C36" s="6"/>
      <c r="D36" s="131"/>
      <c r="E36" s="131"/>
      <c r="F36" s="6"/>
      <c r="G36" s="6"/>
      <c r="H36" s="6"/>
    </row>
    <row r="37" spans="1:9" ht="15" x14ac:dyDescent="0.35">
      <c r="A37" s="383" t="s">
        <v>335</v>
      </c>
      <c r="B37" s="483" t="s">
        <v>60</v>
      </c>
      <c r="C37" s="483"/>
      <c r="D37" s="483" t="s">
        <v>61</v>
      </c>
      <c r="E37" s="483"/>
      <c r="F37" s="483" t="s">
        <v>62</v>
      </c>
      <c r="G37" s="483"/>
      <c r="H37" s="374" t="s">
        <v>186</v>
      </c>
    </row>
    <row r="38" spans="1:9" x14ac:dyDescent="0.2">
      <c r="A38" s="383" t="s">
        <v>334</v>
      </c>
      <c r="B38" s="444" t="s">
        <v>53</v>
      </c>
      <c r="C38" s="444" t="s">
        <v>54</v>
      </c>
      <c r="D38" s="373" t="s">
        <v>63</v>
      </c>
      <c r="E38" s="373" t="s">
        <v>64</v>
      </c>
      <c r="F38" s="438" t="s">
        <v>65</v>
      </c>
      <c r="G38" s="438" t="s">
        <v>66</v>
      </c>
      <c r="H38" s="438"/>
    </row>
    <row r="39" spans="1:9" x14ac:dyDescent="0.2">
      <c r="A39" t="s">
        <v>55</v>
      </c>
      <c r="B39" s="6">
        <f>+B25-B32</f>
        <v>-16791.687805735972</v>
      </c>
      <c r="C39" s="6">
        <f>+C25-C32</f>
        <v>633126.68780573574</v>
      </c>
      <c r="D39" s="441">
        <f>+D25-D32</f>
        <v>-3272</v>
      </c>
      <c r="E39" s="441">
        <f>+E25-E32</f>
        <v>40783</v>
      </c>
      <c r="F39" s="6">
        <f t="shared" ref="F39:H39" si="17">+F25-F32</f>
        <v>0.1443974506739778</v>
      </c>
      <c r="G39" s="6">
        <f t="shared" si="17"/>
        <v>0.1443974506739778</v>
      </c>
      <c r="H39" s="6">
        <f t="shared" si="17"/>
        <v>0.2887949013479556</v>
      </c>
      <c r="I39" s="379">
        <f>+H39/H32</f>
        <v>9.5996156496481969E-3</v>
      </c>
    </row>
    <row r="40" spans="1:9" x14ac:dyDescent="0.2">
      <c r="A40" t="s">
        <v>58</v>
      </c>
      <c r="B40" s="6">
        <f t="shared" ref="B40:D40" si="18">+B26-B33</f>
        <v>736275.13090096088</v>
      </c>
      <c r="C40" s="6">
        <f t="shared" si="18"/>
        <v>226639.69467630517</v>
      </c>
      <c r="D40" s="441">
        <f t="shared" si="18"/>
        <v>3481</v>
      </c>
      <c r="E40" s="441">
        <f t="shared" ref="E40" si="19">+E26-E33</f>
        <v>-28517</v>
      </c>
      <c r="F40" s="6">
        <f t="shared" ref="F40:H40" si="20">+F26-F33</f>
        <v>2.8093787645135428</v>
      </c>
      <c r="G40" s="6">
        <f t="shared" si="20"/>
        <v>3.8934118449623032</v>
      </c>
      <c r="H40" s="6">
        <f t="shared" si="20"/>
        <v>7.7868236899246064</v>
      </c>
      <c r="I40" s="379">
        <f>+H40/H33</f>
        <v>0.28516166324252379</v>
      </c>
    </row>
    <row r="41" spans="1:9" x14ac:dyDescent="0.2">
      <c r="A41" t="s">
        <v>67</v>
      </c>
      <c r="B41" s="421">
        <f>SUM(B39:B40)</f>
        <v>719483.44309522491</v>
      </c>
      <c r="C41" s="421">
        <f t="shared" ref="C41" si="21">SUM(C39:C40)</f>
        <v>859766.38248204091</v>
      </c>
      <c r="D41" s="443">
        <f t="shared" ref="D41" si="22">SUM(D39:D40)</f>
        <v>209</v>
      </c>
      <c r="E41" s="443">
        <f t="shared" ref="E41" si="23">SUM(E39:E40)</f>
        <v>12266</v>
      </c>
      <c r="F41" s="421">
        <f t="shared" ref="F41" si="24">SUM(F39:F40)</f>
        <v>2.9537762151875206</v>
      </c>
      <c r="G41" s="421">
        <f t="shared" ref="G41" si="25">SUM(G39:G40)</f>
        <v>4.037809295636281</v>
      </c>
      <c r="H41" s="421">
        <f t="shared" ref="H41" si="26">SUM(H39:H40)</f>
        <v>8.075618591272562</v>
      </c>
    </row>
    <row r="42" spans="1:9" x14ac:dyDescent="0.2">
      <c r="B42" s="6"/>
      <c r="E42" s="6"/>
      <c r="F42" s="6"/>
    </row>
    <row r="43" spans="1:9" x14ac:dyDescent="0.2">
      <c r="B43" s="6"/>
      <c r="E43" s="6"/>
      <c r="F43" s="6"/>
    </row>
    <row r="44" spans="1:9" x14ac:dyDescent="0.2">
      <c r="A44" s="384" t="s">
        <v>341</v>
      </c>
      <c r="B44" s="380"/>
      <c r="C44" s="381"/>
      <c r="D44" s="381"/>
      <c r="E44" s="380"/>
      <c r="F44" s="380"/>
      <c r="G44" s="381"/>
      <c r="H44" s="381"/>
    </row>
    <row r="45" spans="1:9" x14ac:dyDescent="0.2">
      <c r="A45" s="383" t="s">
        <v>338</v>
      </c>
      <c r="B45" s="423" t="s">
        <v>193</v>
      </c>
      <c r="C45" s="423" t="s">
        <v>192</v>
      </c>
      <c r="D45" s="423" t="s">
        <v>191</v>
      </c>
      <c r="E45" s="423" t="s">
        <v>188</v>
      </c>
    </row>
    <row r="46" spans="1:9" x14ac:dyDescent="0.2">
      <c r="A46" t="s">
        <v>190</v>
      </c>
      <c r="B46" s="131">
        <f>+'Cost Per Order Type Field Ser'!B30</f>
        <v>242910</v>
      </c>
      <c r="C46" s="131">
        <f>+'Cost Per Order Type Field Ser'!C30</f>
        <v>158214</v>
      </c>
      <c r="D46" s="131">
        <f>+'Cost Per Order Type Field Ser'!D30</f>
        <v>907</v>
      </c>
      <c r="E46" s="131">
        <f>+B46+C46+D46</f>
        <v>402031</v>
      </c>
      <c r="F46" s="131"/>
    </row>
    <row r="47" spans="1:9" x14ac:dyDescent="0.2">
      <c r="A47" t="s">
        <v>189</v>
      </c>
      <c r="B47" s="131">
        <f>+'Cost Per Order Type Field Ser'!B31</f>
        <v>222706</v>
      </c>
      <c r="C47" s="131">
        <f>+'Cost Per Order Type Field Ser'!C31</f>
        <v>136212</v>
      </c>
      <c r="D47" s="131">
        <f>+'Cost Per Order Type Field Ser'!D31</f>
        <v>1853</v>
      </c>
      <c r="E47" s="131">
        <f t="shared" ref="E47:E48" si="27">+B47+C47+D47</f>
        <v>360771</v>
      </c>
      <c r="F47" s="131"/>
    </row>
    <row r="48" spans="1:9" x14ac:dyDescent="0.2">
      <c r="A48" t="s">
        <v>188</v>
      </c>
      <c r="B48" s="427">
        <f>+'Cost Per Order Type Field Ser'!B32</f>
        <v>465616</v>
      </c>
      <c r="C48" s="427">
        <f>+'Cost Per Order Type Field Ser'!C32</f>
        <v>294426</v>
      </c>
      <c r="D48" s="427">
        <f>+'Cost Per Order Type Field Ser'!D32</f>
        <v>2760</v>
      </c>
      <c r="E48" s="427">
        <f t="shared" si="27"/>
        <v>762802</v>
      </c>
      <c r="F48" s="131"/>
    </row>
    <row r="49" spans="1:6" x14ac:dyDescent="0.2">
      <c r="A49" t="s">
        <v>233</v>
      </c>
      <c r="B49" s="114"/>
      <c r="C49" s="114"/>
      <c r="D49" s="114"/>
      <c r="E49" s="114"/>
    </row>
    <row r="50" spans="1:6" x14ac:dyDescent="0.2">
      <c r="A50" t="s">
        <v>234</v>
      </c>
      <c r="B50" s="428"/>
      <c r="C50" s="428"/>
      <c r="D50" s="428"/>
      <c r="E50" s="428"/>
      <c r="F50" s="8"/>
    </row>
    <row r="51" spans="1:6" x14ac:dyDescent="0.2">
      <c r="A51" t="s">
        <v>190</v>
      </c>
      <c r="B51" s="429">
        <f>+B46/E46</f>
        <v>0.60420713825550765</v>
      </c>
      <c r="C51" s="429">
        <f>+C46/E46</f>
        <v>0.39353681681263386</v>
      </c>
      <c r="D51" s="429">
        <f>+D46/E46</f>
        <v>2.2560449318584884E-3</v>
      </c>
      <c r="E51" s="429">
        <v>1</v>
      </c>
    </row>
    <row r="52" spans="1:6" x14ac:dyDescent="0.2">
      <c r="A52" t="s">
        <v>189</v>
      </c>
      <c r="B52" s="430">
        <f>+B47/E47</f>
        <v>0.61730571470545026</v>
      </c>
      <c r="C52" s="430">
        <f>+C47/E47</f>
        <v>0.37755806314809115</v>
      </c>
      <c r="D52" s="430">
        <f>+D47/E47</f>
        <v>5.1362221464585564E-3</v>
      </c>
      <c r="E52" s="430">
        <v>1</v>
      </c>
    </row>
    <row r="53" spans="1:6" x14ac:dyDescent="0.2">
      <c r="A53" t="s">
        <v>188</v>
      </c>
      <c r="B53" s="429">
        <f>+B48/E48</f>
        <v>0.61040217513850248</v>
      </c>
      <c r="C53" s="429">
        <f>+C48/E48</f>
        <v>0.38597958579028374</v>
      </c>
      <c r="D53" s="429">
        <f>+D48/E48</f>
        <v>3.618239071213762E-3</v>
      </c>
      <c r="E53" s="429">
        <v>1</v>
      </c>
    </row>
    <row r="54" spans="1:6" x14ac:dyDescent="0.2">
      <c r="B54" s="429"/>
      <c r="C54" s="429"/>
      <c r="D54" s="429"/>
      <c r="E54" s="429"/>
    </row>
    <row r="55" spans="1:6" x14ac:dyDescent="0.2">
      <c r="B55" s="114"/>
      <c r="C55" s="114"/>
      <c r="D55" s="114"/>
      <c r="E55" s="114"/>
    </row>
    <row r="56" spans="1:6" x14ac:dyDescent="0.2">
      <c r="A56" s="383" t="s">
        <v>339</v>
      </c>
      <c r="B56" s="431" t="s">
        <v>193</v>
      </c>
      <c r="C56" s="431" t="s">
        <v>192</v>
      </c>
      <c r="D56" s="431" t="s">
        <v>191</v>
      </c>
      <c r="E56" s="431" t="s">
        <v>188</v>
      </c>
    </row>
    <row r="57" spans="1:6" x14ac:dyDescent="0.2">
      <c r="A57" t="s">
        <v>190</v>
      </c>
      <c r="B57" s="432">
        <v>239054</v>
      </c>
      <c r="C57" s="432">
        <v>186731</v>
      </c>
      <c r="D57" s="432">
        <v>1282</v>
      </c>
      <c r="E57" s="432">
        <f>SUM(B57:D57)</f>
        <v>427067</v>
      </c>
      <c r="F57" s="131"/>
    </row>
    <row r="58" spans="1:6" x14ac:dyDescent="0.2">
      <c r="A58" t="s">
        <v>189</v>
      </c>
      <c r="B58" s="432">
        <v>225111</v>
      </c>
      <c r="C58" s="432">
        <v>95429</v>
      </c>
      <c r="D58" s="432">
        <v>2720</v>
      </c>
      <c r="E58" s="432">
        <f t="shared" ref="E58" si="28">SUM(B58:D58)</f>
        <v>323260</v>
      </c>
      <c r="F58" s="131"/>
    </row>
    <row r="59" spans="1:6" x14ac:dyDescent="0.2">
      <c r="A59" t="s">
        <v>188</v>
      </c>
      <c r="B59" s="427">
        <f>SUM(B57:B58)</f>
        <v>464165</v>
      </c>
      <c r="C59" s="427">
        <f t="shared" ref="C59:D59" si="29">SUM(C57:C58)</f>
        <v>282160</v>
      </c>
      <c r="D59" s="427">
        <f t="shared" si="29"/>
        <v>4002</v>
      </c>
      <c r="E59" s="427">
        <f>SUM(E57:E58)</f>
        <v>750327</v>
      </c>
      <c r="F59" s="131"/>
    </row>
    <row r="60" spans="1:6" x14ac:dyDescent="0.2">
      <c r="A60" t="s">
        <v>233</v>
      </c>
      <c r="B60" s="114"/>
      <c r="C60" s="114"/>
      <c r="D60" s="114"/>
      <c r="E60" s="114"/>
    </row>
    <row r="61" spans="1:6" x14ac:dyDescent="0.2">
      <c r="A61" t="s">
        <v>234</v>
      </c>
      <c r="B61" s="424"/>
      <c r="C61" s="424"/>
      <c r="D61" s="424"/>
      <c r="E61" s="424"/>
    </row>
    <row r="62" spans="1:6" x14ac:dyDescent="0.2">
      <c r="A62" t="s">
        <v>190</v>
      </c>
      <c r="B62" s="379">
        <f>+B57/E57</f>
        <v>0.55975760243708828</v>
      </c>
      <c r="C62" s="379">
        <f>+C57/E57</f>
        <v>0.43724052666209284</v>
      </c>
      <c r="D62" s="379">
        <f>+D57/E57</f>
        <v>3.0018709008188412E-3</v>
      </c>
      <c r="E62" s="379">
        <v>1</v>
      </c>
    </row>
    <row r="63" spans="1:6" x14ac:dyDescent="0.2">
      <c r="A63" t="s">
        <v>189</v>
      </c>
      <c r="B63" s="425">
        <f t="shared" ref="B63:B64" si="30">+B58/E58</f>
        <v>0.69637752892408589</v>
      </c>
      <c r="C63" s="425">
        <f t="shared" ref="C63:C64" si="31">+C58/E58</f>
        <v>0.29520819154859868</v>
      </c>
      <c r="D63" s="425">
        <f>+D58/E58</f>
        <v>8.4142795273154745E-3</v>
      </c>
      <c r="E63" s="425">
        <v>1</v>
      </c>
    </row>
    <row r="64" spans="1:6" x14ac:dyDescent="0.2">
      <c r="A64" t="s">
        <v>188</v>
      </c>
      <c r="B64" s="379">
        <f t="shared" si="30"/>
        <v>0.61861694967660763</v>
      </c>
      <c r="C64" s="379">
        <f t="shared" si="31"/>
        <v>0.37604937580548214</v>
      </c>
      <c r="D64" s="379">
        <f>+D59/E59</f>
        <v>5.3336745179101913E-3</v>
      </c>
      <c r="E64" s="379">
        <v>1</v>
      </c>
    </row>
    <row r="65" spans="1:8" x14ac:dyDescent="0.2">
      <c r="B65" s="379"/>
      <c r="C65" s="379"/>
      <c r="D65" s="379"/>
      <c r="E65" s="379"/>
    </row>
    <row r="67" spans="1:8" x14ac:dyDescent="0.2">
      <c r="A67" s="383" t="s">
        <v>335</v>
      </c>
      <c r="B67" s="423" t="s">
        <v>193</v>
      </c>
      <c r="C67" s="423" t="s">
        <v>192</v>
      </c>
      <c r="D67" s="423" t="s">
        <v>191</v>
      </c>
      <c r="E67" s="423" t="s">
        <v>188</v>
      </c>
    </row>
    <row r="68" spans="1:8" x14ac:dyDescent="0.2">
      <c r="A68" t="s">
        <v>190</v>
      </c>
      <c r="B68" s="131">
        <f t="shared" ref="B68:E70" si="32">+B46-B57</f>
        <v>3856</v>
      </c>
      <c r="C68" s="131">
        <f t="shared" si="32"/>
        <v>-28517</v>
      </c>
      <c r="D68" s="131">
        <f t="shared" si="32"/>
        <v>-375</v>
      </c>
      <c r="E68" s="131">
        <f t="shared" si="32"/>
        <v>-25036</v>
      </c>
    </row>
    <row r="69" spans="1:8" x14ac:dyDescent="0.2">
      <c r="A69" t="s">
        <v>189</v>
      </c>
      <c r="B69" s="131">
        <f t="shared" si="32"/>
        <v>-2405</v>
      </c>
      <c r="C69" s="131">
        <f t="shared" si="32"/>
        <v>40783</v>
      </c>
      <c r="D69" s="131">
        <f t="shared" si="32"/>
        <v>-867</v>
      </c>
      <c r="E69" s="131">
        <f t="shared" si="32"/>
        <v>37511</v>
      </c>
    </row>
    <row r="70" spans="1:8" x14ac:dyDescent="0.2">
      <c r="A70" t="s">
        <v>188</v>
      </c>
      <c r="B70" s="422">
        <f t="shared" si="32"/>
        <v>1451</v>
      </c>
      <c r="C70" s="422">
        <f t="shared" si="32"/>
        <v>12266</v>
      </c>
      <c r="D70" s="422">
        <f t="shared" si="32"/>
        <v>-1242</v>
      </c>
      <c r="E70" s="422">
        <f t="shared" si="32"/>
        <v>12475</v>
      </c>
    </row>
    <row r="71" spans="1:8" x14ac:dyDescent="0.2">
      <c r="A71" t="s">
        <v>233</v>
      </c>
    </row>
    <row r="72" spans="1:8" x14ac:dyDescent="0.2">
      <c r="A72" t="s">
        <v>234</v>
      </c>
      <c r="B72" s="424" t="s">
        <v>193</v>
      </c>
      <c r="C72" s="424" t="s">
        <v>192</v>
      </c>
      <c r="D72" s="424" t="s">
        <v>191</v>
      </c>
      <c r="E72" s="424" t="s">
        <v>188</v>
      </c>
    </row>
    <row r="73" spans="1:8" x14ac:dyDescent="0.2">
      <c r="A73" t="s">
        <v>190</v>
      </c>
      <c r="B73" s="379">
        <f t="shared" ref="B73:E75" si="33">+B51-B62</f>
        <v>4.4449535818419372E-2</v>
      </c>
      <c r="C73" s="379">
        <f t="shared" si="33"/>
        <v>-4.3703709849458983E-2</v>
      </c>
      <c r="D73" s="379">
        <f t="shared" si="33"/>
        <v>-7.458259689603528E-4</v>
      </c>
      <c r="E73" s="379">
        <f t="shared" si="33"/>
        <v>0</v>
      </c>
    </row>
    <row r="74" spans="1:8" x14ac:dyDescent="0.2">
      <c r="A74" t="s">
        <v>189</v>
      </c>
      <c r="B74" s="425">
        <f t="shared" si="33"/>
        <v>-7.9071814218635628E-2</v>
      </c>
      <c r="C74" s="425">
        <f t="shared" si="33"/>
        <v>8.2349871599492475E-2</v>
      </c>
      <c r="D74" s="425">
        <f t="shared" si="33"/>
        <v>-3.2780573808569181E-3</v>
      </c>
      <c r="E74" s="425">
        <f t="shared" si="33"/>
        <v>0</v>
      </c>
    </row>
    <row r="75" spans="1:8" x14ac:dyDescent="0.2">
      <c r="A75" t="s">
        <v>188</v>
      </c>
      <c r="B75" s="426">
        <f t="shared" si="33"/>
        <v>-8.2147745381051518E-3</v>
      </c>
      <c r="C75" s="426">
        <f t="shared" si="33"/>
        <v>9.9302099848015968E-3</v>
      </c>
      <c r="D75" s="426">
        <f t="shared" si="33"/>
        <v>-1.7154354466964294E-3</v>
      </c>
      <c r="E75" s="426">
        <f t="shared" si="33"/>
        <v>0</v>
      </c>
    </row>
    <row r="78" spans="1:8" x14ac:dyDescent="0.2">
      <c r="D78" s="131"/>
      <c r="E78" s="131"/>
      <c r="F78" s="6"/>
      <c r="G78" s="6"/>
      <c r="H78" s="6"/>
    </row>
  </sheetData>
  <mergeCells count="10">
    <mergeCell ref="B37:C37"/>
    <mergeCell ref="D37:E37"/>
    <mergeCell ref="F37:G37"/>
    <mergeCell ref="A1:H1"/>
    <mergeCell ref="B23:C23"/>
    <mergeCell ref="D23:E23"/>
    <mergeCell ref="F23:G23"/>
    <mergeCell ref="B30:C30"/>
    <mergeCell ref="D30:E30"/>
    <mergeCell ref="F30:G30"/>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pageSetUpPr fitToPage="1"/>
  </sheetPr>
  <dimension ref="A1:J156"/>
  <sheetViews>
    <sheetView zoomScaleNormal="100" workbookViewId="0">
      <selection sqref="A1:C1"/>
    </sheetView>
  </sheetViews>
  <sheetFormatPr defaultColWidth="9.140625" defaultRowHeight="12.75" x14ac:dyDescent="0.2"/>
  <cols>
    <col min="1" max="1" width="24.85546875" style="35" bestFit="1" customWidth="1"/>
    <col min="2" max="2" width="14.5703125" style="35" bestFit="1" customWidth="1"/>
    <col min="3" max="3" width="23.28515625" style="35" bestFit="1" customWidth="1"/>
    <col min="4" max="4" width="24" style="35" bestFit="1" customWidth="1"/>
    <col min="5" max="7" width="20.7109375" style="35" customWidth="1"/>
    <col min="8" max="8" width="25.85546875" style="35" bestFit="1" customWidth="1"/>
    <col min="9" max="9" width="14.28515625" style="35" customWidth="1"/>
    <col min="10" max="10" width="12.5703125" style="35" bestFit="1" customWidth="1"/>
    <col min="11" max="16384" width="9.140625" style="35"/>
  </cols>
  <sheetData>
    <row r="1" spans="1:10" ht="16.5" thickBot="1" x14ac:dyDescent="0.3">
      <c r="A1" s="475" t="s">
        <v>199</v>
      </c>
      <c r="B1" s="476"/>
      <c r="C1" s="476"/>
    </row>
    <row r="2" spans="1:10" ht="13.5" thickBot="1" x14ac:dyDescent="0.25">
      <c r="B2" s="34" t="s">
        <v>226</v>
      </c>
      <c r="C2" s="231" t="s">
        <v>51</v>
      </c>
      <c r="D2" s="214" t="s">
        <v>52</v>
      </c>
      <c r="E2" s="213" t="s">
        <v>53</v>
      </c>
      <c r="F2" s="33" t="s">
        <v>54</v>
      </c>
      <c r="I2" s="34"/>
    </row>
    <row r="3" spans="1:10" ht="13.5" thickBot="1" x14ac:dyDescent="0.25">
      <c r="A3" s="212" t="s">
        <v>55</v>
      </c>
      <c r="B3" s="232">
        <f>B25</f>
        <v>5099658.2099999953</v>
      </c>
      <c r="C3" s="233">
        <v>0.63588319611387079</v>
      </c>
      <c r="D3" s="234">
        <v>0.36411680388612916</v>
      </c>
      <c r="E3" s="211">
        <f>(B3*C3)</f>
        <v>3242786.9616631381</v>
      </c>
      <c r="F3" s="210">
        <f>(B3*D3)</f>
        <v>1856871.2483368567</v>
      </c>
      <c r="I3" s="34"/>
    </row>
    <row r="4" spans="1:10" ht="13.5" thickBot="1" x14ac:dyDescent="0.25">
      <c r="A4" s="209" t="s">
        <v>58</v>
      </c>
      <c r="B4" s="235">
        <f>C25</f>
        <v>5844534.2699999921</v>
      </c>
      <c r="C4" s="236">
        <v>0.6074408086085189</v>
      </c>
      <c r="D4" s="237">
        <v>0.39255919139148121</v>
      </c>
      <c r="E4" s="208">
        <f>B4*C4</f>
        <v>3550208.622908995</v>
      </c>
      <c r="F4" s="207">
        <f>(B4*D4)</f>
        <v>2294325.647090998</v>
      </c>
      <c r="I4" s="34"/>
    </row>
    <row r="5" spans="1:10" x14ac:dyDescent="0.2">
      <c r="A5" s="34"/>
      <c r="B5" s="34"/>
      <c r="C5" s="34"/>
      <c r="D5" s="34"/>
      <c r="E5" s="34"/>
      <c r="F5" s="34"/>
      <c r="G5" s="34"/>
      <c r="H5" s="34"/>
      <c r="I5" s="34"/>
      <c r="J5" s="34"/>
    </row>
    <row r="6" spans="1:10" x14ac:dyDescent="0.2">
      <c r="A6" s="43"/>
      <c r="B6" s="34"/>
      <c r="C6" s="34"/>
      <c r="D6" s="34"/>
      <c r="E6" s="34"/>
      <c r="F6" s="34"/>
      <c r="G6" s="34"/>
      <c r="H6" s="34"/>
      <c r="I6" s="34"/>
      <c r="J6" s="34"/>
    </row>
    <row r="7" spans="1:10" ht="13.5" thickBot="1" x14ac:dyDescent="0.25">
      <c r="A7" s="34"/>
      <c r="B7" s="34"/>
      <c r="C7" s="34"/>
      <c r="D7" s="34"/>
      <c r="E7" s="34"/>
      <c r="F7" s="34"/>
      <c r="G7" s="34"/>
      <c r="H7" s="34"/>
      <c r="I7" s="34"/>
      <c r="J7" s="34"/>
    </row>
    <row r="8" spans="1:10" ht="13.5" thickBot="1" x14ac:dyDescent="0.25">
      <c r="A8" s="34"/>
      <c r="B8" s="477" t="s">
        <v>60</v>
      </c>
      <c r="C8" s="478"/>
      <c r="D8" s="477" t="s">
        <v>61</v>
      </c>
      <c r="E8" s="478"/>
      <c r="F8" s="477" t="s">
        <v>62</v>
      </c>
      <c r="G8" s="479"/>
      <c r="H8" s="195" t="s">
        <v>186</v>
      </c>
    </row>
    <row r="9" spans="1:10" ht="13.5" thickBot="1" x14ac:dyDescent="0.25">
      <c r="A9" s="52"/>
      <c r="B9" s="53" t="s">
        <v>53</v>
      </c>
      <c r="C9" s="54" t="s">
        <v>54</v>
      </c>
      <c r="D9" s="55" t="s">
        <v>63</v>
      </c>
      <c r="E9" s="56" t="s">
        <v>64</v>
      </c>
      <c r="F9" s="53" t="s">
        <v>65</v>
      </c>
      <c r="G9" s="57" t="s">
        <v>66</v>
      </c>
      <c r="H9" s="191"/>
    </row>
    <row r="10" spans="1:10" ht="13.5" thickBot="1" x14ac:dyDescent="0.25">
      <c r="A10" s="58" t="s">
        <v>55</v>
      </c>
      <c r="B10" s="59">
        <f>E3</f>
        <v>3242786.9616631381</v>
      </c>
      <c r="C10" s="60">
        <f>F3</f>
        <v>1856871.2483368567</v>
      </c>
      <c r="D10" s="61">
        <f>B31+D31</f>
        <v>228377</v>
      </c>
      <c r="E10" s="62">
        <f>C31</f>
        <v>130548</v>
      </c>
      <c r="F10" s="63">
        <f t="shared" ref="F10:F12" si="0">B10/D10</f>
        <v>14.199271212351235</v>
      </c>
      <c r="G10" s="206">
        <f>C10/E10</f>
        <v>14.223666761167209</v>
      </c>
      <c r="H10" s="189">
        <f>G10*2</f>
        <v>28.447333522334418</v>
      </c>
    </row>
    <row r="11" spans="1:10" ht="13.5" thickBot="1" x14ac:dyDescent="0.25">
      <c r="A11" s="74" t="s">
        <v>58</v>
      </c>
      <c r="B11" s="75">
        <f>E4</f>
        <v>3550208.622908995</v>
      </c>
      <c r="C11" s="76">
        <f>F4</f>
        <v>2294325.647090998</v>
      </c>
      <c r="D11" s="77">
        <f>B30+D30</f>
        <v>241376</v>
      </c>
      <c r="E11" s="78">
        <f>C30</f>
        <v>170869</v>
      </c>
      <c r="F11" s="79">
        <f t="shared" si="0"/>
        <v>14.708208864630265</v>
      </c>
      <c r="G11" s="205">
        <f>C11/E11</f>
        <v>13.427395531611925</v>
      </c>
      <c r="H11" s="188">
        <f>G11*2</f>
        <v>26.85479106322385</v>
      </c>
    </row>
    <row r="12" spans="1:10" ht="13.5" thickBot="1" x14ac:dyDescent="0.25">
      <c r="A12" s="93" t="s">
        <v>67</v>
      </c>
      <c r="B12" s="94">
        <f>B10+B11</f>
        <v>6792995.5845721327</v>
      </c>
      <c r="C12" s="94">
        <f t="shared" ref="C12" si="1">C10+C11</f>
        <v>4151196.8954278547</v>
      </c>
      <c r="D12" s="204">
        <f>D10+D11</f>
        <v>469753</v>
      </c>
      <c r="E12" s="204">
        <f>E10+E11</f>
        <v>301417</v>
      </c>
      <c r="F12" s="94">
        <f t="shared" si="0"/>
        <v>14.460781697130477</v>
      </c>
      <c r="G12" s="203">
        <f>C12/E12</f>
        <v>13.772271953565507</v>
      </c>
      <c r="H12" s="202">
        <f>G12*2</f>
        <v>27.544543907131015</v>
      </c>
    </row>
    <row r="14" spans="1:10" ht="13.5" thickBot="1" x14ac:dyDescent="0.25"/>
    <row r="15" spans="1:10" ht="27.75" thickBot="1" x14ac:dyDescent="0.4">
      <c r="A15" s="480" t="s">
        <v>198</v>
      </c>
      <c r="B15" s="481"/>
      <c r="C15" s="481"/>
      <c r="D15" s="481"/>
      <c r="E15" s="481"/>
      <c r="F15" s="482"/>
    </row>
    <row r="16" spans="1:10" x14ac:dyDescent="0.2">
      <c r="A16" s="187"/>
      <c r="B16" s="186"/>
      <c r="C16" s="186"/>
      <c r="D16" s="186"/>
      <c r="E16" s="186"/>
      <c r="F16" s="185"/>
    </row>
    <row r="17" spans="1:6" x14ac:dyDescent="0.2">
      <c r="A17" s="180"/>
      <c r="B17" s="179"/>
      <c r="C17" s="179"/>
      <c r="D17" s="179"/>
      <c r="E17" s="179"/>
      <c r="F17" s="178"/>
    </row>
    <row r="18" spans="1:6" x14ac:dyDescent="0.2">
      <c r="A18" s="238" t="s">
        <v>227</v>
      </c>
      <c r="B18" s="238" t="s">
        <v>194</v>
      </c>
      <c r="C18" s="238"/>
      <c r="D18" s="238"/>
      <c r="E18" s="179"/>
      <c r="F18" s="178"/>
    </row>
    <row r="19" spans="1:6" x14ac:dyDescent="0.2">
      <c r="A19" s="239" t="s">
        <v>197</v>
      </c>
      <c r="B19" s="239">
        <v>1295</v>
      </c>
      <c r="C19" s="239">
        <v>11370</v>
      </c>
      <c r="D19" s="239" t="s">
        <v>188</v>
      </c>
      <c r="E19" s="179"/>
      <c r="F19" s="178"/>
    </row>
    <row r="20" spans="1:6" x14ac:dyDescent="0.2">
      <c r="A20" s="240" t="s">
        <v>228</v>
      </c>
      <c r="B20" s="241"/>
      <c r="C20" s="241">
        <v>5809909.5399999917</v>
      </c>
      <c r="D20" s="241">
        <v>5809909.5399999917</v>
      </c>
      <c r="E20" s="179"/>
      <c r="F20" s="178"/>
    </row>
    <row r="21" spans="1:6" x14ac:dyDescent="0.2">
      <c r="A21" s="240" t="s">
        <v>229</v>
      </c>
      <c r="B21" s="241">
        <v>4334525.5799999954</v>
      </c>
      <c r="C21" s="241"/>
      <c r="D21" s="241">
        <v>4334525.5799999954</v>
      </c>
      <c r="E21" s="179"/>
      <c r="F21" s="178"/>
    </row>
    <row r="22" spans="1:6" x14ac:dyDescent="0.2">
      <c r="A22" s="240" t="s">
        <v>230</v>
      </c>
      <c r="B22" s="241">
        <v>765022.92999999947</v>
      </c>
      <c r="C22" s="241"/>
      <c r="D22" s="241">
        <v>765022.92999999947</v>
      </c>
      <c r="E22" s="179"/>
      <c r="F22" s="178"/>
    </row>
    <row r="23" spans="1:6" x14ac:dyDescent="0.2">
      <c r="A23" s="240" t="s">
        <v>231</v>
      </c>
      <c r="B23" s="241"/>
      <c r="C23" s="241">
        <v>34624.730000000003</v>
      </c>
      <c r="D23" s="241">
        <v>34624.730000000003</v>
      </c>
      <c r="E23" s="179"/>
      <c r="F23" s="178"/>
    </row>
    <row r="24" spans="1:6" x14ac:dyDescent="0.2">
      <c r="A24" s="240" t="s">
        <v>232</v>
      </c>
      <c r="B24" s="241">
        <v>109.7</v>
      </c>
      <c r="C24" s="241"/>
      <c r="D24" s="241">
        <v>109.7</v>
      </c>
      <c r="E24" s="179"/>
      <c r="F24" s="178"/>
    </row>
    <row r="25" spans="1:6" x14ac:dyDescent="0.2">
      <c r="A25" s="242" t="s">
        <v>188</v>
      </c>
      <c r="B25" s="243">
        <v>5099658.2099999953</v>
      </c>
      <c r="C25" s="243">
        <v>5844534.2699999921</v>
      </c>
      <c r="D25" s="243">
        <v>10944192.479999986</v>
      </c>
      <c r="E25" s="179"/>
      <c r="F25" s="178"/>
    </row>
    <row r="26" spans="1:6" ht="13.5" thickBot="1" x14ac:dyDescent="0.25">
      <c r="A26" s="180"/>
      <c r="B26" s="179"/>
      <c r="C26" s="179"/>
      <c r="D26" s="179"/>
      <c r="E26" s="179"/>
      <c r="F26" s="178"/>
    </row>
    <row r="27" spans="1:6" ht="13.5" thickBot="1" x14ac:dyDescent="0.25">
      <c r="A27" s="201" t="s">
        <v>196</v>
      </c>
      <c r="B27" s="179"/>
      <c r="C27" s="179"/>
      <c r="D27" s="179"/>
      <c r="E27" s="179"/>
      <c r="F27" s="178"/>
    </row>
    <row r="28" spans="1:6" ht="15" x14ac:dyDescent="0.25">
      <c r="A28" s="244" t="s">
        <v>195</v>
      </c>
      <c r="B28" s="245" t="s">
        <v>194</v>
      </c>
      <c r="C28" s="245"/>
      <c r="D28" s="245"/>
      <c r="E28" s="246"/>
      <c r="F28" s="178"/>
    </row>
    <row r="29" spans="1:6" ht="15" x14ac:dyDescent="0.25">
      <c r="A29" s="247"/>
      <c r="B29" s="248" t="s">
        <v>193</v>
      </c>
      <c r="C29" s="248" t="s">
        <v>192</v>
      </c>
      <c r="D29" s="248" t="s">
        <v>191</v>
      </c>
      <c r="E29" s="249" t="s">
        <v>188</v>
      </c>
      <c r="F29" s="178"/>
    </row>
    <row r="30" spans="1:6" ht="15" x14ac:dyDescent="0.25">
      <c r="A30" s="250" t="s">
        <v>190</v>
      </c>
      <c r="B30" s="251">
        <v>240218</v>
      </c>
      <c r="C30" s="251">
        <v>170869</v>
      </c>
      <c r="D30" s="251">
        <v>1158</v>
      </c>
      <c r="E30" s="252">
        <v>412245</v>
      </c>
      <c r="F30" s="178"/>
    </row>
    <row r="31" spans="1:6" ht="15" x14ac:dyDescent="0.25">
      <c r="A31" s="253" t="s">
        <v>189</v>
      </c>
      <c r="B31" s="254">
        <v>225517</v>
      </c>
      <c r="C31" s="254">
        <v>130548</v>
      </c>
      <c r="D31" s="254">
        <v>2860</v>
      </c>
      <c r="E31" s="255">
        <v>358925</v>
      </c>
      <c r="F31" s="178"/>
    </row>
    <row r="32" spans="1:6" ht="15.75" thickBot="1" x14ac:dyDescent="0.3">
      <c r="A32" s="256" t="s">
        <v>188</v>
      </c>
      <c r="B32" s="257">
        <v>465735</v>
      </c>
      <c r="C32" s="257">
        <v>301417</v>
      </c>
      <c r="D32" s="257">
        <v>4018</v>
      </c>
      <c r="E32" s="258">
        <v>771170</v>
      </c>
      <c r="F32" s="178"/>
    </row>
    <row r="33" spans="1:8" ht="15.75" thickBot="1" x14ac:dyDescent="0.3">
      <c r="A33" s="259" t="s">
        <v>233</v>
      </c>
      <c r="B33" s="260"/>
      <c r="C33" s="260"/>
      <c r="D33" s="260"/>
      <c r="E33" s="261"/>
      <c r="F33" s="178"/>
    </row>
    <row r="34" spans="1:8" ht="15" x14ac:dyDescent="0.25">
      <c r="A34" s="244" t="s">
        <v>195</v>
      </c>
      <c r="B34" s="245" t="s">
        <v>194</v>
      </c>
      <c r="C34" s="245"/>
      <c r="D34" s="245"/>
      <c r="E34" s="246"/>
      <c r="F34" s="178"/>
    </row>
    <row r="35" spans="1:8" ht="15" x14ac:dyDescent="0.25">
      <c r="A35" s="247" t="s">
        <v>234</v>
      </c>
      <c r="B35" s="248" t="s">
        <v>193</v>
      </c>
      <c r="C35" s="248" t="s">
        <v>192</v>
      </c>
      <c r="D35" s="248" t="s">
        <v>191</v>
      </c>
      <c r="E35" s="249" t="s">
        <v>188</v>
      </c>
      <c r="F35" s="178"/>
    </row>
    <row r="36" spans="1:8" ht="15" x14ac:dyDescent="0.25">
      <c r="A36" s="250" t="s">
        <v>190</v>
      </c>
      <c r="B36" s="262">
        <f>B30/$E30</f>
        <v>0.58270688546859273</v>
      </c>
      <c r="C36" s="262">
        <f t="shared" ref="C36:E38" si="2">C30/$E30</f>
        <v>0.4144841053257165</v>
      </c>
      <c r="D36" s="262">
        <f t="shared" si="2"/>
        <v>2.8090092056907907E-3</v>
      </c>
      <c r="E36" s="262">
        <f t="shared" si="2"/>
        <v>1</v>
      </c>
      <c r="F36" s="178"/>
    </row>
    <row r="37" spans="1:8" ht="15" x14ac:dyDescent="0.25">
      <c r="A37" s="253" t="s">
        <v>189</v>
      </c>
      <c r="B37" s="263">
        <f>B31/$E31</f>
        <v>0.62831232151563698</v>
      </c>
      <c r="C37" s="263">
        <f t="shared" si="2"/>
        <v>0.3637194399944278</v>
      </c>
      <c r="D37" s="263">
        <f t="shared" si="2"/>
        <v>7.9682384899352234E-3</v>
      </c>
      <c r="E37" s="264">
        <f t="shared" si="2"/>
        <v>1</v>
      </c>
      <c r="F37" s="178"/>
    </row>
    <row r="38" spans="1:8" ht="15.75" thickBot="1" x14ac:dyDescent="0.3">
      <c r="A38" s="256" t="s">
        <v>188</v>
      </c>
      <c r="B38" s="265">
        <f>B32/$E32</f>
        <v>0.60393298494495373</v>
      </c>
      <c r="C38" s="265">
        <f t="shared" si="2"/>
        <v>0.39085675013291493</v>
      </c>
      <c r="D38" s="265">
        <f t="shared" si="2"/>
        <v>5.2102649221313071E-3</v>
      </c>
      <c r="E38" s="266">
        <f t="shared" si="2"/>
        <v>1</v>
      </c>
      <c r="F38" s="178"/>
    </row>
    <row r="39" spans="1:8" ht="13.5" thickBot="1" x14ac:dyDescent="0.25">
      <c r="A39" s="177"/>
      <c r="B39" s="176"/>
      <c r="C39" s="176"/>
      <c r="D39" s="176"/>
      <c r="E39" s="176"/>
      <c r="F39" s="175"/>
    </row>
    <row r="43" spans="1:8" ht="13.5" thickBot="1" x14ac:dyDescent="0.25"/>
    <row r="44" spans="1:8" ht="35.25" thickBot="1" x14ac:dyDescent="0.5">
      <c r="A44" s="488" t="s">
        <v>187</v>
      </c>
      <c r="B44" s="489"/>
      <c r="C44" s="489"/>
      <c r="D44" s="489"/>
      <c r="E44" s="489"/>
      <c r="F44" s="490"/>
    </row>
    <row r="45" spans="1:8" x14ac:dyDescent="0.2">
      <c r="A45" s="187"/>
      <c r="B45" s="186"/>
      <c r="C45" s="186"/>
      <c r="D45" s="186"/>
      <c r="E45" s="186"/>
      <c r="F45" s="186"/>
      <c r="G45" s="186"/>
      <c r="H45" s="185"/>
    </row>
    <row r="46" spans="1:8" ht="13.5" thickBot="1" x14ac:dyDescent="0.25">
      <c r="A46" s="180"/>
      <c r="B46" s="179"/>
      <c r="C46" s="179"/>
      <c r="D46" s="179"/>
      <c r="E46" s="179"/>
      <c r="F46" s="179"/>
      <c r="G46" s="179"/>
      <c r="H46" s="178"/>
    </row>
    <row r="47" spans="1:8" ht="15.75" x14ac:dyDescent="0.25">
      <c r="A47" s="491" t="s">
        <v>50</v>
      </c>
      <c r="B47" s="492"/>
      <c r="C47" s="200" t="s">
        <v>51</v>
      </c>
      <c r="D47" s="200" t="s">
        <v>52</v>
      </c>
      <c r="E47" s="32" t="s">
        <v>53</v>
      </c>
      <c r="F47" s="33" t="s">
        <v>54</v>
      </c>
      <c r="G47" s="196"/>
      <c r="H47" s="178"/>
    </row>
    <row r="48" spans="1:8" x14ac:dyDescent="0.2">
      <c r="A48" s="199" t="s">
        <v>55</v>
      </c>
      <c r="B48" s="267">
        <v>3634588</v>
      </c>
      <c r="C48" s="268">
        <v>0.73352295190402428</v>
      </c>
      <c r="D48" s="268">
        <v>0.26647704809597567</v>
      </c>
      <c r="E48" s="36">
        <f>B48*C48</f>
        <v>2666053.7187149436</v>
      </c>
      <c r="F48" s="37">
        <f>B48*D48</f>
        <v>968534.28128505603</v>
      </c>
      <c r="G48" s="196"/>
      <c r="H48" s="178"/>
    </row>
    <row r="49" spans="1:8" ht="13.5" thickBot="1" x14ac:dyDescent="0.25">
      <c r="A49" s="199" t="s">
        <v>56</v>
      </c>
      <c r="B49" s="267">
        <v>1775787.2700000005</v>
      </c>
      <c r="C49" s="268">
        <v>0.56105383552244925</v>
      </c>
      <c r="D49" s="268">
        <v>0.4389461644775508</v>
      </c>
      <c r="E49" s="38">
        <f>B49*C49</f>
        <v>996312.2589054394</v>
      </c>
      <c r="F49" s="39">
        <f>B49*D49</f>
        <v>779475.01109456108</v>
      </c>
      <c r="G49" s="196"/>
      <c r="H49" s="178"/>
    </row>
    <row r="50" spans="1:8" x14ac:dyDescent="0.2">
      <c r="A50" s="199" t="s">
        <v>57</v>
      </c>
      <c r="B50" s="40">
        <f>SUM(B48:B49)</f>
        <v>5410375.2700000005</v>
      </c>
      <c r="C50" s="200"/>
      <c r="D50" s="200"/>
      <c r="E50" s="41">
        <f>E48+E49</f>
        <v>3662365.9776203828</v>
      </c>
      <c r="F50" s="42">
        <f>F48+F49</f>
        <v>1748009.2923796172</v>
      </c>
      <c r="G50" s="198"/>
      <c r="H50" s="178"/>
    </row>
    <row r="51" spans="1:8" x14ac:dyDescent="0.2">
      <c r="A51" s="197"/>
      <c r="B51" s="196"/>
      <c r="C51" s="196"/>
      <c r="D51" s="196"/>
      <c r="E51" s="44"/>
      <c r="F51" s="45"/>
      <c r="G51" s="196"/>
      <c r="H51" s="178"/>
    </row>
    <row r="52" spans="1:8" x14ac:dyDescent="0.2">
      <c r="A52" s="199" t="s">
        <v>58</v>
      </c>
      <c r="B52" s="267">
        <v>5129855</v>
      </c>
      <c r="C52" s="268">
        <v>0.65901938246113023</v>
      </c>
      <c r="D52" s="268">
        <v>0.34098061753886977</v>
      </c>
      <c r="E52" s="46">
        <f>B52*C52</f>
        <v>3380673.8742151414</v>
      </c>
      <c r="F52" s="47">
        <f>B52*D52</f>
        <v>1749181.1257848588</v>
      </c>
      <c r="G52" s="196"/>
      <c r="H52" s="178"/>
    </row>
    <row r="53" spans="1:8" ht="13.5" thickBot="1" x14ac:dyDescent="0.25">
      <c r="A53" s="199" t="s">
        <v>59</v>
      </c>
      <c r="B53" s="267">
        <v>1675809.87</v>
      </c>
      <c r="C53" s="268">
        <v>0.59060582648154181</v>
      </c>
      <c r="D53" s="268">
        <v>0.40939417351845825</v>
      </c>
      <c r="E53" s="48">
        <f>B53*C53</f>
        <v>989743.07329727523</v>
      </c>
      <c r="F53" s="49">
        <f>B53*D53</f>
        <v>686066.796702725</v>
      </c>
      <c r="G53" s="196"/>
      <c r="H53" s="178"/>
    </row>
    <row r="54" spans="1:8" ht="13.5" thickBot="1" x14ac:dyDescent="0.25">
      <c r="A54" s="199" t="s">
        <v>57</v>
      </c>
      <c r="B54" s="40">
        <f>SUM(B52:B53)</f>
        <v>6805664.8700000001</v>
      </c>
      <c r="C54" s="196"/>
      <c r="D54" s="196"/>
      <c r="E54" s="50">
        <f>E52+E53</f>
        <v>4370416.9475124162</v>
      </c>
      <c r="F54" s="51">
        <f>F52+F53</f>
        <v>2435247.9224875839</v>
      </c>
      <c r="G54" s="198"/>
      <c r="H54" s="178"/>
    </row>
    <row r="55" spans="1:8" x14ac:dyDescent="0.2">
      <c r="A55" s="44"/>
      <c r="B55" s="196"/>
      <c r="C55" s="196"/>
      <c r="D55" s="196"/>
      <c r="E55" s="196"/>
      <c r="F55" s="196"/>
      <c r="G55" s="196"/>
      <c r="H55" s="178"/>
    </row>
    <row r="56" spans="1:8" x14ac:dyDescent="0.2">
      <c r="A56" s="197"/>
      <c r="B56" s="196"/>
      <c r="C56" s="196"/>
      <c r="D56" s="196"/>
      <c r="E56" s="196"/>
      <c r="F56" s="196"/>
      <c r="G56" s="196"/>
      <c r="H56" s="178"/>
    </row>
    <row r="57" spans="1:8" ht="13.5" thickBot="1" x14ac:dyDescent="0.25">
      <c r="A57" s="44"/>
      <c r="B57" s="196"/>
      <c r="C57" s="196"/>
      <c r="D57" s="196"/>
      <c r="E57" s="196"/>
      <c r="F57" s="196"/>
      <c r="G57" s="196"/>
      <c r="H57" s="178"/>
    </row>
    <row r="58" spans="1:8" ht="13.5" thickBot="1" x14ac:dyDescent="0.25">
      <c r="A58" s="44"/>
      <c r="B58" s="477" t="s">
        <v>60</v>
      </c>
      <c r="C58" s="493"/>
      <c r="D58" s="477" t="s">
        <v>61</v>
      </c>
      <c r="E58" s="493"/>
      <c r="F58" s="477" t="s">
        <v>62</v>
      </c>
      <c r="G58" s="479"/>
      <c r="H58" s="195" t="s">
        <v>186</v>
      </c>
    </row>
    <row r="59" spans="1:8" ht="13.5" thickBot="1" x14ac:dyDescent="0.25">
      <c r="A59" s="52"/>
      <c r="B59" s="53" t="s">
        <v>53</v>
      </c>
      <c r="C59" s="54" t="s">
        <v>54</v>
      </c>
      <c r="D59" s="55" t="s">
        <v>63</v>
      </c>
      <c r="E59" s="56" t="s">
        <v>64</v>
      </c>
      <c r="F59" s="53" t="s">
        <v>65</v>
      </c>
      <c r="G59" s="57" t="s">
        <v>66</v>
      </c>
      <c r="H59" s="191"/>
    </row>
    <row r="60" spans="1:8" x14ac:dyDescent="0.2">
      <c r="A60" s="58" t="s">
        <v>55</v>
      </c>
      <c r="B60" s="59">
        <f t="shared" ref="B60:C62" si="3">E48</f>
        <v>2666053.7187149436</v>
      </c>
      <c r="C60" s="60">
        <f t="shared" si="3"/>
        <v>968534.28128505603</v>
      </c>
      <c r="D60" s="61">
        <v>81691</v>
      </c>
      <c r="E60" s="62">
        <v>31137</v>
      </c>
      <c r="F60" s="63">
        <f t="shared" ref="F60:G62" si="4">B60/D60</f>
        <v>32.635831593626513</v>
      </c>
      <c r="G60" s="64">
        <f t="shared" si="4"/>
        <v>31.105574759451972</v>
      </c>
      <c r="H60" s="191"/>
    </row>
    <row r="61" spans="1:8" ht="13.5" thickBot="1" x14ac:dyDescent="0.25">
      <c r="A61" s="58" t="s">
        <v>56</v>
      </c>
      <c r="B61" s="59">
        <f t="shared" si="3"/>
        <v>996312.2589054394</v>
      </c>
      <c r="C61" s="60">
        <f t="shared" si="3"/>
        <v>779475.01109456108</v>
      </c>
      <c r="D61" s="65">
        <v>113271</v>
      </c>
      <c r="E61" s="66">
        <v>95441</v>
      </c>
      <c r="F61" s="63">
        <f t="shared" si="4"/>
        <v>8.7958282252777806</v>
      </c>
      <c r="G61" s="64">
        <f t="shared" si="4"/>
        <v>8.1670876362837888</v>
      </c>
      <c r="H61" s="191"/>
    </row>
    <row r="62" spans="1:8" ht="13.5" thickBot="1" x14ac:dyDescent="0.25">
      <c r="A62" s="67" t="s">
        <v>57</v>
      </c>
      <c r="B62" s="68">
        <f t="shared" si="3"/>
        <v>3662365.9776203828</v>
      </c>
      <c r="C62" s="69">
        <f t="shared" si="3"/>
        <v>1748009.2923796172</v>
      </c>
      <c r="D62" s="70">
        <f>SUM(D60:D61)</f>
        <v>194962</v>
      </c>
      <c r="E62" s="71">
        <f t="shared" ref="E62" si="5">SUM(E60:E61)</f>
        <v>126578</v>
      </c>
      <c r="F62" s="194">
        <f t="shared" si="4"/>
        <v>18.785024659268899</v>
      </c>
      <c r="G62" s="193">
        <f t="shared" si="4"/>
        <v>13.809740179017027</v>
      </c>
      <c r="H62" s="188">
        <f>G62*2</f>
        <v>27.619480358034053</v>
      </c>
    </row>
    <row r="63" spans="1:8" ht="13.5" thickBot="1" x14ac:dyDescent="0.25">
      <c r="A63" s="52"/>
      <c r="B63" s="53" t="s">
        <v>53</v>
      </c>
      <c r="C63" s="54" t="s">
        <v>54</v>
      </c>
      <c r="D63" s="72" t="s">
        <v>63</v>
      </c>
      <c r="E63" s="73" t="s">
        <v>64</v>
      </c>
      <c r="F63" s="53" t="s">
        <v>65</v>
      </c>
      <c r="G63" s="57" t="s">
        <v>66</v>
      </c>
      <c r="H63" s="191"/>
    </row>
    <row r="64" spans="1:8" x14ac:dyDescent="0.2">
      <c r="A64" s="74" t="s">
        <v>58</v>
      </c>
      <c r="B64" s="75">
        <f t="shared" ref="B64:C66" si="6">E52</f>
        <v>3380673.8742151414</v>
      </c>
      <c r="C64" s="76">
        <f t="shared" si="6"/>
        <v>1749181.1257848588</v>
      </c>
      <c r="D64" s="77">
        <v>158684</v>
      </c>
      <c r="E64" s="78">
        <v>92340</v>
      </c>
      <c r="F64" s="79">
        <f t="shared" ref="F64:G67" si="7">B64/D64</f>
        <v>21.304440738922271</v>
      </c>
      <c r="G64" s="80">
        <f t="shared" si="7"/>
        <v>18.94283220473098</v>
      </c>
      <c r="H64" s="191"/>
    </row>
    <row r="65" spans="1:8" ht="13.5" thickBot="1" x14ac:dyDescent="0.25">
      <c r="A65" s="81" t="s">
        <v>59</v>
      </c>
      <c r="B65" s="82">
        <f t="shared" si="6"/>
        <v>989743.07329727523</v>
      </c>
      <c r="C65" s="83">
        <f t="shared" si="6"/>
        <v>686066.796702725</v>
      </c>
      <c r="D65" s="84">
        <v>91571</v>
      </c>
      <c r="E65" s="85">
        <v>73491</v>
      </c>
      <c r="F65" s="86">
        <f t="shared" si="7"/>
        <v>10.808477283171257</v>
      </c>
      <c r="G65" s="192">
        <f t="shared" si="7"/>
        <v>9.335385240406648</v>
      </c>
      <c r="H65" s="191"/>
    </row>
    <row r="66" spans="1:8" ht="13.5" thickBot="1" x14ac:dyDescent="0.25">
      <c r="A66" s="87" t="s">
        <v>57</v>
      </c>
      <c r="B66" s="88">
        <f t="shared" si="6"/>
        <v>4370416.9475124162</v>
      </c>
      <c r="C66" s="89">
        <f t="shared" si="6"/>
        <v>2435247.9224875839</v>
      </c>
      <c r="D66" s="90">
        <f>SUM(D64:D65)</f>
        <v>250255</v>
      </c>
      <c r="E66" s="91">
        <f t="shared" ref="E66" si="8">SUM(E64:E65)</f>
        <v>165831</v>
      </c>
      <c r="F66" s="190">
        <f t="shared" si="7"/>
        <v>17.463854658298199</v>
      </c>
      <c r="G66" s="92">
        <f t="shared" si="7"/>
        <v>14.685118720188528</v>
      </c>
      <c r="H66" s="189">
        <f>G66*2</f>
        <v>29.370237440377057</v>
      </c>
    </row>
    <row r="67" spans="1:8" ht="13.5" thickBot="1" x14ac:dyDescent="0.25">
      <c r="A67" s="93" t="s">
        <v>67</v>
      </c>
      <c r="B67" s="94">
        <f>B62+B66</f>
        <v>8032782.925132799</v>
      </c>
      <c r="C67" s="95">
        <f>C62+C66</f>
        <v>4183257.2148672012</v>
      </c>
      <c r="D67" s="96">
        <f>D62+D66</f>
        <v>445217</v>
      </c>
      <c r="E67" s="97">
        <f>E62+E66</f>
        <v>292409</v>
      </c>
      <c r="F67" s="98">
        <f t="shared" si="7"/>
        <v>18.042399380825078</v>
      </c>
      <c r="G67" s="99">
        <f t="shared" si="7"/>
        <v>14.306184880996144</v>
      </c>
      <c r="H67" s="188">
        <f>G67*2</f>
        <v>28.612369761992287</v>
      </c>
    </row>
    <row r="68" spans="1:8" x14ac:dyDescent="0.2">
      <c r="A68" s="180"/>
      <c r="B68" s="179"/>
      <c r="C68" s="179"/>
      <c r="D68" s="179"/>
      <c r="E68" s="179"/>
      <c r="F68" s="179"/>
      <c r="G68" s="179"/>
      <c r="H68" s="178"/>
    </row>
    <row r="69" spans="1:8" x14ac:dyDescent="0.2">
      <c r="A69" s="180"/>
      <c r="B69" s="179"/>
      <c r="C69" s="179"/>
      <c r="D69" s="179"/>
      <c r="E69" s="179"/>
      <c r="F69" s="179"/>
      <c r="G69" s="179"/>
      <c r="H69" s="178"/>
    </row>
    <row r="70" spans="1:8" x14ac:dyDescent="0.2">
      <c r="A70" s="180"/>
      <c r="B70" s="179"/>
      <c r="C70" s="179"/>
      <c r="D70" s="179"/>
      <c r="E70" s="179"/>
      <c r="F70" s="179"/>
      <c r="G70" s="179"/>
      <c r="H70" s="178"/>
    </row>
    <row r="71" spans="1:8" ht="13.5" thickBot="1" x14ac:dyDescent="0.25">
      <c r="A71" s="180"/>
      <c r="B71" s="179"/>
      <c r="C71" s="179"/>
      <c r="D71" s="179"/>
      <c r="E71" s="179"/>
      <c r="F71" s="179"/>
      <c r="G71" s="179"/>
      <c r="H71" s="178"/>
    </row>
    <row r="72" spans="1:8" ht="13.5" thickBot="1" x14ac:dyDescent="0.25">
      <c r="A72" s="187"/>
      <c r="B72" s="186"/>
      <c r="C72" s="186"/>
      <c r="D72" s="186"/>
      <c r="E72" s="186"/>
      <c r="F72" s="186"/>
      <c r="G72" s="186"/>
      <c r="H72" s="185"/>
    </row>
    <row r="73" spans="1:8" ht="26.25" thickBot="1" x14ac:dyDescent="0.4">
      <c r="A73" s="494" t="s">
        <v>185</v>
      </c>
      <c r="B73" s="495"/>
      <c r="C73" s="495"/>
      <c r="D73" s="495"/>
      <c r="E73" s="495"/>
      <c r="F73" s="496"/>
      <c r="G73" s="179"/>
      <c r="H73" s="178"/>
    </row>
    <row r="74" spans="1:8" ht="13.5" thickBot="1" x14ac:dyDescent="0.25">
      <c r="A74" s="44"/>
      <c r="B74" s="486" t="s">
        <v>60</v>
      </c>
      <c r="C74" s="487"/>
      <c r="D74" s="486" t="s">
        <v>61</v>
      </c>
      <c r="E74" s="487"/>
      <c r="F74" s="486" t="s">
        <v>62</v>
      </c>
      <c r="G74" s="479"/>
      <c r="H74" s="178"/>
    </row>
    <row r="75" spans="1:8" x14ac:dyDescent="0.2">
      <c r="A75" s="52"/>
      <c r="B75" s="53" t="s">
        <v>53</v>
      </c>
      <c r="C75" s="54" t="s">
        <v>54</v>
      </c>
      <c r="D75" s="55" t="s">
        <v>63</v>
      </c>
      <c r="E75" s="56" t="s">
        <v>64</v>
      </c>
      <c r="F75" s="53" t="s">
        <v>65</v>
      </c>
      <c r="G75" s="57" t="s">
        <v>66</v>
      </c>
      <c r="H75" s="178"/>
    </row>
    <row r="76" spans="1:8" ht="13.5" thickBot="1" x14ac:dyDescent="0.25">
      <c r="A76" s="58" t="s">
        <v>55</v>
      </c>
      <c r="B76" s="63">
        <f t="shared" ref="B76:G76" si="9">B10-B62</f>
        <v>-419579.01595724467</v>
      </c>
      <c r="C76" s="63">
        <f t="shared" si="9"/>
        <v>108861.95595723949</v>
      </c>
      <c r="D76" s="184">
        <f t="shared" si="9"/>
        <v>33415</v>
      </c>
      <c r="E76" s="184">
        <f t="shared" si="9"/>
        <v>3970</v>
      </c>
      <c r="F76" s="63">
        <f t="shared" si="9"/>
        <v>-4.5857534469176642</v>
      </c>
      <c r="G76" s="64">
        <f t="shared" si="9"/>
        <v>0.4139265821501823</v>
      </c>
      <c r="H76" s="178"/>
    </row>
    <row r="77" spans="1:8" ht="13.5" thickBot="1" x14ac:dyDescent="0.25">
      <c r="A77" s="74" t="s">
        <v>58</v>
      </c>
      <c r="B77" s="79">
        <f t="shared" ref="B77:G78" si="10">B11-B66</f>
        <v>-820208.32460342115</v>
      </c>
      <c r="C77" s="79">
        <f t="shared" si="10"/>
        <v>-140922.27539658593</v>
      </c>
      <c r="D77" s="183">
        <f t="shared" si="10"/>
        <v>-8879</v>
      </c>
      <c r="E77" s="183">
        <f t="shared" si="10"/>
        <v>5038</v>
      </c>
      <c r="F77" s="79">
        <f t="shared" si="10"/>
        <v>-2.7556457936679344</v>
      </c>
      <c r="G77" s="79">
        <f t="shared" si="10"/>
        <v>-1.2577231885766036</v>
      </c>
      <c r="H77" s="178"/>
    </row>
    <row r="78" spans="1:8" ht="13.5" thickBot="1" x14ac:dyDescent="0.25">
      <c r="A78" s="93" t="s">
        <v>67</v>
      </c>
      <c r="B78" s="181">
        <f t="shared" si="10"/>
        <v>-1239787.3405606663</v>
      </c>
      <c r="C78" s="181">
        <f t="shared" si="10"/>
        <v>-32060.319439346436</v>
      </c>
      <c r="D78" s="182">
        <f t="shared" si="10"/>
        <v>24536</v>
      </c>
      <c r="E78" s="182">
        <f t="shared" si="10"/>
        <v>9008</v>
      </c>
      <c r="F78" s="181">
        <f t="shared" si="10"/>
        <v>-3.581617683694601</v>
      </c>
      <c r="G78" s="181">
        <f t="shared" si="10"/>
        <v>-0.53391292743063623</v>
      </c>
      <c r="H78" s="178"/>
    </row>
    <row r="79" spans="1:8" x14ac:dyDescent="0.2">
      <c r="A79" s="180"/>
      <c r="B79" s="179"/>
      <c r="C79" s="179"/>
      <c r="D79" s="179"/>
      <c r="E79" s="179"/>
      <c r="F79" s="179"/>
      <c r="G79" s="179"/>
      <c r="H79" s="178"/>
    </row>
    <row r="80" spans="1:8" x14ac:dyDescent="0.2">
      <c r="A80" s="180"/>
      <c r="B80" s="179"/>
      <c r="C80" s="179"/>
      <c r="D80" s="179"/>
      <c r="E80" s="179"/>
      <c r="F80" s="179"/>
      <c r="G80" s="179"/>
      <c r="H80" s="178"/>
    </row>
    <row r="81" spans="1:8" ht="13.5" thickBot="1" x14ac:dyDescent="0.25">
      <c r="A81" s="177"/>
      <c r="B81" s="176"/>
      <c r="C81" s="176"/>
      <c r="D81" s="176"/>
      <c r="E81" s="176"/>
      <c r="F81" s="176"/>
      <c r="G81" s="176"/>
      <c r="H81" s="175"/>
    </row>
    <row r="88" spans="1:8" x14ac:dyDescent="0.2">
      <c r="A88" s="119"/>
      <c r="B88" s="119"/>
      <c r="C88" s="119"/>
      <c r="D88" s="119"/>
    </row>
    <row r="89" spans="1:8" x14ac:dyDescent="0.2">
      <c r="A89" s="119"/>
      <c r="B89" s="119"/>
      <c r="C89" s="119"/>
      <c r="D89" s="119"/>
    </row>
    <row r="90" spans="1:8" x14ac:dyDescent="0.2">
      <c r="A90" s="119"/>
      <c r="B90" s="119"/>
      <c r="C90" s="119"/>
      <c r="D90" s="119"/>
    </row>
    <row r="91" spans="1:8" x14ac:dyDescent="0.2">
      <c r="A91" s="119"/>
      <c r="B91" s="119"/>
      <c r="C91" s="119"/>
      <c r="D91" s="119"/>
    </row>
    <row r="92" spans="1:8" x14ac:dyDescent="0.2">
      <c r="A92" s="119"/>
      <c r="B92" s="119"/>
      <c r="C92" s="119"/>
      <c r="D92" s="119"/>
    </row>
    <row r="93" spans="1:8" x14ac:dyDescent="0.2">
      <c r="A93" s="119"/>
      <c r="B93" s="119"/>
      <c r="C93" s="119"/>
      <c r="D93" s="119"/>
    </row>
    <row r="94" spans="1:8" x14ac:dyDescent="0.2">
      <c r="A94" s="119"/>
      <c r="B94" s="119"/>
      <c r="C94" s="119"/>
      <c r="D94" s="119"/>
    </row>
    <row r="95" spans="1:8" x14ac:dyDescent="0.2">
      <c r="A95" s="240"/>
      <c r="B95" s="241"/>
      <c r="C95" s="241"/>
      <c r="D95" s="241"/>
    </row>
    <row r="96" spans="1:8" x14ac:dyDescent="0.2">
      <c r="A96" s="269"/>
      <c r="B96" s="241"/>
      <c r="C96" s="241"/>
      <c r="D96" s="241"/>
    </row>
    <row r="97" spans="1:4" x14ac:dyDescent="0.2">
      <c r="A97" s="269"/>
      <c r="B97" s="241"/>
      <c r="C97" s="241"/>
      <c r="D97" s="241"/>
    </row>
    <row r="98" spans="1:4" x14ac:dyDescent="0.2">
      <c r="A98" s="269"/>
      <c r="B98" s="241"/>
      <c r="C98" s="241"/>
      <c r="D98" s="241"/>
    </row>
    <row r="99" spans="1:4" x14ac:dyDescent="0.2">
      <c r="A99" s="269"/>
      <c r="B99" s="241"/>
      <c r="C99" s="241"/>
      <c r="D99" s="241"/>
    </row>
    <row r="100" spans="1:4" x14ac:dyDescent="0.2">
      <c r="A100" s="269"/>
      <c r="B100" s="241"/>
      <c r="C100" s="241"/>
      <c r="D100" s="241"/>
    </row>
    <row r="101" spans="1:4" x14ac:dyDescent="0.2">
      <c r="A101" s="269"/>
      <c r="B101" s="241"/>
      <c r="C101" s="241"/>
      <c r="D101" s="241"/>
    </row>
    <row r="102" spans="1:4" x14ac:dyDescent="0.2">
      <c r="A102" s="269"/>
      <c r="B102" s="241"/>
      <c r="C102" s="241"/>
      <c r="D102" s="241"/>
    </row>
    <row r="103" spans="1:4" x14ac:dyDescent="0.2">
      <c r="A103" s="269"/>
      <c r="B103" s="241"/>
      <c r="C103" s="241"/>
      <c r="D103" s="241"/>
    </row>
    <row r="104" spans="1:4" x14ac:dyDescent="0.2">
      <c r="A104" s="269"/>
      <c r="B104" s="241"/>
      <c r="C104" s="241"/>
      <c r="D104" s="241"/>
    </row>
    <row r="105" spans="1:4" x14ac:dyDescent="0.2">
      <c r="A105" s="269"/>
      <c r="B105" s="241"/>
      <c r="C105" s="241"/>
      <c r="D105" s="241"/>
    </row>
    <row r="106" spans="1:4" x14ac:dyDescent="0.2">
      <c r="A106" s="269"/>
      <c r="B106" s="241"/>
      <c r="C106" s="241"/>
      <c r="D106" s="241"/>
    </row>
    <row r="107" spans="1:4" x14ac:dyDescent="0.2">
      <c r="A107" s="269"/>
      <c r="B107" s="241"/>
      <c r="C107" s="241"/>
      <c r="D107" s="241"/>
    </row>
    <row r="108" spans="1:4" x14ac:dyDescent="0.2">
      <c r="A108" s="269"/>
      <c r="B108" s="241"/>
      <c r="C108" s="241"/>
      <c r="D108" s="241"/>
    </row>
    <row r="109" spans="1:4" x14ac:dyDescent="0.2">
      <c r="A109" s="269"/>
      <c r="B109" s="241"/>
      <c r="C109" s="241"/>
      <c r="D109" s="241"/>
    </row>
    <row r="110" spans="1:4" x14ac:dyDescent="0.2">
      <c r="A110" s="269"/>
      <c r="B110" s="241"/>
      <c r="C110" s="241"/>
      <c r="D110" s="241"/>
    </row>
    <row r="111" spans="1:4" x14ac:dyDescent="0.2">
      <c r="A111" s="269"/>
      <c r="B111" s="241"/>
      <c r="C111" s="241"/>
      <c r="D111" s="241"/>
    </row>
    <row r="112" spans="1:4" x14ac:dyDescent="0.2">
      <c r="A112" s="269"/>
      <c r="B112" s="241"/>
      <c r="C112" s="241"/>
      <c r="D112" s="241"/>
    </row>
    <row r="113" spans="1:4" x14ac:dyDescent="0.2">
      <c r="A113" s="269"/>
      <c r="B113" s="241"/>
      <c r="C113" s="241"/>
      <c r="D113" s="241"/>
    </row>
    <row r="114" spans="1:4" x14ac:dyDescent="0.2">
      <c r="A114" s="269"/>
      <c r="B114" s="241"/>
      <c r="C114" s="241"/>
      <c r="D114" s="241"/>
    </row>
    <row r="115" spans="1:4" x14ac:dyDescent="0.2">
      <c r="A115" s="269"/>
      <c r="B115" s="241"/>
      <c r="C115" s="241"/>
      <c r="D115" s="241"/>
    </row>
    <row r="116" spans="1:4" x14ac:dyDescent="0.2">
      <c r="A116" s="269"/>
      <c r="B116" s="241"/>
      <c r="C116" s="241"/>
      <c r="D116" s="241"/>
    </row>
    <row r="117" spans="1:4" x14ac:dyDescent="0.2">
      <c r="A117" s="269"/>
      <c r="B117" s="241"/>
      <c r="C117" s="241"/>
      <c r="D117" s="241"/>
    </row>
    <row r="118" spans="1:4" x14ac:dyDescent="0.2">
      <c r="A118" s="269"/>
      <c r="B118" s="241"/>
      <c r="C118" s="241"/>
      <c r="D118" s="241"/>
    </row>
    <row r="119" spans="1:4" x14ac:dyDescent="0.2">
      <c r="A119" s="240"/>
      <c r="B119" s="241"/>
      <c r="C119" s="241"/>
      <c r="D119" s="241"/>
    </row>
    <row r="120" spans="1:4" x14ac:dyDescent="0.2">
      <c r="A120" s="269"/>
      <c r="B120" s="241"/>
      <c r="C120" s="241"/>
      <c r="D120" s="241"/>
    </row>
    <row r="121" spans="1:4" x14ac:dyDescent="0.2">
      <c r="A121" s="269"/>
      <c r="B121" s="241"/>
      <c r="C121" s="241"/>
      <c r="D121" s="241"/>
    </row>
    <row r="122" spans="1:4" x14ac:dyDescent="0.2">
      <c r="A122" s="269"/>
      <c r="B122" s="241"/>
      <c r="C122" s="241"/>
      <c r="D122" s="241"/>
    </row>
    <row r="123" spans="1:4" x14ac:dyDescent="0.2">
      <c r="A123" s="269"/>
      <c r="B123" s="241"/>
      <c r="C123" s="241"/>
      <c r="D123" s="241"/>
    </row>
    <row r="124" spans="1:4" x14ac:dyDescent="0.2">
      <c r="A124" s="269"/>
      <c r="B124" s="241"/>
      <c r="C124" s="241"/>
      <c r="D124" s="241"/>
    </row>
    <row r="125" spans="1:4" x14ac:dyDescent="0.2">
      <c r="A125" s="269"/>
      <c r="B125" s="241"/>
      <c r="C125" s="241"/>
      <c r="D125" s="241"/>
    </row>
    <row r="126" spans="1:4" x14ac:dyDescent="0.2">
      <c r="A126" s="269"/>
      <c r="B126" s="241"/>
      <c r="C126" s="241"/>
      <c r="D126" s="241"/>
    </row>
    <row r="127" spans="1:4" x14ac:dyDescent="0.2">
      <c r="A127" s="269"/>
      <c r="B127" s="241"/>
      <c r="C127" s="241"/>
      <c r="D127" s="241"/>
    </row>
    <row r="128" spans="1:4" x14ac:dyDescent="0.2">
      <c r="A128" s="269"/>
      <c r="B128" s="241"/>
      <c r="C128" s="241"/>
      <c r="D128" s="241"/>
    </row>
    <row r="129" spans="1:4" x14ac:dyDescent="0.2">
      <c r="A129" s="269"/>
      <c r="B129" s="241"/>
      <c r="C129" s="241"/>
      <c r="D129" s="241"/>
    </row>
    <row r="130" spans="1:4" x14ac:dyDescent="0.2">
      <c r="A130" s="269"/>
      <c r="B130" s="241"/>
      <c r="C130" s="241"/>
      <c r="D130" s="241"/>
    </row>
    <row r="131" spans="1:4" x14ac:dyDescent="0.2">
      <c r="A131" s="269"/>
      <c r="B131" s="241"/>
      <c r="C131" s="241"/>
      <c r="D131" s="241"/>
    </row>
    <row r="132" spans="1:4" x14ac:dyDescent="0.2">
      <c r="A132" s="269"/>
      <c r="B132" s="241"/>
      <c r="C132" s="241"/>
      <c r="D132" s="241"/>
    </row>
    <row r="133" spans="1:4" x14ac:dyDescent="0.2">
      <c r="A133" s="269"/>
      <c r="B133" s="241"/>
      <c r="C133" s="241"/>
      <c r="D133" s="241"/>
    </row>
    <row r="134" spans="1:4" x14ac:dyDescent="0.2">
      <c r="A134" s="269"/>
      <c r="B134" s="241"/>
      <c r="C134" s="241"/>
      <c r="D134" s="241"/>
    </row>
    <row r="135" spans="1:4" x14ac:dyDescent="0.2">
      <c r="A135" s="269"/>
      <c r="B135" s="241"/>
      <c r="C135" s="241"/>
      <c r="D135" s="241"/>
    </row>
    <row r="136" spans="1:4" x14ac:dyDescent="0.2">
      <c r="A136" s="240"/>
      <c r="B136" s="241"/>
      <c r="C136" s="241"/>
      <c r="D136" s="241"/>
    </row>
    <row r="137" spans="1:4" x14ac:dyDescent="0.2">
      <c r="A137" s="269"/>
      <c r="B137" s="241"/>
      <c r="C137" s="241"/>
      <c r="D137" s="241"/>
    </row>
    <row r="138" spans="1:4" x14ac:dyDescent="0.2">
      <c r="A138" s="269"/>
      <c r="B138" s="241"/>
      <c r="C138" s="241"/>
      <c r="D138" s="241"/>
    </row>
    <row r="139" spans="1:4" x14ac:dyDescent="0.2">
      <c r="A139" s="269"/>
      <c r="B139" s="241"/>
      <c r="C139" s="241"/>
      <c r="D139" s="241"/>
    </row>
    <row r="140" spans="1:4" x14ac:dyDescent="0.2">
      <c r="A140" s="269"/>
      <c r="B140" s="241"/>
      <c r="C140" s="241"/>
      <c r="D140" s="241"/>
    </row>
    <row r="141" spans="1:4" x14ac:dyDescent="0.2">
      <c r="A141" s="269"/>
      <c r="B141" s="241"/>
      <c r="C141" s="241"/>
      <c r="D141" s="241"/>
    </row>
    <row r="142" spans="1:4" x14ac:dyDescent="0.2">
      <c r="A142" s="269"/>
      <c r="B142" s="241"/>
      <c r="C142" s="241"/>
      <c r="D142" s="241"/>
    </row>
    <row r="143" spans="1:4" x14ac:dyDescent="0.2">
      <c r="A143" s="269"/>
      <c r="B143" s="241"/>
      <c r="C143" s="241"/>
      <c r="D143" s="241"/>
    </row>
    <row r="144" spans="1:4" x14ac:dyDescent="0.2">
      <c r="A144" s="269"/>
      <c r="B144" s="241"/>
      <c r="C144" s="241"/>
      <c r="D144" s="241"/>
    </row>
    <row r="145" spans="1:4" x14ac:dyDescent="0.2">
      <c r="A145" s="240"/>
      <c r="B145" s="241"/>
      <c r="C145" s="241"/>
      <c r="D145" s="241"/>
    </row>
    <row r="146" spans="1:4" x14ac:dyDescent="0.2">
      <c r="A146" s="269"/>
      <c r="B146" s="241"/>
      <c r="C146" s="241"/>
      <c r="D146" s="241"/>
    </row>
    <row r="147" spans="1:4" x14ac:dyDescent="0.2">
      <c r="A147" s="269"/>
      <c r="B147" s="241"/>
      <c r="C147" s="241"/>
      <c r="D147" s="241"/>
    </row>
    <row r="148" spans="1:4" x14ac:dyDescent="0.2">
      <c r="A148" s="269"/>
      <c r="B148" s="241"/>
      <c r="C148" s="241"/>
      <c r="D148" s="241"/>
    </row>
    <row r="149" spans="1:4" x14ac:dyDescent="0.2">
      <c r="A149" s="269"/>
      <c r="B149" s="241"/>
      <c r="C149" s="241"/>
      <c r="D149" s="241"/>
    </row>
    <row r="150" spans="1:4" x14ac:dyDescent="0.2">
      <c r="A150" s="269"/>
      <c r="B150" s="241"/>
      <c r="C150" s="241"/>
      <c r="D150" s="241"/>
    </row>
    <row r="151" spans="1:4" x14ac:dyDescent="0.2">
      <c r="A151" s="269"/>
      <c r="B151" s="241"/>
      <c r="C151" s="241"/>
      <c r="D151" s="241"/>
    </row>
    <row r="152" spans="1:4" x14ac:dyDescent="0.2">
      <c r="A152" s="269"/>
      <c r="B152" s="241"/>
      <c r="C152" s="241"/>
      <c r="D152" s="241"/>
    </row>
    <row r="153" spans="1:4" x14ac:dyDescent="0.2">
      <c r="A153" s="240"/>
      <c r="B153" s="241"/>
      <c r="C153" s="241"/>
      <c r="D153" s="241"/>
    </row>
    <row r="154" spans="1:4" x14ac:dyDescent="0.2">
      <c r="A154" s="269"/>
      <c r="B154" s="241"/>
      <c r="C154" s="241"/>
      <c r="D154" s="241"/>
    </row>
    <row r="155" spans="1:4" x14ac:dyDescent="0.2">
      <c r="A155" s="269"/>
      <c r="B155" s="241"/>
      <c r="C155" s="241"/>
      <c r="D155" s="241"/>
    </row>
    <row r="156" spans="1:4" x14ac:dyDescent="0.2">
      <c r="A156" s="240"/>
      <c r="B156" s="241"/>
      <c r="C156" s="241"/>
      <c r="D156" s="241"/>
    </row>
  </sheetData>
  <mergeCells count="14">
    <mergeCell ref="B74:C74"/>
    <mergeCell ref="D74:E74"/>
    <mergeCell ref="F74:G74"/>
    <mergeCell ref="A1:C1"/>
    <mergeCell ref="B8:C8"/>
    <mergeCell ref="D8:E8"/>
    <mergeCell ref="F8:G8"/>
    <mergeCell ref="A15:F15"/>
    <mergeCell ref="A44:F44"/>
    <mergeCell ref="A47:B47"/>
    <mergeCell ref="B58:C58"/>
    <mergeCell ref="D58:E58"/>
    <mergeCell ref="F58:G58"/>
    <mergeCell ref="A73:F73"/>
  </mergeCells>
  <pageMargins left="0.7" right="0.7" top="0.75" bottom="0.75" header="0.3" footer="0.3"/>
  <pageSetup scale="7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pageSetUpPr fitToPage="1"/>
  </sheetPr>
  <dimension ref="A1:F43"/>
  <sheetViews>
    <sheetView view="pageBreakPreview" zoomScaleNormal="100" zoomScaleSheetLayoutView="100" workbookViewId="0"/>
  </sheetViews>
  <sheetFormatPr defaultRowHeight="12.75" x14ac:dyDescent="0.2"/>
  <cols>
    <col min="1" max="1" width="39.7109375" customWidth="1"/>
    <col min="2" max="2" width="15" customWidth="1"/>
  </cols>
  <sheetData>
    <row r="1" spans="1:6" x14ac:dyDescent="0.2">
      <c r="A1" s="9"/>
    </row>
    <row r="2" spans="1:6" x14ac:dyDescent="0.2">
      <c r="A2" s="9"/>
    </row>
    <row r="3" spans="1:6" x14ac:dyDescent="0.2">
      <c r="A3" s="9"/>
    </row>
    <row r="4" spans="1:6" x14ac:dyDescent="0.2">
      <c r="A4" s="9"/>
    </row>
    <row r="5" spans="1:6" x14ac:dyDescent="0.2">
      <c r="A5" s="9"/>
      <c r="F5" t="s">
        <v>348</v>
      </c>
    </row>
    <row r="6" spans="1:6" x14ac:dyDescent="0.2">
      <c r="A6" s="9"/>
    </row>
    <row r="7" spans="1:6" x14ac:dyDescent="0.2">
      <c r="A7" s="9"/>
    </row>
    <row r="9" spans="1:6" x14ac:dyDescent="0.2">
      <c r="A9" s="464" t="s">
        <v>4</v>
      </c>
      <c r="B9" s="464"/>
    </row>
    <row r="10" spans="1:6" x14ac:dyDescent="0.2">
      <c r="A10" s="464" t="s">
        <v>6</v>
      </c>
      <c r="B10" s="464"/>
    </row>
    <row r="11" spans="1:6" x14ac:dyDescent="0.2">
      <c r="A11" s="465" t="s">
        <v>7</v>
      </c>
      <c r="B11" s="465"/>
    </row>
    <row r="14" spans="1:6" x14ac:dyDescent="0.2">
      <c r="B14" s="297" t="s">
        <v>26</v>
      </c>
    </row>
    <row r="15" spans="1:6" x14ac:dyDescent="0.2">
      <c r="A15" t="s">
        <v>2</v>
      </c>
      <c r="B15" s="6">
        <v>18.614999999999998</v>
      </c>
      <c r="F15">
        <f>'LGE-E UAR'!G42</f>
        <v>153.39416476025701</v>
      </c>
    </row>
    <row r="16" spans="1:6" x14ac:dyDescent="0.2">
      <c r="A16" t="s">
        <v>3</v>
      </c>
      <c r="B16" s="5">
        <f>+B15</f>
        <v>18.614999999999998</v>
      </c>
      <c r="E16" s="321"/>
    </row>
    <row r="17" spans="1:6" x14ac:dyDescent="0.2">
      <c r="B17" s="7">
        <f>SUM(B15:B16)</f>
        <v>37.229999999999997</v>
      </c>
      <c r="D17" s="173"/>
      <c r="E17" s="1"/>
      <c r="F17" s="5"/>
    </row>
    <row r="18" spans="1:6" x14ac:dyDescent="0.2">
      <c r="E18" s="321"/>
    </row>
    <row r="19" spans="1:6" x14ac:dyDescent="0.2">
      <c r="A19" s="294"/>
      <c r="B19" s="329"/>
      <c r="E19" s="17">
        <v>0.03</v>
      </c>
    </row>
    <row r="20" spans="1:6" x14ac:dyDescent="0.2">
      <c r="A20" s="299"/>
      <c r="B20" s="298"/>
      <c r="E20" s="17">
        <v>37.230718167504492</v>
      </c>
    </row>
    <row r="21" spans="1:6" x14ac:dyDescent="0.2">
      <c r="E21" s="321"/>
    </row>
    <row r="22" spans="1:6" x14ac:dyDescent="0.2">
      <c r="E22" s="321"/>
    </row>
    <row r="23" spans="1:6" ht="12.75" customHeight="1" x14ac:dyDescent="0.2">
      <c r="A23" s="463" t="str">
        <f>CONCATENATE("Based on average cost per credit order. ",TEXT(++'Cost Per Order Type Field Ser'!G11,"($0.00)")," Cost per credit order consist of labor, transporation, supplies, and equipment. Front and back office service order processing expenses are included.")</f>
        <v>Based on average cost per credit order. ($17.55) Cost per credit order consist of labor, transporation, supplies, and equipment. Front and back office service order processing expenses are included.</v>
      </c>
      <c r="B23" s="463"/>
      <c r="E23" s="321"/>
    </row>
    <row r="24" spans="1:6" x14ac:dyDescent="0.2">
      <c r="A24" s="463"/>
      <c r="B24" s="463"/>
      <c r="E24" s="321"/>
    </row>
    <row r="25" spans="1:6" x14ac:dyDescent="0.2">
      <c r="A25" s="463"/>
      <c r="B25" s="463"/>
      <c r="E25" s="321"/>
    </row>
    <row r="26" spans="1:6" x14ac:dyDescent="0.2">
      <c r="A26" s="463"/>
      <c r="B26" s="463"/>
      <c r="E26" s="321"/>
    </row>
    <row r="27" spans="1:6" x14ac:dyDescent="0.2">
      <c r="A27" s="463"/>
      <c r="B27" s="463"/>
      <c r="E27" s="321"/>
    </row>
    <row r="28" spans="1:6" x14ac:dyDescent="0.2">
      <c r="A28" s="463"/>
      <c r="B28" s="463"/>
      <c r="E28" s="321"/>
    </row>
    <row r="29" spans="1:6" x14ac:dyDescent="0.2">
      <c r="E29" s="321"/>
    </row>
    <row r="30" spans="1:6" x14ac:dyDescent="0.2">
      <c r="A30" s="116" t="s">
        <v>307</v>
      </c>
      <c r="E30" s="321"/>
    </row>
    <row r="31" spans="1:6" x14ac:dyDescent="0.2">
      <c r="A31" s="116" t="s">
        <v>308</v>
      </c>
      <c r="E31" s="321"/>
    </row>
    <row r="32" spans="1:6" x14ac:dyDescent="0.2">
      <c r="A32" t="s">
        <v>309</v>
      </c>
      <c r="E32" s="321"/>
    </row>
    <row r="33" spans="5:6" x14ac:dyDescent="0.2">
      <c r="E33" s="321"/>
    </row>
    <row r="34" spans="5:6" x14ac:dyDescent="0.2">
      <c r="E34" s="321"/>
    </row>
    <row r="35" spans="5:6" x14ac:dyDescent="0.2">
      <c r="E35" s="321"/>
    </row>
    <row r="36" spans="5:6" x14ac:dyDescent="0.2">
      <c r="E36" s="321"/>
    </row>
    <row r="37" spans="5:6" x14ac:dyDescent="0.2">
      <c r="E37" s="321"/>
    </row>
    <row r="38" spans="5:6" x14ac:dyDescent="0.2">
      <c r="E38" s="321"/>
    </row>
    <row r="39" spans="5:6" x14ac:dyDescent="0.2">
      <c r="E39" s="321"/>
    </row>
    <row r="43" spans="5:6" x14ac:dyDescent="0.2">
      <c r="F43" s="5">
        <f>'KU-E UAR'!G42</f>
        <v>148.94573879448623</v>
      </c>
    </row>
  </sheetData>
  <mergeCells count="4">
    <mergeCell ref="A23:B28"/>
    <mergeCell ref="A9:B9"/>
    <mergeCell ref="A10:B10"/>
    <mergeCell ref="A11:B11"/>
  </mergeCells>
  <phoneticPr fontId="5" type="noConversion"/>
  <printOptions horizontalCentered="1"/>
  <pageMargins left="0.75" right="0.75" top="1" bottom="1" header="0.5" footer="0.5"/>
  <pageSetup orientation="portrait" r:id="rId1"/>
  <headerFooter alignWithMargins="0">
    <oddHeader>&amp;L+&amp;R&amp;"Arial,Bold"&amp;12Exhibit WSS-19
Page &amp;P of 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pageSetUpPr fitToPage="1"/>
  </sheetPr>
  <dimension ref="A1:F43"/>
  <sheetViews>
    <sheetView view="pageBreakPreview" zoomScaleNormal="100" zoomScaleSheetLayoutView="100" workbookViewId="0"/>
  </sheetViews>
  <sheetFormatPr defaultRowHeight="12.75" x14ac:dyDescent="0.2"/>
  <cols>
    <col min="1" max="1" width="39.7109375" customWidth="1"/>
    <col min="2" max="2" width="15" customWidth="1"/>
  </cols>
  <sheetData>
    <row r="1" spans="1:6" x14ac:dyDescent="0.2">
      <c r="A1" s="18"/>
    </row>
    <row r="2" spans="1:6" x14ac:dyDescent="0.2">
      <c r="A2" s="9"/>
    </row>
    <row r="3" spans="1:6" x14ac:dyDescent="0.2">
      <c r="A3" s="9"/>
    </row>
    <row r="4" spans="1:6" x14ac:dyDescent="0.2">
      <c r="A4" s="9"/>
    </row>
    <row r="5" spans="1:6" x14ac:dyDescent="0.2">
      <c r="A5" s="9"/>
      <c r="F5" t="s">
        <v>348</v>
      </c>
    </row>
    <row r="6" spans="1:6" x14ac:dyDescent="0.2">
      <c r="A6" s="9"/>
    </row>
    <row r="7" spans="1:6" x14ac:dyDescent="0.2">
      <c r="A7" s="9"/>
    </row>
    <row r="9" spans="1:6" x14ac:dyDescent="0.2">
      <c r="A9" s="465" t="s">
        <v>9</v>
      </c>
      <c r="B9" s="465"/>
    </row>
    <row r="10" spans="1:6" x14ac:dyDescent="0.2">
      <c r="A10" s="464" t="s">
        <v>6</v>
      </c>
      <c r="B10" s="464"/>
    </row>
    <row r="11" spans="1:6" x14ac:dyDescent="0.2">
      <c r="A11" s="465" t="s">
        <v>7</v>
      </c>
      <c r="B11" s="465"/>
    </row>
    <row r="14" spans="1:6" x14ac:dyDescent="0.2">
      <c r="A14" s="116"/>
      <c r="B14" s="297" t="s">
        <v>26</v>
      </c>
      <c r="C14" s="116"/>
    </row>
    <row r="15" spans="1:6" x14ac:dyDescent="0.2">
      <c r="A15" s="116" t="s">
        <v>2</v>
      </c>
      <c r="B15" s="290">
        <v>16.11</v>
      </c>
      <c r="C15" s="116"/>
      <c r="F15">
        <f>'LGE-E UAR'!G42</f>
        <v>153.39416476025701</v>
      </c>
    </row>
    <row r="16" spans="1:6" x14ac:dyDescent="0.2">
      <c r="A16" s="116" t="s">
        <v>3</v>
      </c>
      <c r="B16" s="303">
        <f>+B15</f>
        <v>16.11</v>
      </c>
      <c r="C16" s="116"/>
    </row>
    <row r="17" spans="1:5" x14ac:dyDescent="0.2">
      <c r="B17" s="291">
        <f>SUM(B15:B16)</f>
        <v>32.22</v>
      </c>
      <c r="C17" s="116"/>
    </row>
    <row r="18" spans="1:5" x14ac:dyDescent="0.2">
      <c r="A18" s="116"/>
      <c r="B18" s="116"/>
      <c r="C18" s="116"/>
    </row>
    <row r="19" spans="1:5" x14ac:dyDescent="0.2">
      <c r="A19" s="302"/>
      <c r="B19" s="331"/>
      <c r="C19" s="116"/>
      <c r="E19">
        <v>0.03</v>
      </c>
    </row>
    <row r="20" spans="1:5" x14ac:dyDescent="0.2">
      <c r="A20" s="299"/>
      <c r="B20" s="298"/>
      <c r="C20" s="116"/>
      <c r="E20" s="17">
        <v>32.222505199697309</v>
      </c>
    </row>
    <row r="21" spans="1:5" x14ac:dyDescent="0.2">
      <c r="A21" s="299"/>
      <c r="B21" s="314"/>
      <c r="C21" s="116"/>
    </row>
    <row r="22" spans="1:5" x14ac:dyDescent="0.2">
      <c r="A22" s="299"/>
      <c r="B22" s="314"/>
      <c r="C22" s="116"/>
    </row>
    <row r="23" spans="1:5" ht="12.75" customHeight="1" x14ac:dyDescent="0.2">
      <c r="A23" s="466" t="str">
        <f>CONCATENATE("Based on average cost per credit order. ",TEXT(+'Cost Per Order Type Field Ser'!G10,"($0.00)")," Cost per credit order consist of labor, transportation, supplies, and equipment. Front and back office service order processing expenses are included.")</f>
        <v>Based on average cost per credit order. ($15.19) Cost per credit order consist of labor, transportation, supplies, and equipment. Front and back office service order processing expenses are included.</v>
      </c>
      <c r="B23" s="466"/>
      <c r="C23" s="116"/>
    </row>
    <row r="24" spans="1:5" x14ac:dyDescent="0.2">
      <c r="A24" s="466"/>
      <c r="B24" s="466"/>
      <c r="C24" s="116"/>
    </row>
    <row r="25" spans="1:5" x14ac:dyDescent="0.2">
      <c r="A25" s="466"/>
      <c r="B25" s="466"/>
      <c r="C25" s="116"/>
    </row>
    <row r="26" spans="1:5" x14ac:dyDescent="0.2">
      <c r="A26" s="466"/>
      <c r="B26" s="466"/>
      <c r="C26" s="116"/>
    </row>
    <row r="27" spans="1:5" x14ac:dyDescent="0.2">
      <c r="A27" s="466"/>
      <c r="B27" s="466"/>
      <c r="C27" s="116"/>
    </row>
    <row r="28" spans="1:5" x14ac:dyDescent="0.2">
      <c r="A28" s="466"/>
      <c r="B28" s="466"/>
      <c r="C28" s="116"/>
    </row>
    <row r="29" spans="1:5" x14ac:dyDescent="0.2">
      <c r="A29" s="116"/>
      <c r="B29" s="116"/>
      <c r="C29" s="116"/>
    </row>
    <row r="30" spans="1:5" x14ac:dyDescent="0.2">
      <c r="A30" s="116" t="s">
        <v>307</v>
      </c>
      <c r="C30" s="116"/>
    </row>
    <row r="31" spans="1:5" x14ac:dyDescent="0.2">
      <c r="A31" s="116" t="s">
        <v>308</v>
      </c>
      <c r="C31" s="116"/>
    </row>
    <row r="32" spans="1:5" ht="12.75" customHeight="1" x14ac:dyDescent="0.2">
      <c r="A32" t="s">
        <v>309</v>
      </c>
      <c r="C32" s="116"/>
    </row>
    <row r="33" spans="1:6" x14ac:dyDescent="0.2">
      <c r="A33" s="313"/>
      <c r="B33" s="116"/>
      <c r="C33" s="116"/>
    </row>
    <row r="34" spans="1:6" x14ac:dyDescent="0.2">
      <c r="A34" s="116"/>
      <c r="B34" s="116"/>
      <c r="C34" s="116"/>
    </row>
    <row r="43" spans="1:6" x14ac:dyDescent="0.2">
      <c r="F43" s="5">
        <f>'KU-E UAR'!G42</f>
        <v>148.94573879448623</v>
      </c>
    </row>
  </sheetData>
  <mergeCells count="4">
    <mergeCell ref="A23:B28"/>
    <mergeCell ref="A9:B9"/>
    <mergeCell ref="A10:B10"/>
    <mergeCell ref="A11:B11"/>
  </mergeCells>
  <phoneticPr fontId="5" type="noConversion"/>
  <printOptions horizontalCentered="1"/>
  <pageMargins left="0.75" right="0.75" top="1" bottom="1" header="0.5" footer="0.5"/>
  <pageSetup orientation="portrait" r:id="rId1"/>
  <headerFooter alignWithMargins="0">
    <oddHeader>&amp;L+&amp;R&amp;"Arial,Bold"&amp;12Exhibit WSS-19
Page &amp;P of 18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pageSetUpPr fitToPage="1"/>
  </sheetPr>
  <dimension ref="A1:F38"/>
  <sheetViews>
    <sheetView view="pageBreakPreview" zoomScaleNormal="100" zoomScaleSheetLayoutView="100" workbookViewId="0"/>
  </sheetViews>
  <sheetFormatPr defaultRowHeight="12.75" x14ac:dyDescent="0.2"/>
  <cols>
    <col min="1" max="1" width="39.7109375" customWidth="1"/>
    <col min="2" max="2" width="15" customWidth="1"/>
  </cols>
  <sheetData>
    <row r="1" spans="1:6" x14ac:dyDescent="0.2">
      <c r="A1" s="16"/>
    </row>
    <row r="2" spans="1:6" x14ac:dyDescent="0.2">
      <c r="A2" s="10"/>
    </row>
    <row r="3" spans="1:6" x14ac:dyDescent="0.2">
      <c r="A3" s="10"/>
    </row>
    <row r="4" spans="1:6" x14ac:dyDescent="0.2">
      <c r="A4" s="10"/>
    </row>
    <row r="5" spans="1:6" x14ac:dyDescent="0.2">
      <c r="A5" s="10"/>
      <c r="F5" t="s">
        <v>348</v>
      </c>
    </row>
    <row r="6" spans="1:6" x14ac:dyDescent="0.2">
      <c r="A6" s="10"/>
    </row>
    <row r="7" spans="1:6" x14ac:dyDescent="0.2">
      <c r="A7" s="10"/>
    </row>
    <row r="9" spans="1:6" x14ac:dyDescent="0.2">
      <c r="A9" s="464" t="s">
        <v>4</v>
      </c>
      <c r="B9" s="464"/>
    </row>
    <row r="10" spans="1:6" x14ac:dyDescent="0.2">
      <c r="A10" s="465" t="s">
        <v>10</v>
      </c>
      <c r="B10" s="465"/>
    </row>
    <row r="11" spans="1:6" x14ac:dyDescent="0.2">
      <c r="A11" s="465" t="s">
        <v>7</v>
      </c>
      <c r="B11" s="465"/>
    </row>
    <row r="14" spans="1:6" x14ac:dyDescent="0.2">
      <c r="B14" s="297" t="s">
        <v>26</v>
      </c>
    </row>
    <row r="15" spans="1:6" x14ac:dyDescent="0.2">
      <c r="A15" t="s">
        <v>8</v>
      </c>
      <c r="B15" s="11">
        <v>74.16</v>
      </c>
    </row>
    <row r="16" spans="1:6" x14ac:dyDescent="0.2">
      <c r="A16" s="2" t="s">
        <v>16</v>
      </c>
      <c r="B16" s="303">
        <v>5.33</v>
      </c>
      <c r="C16" s="106"/>
    </row>
    <row r="17" spans="1:5" x14ac:dyDescent="0.2">
      <c r="B17" s="12">
        <f>SUM(B15:B16)</f>
        <v>79.489999999999995</v>
      </c>
    </row>
    <row r="19" spans="1:5" x14ac:dyDescent="0.2">
      <c r="A19" s="294"/>
      <c r="B19" s="457"/>
      <c r="E19">
        <v>0.03</v>
      </c>
    </row>
    <row r="20" spans="1:5" x14ac:dyDescent="0.2">
      <c r="A20" s="299"/>
      <c r="B20" s="298"/>
      <c r="E20" s="1">
        <v>79.487410252122416</v>
      </c>
    </row>
    <row r="23" spans="1:5" ht="12.75" customHeight="1" x14ac:dyDescent="0.2">
      <c r="A23" s="463" t="str">
        <f>CONCATENATE("Average hourly rate for all employees including overheads ",TEXT(Data!F9,"($0.00)")," and vehicles ",TEXT(Data!C13,"($0.00)")," used in the performance of this work multiplied by the time associated with performing this work including travel, test, set-up, etc..")</f>
        <v>Average hourly rate for all employees including overheads ($69.91) and vehicles ($7.53) used in the performance of this work multiplied by the time associated with performing this work including travel, test, set-up, etc..</v>
      </c>
      <c r="B23" s="463"/>
    </row>
    <row r="24" spans="1:5" x14ac:dyDescent="0.2">
      <c r="A24" s="463"/>
      <c r="B24" s="463"/>
    </row>
    <row r="25" spans="1:5" x14ac:dyDescent="0.2">
      <c r="A25" s="463"/>
      <c r="B25" s="463"/>
    </row>
    <row r="26" spans="1:5" x14ac:dyDescent="0.2">
      <c r="A26" s="463"/>
      <c r="B26" s="463"/>
    </row>
    <row r="27" spans="1:5" x14ac:dyDescent="0.2">
      <c r="A27" s="463"/>
      <c r="B27" s="463"/>
    </row>
    <row r="28" spans="1:5" x14ac:dyDescent="0.2">
      <c r="A28" s="463"/>
      <c r="B28" s="463"/>
    </row>
    <row r="31" spans="1:5" ht="12.75" hidden="1" customHeight="1" x14ac:dyDescent="0.2">
      <c r="A31" t="s">
        <v>18</v>
      </c>
    </row>
    <row r="32" spans="1:5" ht="12.75" hidden="1" customHeight="1" x14ac:dyDescent="0.2">
      <c r="A32" t="s">
        <v>11</v>
      </c>
      <c r="B32" s="3">
        <f>+Data!F9*0.333333</f>
        <v>23.302387274685103</v>
      </c>
    </row>
    <row r="33" spans="1:2" ht="12.75" hidden="1" customHeight="1" x14ac:dyDescent="0.2">
      <c r="A33" t="s">
        <v>12</v>
      </c>
      <c r="B33" s="5">
        <f>+B32</f>
        <v>23.302387274685103</v>
      </c>
    </row>
    <row r="34" spans="1:2" ht="12.75" hidden="1" customHeight="1" x14ac:dyDescent="0.2">
      <c r="A34" t="s">
        <v>13</v>
      </c>
      <c r="B34" s="5">
        <f>+B33</f>
        <v>23.302387274685103</v>
      </c>
    </row>
    <row r="35" spans="1:2" ht="12.75" hidden="1" customHeight="1" x14ac:dyDescent="0.2">
      <c r="A35" s="2" t="s">
        <v>14</v>
      </c>
      <c r="B35" s="5">
        <f>+Data!C13*0.6666</f>
        <v>5.0172759999999998</v>
      </c>
    </row>
    <row r="36" spans="1:2" ht="12.75" hidden="1" customHeight="1" x14ac:dyDescent="0.2">
      <c r="B36" s="13">
        <f>SUM(B32:B35)</f>
        <v>74.924437824055303</v>
      </c>
    </row>
    <row r="37" spans="1:2" x14ac:dyDescent="0.2">
      <c r="B37" s="8"/>
    </row>
    <row r="38" spans="1:2" x14ac:dyDescent="0.2">
      <c r="B38" s="8"/>
    </row>
  </sheetData>
  <mergeCells count="4">
    <mergeCell ref="A23:B28"/>
    <mergeCell ref="A9:B9"/>
    <mergeCell ref="A10:B10"/>
    <mergeCell ref="A11:B11"/>
  </mergeCells>
  <phoneticPr fontId="5" type="noConversion"/>
  <printOptions horizontalCentered="1"/>
  <pageMargins left="0.75" right="0.75" top="1" bottom="1" header="0.5" footer="0.5"/>
  <pageSetup orientation="portrait" r:id="rId1"/>
  <headerFooter alignWithMargins="0">
    <oddHeader>&amp;L+&amp;R&amp;"Arial,Bold"&amp;12Exhibit WSS-19
Page &amp;P of 18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pageSetUpPr fitToPage="1"/>
  </sheetPr>
  <dimension ref="A1:F38"/>
  <sheetViews>
    <sheetView view="pageBreakPreview" zoomScaleNormal="100" zoomScaleSheetLayoutView="100" workbookViewId="0"/>
  </sheetViews>
  <sheetFormatPr defaultRowHeight="12.75" x14ac:dyDescent="0.2"/>
  <cols>
    <col min="1" max="1" width="39.7109375" customWidth="1"/>
    <col min="2" max="2" width="15" customWidth="1"/>
  </cols>
  <sheetData>
    <row r="1" spans="1:6" x14ac:dyDescent="0.2">
      <c r="A1" s="16"/>
    </row>
    <row r="2" spans="1:6" x14ac:dyDescent="0.2">
      <c r="A2" s="10"/>
    </row>
    <row r="3" spans="1:6" x14ac:dyDescent="0.2">
      <c r="A3" s="10"/>
    </row>
    <row r="4" spans="1:6" x14ac:dyDescent="0.2">
      <c r="A4" s="10"/>
    </row>
    <row r="5" spans="1:6" x14ac:dyDescent="0.2">
      <c r="A5" s="10"/>
      <c r="F5" t="s">
        <v>348</v>
      </c>
    </row>
    <row r="6" spans="1:6" x14ac:dyDescent="0.2">
      <c r="A6" s="10"/>
    </row>
    <row r="7" spans="1:6" x14ac:dyDescent="0.2">
      <c r="A7" s="10"/>
    </row>
    <row r="9" spans="1:6" x14ac:dyDescent="0.2">
      <c r="A9" s="465" t="s">
        <v>9</v>
      </c>
      <c r="B9" s="465"/>
    </row>
    <row r="10" spans="1:6" x14ac:dyDescent="0.2">
      <c r="A10" s="465" t="s">
        <v>10</v>
      </c>
      <c r="B10" s="465"/>
    </row>
    <row r="11" spans="1:6" x14ac:dyDescent="0.2">
      <c r="A11" s="465" t="s">
        <v>7</v>
      </c>
      <c r="B11" s="465"/>
    </row>
    <row r="14" spans="1:6" x14ac:dyDescent="0.2">
      <c r="B14" s="297" t="s">
        <v>26</v>
      </c>
    </row>
    <row r="15" spans="1:6" x14ac:dyDescent="0.2">
      <c r="A15" t="s">
        <v>8</v>
      </c>
      <c r="B15" s="11">
        <v>73.53</v>
      </c>
    </row>
    <row r="16" spans="1:6" x14ac:dyDescent="0.2">
      <c r="A16" s="2" t="s">
        <v>16</v>
      </c>
      <c r="B16" s="303">
        <v>5.32</v>
      </c>
    </row>
    <row r="17" spans="1:5" x14ac:dyDescent="0.2">
      <c r="B17" s="12">
        <f>SUM(B15:B16)</f>
        <v>78.849999999999994</v>
      </c>
    </row>
    <row r="19" spans="1:5" x14ac:dyDescent="0.2">
      <c r="A19" s="294"/>
      <c r="B19" s="457"/>
      <c r="E19">
        <v>0.03</v>
      </c>
    </row>
    <row r="20" spans="1:5" x14ac:dyDescent="0.2">
      <c r="A20" s="299"/>
      <c r="B20" s="298"/>
      <c r="E20" s="1">
        <v>78.847793896648525</v>
      </c>
    </row>
    <row r="23" spans="1:5" ht="12.75" customHeight="1" x14ac:dyDescent="0.2">
      <c r="A23" s="463" t="str">
        <f>CONCATENATE("Average hourly rate for all employees including overheads ",TEXT(Data!E8,"($0.00)")," and vehicles ",TEXT(Data!B13,"($0.00)")," used in the performance of this work multiplied by the time associated with performing this work including travel, test, set-up, etc..")</f>
        <v>Average hourly rate for all employees including overheads ($69.31) and vehicles ($6.14) used in the performance of this work multiplied by the time associated with performing this work including travel, test, set-up, etc..</v>
      </c>
      <c r="B23" s="463"/>
    </row>
    <row r="24" spans="1:5" x14ac:dyDescent="0.2">
      <c r="A24" s="463"/>
      <c r="B24" s="463"/>
    </row>
    <row r="25" spans="1:5" x14ac:dyDescent="0.2">
      <c r="A25" s="463"/>
      <c r="B25" s="463"/>
    </row>
    <row r="26" spans="1:5" x14ac:dyDescent="0.2">
      <c r="A26" s="463"/>
      <c r="B26" s="463"/>
    </row>
    <row r="27" spans="1:5" x14ac:dyDescent="0.2">
      <c r="A27" s="463"/>
      <c r="B27" s="463"/>
    </row>
    <row r="28" spans="1:5" x14ac:dyDescent="0.2">
      <c r="A28" s="463"/>
      <c r="B28" s="463"/>
    </row>
    <row r="31" spans="1:5" hidden="1" x14ac:dyDescent="0.2">
      <c r="A31" t="s">
        <v>18</v>
      </c>
    </row>
    <row r="32" spans="1:5" hidden="1" x14ac:dyDescent="0.2">
      <c r="A32" s="2" t="s">
        <v>11</v>
      </c>
      <c r="B32" s="1">
        <f>+Data!E8*0.333333</f>
        <v>23.102926220784781</v>
      </c>
    </row>
    <row r="33" spans="1:2" hidden="1" x14ac:dyDescent="0.2">
      <c r="A33" s="2" t="s">
        <v>12</v>
      </c>
      <c r="B33" s="5">
        <f>+B32</f>
        <v>23.102926220784781</v>
      </c>
    </row>
    <row r="34" spans="1:2" hidden="1" x14ac:dyDescent="0.2">
      <c r="A34" t="s">
        <v>13</v>
      </c>
      <c r="B34" s="5">
        <f>+B33</f>
        <v>23.102926220784781</v>
      </c>
    </row>
    <row r="35" spans="1:2" hidden="1" x14ac:dyDescent="0.2">
      <c r="A35" s="2" t="s">
        <v>14</v>
      </c>
      <c r="B35" s="5">
        <f>+Data!C13*0.666</f>
        <v>5.0127600000000001</v>
      </c>
    </row>
    <row r="36" spans="1:2" hidden="1" x14ac:dyDescent="0.2">
      <c r="B36" s="13">
        <f>SUM(B32:B35)</f>
        <v>74.321538662354342</v>
      </c>
    </row>
    <row r="37" spans="1:2" x14ac:dyDescent="0.2">
      <c r="B37" s="14"/>
    </row>
    <row r="38" spans="1:2" x14ac:dyDescent="0.2">
      <c r="B38" s="8"/>
    </row>
  </sheetData>
  <mergeCells count="4">
    <mergeCell ref="A23:B28"/>
    <mergeCell ref="A9:B9"/>
    <mergeCell ref="A10:B10"/>
    <mergeCell ref="A11:B11"/>
  </mergeCells>
  <phoneticPr fontId="5" type="noConversion"/>
  <printOptions horizontalCentered="1"/>
  <pageMargins left="0.75" right="0.75" top="1" bottom="1" header="0.5" footer="0.5"/>
  <pageSetup orientation="portrait" r:id="rId1"/>
  <headerFooter alignWithMargins="0">
    <oddHeader>&amp;L+&amp;R&amp;"Arial,Bold"&amp;12Exhibit WSS-19
Page &amp;P of 18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pageSetUpPr fitToPage="1"/>
  </sheetPr>
  <dimension ref="A1:F31"/>
  <sheetViews>
    <sheetView view="pageBreakPreview" zoomScaleNormal="100" zoomScaleSheetLayoutView="100" workbookViewId="0"/>
  </sheetViews>
  <sheetFormatPr defaultRowHeight="12.75" x14ac:dyDescent="0.2"/>
  <cols>
    <col min="1" max="1" width="39.7109375" customWidth="1"/>
    <col min="2" max="2" width="15" customWidth="1"/>
  </cols>
  <sheetData>
    <row r="1" spans="1:6" x14ac:dyDescent="0.2">
      <c r="A1" s="10"/>
    </row>
    <row r="2" spans="1:6" x14ac:dyDescent="0.2">
      <c r="A2" s="10"/>
    </row>
    <row r="3" spans="1:6" x14ac:dyDescent="0.2">
      <c r="A3" s="10"/>
    </row>
    <row r="4" spans="1:6" x14ac:dyDescent="0.2">
      <c r="A4" s="10"/>
    </row>
    <row r="5" spans="1:6" x14ac:dyDescent="0.2">
      <c r="A5" s="10"/>
      <c r="F5" t="s">
        <v>348</v>
      </c>
    </row>
    <row r="6" spans="1:6" x14ac:dyDescent="0.2">
      <c r="A6" s="10"/>
    </row>
    <row r="7" spans="1:6" x14ac:dyDescent="0.2">
      <c r="A7" s="10"/>
    </row>
    <row r="9" spans="1:6" x14ac:dyDescent="0.2">
      <c r="A9" s="465" t="s">
        <v>9</v>
      </c>
      <c r="B9" s="465"/>
    </row>
    <row r="10" spans="1:6" x14ac:dyDescent="0.2">
      <c r="A10" s="464" t="s">
        <v>15</v>
      </c>
      <c r="B10" s="464"/>
    </row>
    <row r="11" spans="1:6" x14ac:dyDescent="0.2">
      <c r="A11" s="465" t="s">
        <v>7</v>
      </c>
      <c r="B11" s="465"/>
    </row>
    <row r="14" spans="1:6" x14ac:dyDescent="0.2">
      <c r="B14" s="297" t="s">
        <v>26</v>
      </c>
    </row>
    <row r="15" spans="1:6" x14ac:dyDescent="0.2">
      <c r="A15" s="172" t="s">
        <v>280</v>
      </c>
      <c r="B15" s="6">
        <v>56.38</v>
      </c>
    </row>
    <row r="16" spans="1:6" x14ac:dyDescent="0.2">
      <c r="A16" s="305" t="s">
        <v>281</v>
      </c>
      <c r="B16" s="3">
        <v>44.88</v>
      </c>
    </row>
    <row r="17" spans="1:5" x14ac:dyDescent="0.2">
      <c r="B17" s="12">
        <f>SUM(B15:B16)</f>
        <v>101.26</v>
      </c>
    </row>
    <row r="18" spans="1:5" x14ac:dyDescent="0.2">
      <c r="A18" s="8"/>
      <c r="B18" s="285"/>
    </row>
    <row r="19" spans="1:5" x14ac:dyDescent="0.2">
      <c r="A19" s="294"/>
      <c r="B19" s="457"/>
      <c r="E19">
        <v>0.03</v>
      </c>
    </row>
    <row r="20" spans="1:5" x14ac:dyDescent="0.2">
      <c r="A20" s="299"/>
      <c r="B20" s="298"/>
      <c r="E20" s="17">
        <v>101.2634357584982</v>
      </c>
    </row>
    <row r="22" spans="1:5" ht="12.75" customHeight="1" x14ac:dyDescent="0.2">
      <c r="A22" s="467" t="s">
        <v>19</v>
      </c>
      <c r="B22" s="463"/>
    </row>
    <row r="23" spans="1:5" x14ac:dyDescent="0.2">
      <c r="A23" s="463"/>
      <c r="B23" s="463"/>
    </row>
    <row r="24" spans="1:5" x14ac:dyDescent="0.2">
      <c r="A24" s="463"/>
      <c r="B24" s="463"/>
    </row>
    <row r="25" spans="1:5" x14ac:dyDescent="0.2">
      <c r="A25" s="463"/>
      <c r="B25" s="463"/>
    </row>
    <row r="26" spans="1:5" x14ac:dyDescent="0.2">
      <c r="A26" s="463"/>
      <c r="B26" s="463"/>
    </row>
    <row r="27" spans="1:5" x14ac:dyDescent="0.2">
      <c r="A27" s="463"/>
      <c r="B27" s="463"/>
    </row>
    <row r="30" spans="1:5" x14ac:dyDescent="0.2">
      <c r="B30" s="8"/>
    </row>
    <row r="31" spans="1:5" x14ac:dyDescent="0.2">
      <c r="B31" s="8"/>
    </row>
  </sheetData>
  <mergeCells count="4">
    <mergeCell ref="A22:B27"/>
    <mergeCell ref="A9:B9"/>
    <mergeCell ref="A10:B10"/>
    <mergeCell ref="A11:B11"/>
  </mergeCells>
  <phoneticPr fontId="5" type="noConversion"/>
  <printOptions horizontalCentered="1"/>
  <pageMargins left="0.75" right="0.75" top="1" bottom="1" header="0.5" footer="0.5"/>
  <pageSetup orientation="portrait" r:id="rId1"/>
  <headerFooter alignWithMargins="0">
    <oddHeader>&amp;L+&amp;R&amp;"Arial,Bold"&amp;12Exhibit WSS-19
Page &amp;P of 18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92D050"/>
    <pageSetUpPr fitToPage="1"/>
  </sheetPr>
  <dimension ref="A1:F32"/>
  <sheetViews>
    <sheetView view="pageBreakPreview" zoomScaleNormal="100" zoomScaleSheetLayoutView="100" workbookViewId="0"/>
  </sheetViews>
  <sheetFormatPr defaultRowHeight="12.75" x14ac:dyDescent="0.2"/>
  <cols>
    <col min="1" max="1" width="39.7109375" customWidth="1"/>
    <col min="2" max="2" width="18" customWidth="1"/>
  </cols>
  <sheetData>
    <row r="1" spans="1:6" x14ac:dyDescent="0.2">
      <c r="A1" s="10"/>
    </row>
    <row r="2" spans="1:6" x14ac:dyDescent="0.2">
      <c r="A2" s="10"/>
    </row>
    <row r="3" spans="1:6" x14ac:dyDescent="0.2">
      <c r="A3" s="10"/>
    </row>
    <row r="4" spans="1:6" x14ac:dyDescent="0.2">
      <c r="A4" s="10"/>
    </row>
    <row r="5" spans="1:6" x14ac:dyDescent="0.2">
      <c r="A5" s="10"/>
      <c r="F5" t="s">
        <v>348</v>
      </c>
    </row>
    <row r="6" spans="1:6" x14ac:dyDescent="0.2">
      <c r="A6" s="10"/>
    </row>
    <row r="7" spans="1:6" x14ac:dyDescent="0.2">
      <c r="A7" s="10"/>
    </row>
    <row r="9" spans="1:6" x14ac:dyDescent="0.2">
      <c r="A9" s="465" t="s">
        <v>9</v>
      </c>
      <c r="B9" s="465"/>
    </row>
    <row r="10" spans="1:6" x14ac:dyDescent="0.2">
      <c r="A10" s="464" t="s">
        <v>203</v>
      </c>
      <c r="B10" s="464"/>
    </row>
    <row r="11" spans="1:6" x14ac:dyDescent="0.2">
      <c r="A11" s="465" t="s">
        <v>7</v>
      </c>
      <c r="B11" s="465"/>
    </row>
    <row r="14" spans="1:6" x14ac:dyDescent="0.2">
      <c r="B14" s="297" t="s">
        <v>26</v>
      </c>
    </row>
    <row r="15" spans="1:6" x14ac:dyDescent="0.2">
      <c r="A15" s="2" t="s">
        <v>17</v>
      </c>
      <c r="B15" s="6">
        <v>146.91999999999999</v>
      </c>
    </row>
    <row r="16" spans="1:6" x14ac:dyDescent="0.2">
      <c r="A16" s="15" t="s">
        <v>78</v>
      </c>
      <c r="B16" s="3">
        <v>8.32</v>
      </c>
    </row>
    <row r="17" spans="1:5" x14ac:dyDescent="0.2">
      <c r="B17" s="12">
        <f>SUM(B15:B16)</f>
        <v>155.23999999999998</v>
      </c>
    </row>
    <row r="19" spans="1:5" x14ac:dyDescent="0.2">
      <c r="A19" s="294"/>
      <c r="B19" s="457"/>
      <c r="E19">
        <v>0.03</v>
      </c>
    </row>
    <row r="20" spans="1:5" x14ac:dyDescent="0.2">
      <c r="A20" s="299"/>
      <c r="B20" s="298"/>
      <c r="E20" s="1">
        <v>155.23391562371603</v>
      </c>
    </row>
    <row r="21" spans="1:5" x14ac:dyDescent="0.2">
      <c r="A21" s="8"/>
      <c r="B21" s="8"/>
    </row>
    <row r="23" spans="1:5" ht="12.75" customHeight="1" x14ac:dyDescent="0.2">
      <c r="A23" s="467" t="s">
        <v>77</v>
      </c>
      <c r="B23" s="463"/>
    </row>
    <row r="24" spans="1:5" x14ac:dyDescent="0.2">
      <c r="A24" s="463"/>
      <c r="B24" s="463"/>
    </row>
    <row r="25" spans="1:5" x14ac:dyDescent="0.2">
      <c r="A25" s="463"/>
      <c r="B25" s="463"/>
    </row>
    <row r="26" spans="1:5" x14ac:dyDescent="0.2">
      <c r="A26" s="463"/>
      <c r="B26" s="463"/>
    </row>
    <row r="27" spans="1:5" x14ac:dyDescent="0.2">
      <c r="A27" s="463"/>
      <c r="B27" s="463"/>
    </row>
    <row r="28" spans="1:5" x14ac:dyDescent="0.2">
      <c r="A28" s="463"/>
      <c r="B28" s="463"/>
    </row>
    <row r="31" spans="1:5" x14ac:dyDescent="0.2">
      <c r="B31" s="8"/>
    </row>
    <row r="32" spans="1:5" x14ac:dyDescent="0.2">
      <c r="B32" s="8"/>
    </row>
  </sheetData>
  <mergeCells count="4">
    <mergeCell ref="A23:B28"/>
    <mergeCell ref="A9:B9"/>
    <mergeCell ref="A10:B10"/>
    <mergeCell ref="A11:B11"/>
  </mergeCells>
  <printOptions horizontalCentered="1"/>
  <pageMargins left="0.75" right="0.75" top="1" bottom="1" header="0.5" footer="0.5"/>
  <pageSetup orientation="portrait" r:id="rId1"/>
  <headerFooter alignWithMargins="0">
    <oddHeader>&amp;L+&amp;R&amp;"Arial,Bold"&amp;12Exhibit WSS-19
Page &amp;P of 18</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Value>LGE</Value>
    </Company>
    <Tariff_x0020_Dev_x0020_Doc_x0020_Type xmlns="54fcda00-7b58-44a7-b108-8bd10a8a08ba" xsi:nil="true"/>
    <Filing_x0020_Requirement xmlns="54fcda00-7b58-44a7-b108-8bd10a8a08ba" xsi:nil="true"/>
    <Round xmlns="54fcda00-7b58-44a7-b108-8bd10a8a08ba">DR01 Attachments</Round>
    <FormData xmlns="http://schemas.microsoft.com/sharepoint/v3">&lt;?xml version="1.0" encoding="utf-8"?&gt;&lt;FormVariables&gt;&lt;Version /&gt;&lt;/FormVariables&gt;</FormData>
    <Data_x0020_Request_x0020_Question_x0020_No_x002e_ xmlns="54fcda00-7b58-44a7-b108-8bd10a8a08ba">056</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KY Public Service Commission - PSC</Intervemprs>
    <Filed_x0020_Documents xmlns="54fcda00-7b58-44a7-b108-8bd10a8a08ba" xsi:nil="true"/>
    <Department xmlns="54fcda00-7b58-44a7-b108-8bd10a8a08ba" xsi:nil="true"/>
  </documentManagement>
</p:propertie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44" ma:contentTypeDescription="Create a new document." ma:contentTypeScope="" ma:versionID="df55eb0ecd8f4034a81b7ed037a86bce">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6fec348956c44ba3ae7b97850f8c286b"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71094567-2500-4FEE-B8AA-15AC738A9AE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9C7EFE-C8F0-470E-8009-6E31B1623817}"/>
</file>

<file path=customXml/itemProps3.xml><?xml version="1.0" encoding="utf-8"?>
<ds:datastoreItem xmlns:ds="http://schemas.openxmlformats.org/officeDocument/2006/customXml" ds:itemID="{F668B1B2-2607-4953-A04B-A972E0A1842B}"/>
</file>

<file path=customXml/itemProps4.xml><?xml version="1.0" encoding="utf-8"?>
<ds:datastoreItem xmlns:ds="http://schemas.openxmlformats.org/officeDocument/2006/customXml" ds:itemID="{C483CC02-8961-4DAF-96EE-4051BAB9BCAA}"/>
</file>

<file path=customXml/itemProps5.xml><?xml version="1.0" encoding="utf-8"?>
<ds:datastoreItem xmlns:ds="http://schemas.openxmlformats.org/officeDocument/2006/customXml" ds:itemID="{1B601E4E-8FC5-489B-B045-D0C7B9ED28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28</vt:i4>
      </vt:variant>
    </vt:vector>
  </HeadingPairs>
  <TitlesOfParts>
    <vt:vector size="60" baseType="lpstr">
      <vt:lpstr>Summary</vt:lpstr>
      <vt:lpstr>Summary-1</vt:lpstr>
      <vt:lpstr>Proposed Charges</vt:lpstr>
      <vt:lpstr>KU Disconnect Reconnect EX-1</vt:lpstr>
      <vt:lpstr>LG&amp;E Disconnect Reconnect EX-1</vt:lpstr>
      <vt:lpstr>KU Meter Test EX-2</vt:lpstr>
      <vt:lpstr>LG&amp;E-E Meter Test EX-2</vt:lpstr>
      <vt:lpstr>LG&amp;E-G Meter Test EX-3</vt:lpstr>
      <vt:lpstr>LG&amp;E-G Inspection-Add Trip</vt:lpstr>
      <vt:lpstr>KU Meter Data Processing EX-3</vt:lpstr>
      <vt:lpstr>LGE Meter Data Processing EX-4</vt:lpstr>
      <vt:lpstr>LG&amp;E Return Check EX-5</vt:lpstr>
      <vt:lpstr>KU Return Check EX-4</vt:lpstr>
      <vt:lpstr>LG&amp;E-E Meter Pulse</vt:lpstr>
      <vt:lpstr>LGE-E Meter Pulse - 5-Year</vt:lpstr>
      <vt:lpstr>LGE-E Meter Pu WACOC-Tax Table</vt:lpstr>
      <vt:lpstr>LGE-E Meter Pulse - NPV</vt:lpstr>
      <vt:lpstr>LG&amp;E-G Meter Pulse</vt:lpstr>
      <vt:lpstr>LGE Gas Meter Pulse - 5-Year</vt:lpstr>
      <vt:lpstr>LGE Gas Meter - WACOC-Tax Table</vt:lpstr>
      <vt:lpstr>LGE Gas Meter Pulse - NPV</vt:lpstr>
      <vt:lpstr>KU Meter Pulse</vt:lpstr>
      <vt:lpstr>KU Meter Pulse - 5-Year</vt:lpstr>
      <vt:lpstr>KU Meter Pulse -WACOC-Tax Table</vt:lpstr>
      <vt:lpstr>KU Meter Pulse - NPV</vt:lpstr>
      <vt:lpstr>LGE-E UAR</vt:lpstr>
      <vt:lpstr>LGE-G UAR</vt:lpstr>
      <vt:lpstr>KU-E UAR</vt:lpstr>
      <vt:lpstr>Data</vt:lpstr>
      <vt:lpstr>Cost Per Order Type Field Ser</vt:lpstr>
      <vt:lpstr>2020 - 2018 Comparison</vt:lpstr>
      <vt:lpstr>Cost Per Order Type 9-13 8-14</vt:lpstr>
      <vt:lpstr>'Cost Per Order Type 9-13 8-14'!Print_Area</vt:lpstr>
      <vt:lpstr>'Cost Per Order Type Field Ser'!Print_Area</vt:lpstr>
      <vt:lpstr>'KU Disconnect Reconnect EX-1'!Print_Area</vt:lpstr>
      <vt:lpstr>'KU Meter Data Processing EX-3'!Print_Area</vt:lpstr>
      <vt:lpstr>'KU Meter Pulse'!Print_Area</vt:lpstr>
      <vt:lpstr>'KU Meter Pulse - 5-Year'!Print_Area</vt:lpstr>
      <vt:lpstr>'KU Meter Pulse - NPV'!Print_Area</vt:lpstr>
      <vt:lpstr>'KU Meter Test EX-2'!Print_Area</vt:lpstr>
      <vt:lpstr>'KU Return Check EX-4'!Print_Area</vt:lpstr>
      <vt:lpstr>'KU-E UAR'!Print_Area</vt:lpstr>
      <vt:lpstr>'LG&amp;E Disconnect Reconnect EX-1'!Print_Area</vt:lpstr>
      <vt:lpstr>'LG&amp;E Return Check EX-5'!Print_Area</vt:lpstr>
      <vt:lpstr>'LG&amp;E-E Meter Pulse'!Print_Area</vt:lpstr>
      <vt:lpstr>'LG&amp;E-E Meter Test EX-2'!Print_Area</vt:lpstr>
      <vt:lpstr>'LG&amp;E-G Inspection-Add Trip'!Print_Area</vt:lpstr>
      <vt:lpstr>'LG&amp;E-G Meter Pulse'!Print_Area</vt:lpstr>
      <vt:lpstr>'LG&amp;E-G Meter Test EX-3'!Print_Area</vt:lpstr>
      <vt:lpstr>'LGE Gas Meter Pulse - 5-Year'!Print_Area</vt:lpstr>
      <vt:lpstr>'LGE Gas Meter Pulse - NPV'!Print_Area</vt:lpstr>
      <vt:lpstr>'LGE Meter Data Processing EX-4'!Print_Area</vt:lpstr>
      <vt:lpstr>'LGE-E Meter Pulse - 5-Year'!Print_Area</vt:lpstr>
      <vt:lpstr>'LGE-E Meter Pulse - NPV'!Print_Area</vt:lpstr>
      <vt:lpstr>'LGE-E UAR'!Print_Area</vt:lpstr>
      <vt:lpstr>'LGE-G UAR'!Print_Area</vt:lpstr>
      <vt:lpstr>Summary!Print_Area</vt:lpstr>
      <vt:lpstr>'KU Meter Pulse - NPV'!Print_Titles</vt:lpstr>
      <vt:lpstr>'LGE Gas Meter Pulse - NPV'!Print_Titles</vt:lpstr>
      <vt:lpstr>'LGE-E Meter Pulse - NPV'!Print_Titles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e004977</dc:creator>
  <cp:lastModifiedBy>Griffin, Amber</cp:lastModifiedBy>
  <cp:lastPrinted>2020-11-20T18:30:43Z</cp:lastPrinted>
  <dcterms:created xsi:type="dcterms:W3CDTF">2008-04-23T12:36:49Z</dcterms:created>
  <dcterms:modified xsi:type="dcterms:W3CDTF">2020-12-02T16:12:34Z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