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LG&amp;E/2020 Rate Case/Workpapers for Submission/Electric COS (Jeff)/"/>
    </mc:Choice>
  </mc:AlternateContent>
  <xr:revisionPtr revIDLastSave="303" documentId="6_{5AE99052-D0DB-4C54-B9C7-BF5CDC739CA2}" xr6:coauthVersionLast="45" xr6:coauthVersionMax="45" xr10:uidLastSave="{450EB349-5D66-4A61-8864-A248CE8C57BD}"/>
  <bookViews>
    <workbookView xWindow="-96" yWindow="-96" windowWidth="23232" windowHeight="12552" xr2:uid="{00000000-000D-0000-FFFF-FFFF00000000}"/>
  </bookViews>
  <sheets>
    <sheet name="Combined OH" sheetId="10" r:id="rId1"/>
    <sheet name="LG&amp;E OH" sheetId="4" r:id="rId2"/>
    <sheet name="KU OH" sheetId="6" r:id="rId3"/>
    <sheet name="CWC and Common" sheetId="5" r:id="rId4"/>
    <sheet name="WACOC" sheetId="2" r:id="rId5"/>
  </sheets>
  <definedNames>
    <definedName name="_xlnm.Print_Area" localSheetId="0">'Combined OH'!$A$1:$J$51</definedName>
    <definedName name="_xlnm.Print_Area" localSheetId="2">'KU OH'!$A$1:$J$47</definedName>
    <definedName name="_xlnm.Print_Area" localSheetId="1">'LG&amp;E OH'!$A$1:$J$48</definedName>
    <definedName name="_xlnm.Print_Area" localSheetId="4">WACOC!$A$1:$D$39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5" l="1"/>
  <c r="J57" i="5" l="1"/>
  <c r="Q27" i="6" l="1"/>
  <c r="Q27" i="4" l="1"/>
  <c r="E29" i="6" l="1"/>
  <c r="F13" i="2" l="1"/>
  <c r="E29" i="4" l="1"/>
  <c r="R27" i="6" l="1"/>
  <c r="R27" i="4"/>
  <c r="D10" i="2" l="1"/>
  <c r="D12" i="2"/>
  <c r="D11" i="2"/>
  <c r="D13" i="2" l="1"/>
  <c r="J49" i="10"/>
  <c r="I49" i="10"/>
  <c r="H49" i="10"/>
  <c r="G49" i="10"/>
  <c r="R27" i="10" l="1"/>
  <c r="R14" i="6"/>
  <c r="J27" i="5" l="1"/>
  <c r="Q38" i="10" l="1"/>
  <c r="Q37" i="10"/>
  <c r="Q35" i="10"/>
  <c r="Q33" i="10"/>
  <c r="Q31" i="10"/>
  <c r="Q30" i="10"/>
  <c r="Q27" i="10"/>
  <c r="Q26" i="10"/>
  <c r="Q25" i="10"/>
  <c r="Q23" i="10"/>
  <c r="Q21" i="10"/>
  <c r="Q20" i="10"/>
  <c r="Q19" i="10"/>
  <c r="Q18" i="10"/>
  <c r="Q14" i="10"/>
  <c r="Q12" i="10"/>
  <c r="Q10" i="10"/>
  <c r="T10" i="10"/>
  <c r="U10" i="10"/>
  <c r="S10" i="10"/>
  <c r="T9" i="10"/>
  <c r="H41" i="10" s="1"/>
  <c r="U9" i="10"/>
  <c r="I41" i="10" s="1"/>
  <c r="S9" i="10"/>
  <c r="G41" i="10" s="1"/>
  <c r="G21" i="2"/>
  <c r="G22" i="2"/>
  <c r="G11" i="2"/>
  <c r="G12" i="2"/>
  <c r="G20" i="2"/>
  <c r="G10" i="2"/>
  <c r="F31" i="2"/>
  <c r="F32" i="2"/>
  <c r="F30" i="2"/>
  <c r="H13" i="2"/>
  <c r="H23" i="2"/>
  <c r="F23" i="2"/>
  <c r="U11" i="10" l="1"/>
  <c r="I36" i="10" s="1"/>
  <c r="H31" i="2"/>
  <c r="C31" i="2" s="1"/>
  <c r="S11" i="10"/>
  <c r="G36" i="10" s="1"/>
  <c r="R20" i="10"/>
  <c r="Q34" i="10" s="1"/>
  <c r="H30" i="2"/>
  <c r="H32" i="2"/>
  <c r="I32" i="2" s="1"/>
  <c r="F33" i="2"/>
  <c r="R35" i="10"/>
  <c r="T11" i="10"/>
  <c r="Q28" i="10"/>
  <c r="R26" i="10"/>
  <c r="R21" i="10"/>
  <c r="R19" i="10"/>
  <c r="R18" i="10"/>
  <c r="Q32" i="10" s="1"/>
  <c r="Q16" i="10"/>
  <c r="R12" i="10"/>
  <c r="J41" i="10"/>
  <c r="B38" i="2"/>
  <c r="G30" i="2" l="1"/>
  <c r="B31" i="2"/>
  <c r="D31" i="2" s="1"/>
  <c r="B32" i="2"/>
  <c r="B30" i="2"/>
  <c r="I35" i="10"/>
  <c r="G35" i="10"/>
  <c r="I31" i="2"/>
  <c r="C32" i="2"/>
  <c r="C30" i="2"/>
  <c r="I30" i="2"/>
  <c r="J30" i="2" s="1"/>
  <c r="H35" i="10"/>
  <c r="G31" i="2"/>
  <c r="H36" i="10"/>
  <c r="J36" i="10" s="1"/>
  <c r="G32" i="2"/>
  <c r="J32" i="2" s="1"/>
  <c r="D32" i="2" l="1"/>
  <c r="J35" i="10"/>
  <c r="J31" i="2"/>
  <c r="J33" i="2" s="1"/>
  <c r="G33" i="2"/>
  <c r="B33" i="2"/>
  <c r="D30" i="2"/>
  <c r="D33" i="2" l="1"/>
  <c r="G25" i="10" s="1"/>
  <c r="H25" i="10" l="1"/>
  <c r="I25" i="10"/>
  <c r="G13" i="2" l="1"/>
  <c r="G10" i="4" l="1"/>
  <c r="R12" i="6" l="1"/>
  <c r="R12" i="4"/>
  <c r="Q28" i="6" l="1"/>
  <c r="R26" i="4"/>
  <c r="Q16" i="6"/>
  <c r="I40" i="5" l="1"/>
  <c r="G25" i="6" l="1"/>
  <c r="J58" i="5" l="1"/>
  <c r="J56" i="5"/>
  <c r="J55" i="5"/>
  <c r="J54" i="5"/>
  <c r="I45" i="5"/>
  <c r="I44" i="5"/>
  <c r="I43" i="5"/>
  <c r="I41" i="5"/>
  <c r="J43" i="5" l="1"/>
  <c r="J44" i="5" s="1"/>
  <c r="J45" i="5" s="1"/>
  <c r="J42" i="5"/>
  <c r="J41" i="5"/>
  <c r="K40" i="5"/>
  <c r="N40" i="5" s="1"/>
  <c r="Q16" i="4" l="1"/>
  <c r="H41" i="6" l="1"/>
  <c r="I41" i="6"/>
  <c r="G41" i="6"/>
  <c r="I41" i="4"/>
  <c r="H41" i="4"/>
  <c r="G41" i="4"/>
  <c r="R35" i="6"/>
  <c r="R26" i="6"/>
  <c r="I25" i="6"/>
  <c r="R21" i="6"/>
  <c r="R20" i="6"/>
  <c r="Q34" i="6" s="1"/>
  <c r="R19" i="6"/>
  <c r="R18" i="6"/>
  <c r="Q32" i="6" s="1"/>
  <c r="U11" i="6"/>
  <c r="I35" i="6" s="1"/>
  <c r="T11" i="6"/>
  <c r="H35" i="6" s="1"/>
  <c r="S11" i="6"/>
  <c r="I10" i="6"/>
  <c r="H10" i="6"/>
  <c r="G10" i="6"/>
  <c r="J41" i="6" l="1"/>
  <c r="G10" i="10"/>
  <c r="G13" i="10" s="1"/>
  <c r="I39" i="5"/>
  <c r="I42" i="5" s="1"/>
  <c r="K42" i="5" s="1"/>
  <c r="N42" i="5" s="1"/>
  <c r="G12" i="10"/>
  <c r="I13" i="6"/>
  <c r="I15" i="6" s="1"/>
  <c r="H13" i="6"/>
  <c r="H15" i="6" s="1"/>
  <c r="H12" i="6"/>
  <c r="H19" i="6" s="1"/>
  <c r="G31" i="6"/>
  <c r="H31" i="6"/>
  <c r="I36" i="6"/>
  <c r="J10" i="6"/>
  <c r="H36" i="6"/>
  <c r="G13" i="6"/>
  <c r="I31" i="6"/>
  <c r="G12" i="6"/>
  <c r="I12" i="6"/>
  <c r="G36" i="6"/>
  <c r="G35" i="6"/>
  <c r="H25" i="6"/>
  <c r="J41" i="4"/>
  <c r="I10" i="4"/>
  <c r="H10" i="4"/>
  <c r="H10" i="10" l="1"/>
  <c r="K39" i="5"/>
  <c r="N39" i="5" s="1"/>
  <c r="L41" i="6"/>
  <c r="G15" i="10"/>
  <c r="I12" i="4"/>
  <c r="I10" i="10"/>
  <c r="G33" i="10"/>
  <c r="G19" i="10"/>
  <c r="H12" i="10"/>
  <c r="H13" i="10"/>
  <c r="H15" i="10" s="1"/>
  <c r="I19" i="6"/>
  <c r="J35" i="6"/>
  <c r="G19" i="6"/>
  <c r="G33" i="6"/>
  <c r="H17" i="6"/>
  <c r="H33" i="6"/>
  <c r="J31" i="6"/>
  <c r="J36" i="6"/>
  <c r="J13" i="6"/>
  <c r="G15" i="6"/>
  <c r="J15" i="6" s="1"/>
  <c r="I17" i="6"/>
  <c r="I33" i="6"/>
  <c r="J12" i="6"/>
  <c r="I10" i="5"/>
  <c r="R21" i="4"/>
  <c r="R20" i="4"/>
  <c r="Q34" i="4" s="1"/>
  <c r="R19" i="4"/>
  <c r="R18" i="4"/>
  <c r="Q32" i="4" s="1"/>
  <c r="H17" i="10" l="1"/>
  <c r="I12" i="10"/>
  <c r="I13" i="10"/>
  <c r="I15" i="10" s="1"/>
  <c r="I17" i="10" s="1"/>
  <c r="H33" i="10"/>
  <c r="H19" i="10"/>
  <c r="G17" i="10"/>
  <c r="J10" i="10"/>
  <c r="L15" i="6"/>
  <c r="J33" i="6"/>
  <c r="G17" i="6"/>
  <c r="I53" i="5" s="1"/>
  <c r="J19" i="6"/>
  <c r="L19" i="6" s="1"/>
  <c r="I9" i="5"/>
  <c r="J15" i="10" l="1"/>
  <c r="I58" i="5"/>
  <c r="I56" i="5"/>
  <c r="I57" i="5"/>
  <c r="I54" i="5"/>
  <c r="I55" i="5"/>
  <c r="K53" i="5"/>
  <c r="N53" i="5" s="1"/>
  <c r="J17" i="10"/>
  <c r="H37" i="10" s="1"/>
  <c r="I19" i="10"/>
  <c r="J19" i="10" s="1"/>
  <c r="I33" i="10"/>
  <c r="J33" i="10" s="1"/>
  <c r="J12" i="10"/>
  <c r="J13" i="10"/>
  <c r="J17" i="6"/>
  <c r="J12" i="5"/>
  <c r="G37" i="10" l="1"/>
  <c r="I37" i="10"/>
  <c r="G37" i="6"/>
  <c r="I37" i="6"/>
  <c r="H37" i="6"/>
  <c r="J28" i="5"/>
  <c r="J26" i="5"/>
  <c r="J25" i="5"/>
  <c r="J24" i="5"/>
  <c r="J15" i="5"/>
  <c r="J14" i="5"/>
  <c r="J13" i="5"/>
  <c r="J11" i="5"/>
  <c r="I11" i="5"/>
  <c r="I12" i="5"/>
  <c r="K12" i="5" s="1"/>
  <c r="N12" i="5" s="1"/>
  <c r="Q36" i="10"/>
  <c r="G31" i="10" l="1"/>
  <c r="H31" i="10"/>
  <c r="I31" i="10"/>
  <c r="J37" i="10"/>
  <c r="J37" i="6"/>
  <c r="K11" i="5"/>
  <c r="N11" i="5" s="1"/>
  <c r="K45" i="5"/>
  <c r="N45" i="5" s="1"/>
  <c r="K41" i="5"/>
  <c r="N41" i="5" s="1"/>
  <c r="K44" i="5"/>
  <c r="N44" i="5" s="1"/>
  <c r="K43" i="5"/>
  <c r="N43" i="5" s="1"/>
  <c r="I13" i="5"/>
  <c r="K13" i="5" s="1"/>
  <c r="N13" i="5" s="1"/>
  <c r="I15" i="5"/>
  <c r="K15" i="5" s="1"/>
  <c r="N15" i="5" s="1"/>
  <c r="K9" i="5"/>
  <c r="N9" i="5" s="1"/>
  <c r="I14" i="5"/>
  <c r="K14" i="5" s="1"/>
  <c r="N14" i="5" s="1"/>
  <c r="K10" i="5"/>
  <c r="N10" i="5" s="1"/>
  <c r="J31" i="10" l="1"/>
  <c r="N46" i="5"/>
  <c r="N16" i="5"/>
  <c r="G20" i="10" l="1"/>
  <c r="H20" i="10"/>
  <c r="I20" i="10"/>
  <c r="I20" i="6"/>
  <c r="H20" i="6"/>
  <c r="G20" i="6"/>
  <c r="Q28" i="4"/>
  <c r="J20" i="10" l="1"/>
  <c r="J20" i="6"/>
  <c r="R35" i="4"/>
  <c r="I33" i="4" s="1"/>
  <c r="U11" i="4"/>
  <c r="T11" i="4"/>
  <c r="S11" i="4"/>
  <c r="H36" i="4" l="1"/>
  <c r="H35" i="4"/>
  <c r="H31" i="4"/>
  <c r="H20" i="4"/>
  <c r="G36" i="4"/>
  <c r="G35" i="4"/>
  <c r="G31" i="4"/>
  <c r="G20" i="4"/>
  <c r="I36" i="4"/>
  <c r="I35" i="4"/>
  <c r="I31" i="4"/>
  <c r="I20" i="4"/>
  <c r="G13" i="4"/>
  <c r="H13" i="4"/>
  <c r="I13" i="4"/>
  <c r="I19" i="4"/>
  <c r="J35" i="4" l="1"/>
  <c r="J36" i="4"/>
  <c r="J31" i="4"/>
  <c r="J20" i="4"/>
  <c r="J10" i="4"/>
  <c r="G12" i="4"/>
  <c r="H15" i="4"/>
  <c r="H12" i="4"/>
  <c r="I15" i="4"/>
  <c r="I17" i="4" s="1"/>
  <c r="H17" i="4" l="1"/>
  <c r="G19" i="4"/>
  <c r="H19" i="4"/>
  <c r="H33" i="4"/>
  <c r="G33" i="4"/>
  <c r="G15" i="4"/>
  <c r="G17" i="4" s="1"/>
  <c r="J13" i="4"/>
  <c r="J12" i="4"/>
  <c r="I23" i="5" l="1"/>
  <c r="J33" i="4"/>
  <c r="K58" i="5"/>
  <c r="N58" i="5" s="1"/>
  <c r="K54" i="5"/>
  <c r="N54" i="5" s="1"/>
  <c r="K57" i="5"/>
  <c r="N57" i="5" s="1"/>
  <c r="K55" i="5"/>
  <c r="N55" i="5" s="1"/>
  <c r="K56" i="5"/>
  <c r="N56" i="5" s="1"/>
  <c r="J19" i="4"/>
  <c r="L19" i="4" s="1"/>
  <c r="J15" i="4"/>
  <c r="L15" i="4" s="1"/>
  <c r="N59" i="5" l="1"/>
  <c r="J17" i="4"/>
  <c r="I21" i="6" l="1"/>
  <c r="I23" i="6" s="1"/>
  <c r="H21" i="6"/>
  <c r="H23" i="6" s="1"/>
  <c r="G21" i="6"/>
  <c r="G23" i="6" s="1"/>
  <c r="I37" i="4"/>
  <c r="G37" i="4"/>
  <c r="H37" i="4"/>
  <c r="H27" i="6" l="1"/>
  <c r="J21" i="6"/>
  <c r="I27" i="6"/>
  <c r="J37" i="4"/>
  <c r="J23" i="6"/>
  <c r="G27" i="6"/>
  <c r="J27" i="6" l="1"/>
  <c r="D20" i="2" l="1"/>
  <c r="D21" i="2"/>
  <c r="D22" i="2"/>
  <c r="H29" i="6" l="1"/>
  <c r="H39" i="6" s="1"/>
  <c r="H43" i="6" s="1"/>
  <c r="H47" i="6" s="1"/>
  <c r="I29" i="6"/>
  <c r="I39" i="6" s="1"/>
  <c r="I43" i="6" s="1"/>
  <c r="I47" i="6" s="1"/>
  <c r="G29" i="6"/>
  <c r="D23" i="2"/>
  <c r="G25" i="4" l="1"/>
  <c r="I25" i="4" s="1"/>
  <c r="G23" i="2"/>
  <c r="J29" i="6"/>
  <c r="G39" i="6"/>
  <c r="H25" i="4" l="1"/>
  <c r="J39" i="6"/>
  <c r="J43" i="6" s="1"/>
  <c r="J47" i="6" s="1"/>
  <c r="G43" i="6"/>
  <c r="G47" i="6" s="1"/>
  <c r="I27" i="5" l="1"/>
  <c r="K27" i="5" s="1"/>
  <c r="N27" i="5" s="1"/>
  <c r="I24" i="5"/>
  <c r="K24" i="5" s="1"/>
  <c r="N24" i="5" s="1"/>
  <c r="I28" i="5"/>
  <c r="K28" i="5" s="1"/>
  <c r="N28" i="5" s="1"/>
  <c r="I25" i="5"/>
  <c r="K25" i="5" s="1"/>
  <c r="N25" i="5" s="1"/>
  <c r="I26" i="5"/>
  <c r="K26" i="5" s="1"/>
  <c r="N26" i="5" s="1"/>
  <c r="K23" i="5"/>
  <c r="N23" i="5" s="1"/>
  <c r="N29" i="5" l="1"/>
  <c r="I21" i="4" l="1"/>
  <c r="I23" i="4" s="1"/>
  <c r="I29" i="4" s="1"/>
  <c r="G21" i="10"/>
  <c r="I21" i="10"/>
  <c r="I23" i="10" s="1"/>
  <c r="H21" i="10"/>
  <c r="H23" i="10" s="1"/>
  <c r="G21" i="4"/>
  <c r="H21" i="4"/>
  <c r="H23" i="4" s="1"/>
  <c r="H27" i="4" s="1"/>
  <c r="H29" i="4" l="1"/>
  <c r="H39" i="4" s="1"/>
  <c r="H43" i="4" s="1"/>
  <c r="H47" i="4" s="1"/>
  <c r="I27" i="4"/>
  <c r="I39" i="4" s="1"/>
  <c r="I43" i="4" s="1"/>
  <c r="I47" i="4" s="1"/>
  <c r="J21" i="4"/>
  <c r="I27" i="10"/>
  <c r="I29" i="10"/>
  <c r="H27" i="10"/>
  <c r="H29" i="10"/>
  <c r="J21" i="10"/>
  <c r="G23" i="10"/>
  <c r="G23" i="4"/>
  <c r="G27" i="10" l="1"/>
  <c r="J23" i="10"/>
  <c r="G29" i="10"/>
  <c r="J29" i="10" s="1"/>
  <c r="H39" i="10"/>
  <c r="H43" i="10" s="1"/>
  <c r="H51" i="10" s="1"/>
  <c r="J23" i="4"/>
  <c r="G29" i="4"/>
  <c r="J29" i="4" s="1"/>
  <c r="I39" i="10"/>
  <c r="I43" i="10" s="1"/>
  <c r="I51" i="10" s="1"/>
  <c r="G27" i="4"/>
  <c r="J27" i="4" s="1"/>
  <c r="G39" i="10" l="1"/>
  <c r="J27" i="10"/>
  <c r="G39" i="4"/>
  <c r="J39" i="4" s="1"/>
  <c r="J43" i="4" s="1"/>
  <c r="J47" i="4" s="1"/>
  <c r="J39" i="10" l="1"/>
  <c r="J43" i="10" s="1"/>
  <c r="J51" i="10" s="1"/>
  <c r="G43" i="10"/>
  <c r="G51" i="10" s="1"/>
  <c r="G43" i="4"/>
  <c r="G47" i="4" s="1"/>
</calcChain>
</file>

<file path=xl/sharedStrings.xml><?xml version="1.0" encoding="utf-8"?>
<sst xmlns="http://schemas.openxmlformats.org/spreadsheetml/2006/main" count="316" uniqueCount="105">
  <si>
    <t>Accumulated Depreciation</t>
  </si>
  <si>
    <t>Net Plant</t>
  </si>
  <si>
    <t>Accumulated Deferred Income Taxes</t>
  </si>
  <si>
    <t>Net Cost Rate Base</t>
  </si>
  <si>
    <t>Depreciation Expenses</t>
  </si>
  <si>
    <t>Income Taxes</t>
  </si>
  <si>
    <t>Revenue Requirement</t>
  </si>
  <si>
    <t>Return</t>
  </si>
  <si>
    <t>Common Equity</t>
  </si>
  <si>
    <t>Capital</t>
  </si>
  <si>
    <t>Rate</t>
  </si>
  <si>
    <t>Percent</t>
  </si>
  <si>
    <t>Component of Capital</t>
  </si>
  <si>
    <t>Cost of</t>
  </si>
  <si>
    <t>Weighted</t>
  </si>
  <si>
    <t>Louisville Gas &amp; Electric Company</t>
  </si>
  <si>
    <t>Kentucky Utilities Company</t>
  </si>
  <si>
    <t>Weighted Cost of Capital</t>
  </si>
  <si>
    <t>Kentucky Utilities Company and Louisvillle Gas &amp; Electric Company</t>
  </si>
  <si>
    <t>Rate of Return</t>
  </si>
  <si>
    <t>Property Taxes</t>
  </si>
  <si>
    <t>Total</t>
  </si>
  <si>
    <t>Plant</t>
  </si>
  <si>
    <t>Short-Tern Debt</t>
  </si>
  <si>
    <t>Long-Term Debt</t>
  </si>
  <si>
    <t xml:space="preserve">35' </t>
  </si>
  <si>
    <t xml:space="preserve">40' </t>
  </si>
  <si>
    <t xml:space="preserve">45' </t>
  </si>
  <si>
    <t>Pole Description</t>
  </si>
  <si>
    <t>Remove Appurtenances</t>
  </si>
  <si>
    <t>Average Installed Cost</t>
  </si>
  <si>
    <t>Gross Plant</t>
  </si>
  <si>
    <t>Quantity</t>
  </si>
  <si>
    <t>Depreciation Expense</t>
  </si>
  <si>
    <t>Maintenance of Poles</t>
  </si>
  <si>
    <t>Tree Trimming of Poles</t>
  </si>
  <si>
    <t>Forecasted Accumulated Depreciation</t>
  </si>
  <si>
    <t>Forecasted Accumulated Deferred Income Taxes</t>
  </si>
  <si>
    <t>Forecasted Net Cost Rate Base</t>
  </si>
  <si>
    <t>Forecasted Maintenance (593001)</t>
  </si>
  <si>
    <t>Forecasted Tree Trimming (593004)</t>
  </si>
  <si>
    <t>Forecasted Maintenance (593)</t>
  </si>
  <si>
    <t>Forecasted Depreciation Expense (364)</t>
  </si>
  <si>
    <t>Forecasted Property Taxes (364)</t>
  </si>
  <si>
    <t>Cash Working Capital</t>
  </si>
  <si>
    <t>Common Plant</t>
  </si>
  <si>
    <t>LOUISVILLE GAS AND ELECTRIC COMPANY</t>
  </si>
  <si>
    <t>Allocation of Other Common Expenses and Plant</t>
  </si>
  <si>
    <t>Allocator</t>
  </si>
  <si>
    <t>Applicable</t>
  </si>
  <si>
    <t>Allocated</t>
  </si>
  <si>
    <t>Expense Adjustments</t>
  </si>
  <si>
    <t>Pole Cost</t>
  </si>
  <si>
    <t>Allocation</t>
  </si>
  <si>
    <t>Expense</t>
  </si>
  <si>
    <t>to Poles</t>
  </si>
  <si>
    <t>Distribution Operations Supervision &amp; Engineering</t>
  </si>
  <si>
    <t>Labor</t>
  </si>
  <si>
    <t>Miscellaneous Distribution Expenses</t>
  </si>
  <si>
    <t>Distribution Rents</t>
  </si>
  <si>
    <t>Distribution Maintenance Supervision &amp; Engineering</t>
  </si>
  <si>
    <t>Miscellaneous Distribution Maintenance Expenses</t>
  </si>
  <si>
    <t>Customer Records</t>
  </si>
  <si>
    <t>Miscellaneous Customer Expenses</t>
  </si>
  <si>
    <t>Allocated to</t>
  </si>
  <si>
    <t>Balance</t>
  </si>
  <si>
    <t>Poles</t>
  </si>
  <si>
    <t>Plant Adjustments</t>
  </si>
  <si>
    <t>General Plant</t>
  </si>
  <si>
    <t>Plant Held for Future Use</t>
  </si>
  <si>
    <t>Materials and Supplies</t>
  </si>
  <si>
    <t>Prepayments</t>
  </si>
  <si>
    <t>Distribution Construction Work in Progress</t>
  </si>
  <si>
    <t>Dist Plant</t>
  </si>
  <si>
    <t>General Plant Distribution Work in Progress</t>
  </si>
  <si>
    <t>593001 (Labor)</t>
  </si>
  <si>
    <t>593001 (Non-Labor)</t>
  </si>
  <si>
    <t>593004 (Labor)</t>
  </si>
  <si>
    <t>593004 (Non-Labor)</t>
  </si>
  <si>
    <t>Gross Plant less Appurtenances</t>
  </si>
  <si>
    <t>Accumulated Depreciation less Appurtenances</t>
  </si>
  <si>
    <t>Forecasted Labor (593001)</t>
  </si>
  <si>
    <t>Forecasted Tree Trimming Labor (593004)</t>
  </si>
  <si>
    <t>Space Usage Factor</t>
  </si>
  <si>
    <t>Pole Attachment Rate</t>
  </si>
  <si>
    <t>A&amp;G Expense Allocation to Poles</t>
  </si>
  <si>
    <t>Forecasted Total Labor</t>
  </si>
  <si>
    <t>Forecasted Total A&amp;G Expense</t>
  </si>
  <si>
    <t>Forecasted Acct 364 as of June 30, 2018 (Incl CWIP &amp; RWIP)</t>
  </si>
  <si>
    <t>KENTUCKY UTILITIES COMPANY</t>
  </si>
  <si>
    <t>Pole Attachment Charge</t>
  </si>
  <si>
    <t>Total Company Average</t>
  </si>
  <si>
    <t>Income Tax Rates</t>
  </si>
  <si>
    <t>LG&amp;E</t>
  </si>
  <si>
    <t>KU</t>
  </si>
  <si>
    <t>Weighted Total</t>
  </si>
  <si>
    <t>Cost Support for Attachment Charges for Wireline Pole Attachments</t>
  </si>
  <si>
    <t>Forecasted Acct 364 as of April 30, 2020 (Incl CWIP &amp; RWIP)</t>
  </si>
  <si>
    <t>Calculation Of Charges for Wireline Attachments</t>
  </si>
  <si>
    <t>(1) Amount of Usable Space Occupied (in feet)</t>
  </si>
  <si>
    <t>(2) Total Usable Space (per Order 251)</t>
  </si>
  <si>
    <t>Space Usage Factor ((1) / (2))</t>
  </si>
  <si>
    <t>Short-Term Debt</t>
  </si>
  <si>
    <t>Gross Plant as of July 31, 2020</t>
  </si>
  <si>
    <t>Based on 12 Months Ended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</si>
</sst>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_(&quot;$&quot;* #,##0.0_);_(&quot;$&quot;* \(#,##0.0\);_(&quot;$&quot;* &quot;-&quot;??_);_(@_)"/>
    <numFmt numFmtId="168" formatCode="0.0000000"/>
    <numFmt numFmtId="169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0" fontId="11" fillId="0" borderId="0"/>
    <xf numFmtId="44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</cellStyleXfs>
  <cellXfs count="147">
    <xf numFmtId="0" fontId="0" fillId="0" borderId="0" xfId="0"/>
    <xf numFmtId="164" fontId="0" fillId="0" borderId="0" xfId="2" applyNumberFormat="1" applyFont="1"/>
    <xf numFmtId="164" fontId="0" fillId="0" borderId="0" xfId="0" applyNumberFormat="1"/>
    <xf numFmtId="165" fontId="0" fillId="0" borderId="0" xfId="1" applyNumberFormat="1" applyFont="1"/>
    <xf numFmtId="0" fontId="3" fillId="0" borderId="0" xfId="0" applyFont="1" applyAlignment="1">
      <alignment horizontal="right"/>
    </xf>
    <xf numFmtId="10" fontId="0" fillId="0" borderId="0" xfId="0" applyNumberForma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165" fontId="0" fillId="0" borderId="0" xfId="0" applyNumberFormat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right"/>
    </xf>
    <xf numFmtId="0" fontId="7" fillId="0" borderId="0" xfId="0" applyFont="1"/>
    <xf numFmtId="0" fontId="2" fillId="0" borderId="0" xfId="0" applyFont="1"/>
    <xf numFmtId="167" fontId="0" fillId="0" borderId="0" xfId="0" applyNumberFormat="1"/>
    <xf numFmtId="44" fontId="0" fillId="0" borderId="0" xfId="0" applyNumberFormat="1"/>
    <xf numFmtId="9" fontId="0" fillId="0" borderId="0" xfId="7" applyFont="1"/>
    <xf numFmtId="0" fontId="0" fillId="0" borderId="0" xfId="0" applyBorder="1"/>
    <xf numFmtId="0" fontId="3" fillId="0" borderId="0" xfId="0" applyFont="1" applyBorder="1" applyAlignment="1">
      <alignment horizontal="right"/>
    </xf>
    <xf numFmtId="10" fontId="0" fillId="0" borderId="0" xfId="7" applyNumberFormat="1" applyFont="1"/>
    <xf numFmtId="164" fontId="0" fillId="0" borderId="0" xfId="0" applyNumberFormat="1" applyFont="1" applyBorder="1" applyAlignment="1">
      <alignment horizontal="right"/>
    </xf>
    <xf numFmtId="164" fontId="1" fillId="0" borderId="0" xfId="2" applyNumberFormat="1" applyFont="1" applyBorder="1" applyAlignment="1">
      <alignment horizontal="right"/>
    </xf>
    <xf numFmtId="9" fontId="0" fillId="0" borderId="0" xfId="7" applyNumberFormat="1" applyFont="1"/>
    <xf numFmtId="165" fontId="1" fillId="0" borderId="0" xfId="1" applyNumberFormat="1" applyFont="1" applyBorder="1" applyAlignment="1">
      <alignment horizontal="right"/>
    </xf>
    <xf numFmtId="0" fontId="0" fillId="0" borderId="0" xfId="0" applyNumberFormat="1"/>
    <xf numFmtId="164" fontId="0" fillId="0" borderId="0" xfId="2" applyNumberFormat="1" applyFont="1" applyFill="1"/>
    <xf numFmtId="165" fontId="0" fillId="0" borderId="0" xfId="1" applyNumberFormat="1" applyFont="1" applyFill="1"/>
    <xf numFmtId="0" fontId="0" fillId="0" borderId="0" xfId="0" applyFill="1"/>
    <xf numFmtId="165" fontId="0" fillId="0" borderId="0" xfId="1" applyNumberFormat="1" applyFont="1" applyBorder="1"/>
    <xf numFmtId="44" fontId="0" fillId="0" borderId="0" xfId="2" applyFont="1" applyBorder="1"/>
    <xf numFmtId="0" fontId="2" fillId="0" borderId="0" xfId="0" applyFont="1" applyBorder="1"/>
    <xf numFmtId="166" fontId="0" fillId="0" borderId="0" xfId="0" applyNumberFormat="1" applyBorder="1"/>
    <xf numFmtId="44" fontId="3" fillId="0" borderId="0" xfId="2" applyFont="1" applyBorder="1"/>
    <xf numFmtId="0" fontId="4" fillId="0" borderId="0" xfId="9"/>
    <xf numFmtId="0" fontId="5" fillId="0" borderId="0" xfId="9" applyFont="1"/>
    <xf numFmtId="0" fontId="3" fillId="0" borderId="0" xfId="9" applyFont="1" applyAlignment="1">
      <alignment horizontal="right"/>
    </xf>
    <xf numFmtId="0" fontId="4" fillId="0" borderId="0" xfId="9" applyAlignment="1">
      <alignment horizontal="left"/>
    </xf>
    <xf numFmtId="6" fontId="0" fillId="0" borderId="0" xfId="10" applyNumberFormat="1" applyFont="1"/>
    <xf numFmtId="6" fontId="4" fillId="0" borderId="0" xfId="9" applyNumberFormat="1"/>
    <xf numFmtId="165" fontId="0" fillId="0" borderId="0" xfId="10" applyNumberFormat="1" applyFont="1"/>
    <xf numFmtId="165" fontId="4" fillId="0" borderId="0" xfId="9" applyNumberFormat="1"/>
    <xf numFmtId="6" fontId="4" fillId="0" borderId="5" xfId="9" applyNumberFormat="1" applyBorder="1"/>
    <xf numFmtId="0" fontId="0" fillId="0" borderId="0" xfId="0" applyAlignment="1">
      <alignment horizontal="left"/>
    </xf>
    <xf numFmtId="165" fontId="0" fillId="0" borderId="0" xfId="10" applyNumberFormat="1" applyFont="1" applyFill="1"/>
    <xf numFmtId="164" fontId="0" fillId="0" borderId="0" xfId="7" applyNumberFormat="1" applyFont="1"/>
    <xf numFmtId="164" fontId="1" fillId="0" borderId="0" xfId="2" applyNumberFormat="1" applyFont="1" applyAlignment="1">
      <alignment horizontal="right"/>
    </xf>
    <xf numFmtId="0" fontId="4" fillId="0" borderId="0" xfId="9" applyFill="1"/>
    <xf numFmtId="6" fontId="4" fillId="0" borderId="0" xfId="10" applyNumberFormat="1" applyFont="1" applyFill="1"/>
    <xf numFmtId="165" fontId="4" fillId="0" borderId="0" xfId="9" applyNumberFormat="1" applyFill="1"/>
    <xf numFmtId="165" fontId="4" fillId="0" borderId="0" xfId="10" applyNumberFormat="1" applyFont="1" applyFill="1"/>
    <xf numFmtId="165" fontId="8" fillId="0" borderId="0" xfId="10" applyNumberFormat="1" applyFont="1" applyFill="1"/>
    <xf numFmtId="6" fontId="0" fillId="0" borderId="0" xfId="0" applyNumberFormat="1"/>
    <xf numFmtId="6" fontId="0" fillId="0" borderId="5" xfId="0" applyNumberFormat="1" applyBorder="1"/>
    <xf numFmtId="6" fontId="0" fillId="0" borderId="0" xfId="10" applyNumberFormat="1" applyFont="1" applyFill="1"/>
    <xf numFmtId="164" fontId="0" fillId="0" borderId="0" xfId="2" applyNumberFormat="1" applyFont="1" applyBorder="1"/>
    <xf numFmtId="0" fontId="0" fillId="0" borderId="6" xfId="0" applyBorder="1"/>
    <xf numFmtId="10" fontId="0" fillId="0" borderId="0" xfId="0" applyNumberFormat="1" applyFill="1"/>
    <xf numFmtId="10" fontId="0" fillId="0" borderId="0" xfId="7" applyNumberFormat="1" applyFont="1" applyFill="1"/>
    <xf numFmtId="6" fontId="8" fillId="0" borderId="0" xfId="10" applyNumberFormat="1" applyFont="1" applyFill="1"/>
    <xf numFmtId="168" fontId="4" fillId="0" borderId="0" xfId="9" applyNumberFormat="1"/>
    <xf numFmtId="165" fontId="0" fillId="0" borderId="0" xfId="0" applyNumberFormat="1" applyFill="1"/>
    <xf numFmtId="44" fontId="0" fillId="0" borderId="0" xfId="0" applyNumberFormat="1" applyBorder="1"/>
    <xf numFmtId="44" fontId="3" fillId="0" borderId="7" xfId="2" applyFont="1" applyBorder="1"/>
    <xf numFmtId="9" fontId="8" fillId="0" borderId="0" xfId="7" applyFont="1"/>
    <xf numFmtId="9" fontId="0" fillId="0" borderId="0" xfId="7" applyFont="1" applyFill="1"/>
    <xf numFmtId="43" fontId="0" fillId="0" borderId="0" xfId="0" applyNumberFormat="1"/>
    <xf numFmtId="0" fontId="7" fillId="0" borderId="0" xfId="0" applyFont="1" applyAlignment="1"/>
    <xf numFmtId="164" fontId="0" fillId="2" borderId="0" xfId="2" applyNumberFormat="1" applyFont="1" applyFill="1"/>
    <xf numFmtId="165" fontId="0" fillId="2" borderId="0" xfId="1" applyNumberFormat="1" applyFont="1" applyFill="1"/>
    <xf numFmtId="3" fontId="0" fillId="0" borderId="0" xfId="0" applyNumberFormat="1"/>
    <xf numFmtId="168" fontId="0" fillId="0" borderId="0" xfId="0" applyNumberFormat="1"/>
    <xf numFmtId="166" fontId="0" fillId="0" borderId="0" xfId="0" applyNumberFormat="1"/>
    <xf numFmtId="2" fontId="0" fillId="0" borderId="0" xfId="0" applyNumberFormat="1"/>
    <xf numFmtId="10" fontId="0" fillId="0" borderId="0" xfId="3" applyNumberFormat="1" applyFont="1" applyFill="1"/>
    <xf numFmtId="10" fontId="0" fillId="0" borderId="1" xfId="3" applyNumberFormat="1" applyFont="1" applyFill="1" applyBorder="1"/>
    <xf numFmtId="10" fontId="0" fillId="0" borderId="1" xfId="7" applyNumberFormat="1" applyFont="1" applyFill="1" applyBorder="1"/>
    <xf numFmtId="0" fontId="5" fillId="0" borderId="0" xfId="9" applyFont="1" applyBorder="1"/>
    <xf numFmtId="0" fontId="4" fillId="0" borderId="0" xfId="9" applyBorder="1"/>
    <xf numFmtId="0" fontId="3" fillId="0" borderId="0" xfId="9" applyFont="1" applyBorder="1" applyAlignment="1">
      <alignment horizontal="right"/>
    </xf>
    <xf numFmtId="0" fontId="4" fillId="0" borderId="0" xfId="9" applyBorder="1" applyAlignment="1">
      <alignment horizontal="left"/>
    </xf>
    <xf numFmtId="6" fontId="0" fillId="0" borderId="0" xfId="10" applyNumberFormat="1" applyFont="1" applyBorder="1"/>
    <xf numFmtId="6" fontId="0" fillId="0" borderId="0" xfId="10" applyNumberFormat="1" applyFont="1" applyFill="1" applyBorder="1"/>
    <xf numFmtId="168" fontId="4" fillId="0" borderId="0" xfId="9" applyNumberFormat="1" applyBorder="1"/>
    <xf numFmtId="6" fontId="4" fillId="0" borderId="0" xfId="10" applyNumberFormat="1" applyFont="1" applyFill="1" applyBorder="1"/>
    <xf numFmtId="6" fontId="4" fillId="0" borderId="0" xfId="9" applyNumberFormat="1" applyBorder="1"/>
    <xf numFmtId="165" fontId="0" fillId="0" borderId="0" xfId="10" applyNumberFormat="1" applyFont="1" applyFill="1" applyBorder="1"/>
    <xf numFmtId="165" fontId="4" fillId="0" borderId="0" xfId="10" applyNumberFormat="1" applyFont="1" applyFill="1" applyBorder="1"/>
    <xf numFmtId="165" fontId="4" fillId="0" borderId="0" xfId="9" applyNumberFormat="1" applyBorder="1"/>
    <xf numFmtId="165" fontId="0" fillId="0" borderId="0" xfId="10" applyNumberFormat="1" applyFont="1" applyBorder="1"/>
    <xf numFmtId="165" fontId="8" fillId="0" borderId="0" xfId="10" applyNumberFormat="1" applyFont="1" applyFill="1" applyBorder="1"/>
    <xf numFmtId="0" fontId="4" fillId="0" borderId="0" xfId="9" applyFill="1" applyBorder="1"/>
    <xf numFmtId="165" fontId="4" fillId="0" borderId="0" xfId="1" applyNumberFormat="1" applyFont="1" applyFill="1" applyBorder="1"/>
    <xf numFmtId="169" fontId="4" fillId="0" borderId="0" xfId="9" applyNumberFormat="1" applyBorder="1"/>
    <xf numFmtId="0" fontId="5" fillId="0" borderId="0" xfId="0" applyFont="1" applyBorder="1"/>
    <xf numFmtId="0" fontId="0" fillId="0" borderId="0" xfId="0" applyBorder="1" applyAlignment="1">
      <alignment horizontal="left"/>
    </xf>
    <xf numFmtId="6" fontId="8" fillId="0" borderId="0" xfId="10" applyNumberFormat="1" applyFont="1" applyFill="1" applyBorder="1"/>
    <xf numFmtId="6" fontId="0" fillId="0" borderId="0" xfId="0" applyNumberFormat="1" applyBorder="1"/>
    <xf numFmtId="165" fontId="8" fillId="0" borderId="0" xfId="1" applyNumberFormat="1" applyFont="1" applyFill="1" applyBorder="1"/>
    <xf numFmtId="165" fontId="0" fillId="0" borderId="0" xfId="0" applyNumberFormat="1" applyBorder="1"/>
    <xf numFmtId="165" fontId="0" fillId="0" borderId="0" xfId="0" applyNumberFormat="1" applyFill="1" applyBorder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/>
    <xf numFmtId="164" fontId="0" fillId="0" borderId="0" xfId="0" applyNumberFormat="1" applyFill="1"/>
    <xf numFmtId="9" fontId="0" fillId="0" borderId="0" xfId="7" applyNumberFormat="1" applyFont="1" applyFill="1"/>
    <xf numFmtId="0" fontId="0" fillId="0" borderId="0" xfId="0" applyNumberFormat="1" applyFill="1"/>
    <xf numFmtId="0" fontId="8" fillId="0" borderId="0" xfId="0" applyFont="1"/>
    <xf numFmtId="164" fontId="8" fillId="0" borderId="0" xfId="2" applyNumberFormat="1" applyFont="1" applyFill="1"/>
    <xf numFmtId="165" fontId="8" fillId="0" borderId="0" xfId="0" applyNumberFormat="1" applyFont="1" applyFill="1"/>
    <xf numFmtId="165" fontId="8" fillId="0" borderId="0" xfId="0" applyNumberFormat="1" applyFont="1"/>
    <xf numFmtId="165" fontId="8" fillId="2" borderId="0" xfId="1" applyNumberFormat="1" applyFont="1" applyFill="1"/>
    <xf numFmtId="165" fontId="8" fillId="0" borderId="0" xfId="1" applyNumberFormat="1" applyFont="1" applyFill="1"/>
    <xf numFmtId="165" fontId="8" fillId="0" borderId="0" xfId="1" applyNumberFormat="1" applyFont="1" applyFill="1" applyAlignment="1">
      <alignment horizontal="right"/>
    </xf>
    <xf numFmtId="164" fontId="8" fillId="2" borderId="0" xfId="2" applyNumberFormat="1" applyFont="1" applyFill="1"/>
    <xf numFmtId="165" fontId="8" fillId="0" borderId="0" xfId="1" applyNumberFormat="1" applyFont="1"/>
    <xf numFmtId="164" fontId="8" fillId="2" borderId="0" xfId="0" applyNumberFormat="1" applyFont="1" applyFill="1"/>
    <xf numFmtId="38" fontId="4" fillId="0" borderId="0" xfId="9" applyNumberFormat="1" applyFill="1"/>
    <xf numFmtId="0" fontId="5" fillId="0" borderId="0" xfId="0" applyFont="1" applyBorder="1" applyAlignment="1">
      <alignment horizontal="center"/>
    </xf>
    <xf numFmtId="0" fontId="5" fillId="0" borderId="0" xfId="9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9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9" applyFont="1" applyAlignment="1">
      <alignment horizontal="center"/>
    </xf>
    <xf numFmtId="0" fontId="3" fillId="0" borderId="4" xfId="9" applyFont="1" applyBorder="1" applyAlignment="1">
      <alignment horizontal="center"/>
    </xf>
    <xf numFmtId="0" fontId="3" fillId="0" borderId="3" xfId="9" applyFont="1" applyBorder="1" applyAlignment="1">
      <alignment horizontal="center"/>
    </xf>
    <xf numFmtId="0" fontId="3" fillId="0" borderId="2" xfId="9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164" fontId="0" fillId="0" borderId="0" xfId="0" applyNumberFormat="1" applyBorder="1"/>
    <xf numFmtId="9" fontId="0" fillId="0" borderId="0" xfId="7" applyFont="1" applyBorder="1"/>
    <xf numFmtId="167" fontId="0" fillId="0" borderId="0" xfId="0" applyNumberFormat="1" applyBorder="1"/>
    <xf numFmtId="164" fontId="0" fillId="0" borderId="0" xfId="7" applyNumberFormat="1" applyFont="1" applyBorder="1"/>
    <xf numFmtId="165" fontId="0" fillId="0" borderId="0" xfId="1" applyNumberFormat="1" applyFont="1" applyFill="1" applyBorder="1"/>
    <xf numFmtId="10" fontId="0" fillId="0" borderId="0" xfId="7" applyNumberFormat="1" applyFont="1" applyFill="1" applyBorder="1"/>
    <xf numFmtId="10" fontId="8" fillId="0" borderId="0" xfId="0" applyNumberFormat="1" applyFont="1" applyFill="1" applyBorder="1"/>
    <xf numFmtId="164" fontId="0" fillId="0" borderId="0" xfId="2" applyNumberFormat="1" applyFont="1" applyFill="1" applyBorder="1"/>
    <xf numFmtId="0" fontId="0" fillId="0" borderId="8" xfId="0" applyBorder="1"/>
  </cellXfs>
  <cellStyles count="15">
    <cellStyle name="Comma" xfId="1" builtinId="3"/>
    <cellStyle name="Comma 2" xfId="6" xr:uid="{00000000-0005-0000-0000-000001000000}"/>
    <cellStyle name="Comma 3" xfId="10" xr:uid="{00000000-0005-0000-0000-000002000000}"/>
    <cellStyle name="Currency" xfId="2" builtinId="4"/>
    <cellStyle name="Currency 2" xfId="5" xr:uid="{00000000-0005-0000-0000-000004000000}"/>
    <cellStyle name="Currency 3" xfId="12" xr:uid="{00000000-0005-0000-0000-000036000000}"/>
    <cellStyle name="Normal" xfId="0" builtinId="0"/>
    <cellStyle name="Normal 2" xfId="4" xr:uid="{00000000-0005-0000-0000-000006000000}"/>
    <cellStyle name="Normal 2 2" xfId="14" xr:uid="{00000000-0005-0000-0000-000002000000}"/>
    <cellStyle name="Normal 3" xfId="9" xr:uid="{00000000-0005-0000-0000-000007000000}"/>
    <cellStyle name="Normal 4" xfId="11" xr:uid="{00000000-0005-0000-0000-000037000000}"/>
    <cellStyle name="Normal 48" xfId="8" xr:uid="{00000000-0005-0000-0000-000008000000}"/>
    <cellStyle name="Percent" xfId="7" builtinId="5"/>
    <cellStyle name="Percent 2" xfId="3" xr:uid="{00000000-0005-0000-0000-00000A000000}"/>
    <cellStyle name="Percent 3" xfId="13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67"/>
  <sheetViews>
    <sheetView tabSelected="1" view="pageBreakPreview" zoomScaleNormal="100" zoomScaleSheetLayoutView="100" workbookViewId="0"/>
  </sheetViews>
  <sheetFormatPr defaultRowHeight="14.4" x14ac:dyDescent="0.55000000000000004"/>
  <cols>
    <col min="5" max="5" width="8" bestFit="1" customWidth="1"/>
    <col min="6" max="6" width="3.41796875" customWidth="1"/>
    <col min="7" max="9" width="15.26171875" customWidth="1"/>
    <col min="10" max="10" width="15.15625" bestFit="1" customWidth="1"/>
    <col min="11" max="11" width="1.68359375" customWidth="1"/>
    <col min="12" max="12" width="4.578125" bestFit="1" customWidth="1"/>
    <col min="13" max="13" width="18.26171875" customWidth="1"/>
    <col min="14" max="16" width="10.83984375" customWidth="1"/>
    <col min="17" max="17" width="15.26171875" bestFit="1" customWidth="1"/>
    <col min="18" max="18" width="7.68359375" bestFit="1" customWidth="1"/>
    <col min="19" max="19" width="12.578125" bestFit="1" customWidth="1"/>
    <col min="20" max="21" width="13.68359375" bestFit="1" customWidth="1"/>
  </cols>
  <sheetData>
    <row r="1" spans="1:21" ht="15.6" x14ac:dyDescent="0.6">
      <c r="A1" s="69" t="s">
        <v>18</v>
      </c>
    </row>
    <row r="2" spans="1:21" x14ac:dyDescent="0.55000000000000004">
      <c r="A2" t="s">
        <v>96</v>
      </c>
    </row>
    <row r="3" spans="1:21" x14ac:dyDescent="0.55000000000000004">
      <c r="A3" s="109" t="s">
        <v>104</v>
      </c>
    </row>
    <row r="7" spans="1:21" x14ac:dyDescent="0.55000000000000004">
      <c r="E7" s="4"/>
      <c r="G7" s="4"/>
      <c r="H7" s="4"/>
      <c r="I7" s="4"/>
      <c r="Q7" s="4"/>
      <c r="S7" s="4"/>
      <c r="T7" s="4"/>
      <c r="U7" s="4"/>
    </row>
    <row r="8" spans="1:21" ht="14.7" thickBot="1" x14ac:dyDescent="0.6">
      <c r="A8" s="12" t="s">
        <v>28</v>
      </c>
      <c r="B8" s="13"/>
      <c r="C8" s="13"/>
      <c r="D8" s="13"/>
      <c r="E8" s="14"/>
      <c r="F8" s="13"/>
      <c r="G8" s="14" t="s">
        <v>25</v>
      </c>
      <c r="H8" s="14" t="s">
        <v>26</v>
      </c>
      <c r="I8" s="14" t="s">
        <v>27</v>
      </c>
      <c r="J8" s="14" t="s">
        <v>21</v>
      </c>
      <c r="K8" s="21"/>
      <c r="M8" s="12" t="s">
        <v>28</v>
      </c>
      <c r="N8" s="13"/>
      <c r="O8" s="13"/>
      <c r="P8" s="13"/>
      <c r="Q8" s="14" t="s">
        <v>21</v>
      </c>
      <c r="R8" s="13"/>
      <c r="S8" s="14" t="s">
        <v>25</v>
      </c>
      <c r="T8" s="14" t="s">
        <v>26</v>
      </c>
      <c r="U8" s="14" t="s">
        <v>27</v>
      </c>
    </row>
    <row r="9" spans="1:21" x14ac:dyDescent="0.55000000000000004">
      <c r="B9" s="20"/>
      <c r="C9" s="20"/>
      <c r="D9" s="20"/>
      <c r="E9" s="21"/>
      <c r="F9" s="20"/>
      <c r="G9" s="21"/>
      <c r="H9" s="21"/>
      <c r="I9" s="21"/>
      <c r="M9" t="s">
        <v>32</v>
      </c>
      <c r="S9" s="29">
        <f>'LG&amp;E OH'!S9+'KU OH'!S9</f>
        <v>104622</v>
      </c>
      <c r="T9" s="29">
        <f>'LG&amp;E OH'!T9+'KU OH'!T9</f>
        <v>195898</v>
      </c>
      <c r="U9" s="29">
        <f>'LG&amp;E OH'!U9+'KU OH'!U9</f>
        <v>92631</v>
      </c>
    </row>
    <row r="10" spans="1:21" x14ac:dyDescent="0.55000000000000004">
      <c r="A10" t="s">
        <v>31</v>
      </c>
      <c r="B10" s="20"/>
      <c r="C10" s="20"/>
      <c r="D10" s="20"/>
      <c r="E10" s="21"/>
      <c r="F10" s="20"/>
      <c r="G10" s="23">
        <f>'LG&amp;E OH'!G10+'KU OH'!G10</f>
        <v>42672813.859999999</v>
      </c>
      <c r="H10" s="23">
        <f>'LG&amp;E OH'!H10+'KU OH'!H10</f>
        <v>159603939.05000001</v>
      </c>
      <c r="I10" s="23">
        <f>'LG&amp;E OH'!I10+'KU OH'!I10</f>
        <v>145470992.73000002</v>
      </c>
      <c r="J10" s="2">
        <f>SUM(G10:I10)</f>
        <v>347747745.64000005</v>
      </c>
      <c r="K10" s="2"/>
      <c r="M10" t="s">
        <v>103</v>
      </c>
      <c r="Q10" s="28">
        <f>'LG&amp;E OH'!Q10+'KU OH'!Q10</f>
        <v>657211862.35000002</v>
      </c>
      <c r="R10" s="30"/>
      <c r="S10" s="28">
        <f>'LG&amp;E OH'!S10+'KU OH'!S10</f>
        <v>42672813.859999999</v>
      </c>
      <c r="T10" s="28">
        <f>'LG&amp;E OH'!T10+'KU OH'!T10</f>
        <v>159603939.05000001</v>
      </c>
      <c r="U10" s="28">
        <f>'LG&amp;E OH'!U10+'KU OH'!U10</f>
        <v>145470992.73000002</v>
      </c>
    </row>
    <row r="11" spans="1:21" x14ac:dyDescent="0.55000000000000004">
      <c r="A11" t="s">
        <v>29</v>
      </c>
      <c r="G11" s="19">
        <v>0.15</v>
      </c>
      <c r="H11" s="19">
        <v>0.15</v>
      </c>
      <c r="I11" s="19">
        <v>0.15</v>
      </c>
      <c r="S11" s="22">
        <f>S10/$Q$10</f>
        <v>6.4930072484410628E-2</v>
      </c>
      <c r="T11" s="22">
        <f>T10/$Q$10</f>
        <v>0.24285005824347475</v>
      </c>
      <c r="U11" s="22">
        <f>U10/$Q$10</f>
        <v>0.22134565893232316</v>
      </c>
    </row>
    <row r="12" spans="1:21" x14ac:dyDescent="0.55000000000000004">
      <c r="A12" t="s">
        <v>79</v>
      </c>
      <c r="G12" s="2">
        <f>G10*(1-G11)</f>
        <v>36271891.780999996</v>
      </c>
      <c r="H12" s="2">
        <f>H10*(1-H11)</f>
        <v>135663348.1925</v>
      </c>
      <c r="I12" s="2">
        <f>I10*(1-I11)</f>
        <v>123650343.82050002</v>
      </c>
      <c r="J12" s="2">
        <f>SUM(G12:I12)</f>
        <v>295585583.79400003</v>
      </c>
      <c r="K12" s="17"/>
      <c r="M12" t="s">
        <v>0</v>
      </c>
      <c r="Q12" s="28">
        <f>'LG&amp;E OH'!Q12+'KU OH'!Q12</f>
        <v>249407805.96999997</v>
      </c>
      <c r="R12" s="22">
        <f>Q12/Q10</f>
        <v>0.37949376792772671</v>
      </c>
    </row>
    <row r="13" spans="1:21" x14ac:dyDescent="0.55000000000000004">
      <c r="A13" t="s">
        <v>0</v>
      </c>
      <c r="B13" s="20"/>
      <c r="C13" s="20"/>
      <c r="D13" s="20"/>
      <c r="E13" s="21"/>
      <c r="F13" s="20"/>
      <c r="G13" s="26">
        <f>G10*$R$26</f>
        <v>-15423130.811678998</v>
      </c>
      <c r="H13" s="26">
        <f>H10*$R$26</f>
        <v>-57685261.583717644</v>
      </c>
      <c r="I13" s="26">
        <f>I10*$R$26</f>
        <v>-52577225.339308687</v>
      </c>
      <c r="J13" s="11">
        <f>SUM(G13:I13)</f>
        <v>-125685617.73470533</v>
      </c>
      <c r="K13" s="11"/>
    </row>
    <row r="14" spans="1:21" x14ac:dyDescent="0.55000000000000004">
      <c r="A14" t="s">
        <v>29</v>
      </c>
      <c r="B14" s="20"/>
      <c r="C14" s="20"/>
      <c r="D14" s="20"/>
      <c r="E14" s="21"/>
      <c r="F14" s="20"/>
      <c r="G14" s="19">
        <v>0.15</v>
      </c>
      <c r="H14" s="19">
        <v>0.15</v>
      </c>
      <c r="I14" s="19">
        <v>0.15</v>
      </c>
      <c r="M14" t="s">
        <v>2</v>
      </c>
      <c r="Q14" s="1">
        <f>'LG&amp;E OH'!Q14+'KU OH'!Q14</f>
        <v>95505181.840000004</v>
      </c>
    </row>
    <row r="15" spans="1:21" x14ac:dyDescent="0.55000000000000004">
      <c r="A15" t="s">
        <v>80</v>
      </c>
      <c r="G15" s="1">
        <f>G13*(1-G14)</f>
        <v>-13109661.189927148</v>
      </c>
      <c r="H15" s="1">
        <f t="shared" ref="H15:I15" si="0">H13*(1-H14)</f>
        <v>-49032472.346159995</v>
      </c>
      <c r="I15" s="1">
        <f t="shared" si="0"/>
        <v>-44690641.538412385</v>
      </c>
      <c r="J15" s="2">
        <f>SUM(G15:I15)</f>
        <v>-106832775.07449952</v>
      </c>
      <c r="K15" s="2"/>
      <c r="L15" s="19"/>
    </row>
    <row r="16" spans="1:21" x14ac:dyDescent="0.55000000000000004">
      <c r="J16" s="3"/>
      <c r="K16" s="3"/>
      <c r="L16" s="16"/>
      <c r="M16" t="s">
        <v>3</v>
      </c>
      <c r="Q16" s="2">
        <f>Q10-Q12-Q14</f>
        <v>312298874.54000008</v>
      </c>
    </row>
    <row r="17" spans="1:18" x14ac:dyDescent="0.55000000000000004">
      <c r="A17" t="s">
        <v>1</v>
      </c>
      <c r="B17" s="20"/>
      <c r="C17" s="20"/>
      <c r="D17" s="20"/>
      <c r="E17" s="21"/>
      <c r="F17" s="20"/>
      <c r="G17" s="24">
        <f>G12+G15</f>
        <v>23162230.59107285</v>
      </c>
      <c r="H17" s="24">
        <f>H12+H15</f>
        <v>86630875.846340001</v>
      </c>
      <c r="I17" s="24">
        <f>I12+I15</f>
        <v>78959702.282087624</v>
      </c>
      <c r="J17" s="2">
        <f>SUM(G17:I17)</f>
        <v>188752808.71950048</v>
      </c>
      <c r="K17" s="2"/>
      <c r="L17" s="16"/>
    </row>
    <row r="18" spans="1:18" x14ac:dyDescent="0.55000000000000004">
      <c r="J18" s="19"/>
      <c r="K18" s="19"/>
      <c r="L18" s="16"/>
      <c r="M18" s="45" t="s">
        <v>75</v>
      </c>
      <c r="Q18" s="28">
        <f>'LG&amp;E OH'!Q18+'KU OH'!Q18</f>
        <v>454875.45999999996</v>
      </c>
      <c r="R18" s="19">
        <f>Q18/($Q$18+$Q$19)</f>
        <v>0.27331786431394323</v>
      </c>
    </row>
    <row r="19" spans="1:18" x14ac:dyDescent="0.55000000000000004">
      <c r="A19" t="s">
        <v>2</v>
      </c>
      <c r="G19" s="2">
        <f>G12*$R$27</f>
        <v>-5716450.144685599</v>
      </c>
      <c r="H19" s="2">
        <f>H12*$R$27</f>
        <v>-21380543.675137997</v>
      </c>
      <c r="I19" s="2">
        <f>I12*$R$27</f>
        <v>-19487294.186110802</v>
      </c>
      <c r="J19" s="47">
        <f>SUM(G19:I19)</f>
        <v>-46584288.005934402</v>
      </c>
      <c r="K19" s="47"/>
      <c r="L19" s="19"/>
      <c r="M19" s="45" t="s">
        <v>76</v>
      </c>
      <c r="Q19" s="28">
        <f>'LG&amp;E OH'!Q19+'KU OH'!Q19</f>
        <v>1209397.2400000002</v>
      </c>
      <c r="R19" s="19">
        <f>Q19/($Q$18+$Q$19)</f>
        <v>0.72668213568605677</v>
      </c>
    </row>
    <row r="20" spans="1:18" x14ac:dyDescent="0.55000000000000004">
      <c r="A20" t="s">
        <v>44</v>
      </c>
      <c r="G20" s="3">
        <f>(('CWC and Common'!$N$46+'CWC and Common'!$N$16)*S11)*0.85</f>
        <v>269596.87450149911</v>
      </c>
      <c r="H20" s="3">
        <f>(('CWC and Common'!$N$46+'CWC and Common'!$N$16)*T11)*0.85</f>
        <v>1008340.4217770926</v>
      </c>
      <c r="I20" s="3">
        <f>(('CWC and Common'!$N$46+'CWC and Common'!$N$16)*U11)*0.85</f>
        <v>919051.76675964124</v>
      </c>
      <c r="J20" s="3">
        <f>SUM(G20:I20)</f>
        <v>2196989.0630382327</v>
      </c>
      <c r="K20" s="3"/>
      <c r="L20" s="16"/>
      <c r="M20" t="s">
        <v>77</v>
      </c>
      <c r="Q20" s="28">
        <f>'LG&amp;E OH'!Q20+'KU OH'!Q20</f>
        <v>537201.54999999981</v>
      </c>
      <c r="R20" s="19">
        <f>Q20/($Q$20+$Q$21)</f>
        <v>1.9225389565992106E-2</v>
      </c>
    </row>
    <row r="21" spans="1:18" x14ac:dyDescent="0.55000000000000004">
      <c r="A21" t="s">
        <v>45</v>
      </c>
      <c r="G21" s="3">
        <f>(S11*('CWC and Common'!$N$59+'CWC and Common'!$N$29)*0.85)</f>
        <v>773794.99287370977</v>
      </c>
      <c r="H21" s="3">
        <f>(T11*('CWC and Common'!$N$59+'CWC and Common'!$N$29)*0.85)</f>
        <v>2894131.3615968507</v>
      </c>
      <c r="I21" s="3">
        <f>(U11*('CWC and Common'!$N$59+'CWC and Common'!$N$29)*0.85)</f>
        <v>2637855.7118858309</v>
      </c>
      <c r="J21" s="3">
        <f>SUM(G21:I21)</f>
        <v>6305782.0663563907</v>
      </c>
      <c r="K21" s="3"/>
      <c r="L21" s="16"/>
      <c r="M21" s="45" t="s">
        <v>78</v>
      </c>
      <c r="Q21" s="28">
        <f>'LG&amp;E OH'!Q21+'KU OH'!Q21</f>
        <v>27405095.699999992</v>
      </c>
      <c r="R21" s="19">
        <f>Q21/($Q$20+$Q$21)</f>
        <v>0.98077461043400782</v>
      </c>
    </row>
    <row r="22" spans="1:18" x14ac:dyDescent="0.55000000000000004">
      <c r="J22" s="19"/>
      <c r="K22" s="19"/>
      <c r="L22" s="16"/>
    </row>
    <row r="23" spans="1:18" x14ac:dyDescent="0.55000000000000004">
      <c r="A23" t="s">
        <v>3</v>
      </c>
      <c r="G23" s="2">
        <f>G17+G19+G20+G21</f>
        <v>18489172.31376246</v>
      </c>
      <c r="H23" s="2">
        <f>H17+H19+H20+H21</f>
        <v>69152803.954575941</v>
      </c>
      <c r="I23" s="2">
        <f>I17+I19+I20+I21</f>
        <v>63029315.574622296</v>
      </c>
      <c r="J23" s="2">
        <f>SUM(G23:I23)</f>
        <v>150671291.84296069</v>
      </c>
      <c r="K23" s="2"/>
      <c r="L23" s="16"/>
      <c r="M23" t="s">
        <v>33</v>
      </c>
      <c r="Q23" s="28">
        <f>'LG&amp;E OH'!Q23+'KU OH'!Q23</f>
        <v>12408865.66</v>
      </c>
    </row>
    <row r="24" spans="1:18" x14ac:dyDescent="0.55000000000000004">
      <c r="J24" s="19"/>
      <c r="K24" s="19"/>
      <c r="L24" s="16"/>
    </row>
    <row r="25" spans="1:18" x14ac:dyDescent="0.55000000000000004">
      <c r="A25" t="s">
        <v>19</v>
      </c>
      <c r="G25" s="60">
        <f>WACOC!D33</f>
        <v>7.1640775546880392E-2</v>
      </c>
      <c r="H25" s="22">
        <f>$G$25</f>
        <v>7.1640775546880392E-2</v>
      </c>
      <c r="I25" s="22">
        <f>$G$25</f>
        <v>7.1640775546880392E-2</v>
      </c>
      <c r="J25" s="19"/>
      <c r="K25" s="19"/>
      <c r="L25" s="16"/>
      <c r="M25" t="s">
        <v>88</v>
      </c>
      <c r="Q25" s="28">
        <f>'LG&amp;E OH'!Q25+'KU OH'!Q25</f>
        <v>700662511.07923019</v>
      </c>
    </row>
    <row r="26" spans="1:18" x14ac:dyDescent="0.55000000000000004">
      <c r="J26" s="19"/>
      <c r="K26" s="19"/>
      <c r="L26" s="16"/>
      <c r="M26" t="s">
        <v>36</v>
      </c>
      <c r="Q26" s="29">
        <f>'LG&amp;E OH'!Q26+'KU OH'!Q26</f>
        <v>-253238738.80611378</v>
      </c>
      <c r="R26" s="25">
        <f>Q26/Q25</f>
        <v>-0.36142755578010055</v>
      </c>
    </row>
    <row r="27" spans="1:18" x14ac:dyDescent="0.55000000000000004">
      <c r="A27" t="s">
        <v>7</v>
      </c>
      <c r="G27" s="1">
        <f>G23*G25</f>
        <v>1324578.6437778515</v>
      </c>
      <c r="H27" s="1">
        <f>H23*H25</f>
        <v>4954160.5065471977</v>
      </c>
      <c r="I27" s="1">
        <f>I23*I25</f>
        <v>4515469.0499550086</v>
      </c>
      <c r="J27" s="47">
        <f>SUM(G27:I27)</f>
        <v>10794208.200280057</v>
      </c>
      <c r="K27" s="47"/>
      <c r="L27" s="16"/>
      <c r="M27" t="s">
        <v>37</v>
      </c>
      <c r="Q27" s="29">
        <f>'LG&amp;E OH'!Q27+'KU OH'!Q27</f>
        <v>-106067469.96086001</v>
      </c>
      <c r="R27" s="22">
        <f>-0.1576</f>
        <v>-0.15759999999999999</v>
      </c>
    </row>
    <row r="28" spans="1:18" x14ac:dyDescent="0.55000000000000004">
      <c r="J28" s="19"/>
      <c r="K28" s="19"/>
      <c r="L28" s="16"/>
      <c r="M28" t="s">
        <v>38</v>
      </c>
      <c r="Q28" s="3">
        <f>Q25+Q26+Q27</f>
        <v>341356302.3122564</v>
      </c>
    </row>
    <row r="29" spans="1:18" x14ac:dyDescent="0.55000000000000004">
      <c r="A29" t="s">
        <v>5</v>
      </c>
      <c r="E29" s="59">
        <v>0.2495</v>
      </c>
      <c r="G29" s="1">
        <f>G23*WACOC!$D$12*$E$29/(1-$E$29)</f>
        <v>326632.10776809813</v>
      </c>
      <c r="H29" s="1">
        <f>H23*WACOC!$D$12*$E$29/(1-$E$29)</f>
        <v>1221662.3724656473</v>
      </c>
      <c r="I29" s="1">
        <f>I23*WACOC!D$12*$E$29/(1-$E$29)</f>
        <v>1113484.0353018513</v>
      </c>
      <c r="J29" s="47">
        <f>SUM(G29:I29)</f>
        <v>2661778.5155355968</v>
      </c>
      <c r="K29" s="47"/>
      <c r="L29" s="16"/>
    </row>
    <row r="30" spans="1:18" x14ac:dyDescent="0.55000000000000004">
      <c r="J30" s="19"/>
      <c r="K30" s="19"/>
      <c r="L30" s="16"/>
      <c r="M30" t="s">
        <v>41</v>
      </c>
      <c r="Q30" s="28">
        <f>'LG&amp;E OH'!Q30+'KU OH'!Q30</f>
        <v>43840668.874494448</v>
      </c>
    </row>
    <row r="31" spans="1:18" x14ac:dyDescent="0.55000000000000004">
      <c r="A31" t="s">
        <v>20</v>
      </c>
      <c r="G31" s="1">
        <f>($Q$36*S11)*0.85</f>
        <v>398916.9413123792</v>
      </c>
      <c r="H31" s="1">
        <f>($Q$36*T11)*0.85</f>
        <v>1492020.5495732313</v>
      </c>
      <c r="I31" s="1">
        <f>($Q$36*U11)*0.85</f>
        <v>1359901.966153749</v>
      </c>
      <c r="J31" s="47">
        <f>SUM(G31:I31)</f>
        <v>3250839.4570393595</v>
      </c>
      <c r="K31" s="47"/>
      <c r="M31" t="s">
        <v>39</v>
      </c>
      <c r="Q31" s="29">
        <f>'LG&amp;E OH'!Q31+'KU OH'!Q31</f>
        <v>8585487.4400000013</v>
      </c>
      <c r="R31" s="27"/>
    </row>
    <row r="32" spans="1:18" x14ac:dyDescent="0.55000000000000004">
      <c r="J32" s="19"/>
      <c r="K32" s="19"/>
      <c r="M32" t="s">
        <v>81</v>
      </c>
      <c r="Q32" s="11">
        <f>Q31*R18</f>
        <v>2346567.091194984</v>
      </c>
    </row>
    <row r="33" spans="1:18" x14ac:dyDescent="0.55000000000000004">
      <c r="A33" t="s">
        <v>4</v>
      </c>
      <c r="G33" s="2">
        <f>G12*$R$35</f>
        <v>714290.89405713789</v>
      </c>
      <c r="H33" s="2">
        <f>H12*$R$35</f>
        <v>2671575.4131678781</v>
      </c>
      <c r="I33" s="2">
        <f>I12*$R$35</f>
        <v>2435007.1171165821</v>
      </c>
      <c r="J33" s="2">
        <f>SUM(G33:I33)</f>
        <v>5820873.4243415985</v>
      </c>
      <c r="K33" s="2"/>
      <c r="M33" t="s">
        <v>40</v>
      </c>
      <c r="Q33" s="29">
        <f>'LG&amp;E OH'!Q33+'KU OH'!Q33</f>
        <v>27248424.000000004</v>
      </c>
      <c r="R33" s="27"/>
    </row>
    <row r="34" spans="1:18" x14ac:dyDescent="0.55000000000000004">
      <c r="J34" s="18"/>
      <c r="K34" s="18"/>
      <c r="M34" t="s">
        <v>82</v>
      </c>
      <c r="Q34" s="11">
        <f>Q33*R20</f>
        <v>523861.56645932898</v>
      </c>
    </row>
    <row r="35" spans="1:18" x14ac:dyDescent="0.55000000000000004">
      <c r="A35" t="s">
        <v>34</v>
      </c>
      <c r="G35" s="2">
        <f>($Q$31*S11)*0.85</f>
        <v>473837.87352421752</v>
      </c>
      <c r="H35" s="2">
        <f>($Q$31*T11)*0.85</f>
        <v>1772238.2061247281</v>
      </c>
      <c r="I35" s="2">
        <f>($Q$31*U11)*0.85</f>
        <v>1615306.3184626868</v>
      </c>
      <c r="J35" s="2">
        <f>SUM(G35:I35)</f>
        <v>3861382.3981116321</v>
      </c>
      <c r="K35" s="2"/>
      <c r="M35" t="s">
        <v>42</v>
      </c>
      <c r="Q35" s="29">
        <f>'LG&amp;E OH'!Q35+'KU OH'!Q35</f>
        <v>13797925.250021376</v>
      </c>
      <c r="R35" s="22">
        <f>Q35/Q25</f>
        <v>1.9692683755505109E-2</v>
      </c>
    </row>
    <row r="36" spans="1:18" x14ac:dyDescent="0.55000000000000004">
      <c r="A36" t="s">
        <v>35</v>
      </c>
      <c r="G36" s="3">
        <f>($Q$33*S11)*0.85</f>
        <v>1503855.8235950612</v>
      </c>
      <c r="H36" s="3">
        <f>($Q$33*T11)*0.85</f>
        <v>5624689.1521264622</v>
      </c>
      <c r="I36" s="3">
        <f>($Q$33*U11)*0.85</f>
        <v>5126622.3103752304</v>
      </c>
      <c r="J36" s="2">
        <f>SUM(G36:I36)</f>
        <v>12255167.286096754</v>
      </c>
      <c r="K36" s="2"/>
      <c r="M36" t="s">
        <v>43</v>
      </c>
      <c r="Q36" s="29">
        <f>'LG&amp;E OH'!Q36+'KU OH'!Q36</f>
        <v>7227992.0635461928</v>
      </c>
    </row>
    <row r="37" spans="1:18" x14ac:dyDescent="0.55000000000000004">
      <c r="A37" t="s">
        <v>85</v>
      </c>
      <c r="G37" s="3">
        <f>(($Q$32+$Q$34)/$Q$37)*(0.85*$Q$38)*(G17/$J$17)</f>
        <v>240949.64674459581</v>
      </c>
      <c r="H37" s="3">
        <f>(($Q$32+$Q$34)/$Q$37)*(0.85*$Q$38)*(H17/$J$17)</f>
        <v>901194.67770067288</v>
      </c>
      <c r="I37" s="3">
        <f>(($Q$32+$Q$34)/$Q$37)*(0.85*$Q$38)*(I17/$J$17)</f>
        <v>821393.79008082987</v>
      </c>
      <c r="J37" s="2">
        <f>SUM(G37:I37)</f>
        <v>1963538.1145260986</v>
      </c>
      <c r="K37" s="2"/>
      <c r="M37" t="s">
        <v>86</v>
      </c>
      <c r="Q37" s="29">
        <f>'LG&amp;E OH'!Q37+'KU OH'!Q37</f>
        <v>246596278.20892331</v>
      </c>
    </row>
    <row r="38" spans="1:18" x14ac:dyDescent="0.55000000000000004">
      <c r="J38" s="18"/>
      <c r="K38" s="18"/>
      <c r="M38" t="s">
        <v>87</v>
      </c>
      <c r="Q38" s="28">
        <f>'LG&amp;E OH'!Q38+'KU OH'!Q38</f>
        <v>198454143.31177533</v>
      </c>
    </row>
    <row r="39" spans="1:18" x14ac:dyDescent="0.55000000000000004">
      <c r="A39" t="s">
        <v>6</v>
      </c>
      <c r="G39" s="2">
        <f>G27+G29+G31+G33+G35+G36+G37</f>
        <v>4983061.9307793416</v>
      </c>
      <c r="H39" s="2">
        <f>H27+H29+H31+H33+H35+H36+H37</f>
        <v>18637540.87770582</v>
      </c>
      <c r="I39" s="2">
        <f>I27+I29+I31+I33+I35+I36+I37</f>
        <v>16987184.587445937</v>
      </c>
      <c r="J39" s="48">
        <f>SUM(G39:I39)</f>
        <v>40607787.395931095</v>
      </c>
      <c r="K39" s="48"/>
    </row>
    <row r="40" spans="1:18" x14ac:dyDescent="0.55000000000000004">
      <c r="J40" s="4"/>
      <c r="K40" s="4"/>
    </row>
    <row r="41" spans="1:18" x14ac:dyDescent="0.55000000000000004">
      <c r="A41" t="s">
        <v>32</v>
      </c>
      <c r="G41" s="3">
        <f>S9</f>
        <v>104622</v>
      </c>
      <c r="H41" s="3">
        <f t="shared" ref="H41:I41" si="1">T9</f>
        <v>195898</v>
      </c>
      <c r="I41" s="3">
        <f t="shared" si="1"/>
        <v>92631</v>
      </c>
      <c r="J41" s="11">
        <f>SUM(G41:I41)</f>
        <v>393151</v>
      </c>
      <c r="K41" s="11"/>
      <c r="L41" s="25"/>
    </row>
    <row r="42" spans="1:18" x14ac:dyDescent="0.55000000000000004">
      <c r="J42" s="2"/>
      <c r="K42" s="2"/>
      <c r="L42" s="66"/>
    </row>
    <row r="43" spans="1:18" x14ac:dyDescent="0.55000000000000004">
      <c r="A43" t="s">
        <v>30</v>
      </c>
      <c r="G43" s="18">
        <f>(G39/G41)</f>
        <v>47.629197786118993</v>
      </c>
      <c r="H43" s="18">
        <f>(H39/H41)</f>
        <v>95.139005389058696</v>
      </c>
      <c r="I43" s="18">
        <f>(I39/I41)</f>
        <v>183.38552522855133</v>
      </c>
      <c r="J43" s="18">
        <f>(J39/J41)</f>
        <v>103.28801757068173</v>
      </c>
      <c r="K43" s="18"/>
      <c r="L43" s="16"/>
    </row>
    <row r="45" spans="1:18" x14ac:dyDescent="0.55000000000000004">
      <c r="A45" t="s">
        <v>99</v>
      </c>
      <c r="G45" s="75">
        <v>1</v>
      </c>
      <c r="H45" s="75">
        <v>1</v>
      </c>
      <c r="I45" s="75">
        <v>1</v>
      </c>
      <c r="J45" s="75">
        <v>1</v>
      </c>
    </row>
    <row r="47" spans="1:18" x14ac:dyDescent="0.55000000000000004">
      <c r="A47" t="s">
        <v>100</v>
      </c>
      <c r="G47">
        <v>13.17</v>
      </c>
      <c r="H47">
        <v>13.17</v>
      </c>
      <c r="I47">
        <v>13.17</v>
      </c>
      <c r="J47">
        <v>13.17</v>
      </c>
    </row>
    <row r="49" spans="1:12" x14ac:dyDescent="0.55000000000000004">
      <c r="A49" t="s">
        <v>101</v>
      </c>
      <c r="G49" s="74">
        <f>G45/G47</f>
        <v>7.5930144267274111E-2</v>
      </c>
      <c r="H49" s="74">
        <f t="shared" ref="H49:J49" si="2">H45/H47</f>
        <v>7.5930144267274111E-2</v>
      </c>
      <c r="I49" s="74">
        <f t="shared" si="2"/>
        <v>7.5930144267274111E-2</v>
      </c>
      <c r="J49" s="74">
        <f t="shared" si="2"/>
        <v>7.5930144267274111E-2</v>
      </c>
    </row>
    <row r="50" spans="1:12" ht="14.7" thickBot="1" x14ac:dyDescent="0.6"/>
    <row r="51" spans="1:12" ht="14.7" thickBot="1" x14ac:dyDescent="0.6">
      <c r="A51" s="20" t="s">
        <v>84</v>
      </c>
      <c r="B51" s="20"/>
      <c r="C51" s="20"/>
      <c r="D51" s="20"/>
      <c r="E51" s="20"/>
      <c r="F51" s="20"/>
      <c r="G51" s="32">
        <f>G43*G49</f>
        <v>3.6164918592345479</v>
      </c>
      <c r="H51" s="32">
        <f>H43*H49</f>
        <v>7.2239184046361959</v>
      </c>
      <c r="I51" s="32">
        <f>I43*I49</f>
        <v>13.924489387133738</v>
      </c>
      <c r="J51" s="65">
        <f>J43*J49</f>
        <v>7.8426740752226074</v>
      </c>
      <c r="K51" s="35"/>
      <c r="L51" s="20"/>
    </row>
    <row r="52" spans="1:12" x14ac:dyDescent="0.55000000000000004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x14ac:dyDescent="0.55000000000000004">
      <c r="A53" s="20"/>
      <c r="B53" s="20"/>
      <c r="C53" s="20"/>
      <c r="D53" s="20"/>
      <c r="E53" s="20"/>
      <c r="F53" s="20"/>
      <c r="G53" s="32"/>
      <c r="H53" s="32"/>
      <c r="I53" s="32"/>
      <c r="J53" s="32"/>
      <c r="K53" s="32"/>
      <c r="L53" s="20"/>
    </row>
    <row r="54" spans="1:12" x14ac:dyDescent="0.55000000000000004">
      <c r="A54" s="20"/>
      <c r="B54" s="20"/>
      <c r="C54" s="20"/>
      <c r="D54" s="20"/>
      <c r="E54" s="20"/>
      <c r="F54" s="20"/>
      <c r="G54" s="57"/>
      <c r="H54" s="57"/>
      <c r="I54" s="57"/>
      <c r="J54" s="57"/>
      <c r="K54" s="57"/>
      <c r="L54" s="20"/>
    </row>
    <row r="55" spans="1:12" x14ac:dyDescent="0.55000000000000004">
      <c r="A55" s="20"/>
      <c r="B55" s="20"/>
      <c r="C55" s="20"/>
      <c r="D55" s="20"/>
      <c r="E55" s="20"/>
      <c r="F55" s="20"/>
      <c r="G55" s="32"/>
      <c r="H55" s="32"/>
      <c r="I55" s="32"/>
      <c r="J55" s="32"/>
      <c r="K55" s="32"/>
      <c r="L55" s="20"/>
    </row>
    <row r="56" spans="1:12" x14ac:dyDescent="0.55000000000000004">
      <c r="A56" s="20"/>
      <c r="B56" s="20"/>
      <c r="C56" s="20"/>
      <c r="D56" s="20"/>
      <c r="E56" s="20"/>
      <c r="F56" s="20"/>
      <c r="G56" s="57"/>
      <c r="H56" s="57"/>
      <c r="I56" s="57"/>
      <c r="J56" s="57"/>
      <c r="K56" s="57"/>
      <c r="L56" s="20"/>
    </row>
    <row r="57" spans="1:12" x14ac:dyDescent="0.55000000000000004">
      <c r="A57" s="20"/>
      <c r="B57" s="20"/>
      <c r="C57" s="20"/>
      <c r="D57" s="20"/>
      <c r="E57" s="20"/>
      <c r="F57" s="20"/>
      <c r="G57" s="31"/>
      <c r="H57" s="31"/>
      <c r="I57" s="31"/>
      <c r="J57" s="31"/>
      <c r="K57" s="31"/>
      <c r="L57" s="33"/>
    </row>
    <row r="58" spans="1:12" x14ac:dyDescent="0.55000000000000004">
      <c r="A58" s="20"/>
      <c r="B58" s="20"/>
      <c r="C58" s="20"/>
      <c r="D58" s="20"/>
      <c r="E58" s="20"/>
      <c r="F58" s="20"/>
      <c r="G58" s="32"/>
      <c r="H58" s="32"/>
      <c r="I58" s="32"/>
      <c r="J58" s="32"/>
      <c r="K58" s="32"/>
      <c r="L58" s="20"/>
    </row>
    <row r="59" spans="1:12" x14ac:dyDescent="0.55000000000000004">
      <c r="A59" s="20"/>
      <c r="B59" s="20"/>
      <c r="C59" s="20"/>
      <c r="D59" s="20"/>
      <c r="E59" s="20"/>
      <c r="F59" s="20"/>
      <c r="G59" s="32"/>
      <c r="H59" s="32"/>
      <c r="I59" s="32"/>
      <c r="J59" s="32"/>
      <c r="K59" s="32"/>
      <c r="L59" s="20"/>
    </row>
    <row r="60" spans="1:12" x14ac:dyDescent="0.55000000000000004">
      <c r="A60" s="20"/>
      <c r="B60" s="20"/>
      <c r="C60" s="20"/>
      <c r="D60" s="20"/>
      <c r="E60" s="20"/>
      <c r="F60" s="20"/>
      <c r="G60" s="32"/>
      <c r="H60" s="32"/>
      <c r="I60" s="32"/>
      <c r="J60" s="32"/>
      <c r="K60" s="32"/>
      <c r="L60" s="20"/>
    </row>
    <row r="61" spans="1:12" x14ac:dyDescent="0.55000000000000004">
      <c r="A61" s="20"/>
      <c r="B61" s="20"/>
      <c r="C61" s="20"/>
      <c r="D61" s="20"/>
      <c r="E61" s="20"/>
      <c r="F61" s="20"/>
      <c r="G61" s="34"/>
      <c r="H61" s="34"/>
      <c r="I61" s="34"/>
      <c r="J61" s="34"/>
      <c r="K61" s="34"/>
      <c r="L61" s="33"/>
    </row>
    <row r="62" spans="1:12" x14ac:dyDescent="0.55000000000000004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x14ac:dyDescent="0.55000000000000004">
      <c r="A63" s="20"/>
      <c r="B63" s="20"/>
      <c r="C63" s="20"/>
      <c r="D63" s="20"/>
      <c r="E63" s="20"/>
      <c r="F63" s="20"/>
      <c r="G63" s="32"/>
      <c r="H63" s="32"/>
      <c r="I63" s="32"/>
      <c r="J63" s="35"/>
      <c r="K63" s="35"/>
      <c r="L63" s="20"/>
    </row>
    <row r="64" spans="1:12" x14ac:dyDescent="0.5500000000000000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x14ac:dyDescent="0.55000000000000004">
      <c r="A65" s="20"/>
      <c r="B65" s="20"/>
      <c r="C65" s="20"/>
      <c r="D65" s="20"/>
      <c r="E65" s="20"/>
      <c r="F65" s="20"/>
      <c r="G65" s="34"/>
      <c r="H65" s="34"/>
      <c r="I65" s="34"/>
      <c r="J65" s="34"/>
      <c r="K65" s="34"/>
      <c r="L65" s="33"/>
    </row>
    <row r="66" spans="1:12" x14ac:dyDescent="0.55000000000000004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x14ac:dyDescent="0.55000000000000004">
      <c r="A67" s="20"/>
      <c r="B67" s="20"/>
      <c r="C67" s="20"/>
      <c r="D67" s="20"/>
      <c r="E67" s="20"/>
      <c r="F67" s="20"/>
      <c r="G67" s="32"/>
      <c r="H67" s="32"/>
      <c r="I67" s="32"/>
      <c r="J67" s="35"/>
      <c r="K67" s="35"/>
      <c r="L67" s="20"/>
    </row>
  </sheetData>
  <pageMargins left="0.7" right="0.7" top="0.75" bottom="0.75" header="0.3" footer="0.3"/>
  <pageSetup scale="84" orientation="portrait" horizontalDpi="4294967295" verticalDpi="4294967295" r:id="rId1"/>
  <headerFooter>
    <oddHeader>&amp;R&amp;"-,Bold"&amp;12Exhibit WSS-16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view="pageBreakPreview" zoomScaleNormal="100" zoomScaleSheetLayoutView="100" workbookViewId="0"/>
  </sheetViews>
  <sheetFormatPr defaultRowHeight="14.4" x14ac:dyDescent="0.55000000000000004"/>
  <cols>
    <col min="5" max="5" width="8" bestFit="1" customWidth="1"/>
    <col min="6" max="6" width="3.41796875" customWidth="1"/>
    <col min="7" max="9" width="15.26171875" customWidth="1"/>
    <col min="10" max="10" width="15.15625" bestFit="1" customWidth="1"/>
    <col min="11" max="11" width="1.578125" customWidth="1"/>
    <col min="12" max="12" width="4.578125" bestFit="1" customWidth="1"/>
    <col min="13" max="13" width="18.26171875" customWidth="1"/>
    <col min="14" max="16" width="10.83984375" customWidth="1"/>
    <col min="17" max="17" width="15.26171875" style="30" bestFit="1" customWidth="1"/>
    <col min="18" max="18" width="7.68359375" style="30" bestFit="1" customWidth="1"/>
    <col min="19" max="19" width="12.578125" style="30" bestFit="1" customWidth="1"/>
    <col min="20" max="21" width="12.578125" bestFit="1" customWidth="1"/>
  </cols>
  <sheetData>
    <row r="1" spans="1:21" ht="15.6" x14ac:dyDescent="0.6">
      <c r="A1" s="15" t="s">
        <v>15</v>
      </c>
    </row>
    <row r="2" spans="1:21" x14ac:dyDescent="0.55000000000000004">
      <c r="A2" t="s">
        <v>98</v>
      </c>
    </row>
    <row r="3" spans="1:21" x14ac:dyDescent="0.55000000000000004">
      <c r="A3" s="109" t="s">
        <v>104</v>
      </c>
    </row>
    <row r="7" spans="1:21" x14ac:dyDescent="0.55000000000000004">
      <c r="E7" s="4"/>
      <c r="G7" s="4"/>
      <c r="H7" s="4"/>
      <c r="I7" s="4"/>
      <c r="Q7" s="103"/>
      <c r="S7" s="103"/>
      <c r="T7" s="4"/>
      <c r="U7" s="4"/>
    </row>
    <row r="8" spans="1:21" ht="14.7" thickBot="1" x14ac:dyDescent="0.6">
      <c r="A8" s="12" t="s">
        <v>28</v>
      </c>
      <c r="B8" s="13"/>
      <c r="C8" s="13"/>
      <c r="D8" s="13"/>
      <c r="E8" s="14"/>
      <c r="F8" s="13"/>
      <c r="G8" s="14" t="s">
        <v>25</v>
      </c>
      <c r="H8" s="14" t="s">
        <v>26</v>
      </c>
      <c r="I8" s="14" t="s">
        <v>27</v>
      </c>
      <c r="J8" s="14" t="s">
        <v>21</v>
      </c>
      <c r="K8" s="21"/>
      <c r="M8" s="12" t="s">
        <v>28</v>
      </c>
      <c r="N8" s="13"/>
      <c r="O8" s="13"/>
      <c r="P8" s="13"/>
      <c r="Q8" s="104" t="s">
        <v>21</v>
      </c>
      <c r="R8" s="105"/>
      <c r="S8" s="104" t="s">
        <v>25</v>
      </c>
      <c r="T8" s="14" t="s">
        <v>26</v>
      </c>
      <c r="U8" s="14" t="s">
        <v>27</v>
      </c>
    </row>
    <row r="9" spans="1:21" x14ac:dyDescent="0.55000000000000004">
      <c r="A9" s="58"/>
      <c r="B9" s="58"/>
      <c r="C9" s="58"/>
      <c r="D9" s="58"/>
      <c r="E9" s="137"/>
      <c r="F9" s="58"/>
      <c r="G9" s="137"/>
      <c r="H9" s="137"/>
      <c r="I9" s="137"/>
      <c r="J9" s="58"/>
      <c r="M9" t="s">
        <v>32</v>
      </c>
      <c r="S9" s="29">
        <v>23531</v>
      </c>
      <c r="T9" s="71">
        <v>58577</v>
      </c>
      <c r="U9" s="71">
        <v>24826</v>
      </c>
    </row>
    <row r="10" spans="1:21" x14ac:dyDescent="0.55000000000000004">
      <c r="A10" s="20" t="s">
        <v>31</v>
      </c>
      <c r="B10" s="20"/>
      <c r="C10" s="20"/>
      <c r="D10" s="20"/>
      <c r="E10" s="21"/>
      <c r="F10" s="20"/>
      <c r="G10" s="23">
        <f>S10</f>
        <v>15969925.860000001</v>
      </c>
      <c r="H10" s="23">
        <f>T10</f>
        <v>41771482.050000004</v>
      </c>
      <c r="I10" s="23">
        <f>U10</f>
        <v>51271059.730000004</v>
      </c>
      <c r="J10" s="138">
        <f>SUM(G10:I10)</f>
        <v>109012467.64000002</v>
      </c>
      <c r="K10" s="2"/>
      <c r="M10" t="s">
        <v>103</v>
      </c>
      <c r="Q10" s="28">
        <v>234426759.52000001</v>
      </c>
      <c r="S10" s="28">
        <v>15969925.860000001</v>
      </c>
      <c r="T10" s="70">
        <v>41771482.050000004</v>
      </c>
      <c r="U10" s="70">
        <v>51271059.730000004</v>
      </c>
    </row>
    <row r="11" spans="1:21" x14ac:dyDescent="0.55000000000000004">
      <c r="A11" s="20" t="s">
        <v>29</v>
      </c>
      <c r="B11" s="20"/>
      <c r="C11" s="20"/>
      <c r="D11" s="20"/>
      <c r="E11" s="20"/>
      <c r="F11" s="20"/>
      <c r="G11" s="139">
        <v>0.15</v>
      </c>
      <c r="H11" s="139">
        <v>0.15</v>
      </c>
      <c r="I11" s="139">
        <v>0.15</v>
      </c>
      <c r="J11" s="20"/>
      <c r="S11" s="60">
        <f>S10/$Q$10</f>
        <v>6.8123305942969933E-2</v>
      </c>
      <c r="T11" s="22">
        <f>T10/$Q$10</f>
        <v>0.17818563945314567</v>
      </c>
      <c r="U11" s="22">
        <f>U10/$Q$10</f>
        <v>0.21870822185564459</v>
      </c>
    </row>
    <row r="12" spans="1:21" x14ac:dyDescent="0.55000000000000004">
      <c r="A12" s="20" t="s">
        <v>79</v>
      </c>
      <c r="B12" s="20"/>
      <c r="C12" s="20"/>
      <c r="D12" s="20"/>
      <c r="E12" s="20"/>
      <c r="F12" s="20"/>
      <c r="G12" s="140">
        <f>G10*(1-G11)</f>
        <v>13574436.981000001</v>
      </c>
      <c r="H12" s="140">
        <f>H10*(1-H11)</f>
        <v>35505759.7425</v>
      </c>
      <c r="I12" s="140">
        <f>I10*(1-I11)</f>
        <v>43580400.770500004</v>
      </c>
      <c r="J12" s="140">
        <f>SUM(G12:I12)</f>
        <v>92660597.494000003</v>
      </c>
      <c r="K12" s="17"/>
      <c r="M12" t="s">
        <v>0</v>
      </c>
      <c r="Q12" s="110">
        <v>83551946.079999998</v>
      </c>
      <c r="R12" s="60">
        <f>Q12/Q10</f>
        <v>0.35640959355952623</v>
      </c>
    </row>
    <row r="13" spans="1:21" x14ac:dyDescent="0.55000000000000004">
      <c r="A13" s="20" t="s">
        <v>0</v>
      </c>
      <c r="B13" s="20"/>
      <c r="C13" s="20"/>
      <c r="D13" s="20"/>
      <c r="E13" s="21"/>
      <c r="F13" s="20"/>
      <c r="G13" s="26">
        <f>G10*$R$26</f>
        <v>-5381582.9429050162</v>
      </c>
      <c r="H13" s="26">
        <f>H10*$R$26</f>
        <v>-14076251.653941184</v>
      </c>
      <c r="I13" s="26">
        <f>I10*$R$26</f>
        <v>-17277441.543966711</v>
      </c>
      <c r="J13" s="101">
        <f>SUM(G13:I13)</f>
        <v>-36735276.140812911</v>
      </c>
      <c r="K13" s="11"/>
    </row>
    <row r="14" spans="1:21" x14ac:dyDescent="0.55000000000000004">
      <c r="A14" s="20" t="s">
        <v>29</v>
      </c>
      <c r="B14" s="20"/>
      <c r="C14" s="20"/>
      <c r="D14" s="20"/>
      <c r="E14" s="21"/>
      <c r="F14" s="20"/>
      <c r="G14" s="139">
        <v>0.15</v>
      </c>
      <c r="H14" s="139">
        <v>0.15</v>
      </c>
      <c r="I14" s="139">
        <v>0.15</v>
      </c>
      <c r="J14" s="20"/>
      <c r="M14" t="s">
        <v>2</v>
      </c>
      <c r="Q14" s="110">
        <v>33312022.550000001</v>
      </c>
    </row>
    <row r="15" spans="1:21" x14ac:dyDescent="0.55000000000000004">
      <c r="A15" s="20" t="s">
        <v>80</v>
      </c>
      <c r="B15" s="20"/>
      <c r="C15" s="20"/>
      <c r="D15" s="20"/>
      <c r="E15" s="20"/>
      <c r="F15" s="20"/>
      <c r="G15" s="57">
        <f>G13*(1-G14)</f>
        <v>-4574345.5014692638</v>
      </c>
      <c r="H15" s="57">
        <f t="shared" ref="H15:I15" si="0">H13*(1-H14)</f>
        <v>-11964813.905850006</v>
      </c>
      <c r="I15" s="57">
        <f t="shared" si="0"/>
        <v>-14685825.312371703</v>
      </c>
      <c r="J15" s="138">
        <f>SUM(G15:I15)</f>
        <v>-31224984.719690971</v>
      </c>
      <c r="K15" s="2"/>
      <c r="L15" s="19">
        <f>-J15/J10</f>
        <v>0.28643498671002993</v>
      </c>
    </row>
    <row r="16" spans="1:21" x14ac:dyDescent="0.55000000000000004">
      <c r="A16" s="20"/>
      <c r="B16" s="20"/>
      <c r="C16" s="20"/>
      <c r="D16" s="20"/>
      <c r="E16" s="20"/>
      <c r="F16" s="20"/>
      <c r="G16" s="20"/>
      <c r="H16" s="20"/>
      <c r="I16" s="20"/>
      <c r="J16" s="31"/>
      <c r="K16" s="3"/>
      <c r="L16" s="16"/>
      <c r="M16" t="s">
        <v>3</v>
      </c>
      <c r="Q16" s="106">
        <f>Q10-Q12-Q14</f>
        <v>117562790.89</v>
      </c>
    </row>
    <row r="17" spans="1:18" x14ac:dyDescent="0.55000000000000004">
      <c r="A17" s="20" t="s">
        <v>1</v>
      </c>
      <c r="B17" s="20"/>
      <c r="C17" s="20"/>
      <c r="D17" s="20"/>
      <c r="E17" s="21"/>
      <c r="F17" s="20"/>
      <c r="G17" s="24">
        <f>G12+G15</f>
        <v>9000091.4795307368</v>
      </c>
      <c r="H17" s="24">
        <f>H12+H15</f>
        <v>23540945.836649992</v>
      </c>
      <c r="I17" s="24">
        <f>I12+I15</f>
        <v>28894575.458128303</v>
      </c>
      <c r="J17" s="138">
        <f>SUM(G17:I17)</f>
        <v>61435612.774309032</v>
      </c>
      <c r="K17" s="2"/>
      <c r="L17" s="16"/>
    </row>
    <row r="18" spans="1:18" x14ac:dyDescent="0.55000000000000004">
      <c r="A18" s="20"/>
      <c r="B18" s="20"/>
      <c r="C18" s="20"/>
      <c r="D18" s="20"/>
      <c r="E18" s="20"/>
      <c r="F18" s="20"/>
      <c r="G18" s="20"/>
      <c r="H18" s="20"/>
      <c r="I18" s="20"/>
      <c r="J18" s="139"/>
      <c r="K18" s="19"/>
      <c r="L18" s="16"/>
      <c r="M18" s="45" t="s">
        <v>75</v>
      </c>
      <c r="Q18" s="28">
        <v>390614.24</v>
      </c>
      <c r="R18" s="67">
        <f>Q18/($Q$18+$Q$19)</f>
        <v>0.42076119927779931</v>
      </c>
    </row>
    <row r="19" spans="1:18" x14ac:dyDescent="0.55000000000000004">
      <c r="A19" s="20" t="s">
        <v>2</v>
      </c>
      <c r="B19" s="20"/>
      <c r="C19" s="20"/>
      <c r="D19" s="20"/>
      <c r="E19" s="20"/>
      <c r="F19" s="20"/>
      <c r="G19" s="138">
        <f>G12*$R$27</f>
        <v>-2070502.7575282452</v>
      </c>
      <c r="H19" s="138">
        <f>H12*$R$27</f>
        <v>-5415677.5384407826</v>
      </c>
      <c r="I19" s="138">
        <f>I12*$R$27</f>
        <v>-6647298.896875428</v>
      </c>
      <c r="J19" s="141">
        <f>SUM(G19:I19)</f>
        <v>-14133479.192844456</v>
      </c>
      <c r="K19" s="47"/>
      <c r="L19" s="19">
        <f>-J19/J12</f>
        <v>0.15252954950737968</v>
      </c>
      <c r="M19" s="45" t="s">
        <v>76</v>
      </c>
      <c r="Q19" s="28">
        <v>537737.14</v>
      </c>
      <c r="R19" s="67">
        <f>Q19/($Q$18+$Q$19)</f>
        <v>0.57923880072220069</v>
      </c>
    </row>
    <row r="20" spans="1:18" x14ac:dyDescent="0.55000000000000004">
      <c r="A20" s="20" t="s">
        <v>44</v>
      </c>
      <c r="B20" s="20"/>
      <c r="C20" s="20"/>
      <c r="D20" s="20"/>
      <c r="E20" s="20"/>
      <c r="F20" s="20"/>
      <c r="G20" s="142">
        <f>('CWC and Common'!$N$16*S11)*0.85</f>
        <v>113116.68408075509</v>
      </c>
      <c r="H20" s="142">
        <f>('CWC and Common'!$N$16*T11)*0.85</f>
        <v>295871.85188314848</v>
      </c>
      <c r="I20" s="142">
        <f>('CWC and Common'!$N$16*U11)*0.85</f>
        <v>363158.37135413825</v>
      </c>
      <c r="J20" s="31">
        <f>SUM(G20:I20)</f>
        <v>772146.90731804189</v>
      </c>
      <c r="K20" s="3"/>
      <c r="L20" s="16"/>
      <c r="M20" t="s">
        <v>77</v>
      </c>
      <c r="Q20" s="28">
        <v>144995.72000000003</v>
      </c>
      <c r="R20" s="67">
        <f>Q20/($Q$20+$Q$21)</f>
        <v>1.5826712095648555E-2</v>
      </c>
    </row>
    <row r="21" spans="1:18" x14ac:dyDescent="0.55000000000000004">
      <c r="A21" s="20" t="s">
        <v>45</v>
      </c>
      <c r="B21" s="20"/>
      <c r="C21" s="20"/>
      <c r="D21" s="20"/>
      <c r="E21" s="20"/>
      <c r="F21" s="20"/>
      <c r="G21" s="142">
        <f>(S11*'CWC and Common'!$N$29)*0.85</f>
        <v>310000.33349456725</v>
      </c>
      <c r="H21" s="142">
        <f>(T11*'CWC and Common'!$N$29)*0.85</f>
        <v>810847.43157738924</v>
      </c>
      <c r="I21" s="142">
        <f>(U11*'CWC and Common'!$N$29)*0.85</f>
        <v>995248.55370367237</v>
      </c>
      <c r="J21" s="31">
        <f>SUM(G21:I21)</f>
        <v>2116096.3187756287</v>
      </c>
      <c r="K21" s="3"/>
      <c r="L21" s="16"/>
      <c r="M21" s="45" t="s">
        <v>78</v>
      </c>
      <c r="Q21" s="28">
        <v>9016459.8699999973</v>
      </c>
      <c r="R21" s="67">
        <f>Q21/($Q$20+$Q$21)</f>
        <v>0.98417328790435132</v>
      </c>
    </row>
    <row r="22" spans="1:18" x14ac:dyDescent="0.55000000000000004">
      <c r="A22" s="20"/>
      <c r="B22" s="20"/>
      <c r="C22" s="20"/>
      <c r="D22" s="20"/>
      <c r="E22" s="20"/>
      <c r="F22" s="20"/>
      <c r="G22" s="20"/>
      <c r="H22" s="20"/>
      <c r="I22" s="20"/>
      <c r="J22" s="139"/>
      <c r="K22" s="19"/>
      <c r="L22" s="16"/>
    </row>
    <row r="23" spans="1:18" x14ac:dyDescent="0.55000000000000004">
      <c r="A23" s="20" t="s">
        <v>3</v>
      </c>
      <c r="B23" s="20"/>
      <c r="C23" s="20"/>
      <c r="D23" s="20"/>
      <c r="E23" s="20"/>
      <c r="F23" s="20"/>
      <c r="G23" s="138">
        <f>G17+G19+G20+G21</f>
        <v>7352705.739577814</v>
      </c>
      <c r="H23" s="138">
        <f>H17+H19+H20+H21</f>
        <v>19231987.581669744</v>
      </c>
      <c r="I23" s="138">
        <f>I17+I19+I20+I21</f>
        <v>23605683.486310687</v>
      </c>
      <c r="J23" s="138">
        <f>SUM(G23:I23)</f>
        <v>50190376.807558246</v>
      </c>
      <c r="K23" s="2"/>
      <c r="L23" s="16"/>
      <c r="M23" t="s">
        <v>33</v>
      </c>
      <c r="Q23" s="110">
        <v>6016948.9500000002</v>
      </c>
    </row>
    <row r="24" spans="1:18" x14ac:dyDescent="0.55000000000000004">
      <c r="A24" s="20"/>
      <c r="B24" s="20"/>
      <c r="C24" s="20"/>
      <c r="D24" s="20"/>
      <c r="E24" s="20"/>
      <c r="F24" s="20"/>
      <c r="G24" s="20"/>
      <c r="H24" s="20"/>
      <c r="I24" s="20"/>
      <c r="J24" s="139"/>
      <c r="K24" s="19"/>
      <c r="L24" s="16"/>
    </row>
    <row r="25" spans="1:18" x14ac:dyDescent="0.55000000000000004">
      <c r="A25" s="20" t="s">
        <v>19</v>
      </c>
      <c r="B25" s="20"/>
      <c r="C25" s="20"/>
      <c r="D25" s="20"/>
      <c r="E25" s="20"/>
      <c r="F25" s="20"/>
      <c r="G25" s="143">
        <f>WACOC!D23</f>
        <v>7.1517739999999996E-2</v>
      </c>
      <c r="H25" s="143">
        <f>$G$25</f>
        <v>7.1517739999999996E-2</v>
      </c>
      <c r="I25" s="143">
        <f>$G$25</f>
        <v>7.1517739999999996E-2</v>
      </c>
      <c r="J25" s="139"/>
      <c r="K25" s="19"/>
      <c r="L25" s="16"/>
      <c r="M25" t="s">
        <v>97</v>
      </c>
      <c r="Q25" s="110">
        <v>250357988.95923075</v>
      </c>
    </row>
    <row r="26" spans="1:18" x14ac:dyDescent="0.55000000000000004">
      <c r="A26" s="20"/>
      <c r="B26" s="20"/>
      <c r="C26" s="20"/>
      <c r="D26" s="20"/>
      <c r="E26" s="20"/>
      <c r="F26" s="20"/>
      <c r="G26" s="20"/>
      <c r="H26" s="20"/>
      <c r="I26" s="20"/>
      <c r="J26" s="139"/>
      <c r="K26" s="19"/>
      <c r="L26" s="16"/>
      <c r="M26" t="s">
        <v>36</v>
      </c>
      <c r="Q26" s="115">
        <v>-84366220.282690689</v>
      </c>
      <c r="R26" s="107">
        <f>Q26/Q25</f>
        <v>-0.33698233730591759</v>
      </c>
    </row>
    <row r="27" spans="1:18" x14ac:dyDescent="0.55000000000000004">
      <c r="A27" s="20" t="s">
        <v>7</v>
      </c>
      <c r="B27" s="20"/>
      <c r="C27" s="20"/>
      <c r="D27" s="20"/>
      <c r="E27" s="20"/>
      <c r="F27" s="20"/>
      <c r="G27" s="57">
        <f>G23*G25</f>
        <v>525848.89737963374</v>
      </c>
      <c r="H27" s="57">
        <f>H23*H25</f>
        <v>1375428.2875490854</v>
      </c>
      <c r="I27" s="57">
        <f>I23*I25</f>
        <v>1688225.1340962611</v>
      </c>
      <c r="J27" s="141">
        <f>SUM(G27:I27)</f>
        <v>3589502.3190249801</v>
      </c>
      <c r="K27" s="47"/>
      <c r="L27" s="16"/>
      <c r="M27" t="s">
        <v>37</v>
      </c>
      <c r="Q27" s="114">
        <f>-38186991.271525</f>
        <v>-38186991.271525003</v>
      </c>
      <c r="R27" s="60">
        <f>Q27/Q25</f>
        <v>-0.15252954950737968</v>
      </c>
    </row>
    <row r="28" spans="1:18" x14ac:dyDescent="0.55000000000000004">
      <c r="A28" s="20"/>
      <c r="B28" s="20"/>
      <c r="C28" s="20"/>
      <c r="D28" s="20"/>
      <c r="E28" s="20"/>
      <c r="F28" s="20"/>
      <c r="G28" s="20"/>
      <c r="H28" s="20"/>
      <c r="I28" s="20"/>
      <c r="J28" s="139"/>
      <c r="K28" s="19"/>
      <c r="L28" s="16"/>
      <c r="M28" t="s">
        <v>38</v>
      </c>
      <c r="Q28" s="114">
        <f>Q25+Q26+Q27</f>
        <v>127804777.40501508</v>
      </c>
    </row>
    <row r="29" spans="1:18" x14ac:dyDescent="0.55000000000000004">
      <c r="A29" s="20" t="s">
        <v>5</v>
      </c>
      <c r="B29" s="20"/>
      <c r="C29" s="20"/>
      <c r="D29" s="20"/>
      <c r="E29" s="144">
        <f>WACOC!B36</f>
        <v>0.24849452</v>
      </c>
      <c r="F29" s="20"/>
      <c r="G29" s="145">
        <f>G23*WACOC!$D$12*$E$29/(1-$E$29)</f>
        <v>129197.28864111364</v>
      </c>
      <c r="H29" s="145">
        <f>H23*WACOC!$D$12*$E$29/(1-$E$29)</f>
        <v>337932.82891176461</v>
      </c>
      <c r="I29" s="145">
        <f>I23*WACOC!D$12*$E$29/(1-$E$29)</f>
        <v>414784.7623678692</v>
      </c>
      <c r="J29" s="141">
        <f>SUM(G29:I29)</f>
        <v>881914.87992074736</v>
      </c>
      <c r="K29" s="47"/>
      <c r="L29" s="16"/>
    </row>
    <row r="30" spans="1:18" x14ac:dyDescent="0.55000000000000004">
      <c r="A30" s="20"/>
      <c r="B30" s="20"/>
      <c r="C30" s="20"/>
      <c r="D30" s="20"/>
      <c r="E30" s="20"/>
      <c r="F30" s="20"/>
      <c r="G30" s="20"/>
      <c r="H30" s="20"/>
      <c r="I30" s="20"/>
      <c r="J30" s="139"/>
      <c r="K30" s="19"/>
      <c r="L30" s="16"/>
      <c r="M30" t="s">
        <v>41</v>
      </c>
      <c r="Q30" s="110">
        <v>15769154</v>
      </c>
    </row>
    <row r="31" spans="1:18" x14ac:dyDescent="0.55000000000000004">
      <c r="A31" s="20" t="s">
        <v>20</v>
      </c>
      <c r="B31" s="20"/>
      <c r="C31" s="20"/>
      <c r="D31" s="20"/>
      <c r="E31" s="20"/>
      <c r="F31" s="20"/>
      <c r="G31" s="57">
        <f>($Q$36*S11)*0.85</f>
        <v>171558.83543599711</v>
      </c>
      <c r="H31" s="57">
        <f>($Q$36*T11)*0.85</f>
        <v>448735.13363534544</v>
      </c>
      <c r="I31" s="57">
        <f>($Q$36*U11)*0.85</f>
        <v>550785.48115740914</v>
      </c>
      <c r="J31" s="141">
        <f>SUM(G31:I31)</f>
        <v>1171079.4502287516</v>
      </c>
      <c r="K31" s="47"/>
      <c r="M31" t="s">
        <v>39</v>
      </c>
      <c r="Q31" s="114">
        <v>5206232.7600000007</v>
      </c>
      <c r="R31" s="108"/>
    </row>
    <row r="32" spans="1:18" x14ac:dyDescent="0.55000000000000004">
      <c r="A32" s="20"/>
      <c r="B32" s="20"/>
      <c r="C32" s="20"/>
      <c r="D32" s="20"/>
      <c r="E32" s="20"/>
      <c r="F32" s="20"/>
      <c r="G32" s="20"/>
      <c r="H32" s="20"/>
      <c r="I32" s="20"/>
      <c r="J32" s="139"/>
      <c r="K32" s="19"/>
      <c r="M32" t="s">
        <v>81</v>
      </c>
      <c r="Q32" s="111">
        <f>Q31*R18</f>
        <v>2190580.7398169674</v>
      </c>
    </row>
    <row r="33" spans="1:18" x14ac:dyDescent="0.55000000000000004">
      <c r="A33" s="20" t="s">
        <v>4</v>
      </c>
      <c r="B33" s="20"/>
      <c r="C33" s="20"/>
      <c r="D33" s="20"/>
      <c r="E33" s="20"/>
      <c r="F33" s="20"/>
      <c r="G33" s="138">
        <f>G12*$R$35</f>
        <v>367825.46889324836</v>
      </c>
      <c r="H33" s="138">
        <f>H12*$R$35</f>
        <v>962096.82537669316</v>
      </c>
      <c r="I33" s="138">
        <f>I12*$R$35</f>
        <v>1180894.7487399916</v>
      </c>
      <c r="J33" s="138">
        <f>SUM(G33:I33)</f>
        <v>2510817.0430099331</v>
      </c>
      <c r="K33" s="2">
        <v>0</v>
      </c>
      <c r="M33" t="s">
        <v>40</v>
      </c>
      <c r="Q33" s="114">
        <v>8691255.0300000012</v>
      </c>
      <c r="R33" s="108"/>
    </row>
    <row r="34" spans="1:18" x14ac:dyDescent="0.55000000000000004">
      <c r="A34" s="20"/>
      <c r="B34" s="20"/>
      <c r="C34" s="20"/>
      <c r="D34" s="20"/>
      <c r="E34" s="20"/>
      <c r="F34" s="20"/>
      <c r="G34" s="20"/>
      <c r="H34" s="20"/>
      <c r="I34" s="20"/>
      <c r="J34" s="64"/>
      <c r="K34" s="18"/>
      <c r="M34" t="s">
        <v>82</v>
      </c>
      <c r="Q34" s="111">
        <f>Q33*R20</f>
        <v>137553.99110966737</v>
      </c>
    </row>
    <row r="35" spans="1:18" x14ac:dyDescent="0.55000000000000004">
      <c r="A35" s="20" t="s">
        <v>34</v>
      </c>
      <c r="B35" s="20"/>
      <c r="C35" s="20"/>
      <c r="D35" s="20"/>
      <c r="E35" s="20"/>
      <c r="F35" s="20"/>
      <c r="G35" s="138">
        <f>($Q$31*S11)*0.85</f>
        <v>301465.9190518239</v>
      </c>
      <c r="H35" s="138">
        <f>($Q$31*T11)*0.85</f>
        <v>788524.52646013827</v>
      </c>
      <c r="I35" s="138">
        <f>($Q$31*U11)*0.85</f>
        <v>967849.02308027423</v>
      </c>
      <c r="J35" s="138">
        <f>SUM(G35:I35)</f>
        <v>2057839.4685922365</v>
      </c>
      <c r="K35" s="2"/>
      <c r="M35" t="s">
        <v>42</v>
      </c>
      <c r="Q35" s="115">
        <v>6783931.061670877</v>
      </c>
      <c r="R35" s="60">
        <f>Q35/Q25</f>
        <v>2.7096922650131999E-2</v>
      </c>
    </row>
    <row r="36" spans="1:18" x14ac:dyDescent="0.55000000000000004">
      <c r="A36" s="20" t="s">
        <v>35</v>
      </c>
      <c r="B36" s="20"/>
      <c r="C36" s="20"/>
      <c r="D36" s="20"/>
      <c r="E36" s="20"/>
      <c r="F36" s="20"/>
      <c r="G36" s="31">
        <f>($Q$33*S11)*0.85</f>
        <v>503265.47162150644</v>
      </c>
      <c r="H36" s="31">
        <f>($Q$33*T11)*0.85</f>
        <v>1316358.309895281</v>
      </c>
      <c r="I36" s="31">
        <f>($Q$33*U11)*0.85</f>
        <v>1615721.593309443</v>
      </c>
      <c r="J36" s="138">
        <f>SUM(G36:I36)</f>
        <v>3435345.3748262301</v>
      </c>
      <c r="K36" s="2"/>
      <c r="M36" t="s">
        <v>43</v>
      </c>
      <c r="Q36" s="114">
        <v>2962773.4774251375</v>
      </c>
    </row>
    <row r="37" spans="1:18" x14ac:dyDescent="0.55000000000000004">
      <c r="A37" s="20" t="s">
        <v>85</v>
      </c>
      <c r="B37" s="20"/>
      <c r="C37" s="20"/>
      <c r="D37" s="20"/>
      <c r="E37" s="20"/>
      <c r="F37" s="20"/>
      <c r="G37" s="31">
        <f>(($Q$32+$Q$34)/$Q$37)*(0.85*$Q$38)*(G17/$J$17)</f>
        <v>340390.76621460845</v>
      </c>
      <c r="H37" s="31">
        <f>(($Q$32+$Q$34)/$Q$37)*(0.85*$Q$38)*(H17/$J$17)</f>
        <v>890337.68256449886</v>
      </c>
      <c r="I37" s="31">
        <f>(($Q$32+$Q$34)/$Q$37)*(0.85*$Q$38)*(I17/$J$17)</f>
        <v>1092816.3010350794</v>
      </c>
      <c r="J37" s="138">
        <f>SUM(G37:I37)</f>
        <v>2323544.7498141867</v>
      </c>
      <c r="K37" s="2"/>
      <c r="M37" t="s">
        <v>86</v>
      </c>
      <c r="Q37" s="114">
        <v>73368547.409999996</v>
      </c>
    </row>
    <row r="38" spans="1:18" x14ac:dyDescent="0.55000000000000004">
      <c r="A38" s="20"/>
      <c r="B38" s="20"/>
      <c r="C38" s="20"/>
      <c r="D38" s="20"/>
      <c r="E38" s="20"/>
      <c r="F38" s="20"/>
      <c r="G38" s="20"/>
      <c r="H38" s="20"/>
      <c r="I38" s="20"/>
      <c r="J38" s="64"/>
      <c r="K38" s="18"/>
      <c r="M38" t="s">
        <v>87</v>
      </c>
      <c r="Q38" s="110">
        <v>86145763.903472722</v>
      </c>
    </row>
    <row r="39" spans="1:18" x14ac:dyDescent="0.55000000000000004">
      <c r="A39" s="20" t="s">
        <v>6</v>
      </c>
      <c r="B39" s="20"/>
      <c r="C39" s="20"/>
      <c r="D39" s="20"/>
      <c r="E39" s="20"/>
      <c r="F39" s="20"/>
      <c r="G39" s="138">
        <f>G27+G29+G31+G33+G35+G36+G37</f>
        <v>2339552.6472379314</v>
      </c>
      <c r="H39" s="138">
        <f>H27+H29+H31+H33+H35+H36+H37</f>
        <v>6119413.5943928063</v>
      </c>
      <c r="I39" s="138">
        <f>I27+I29+I31+I33+I35+I36+I37</f>
        <v>7511077.0437863274</v>
      </c>
      <c r="J39" s="24">
        <f>SUM(G39:I39)</f>
        <v>15970043.285417065</v>
      </c>
      <c r="K39" s="48"/>
    </row>
    <row r="40" spans="1:18" x14ac:dyDescent="0.55000000000000004">
      <c r="A40" s="20"/>
      <c r="B40" s="20"/>
      <c r="C40" s="20"/>
      <c r="D40" s="20"/>
      <c r="E40" s="20"/>
      <c r="F40" s="20"/>
      <c r="G40" s="20"/>
      <c r="H40" s="20"/>
      <c r="I40" s="20"/>
      <c r="J40" s="21"/>
      <c r="K40" s="4"/>
    </row>
    <row r="41" spans="1:18" x14ac:dyDescent="0.55000000000000004">
      <c r="A41" s="20" t="s">
        <v>32</v>
      </c>
      <c r="B41" s="20"/>
      <c r="C41" s="20"/>
      <c r="D41" s="20"/>
      <c r="E41" s="20"/>
      <c r="F41" s="20"/>
      <c r="G41" s="31">
        <f>S9</f>
        <v>23531</v>
      </c>
      <c r="H41" s="31">
        <f t="shared" ref="H41:I41" si="1">T9</f>
        <v>58577</v>
      </c>
      <c r="I41" s="31">
        <f t="shared" si="1"/>
        <v>24826</v>
      </c>
      <c r="J41" s="101">
        <f>SUM(G41:I41)</f>
        <v>106934</v>
      </c>
      <c r="K41" s="11"/>
      <c r="M41" s="72"/>
    </row>
    <row r="42" spans="1:18" x14ac:dyDescent="0.55000000000000004">
      <c r="A42" s="20"/>
      <c r="B42" s="20"/>
      <c r="C42" s="20"/>
      <c r="D42" s="20"/>
      <c r="E42" s="20"/>
      <c r="F42" s="20"/>
      <c r="G42" s="20"/>
      <c r="H42" s="20"/>
      <c r="I42" s="20"/>
      <c r="J42" s="138"/>
      <c r="K42" s="2"/>
      <c r="L42" s="16"/>
    </row>
    <row r="43" spans="1:18" x14ac:dyDescent="0.55000000000000004">
      <c r="A43" s="20" t="s">
        <v>30</v>
      </c>
      <c r="B43" s="20"/>
      <c r="C43" s="20"/>
      <c r="D43" s="20"/>
      <c r="E43" s="20"/>
      <c r="F43" s="20"/>
      <c r="G43" s="64">
        <f>(G39/G41)</f>
        <v>99.42427636895718</v>
      </c>
      <c r="H43" s="64">
        <f>(H39/H41)</f>
        <v>104.46785588870728</v>
      </c>
      <c r="I43" s="64">
        <f>(I39/I41)</f>
        <v>302.54882154943715</v>
      </c>
      <c r="J43" s="64">
        <f>(J39/J41)</f>
        <v>149.34486024479645</v>
      </c>
      <c r="K43" s="18"/>
      <c r="L43" s="16"/>
    </row>
    <row r="44" spans="1:18" x14ac:dyDescent="0.55000000000000004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8" x14ac:dyDescent="0.55000000000000004">
      <c r="A45" s="20" t="s">
        <v>83</v>
      </c>
      <c r="B45" s="20"/>
      <c r="C45" s="20"/>
      <c r="D45" s="20"/>
      <c r="E45" s="20"/>
      <c r="F45" s="20"/>
      <c r="G45" s="20">
        <v>7.5899999999999995E-2</v>
      </c>
      <c r="H45" s="20">
        <v>7.5899999999999995E-2</v>
      </c>
      <c r="I45" s="20">
        <v>7.5899999999999995E-2</v>
      </c>
      <c r="J45" s="20">
        <v>7.5899999999999995E-2</v>
      </c>
    </row>
    <row r="46" spans="1:18" ht="14.7" thickBot="1" x14ac:dyDescent="0.6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8" ht="14.7" thickBot="1" x14ac:dyDescent="0.6">
      <c r="A47" s="20" t="s">
        <v>84</v>
      </c>
      <c r="B47" s="20"/>
      <c r="C47" s="20"/>
      <c r="D47" s="20"/>
      <c r="E47" s="20"/>
      <c r="F47" s="20"/>
      <c r="G47" s="32">
        <f>G43*G45</f>
        <v>7.5463025764038498</v>
      </c>
      <c r="H47" s="32">
        <f>H43*H45</f>
        <v>7.9291102619528822</v>
      </c>
      <c r="I47" s="32">
        <f>I43*I45</f>
        <v>22.963455555602277</v>
      </c>
      <c r="J47" s="65">
        <f>J43*J45</f>
        <v>11.335274892580049</v>
      </c>
      <c r="K47" s="35"/>
      <c r="L47" s="20"/>
    </row>
    <row r="48" spans="1:18" x14ac:dyDescent="0.55000000000000004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20"/>
      <c r="L48" s="20"/>
    </row>
    <row r="49" spans="1:12" x14ac:dyDescent="0.55000000000000004">
      <c r="A49" s="20"/>
      <c r="B49" s="20"/>
      <c r="C49" s="20"/>
      <c r="D49" s="20"/>
      <c r="E49" s="20"/>
      <c r="F49" s="20"/>
      <c r="G49" s="57"/>
      <c r="H49" s="57"/>
      <c r="I49" s="57"/>
      <c r="J49" s="57"/>
      <c r="K49" s="57"/>
      <c r="L49" s="20"/>
    </row>
    <row r="50" spans="1:12" x14ac:dyDescent="0.55000000000000004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x14ac:dyDescent="0.55000000000000004">
      <c r="A51" s="20"/>
      <c r="B51" s="20"/>
      <c r="C51" s="20"/>
      <c r="D51" s="20"/>
      <c r="E51" s="20"/>
      <c r="F51" s="20"/>
      <c r="G51" s="57"/>
      <c r="H51" s="57"/>
      <c r="I51" s="57"/>
      <c r="J51" s="57"/>
      <c r="K51" s="57"/>
      <c r="L51" s="20"/>
    </row>
    <row r="52" spans="1:12" x14ac:dyDescent="0.55000000000000004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x14ac:dyDescent="0.55000000000000004">
      <c r="A53" s="20"/>
      <c r="B53" s="20"/>
      <c r="C53" s="20"/>
      <c r="D53" s="20"/>
      <c r="E53" s="20"/>
      <c r="F53" s="20"/>
      <c r="G53" s="32"/>
      <c r="H53" s="32"/>
      <c r="I53" s="32"/>
      <c r="J53" s="32"/>
      <c r="K53" s="32"/>
      <c r="L53" s="33"/>
    </row>
    <row r="54" spans="1:12" x14ac:dyDescent="0.55000000000000004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x14ac:dyDescent="0.55000000000000004">
      <c r="A55" s="20"/>
      <c r="B55" s="20"/>
      <c r="C55" s="20"/>
      <c r="D55" s="20"/>
      <c r="E55" s="20"/>
      <c r="F55" s="20"/>
      <c r="G55" s="32"/>
      <c r="H55" s="32"/>
      <c r="I55" s="32"/>
      <c r="J55" s="32"/>
      <c r="K55" s="32"/>
      <c r="L55" s="20"/>
    </row>
    <row r="56" spans="1:12" x14ac:dyDescent="0.55000000000000004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x14ac:dyDescent="0.55000000000000004">
      <c r="A57" s="20"/>
      <c r="B57" s="20"/>
      <c r="C57" s="20"/>
      <c r="D57" s="20"/>
      <c r="E57" s="20"/>
      <c r="F57" s="20"/>
      <c r="G57" s="20"/>
      <c r="I57" s="20"/>
      <c r="J57" s="32"/>
      <c r="K57" s="32"/>
      <c r="L57" s="20"/>
    </row>
    <row r="58" spans="1:12" x14ac:dyDescent="0.55000000000000004">
      <c r="A58" s="20"/>
      <c r="B58" s="20"/>
      <c r="C58" s="20"/>
      <c r="D58" s="20"/>
      <c r="E58" s="20"/>
      <c r="F58" s="20"/>
      <c r="G58" s="32"/>
      <c r="I58" s="32"/>
      <c r="J58" s="35"/>
      <c r="K58" s="35"/>
      <c r="L58" s="20"/>
    </row>
    <row r="59" spans="1:12" x14ac:dyDescent="0.55000000000000004">
      <c r="A59" s="20"/>
      <c r="B59" s="20"/>
      <c r="C59" s="20"/>
      <c r="D59" s="20"/>
      <c r="E59" s="20"/>
      <c r="F59" s="20"/>
      <c r="G59" s="20"/>
      <c r="I59" s="20"/>
      <c r="J59" s="64"/>
      <c r="K59" s="20"/>
      <c r="L59" s="20"/>
    </row>
    <row r="60" spans="1:12" x14ac:dyDescent="0.55000000000000004">
      <c r="A60" s="20"/>
      <c r="B60" s="20"/>
      <c r="C60" s="20"/>
      <c r="D60" s="20"/>
      <c r="E60" s="20"/>
      <c r="F60" s="20"/>
      <c r="G60" s="34"/>
      <c r="H60" s="34"/>
      <c r="I60" s="34"/>
      <c r="J60" s="34"/>
      <c r="K60" s="34"/>
      <c r="L60" s="33"/>
    </row>
    <row r="61" spans="1:12" x14ac:dyDescent="0.55000000000000004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x14ac:dyDescent="0.55000000000000004">
      <c r="A62" s="20"/>
      <c r="B62" s="20"/>
      <c r="C62" s="20"/>
      <c r="D62" s="20"/>
      <c r="E62" s="20"/>
      <c r="F62" s="20"/>
      <c r="G62" s="32"/>
      <c r="H62" s="32"/>
      <c r="I62" s="32"/>
      <c r="J62" s="35"/>
      <c r="K62" s="35"/>
      <c r="L62" s="20"/>
    </row>
  </sheetData>
  <pageMargins left="0.7" right="0.7" top="0.75" bottom="0.75" header="0.3" footer="0.3"/>
  <pageSetup scale="76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3"/>
  <sheetViews>
    <sheetView view="pageBreakPreview" zoomScaleNormal="100" zoomScaleSheetLayoutView="100" workbookViewId="0"/>
  </sheetViews>
  <sheetFormatPr defaultRowHeight="14.4" x14ac:dyDescent="0.55000000000000004"/>
  <cols>
    <col min="5" max="5" width="8" bestFit="1" customWidth="1"/>
    <col min="6" max="6" width="3.41796875" customWidth="1"/>
    <col min="7" max="9" width="15.26171875" customWidth="1"/>
    <col min="10" max="10" width="15.15625" bestFit="1" customWidth="1"/>
    <col min="11" max="11" width="1.68359375" customWidth="1"/>
    <col min="12" max="12" width="4.578125" bestFit="1" customWidth="1"/>
    <col min="13" max="13" width="18.26171875" customWidth="1"/>
    <col min="14" max="16" width="10.83984375" customWidth="1"/>
    <col min="17" max="17" width="15.26171875" bestFit="1" customWidth="1"/>
    <col min="18" max="18" width="7.68359375" bestFit="1" customWidth="1"/>
    <col min="19" max="19" width="12.578125" bestFit="1" customWidth="1"/>
    <col min="20" max="20" width="12.83984375" bestFit="1" customWidth="1"/>
    <col min="21" max="21" width="12.578125" bestFit="1" customWidth="1"/>
  </cols>
  <sheetData>
    <row r="1" spans="1:22" ht="15.6" x14ac:dyDescent="0.6">
      <c r="A1" s="15" t="s">
        <v>16</v>
      </c>
    </row>
    <row r="2" spans="1:22" x14ac:dyDescent="0.55000000000000004">
      <c r="A2" t="s">
        <v>98</v>
      </c>
    </row>
    <row r="3" spans="1:22" x14ac:dyDescent="0.55000000000000004">
      <c r="A3" s="109" t="s">
        <v>104</v>
      </c>
    </row>
    <row r="7" spans="1:22" x14ac:dyDescent="0.55000000000000004">
      <c r="E7" s="4"/>
      <c r="G7" s="4"/>
      <c r="H7" s="4"/>
      <c r="I7" s="4"/>
      <c r="Q7" s="4"/>
      <c r="S7" s="4"/>
      <c r="T7" s="4"/>
      <c r="U7" s="4"/>
    </row>
    <row r="8" spans="1:22" ht="14.7" thickBot="1" x14ac:dyDescent="0.6">
      <c r="A8" s="12" t="s">
        <v>28</v>
      </c>
      <c r="B8" s="13"/>
      <c r="C8" s="13"/>
      <c r="D8" s="13"/>
      <c r="E8" s="14"/>
      <c r="F8" s="13"/>
      <c r="G8" s="14" t="s">
        <v>25</v>
      </c>
      <c r="H8" s="14" t="s">
        <v>26</v>
      </c>
      <c r="I8" s="14" t="s">
        <v>27</v>
      </c>
      <c r="J8" s="14" t="s">
        <v>21</v>
      </c>
      <c r="K8" s="21"/>
      <c r="M8" s="12" t="s">
        <v>28</v>
      </c>
      <c r="N8" s="13"/>
      <c r="O8" s="13"/>
      <c r="P8" s="13"/>
      <c r="Q8" s="14" t="s">
        <v>21</v>
      </c>
      <c r="R8" s="13"/>
      <c r="S8" s="14" t="s">
        <v>25</v>
      </c>
      <c r="T8" s="14" t="s">
        <v>26</v>
      </c>
      <c r="U8" s="14" t="s">
        <v>27</v>
      </c>
    </row>
    <row r="9" spans="1:22" x14ac:dyDescent="0.55000000000000004">
      <c r="B9" s="20"/>
      <c r="C9" s="20"/>
      <c r="D9" s="20"/>
      <c r="E9" s="21"/>
      <c r="F9" s="20"/>
      <c r="G9" s="21"/>
      <c r="H9" s="21"/>
      <c r="I9" s="21"/>
      <c r="M9" t="s">
        <v>32</v>
      </c>
      <c r="S9" s="71">
        <v>81091</v>
      </c>
      <c r="T9" s="71">
        <v>137321</v>
      </c>
      <c r="U9" s="71">
        <v>67805</v>
      </c>
    </row>
    <row r="10" spans="1:22" x14ac:dyDescent="0.55000000000000004">
      <c r="A10" t="s">
        <v>31</v>
      </c>
      <c r="B10" s="20"/>
      <c r="C10" s="20"/>
      <c r="D10" s="20"/>
      <c r="E10" s="21"/>
      <c r="F10" s="20"/>
      <c r="G10" s="23">
        <f>S10</f>
        <v>26702888</v>
      </c>
      <c r="H10" s="23">
        <f>T10</f>
        <v>117832457</v>
      </c>
      <c r="I10" s="23">
        <f>U10</f>
        <v>94199933</v>
      </c>
      <c r="J10" s="2">
        <f>SUM(G10:I10)</f>
        <v>238735278</v>
      </c>
      <c r="K10" s="2"/>
      <c r="M10" t="s">
        <v>103</v>
      </c>
      <c r="Q10" s="116">
        <v>422785102.82999998</v>
      </c>
      <c r="R10" s="30"/>
      <c r="S10" s="70">
        <v>26702888</v>
      </c>
      <c r="T10" s="70">
        <v>117832457</v>
      </c>
      <c r="U10" s="70">
        <v>94199933</v>
      </c>
    </row>
    <row r="11" spans="1:22" x14ac:dyDescent="0.55000000000000004">
      <c r="A11" t="s">
        <v>29</v>
      </c>
      <c r="G11" s="19">
        <v>0.15</v>
      </c>
      <c r="H11" s="19">
        <v>0.15</v>
      </c>
      <c r="I11" s="19">
        <v>0.15</v>
      </c>
      <c r="S11" s="22">
        <f>S10/$Q$10</f>
        <v>6.3159481782254542E-2</v>
      </c>
      <c r="T11" s="22">
        <f>T10/$Q$10</f>
        <v>0.27870531911191748</v>
      </c>
      <c r="U11" s="22">
        <f>U10/$Q$10</f>
        <v>0.22280807050544865</v>
      </c>
      <c r="V11" s="22"/>
    </row>
    <row r="12" spans="1:22" x14ac:dyDescent="0.55000000000000004">
      <c r="A12" t="s">
        <v>79</v>
      </c>
      <c r="G12" s="17">
        <f>G10*(1-G11)</f>
        <v>22697454.800000001</v>
      </c>
      <c r="H12" s="17">
        <f>H10*(1-H11)</f>
        <v>100157588.45</v>
      </c>
      <c r="I12" s="17">
        <f>I10*(1-I11)</f>
        <v>80069943.049999997</v>
      </c>
      <c r="J12" s="17">
        <f>SUM(G12:I12)</f>
        <v>202924986.30000001</v>
      </c>
      <c r="K12" s="17"/>
      <c r="M12" t="s">
        <v>0</v>
      </c>
      <c r="Q12" s="70">
        <v>165855859.88999999</v>
      </c>
      <c r="R12" s="22">
        <f>Q12/Q10</f>
        <v>0.39229352874500378</v>
      </c>
    </row>
    <row r="13" spans="1:22" x14ac:dyDescent="0.55000000000000004">
      <c r="A13" t="s">
        <v>0</v>
      </c>
      <c r="B13" s="20"/>
      <c r="C13" s="20"/>
      <c r="D13" s="20"/>
      <c r="E13" s="21"/>
      <c r="F13" s="20"/>
      <c r="G13" s="26">
        <f>G10*$R$26</f>
        <v>-10014076.534650497</v>
      </c>
      <c r="H13" s="26">
        <f>H10*$R$26</f>
        <v>-44189349.206869073</v>
      </c>
      <c r="I13" s="26">
        <f>I10*$R$26</f>
        <v>-35326715.920051381</v>
      </c>
      <c r="J13" s="11">
        <f>SUM(G13:I13)</f>
        <v>-89530141.661570951</v>
      </c>
      <c r="K13" s="11"/>
    </row>
    <row r="14" spans="1:22" x14ac:dyDescent="0.55000000000000004">
      <c r="A14" t="s">
        <v>29</v>
      </c>
      <c r="B14" s="20"/>
      <c r="C14" s="20"/>
      <c r="D14" s="20"/>
      <c r="E14" s="21"/>
      <c r="F14" s="20"/>
      <c r="G14" s="19">
        <v>0.15</v>
      </c>
      <c r="H14" s="19">
        <v>0.15</v>
      </c>
      <c r="I14" s="19">
        <v>0.15</v>
      </c>
      <c r="M14" t="s">
        <v>2</v>
      </c>
      <c r="Q14" s="116">
        <v>62193159.289999999</v>
      </c>
      <c r="R14" s="22">
        <f>Q14/Q10</f>
        <v>0.14710347851354544</v>
      </c>
    </row>
    <row r="15" spans="1:22" x14ac:dyDescent="0.55000000000000004">
      <c r="A15" t="s">
        <v>80</v>
      </c>
      <c r="G15" s="1">
        <f>G13*(1-G14)</f>
        <v>-8511965.0544529222</v>
      </c>
      <c r="H15" s="1">
        <f t="shared" ref="H15:I15" si="0">H13*(1-H14)</f>
        <v>-37560946.825838715</v>
      </c>
      <c r="I15" s="1">
        <f t="shared" si="0"/>
        <v>-30027708.532043673</v>
      </c>
      <c r="J15" s="2">
        <f>SUM(G15:I15)</f>
        <v>-76100620.412335306</v>
      </c>
      <c r="K15" s="2"/>
      <c r="L15" s="19">
        <f>-J15/J12</f>
        <v>0.37501848244468899</v>
      </c>
    </row>
    <row r="16" spans="1:22" x14ac:dyDescent="0.55000000000000004">
      <c r="J16" s="3"/>
      <c r="K16" s="3"/>
      <c r="L16" s="16"/>
      <c r="M16" t="s">
        <v>3</v>
      </c>
      <c r="Q16" s="2">
        <f>Q10-Q12-Q14</f>
        <v>194736083.65000001</v>
      </c>
    </row>
    <row r="17" spans="1:18" x14ac:dyDescent="0.55000000000000004">
      <c r="A17" t="s">
        <v>1</v>
      </c>
      <c r="B17" s="20"/>
      <c r="C17" s="20"/>
      <c r="D17" s="20"/>
      <c r="E17" s="21"/>
      <c r="F17" s="20"/>
      <c r="G17" s="24">
        <f>G12+G15</f>
        <v>14185489.745547079</v>
      </c>
      <c r="H17" s="24">
        <f>H12+H15</f>
        <v>62596641.624161288</v>
      </c>
      <c r="I17" s="24">
        <f>I12+I15</f>
        <v>50042234.517956324</v>
      </c>
      <c r="J17" s="2">
        <f>SUM(G17:I17)</f>
        <v>126824365.88766468</v>
      </c>
      <c r="K17" s="2"/>
      <c r="L17" s="16"/>
    </row>
    <row r="18" spans="1:18" x14ac:dyDescent="0.55000000000000004">
      <c r="J18" s="19"/>
      <c r="K18" s="19"/>
      <c r="L18" s="16"/>
      <c r="M18" s="45" t="s">
        <v>75</v>
      </c>
      <c r="Q18" s="70">
        <v>64261.219999999979</v>
      </c>
      <c r="R18" s="19">
        <f>Q18/($Q$18+$Q$19)</f>
        <v>8.7320774998066328E-2</v>
      </c>
    </row>
    <row r="19" spans="1:18" x14ac:dyDescent="0.55000000000000004">
      <c r="A19" t="s">
        <v>2</v>
      </c>
      <c r="G19" s="2">
        <f>G12*$R$27</f>
        <v>-3421493.7251795293</v>
      </c>
      <c r="H19" s="2">
        <f>H12*$R$27</f>
        <v>-15098105.203002265</v>
      </c>
      <c r="I19" s="2">
        <f>I12*$R$27</f>
        <v>-12070023.275079163</v>
      </c>
      <c r="J19" s="47">
        <f>SUM(G19:I19)</f>
        <v>-30589622.203260958</v>
      </c>
      <c r="K19" s="47"/>
      <c r="L19" s="19">
        <f>-J19/J12</f>
        <v>0.15074349768853948</v>
      </c>
      <c r="M19" s="45" t="s">
        <v>76</v>
      </c>
      <c r="Q19" s="70">
        <v>671660.10000000009</v>
      </c>
      <c r="R19" s="19">
        <f>Q19/($Q$18+$Q$19)</f>
        <v>0.91267922500193366</v>
      </c>
    </row>
    <row r="20" spans="1:18" x14ac:dyDescent="0.55000000000000004">
      <c r="A20" t="s">
        <v>44</v>
      </c>
      <c r="G20" s="3">
        <f>('CWC and Common'!$N$46*S11)*0.85</f>
        <v>157370.78063797567</v>
      </c>
      <c r="H20" s="3">
        <f>('CWC and Common'!$N$46*T11)*0.85</f>
        <v>694433.71603029233</v>
      </c>
      <c r="I20" s="3">
        <f>('CWC and Common'!$N$46*U11)*0.85</f>
        <v>555157.81634761777</v>
      </c>
      <c r="J20" s="3">
        <f>SUM(G20:I20)</f>
        <v>1406962.3130158857</v>
      </c>
      <c r="K20" s="3"/>
      <c r="L20" s="16"/>
      <c r="M20" t="s">
        <v>77</v>
      </c>
      <c r="Q20" s="70">
        <v>392205.82999999984</v>
      </c>
      <c r="R20" s="19">
        <f>Q20/($Q$20+$Q$21)</f>
        <v>2.0883293576524409E-2</v>
      </c>
    </row>
    <row r="21" spans="1:18" x14ac:dyDescent="0.55000000000000004">
      <c r="A21" t="s">
        <v>45</v>
      </c>
      <c r="G21" s="3">
        <f>(S11*'CWC and Common'!$N$59)*0.85</f>
        <v>465282.15700341511</v>
      </c>
      <c r="H21" s="3">
        <f>(T11*'CWC and Common'!$N$59)*0.85</f>
        <v>2053161.4317512086</v>
      </c>
      <c r="I21" s="3">
        <f>(U11*'CWC and Common'!$N$59)*0.85</f>
        <v>1641378.5660868287</v>
      </c>
      <c r="J21" s="3">
        <f>SUM(G21:I21)</f>
        <v>4159822.1548414524</v>
      </c>
      <c r="K21" s="3"/>
      <c r="L21" s="16"/>
      <c r="M21" s="45" t="s">
        <v>78</v>
      </c>
      <c r="Q21" s="70">
        <v>18388635.829999994</v>
      </c>
      <c r="R21" s="19">
        <f>Q21/($Q$20+$Q$21)</f>
        <v>0.9791167064234757</v>
      </c>
    </row>
    <row r="22" spans="1:18" x14ac:dyDescent="0.55000000000000004">
      <c r="J22" s="19"/>
      <c r="K22" s="19"/>
      <c r="L22" s="16"/>
    </row>
    <row r="23" spans="1:18" x14ac:dyDescent="0.55000000000000004">
      <c r="A23" t="s">
        <v>3</v>
      </c>
      <c r="G23" s="2">
        <f>G17+G19+G20+G21</f>
        <v>11386648.958008941</v>
      </c>
      <c r="H23" s="2">
        <f>H17+H19+H20+H21</f>
        <v>50246131.56894052</v>
      </c>
      <c r="I23" s="2">
        <f>I17+I19+I20+I21</f>
        <v>40168747.625311613</v>
      </c>
      <c r="J23" s="2">
        <f>SUM(G23:I23)</f>
        <v>101801528.15226108</v>
      </c>
      <c r="K23" s="2"/>
      <c r="L23" s="16"/>
      <c r="M23" t="s">
        <v>33</v>
      </c>
      <c r="Q23" s="118">
        <v>6391916.71</v>
      </c>
    </row>
    <row r="24" spans="1:18" x14ac:dyDescent="0.55000000000000004">
      <c r="J24" s="19"/>
      <c r="K24" s="19"/>
      <c r="L24" s="16"/>
      <c r="Q24" s="16"/>
    </row>
    <row r="25" spans="1:18" x14ac:dyDescent="0.55000000000000004">
      <c r="A25" t="s">
        <v>19</v>
      </c>
      <c r="G25" s="60">
        <f>WACOC!D13</f>
        <v>7.1727719999999995E-2</v>
      </c>
      <c r="H25" s="22">
        <f>$G$25</f>
        <v>7.1727719999999995E-2</v>
      </c>
      <c r="I25" s="22">
        <f>$G$25</f>
        <v>7.1727719999999995E-2</v>
      </c>
      <c r="J25" s="19"/>
      <c r="K25" s="19"/>
      <c r="L25" s="16"/>
      <c r="M25" t="s">
        <v>97</v>
      </c>
      <c r="Q25" s="116">
        <v>450304522.11999941</v>
      </c>
    </row>
    <row r="26" spans="1:18" x14ac:dyDescent="0.55000000000000004">
      <c r="J26" s="19"/>
      <c r="K26" s="19"/>
      <c r="L26" s="16"/>
      <c r="M26" t="s">
        <v>36</v>
      </c>
      <c r="Q26" s="113">
        <v>-168872518.52342308</v>
      </c>
      <c r="R26" s="25">
        <f>Q26/Q25</f>
        <v>-0.37501848244468899</v>
      </c>
    </row>
    <row r="27" spans="1:18" x14ac:dyDescent="0.55000000000000004">
      <c r="A27" t="s">
        <v>7</v>
      </c>
      <c r="G27" s="1">
        <f>G23*G25</f>
        <v>816738.36819835706</v>
      </c>
      <c r="H27" s="1">
        <f>H23*H25</f>
        <v>3604040.4562601261</v>
      </c>
      <c r="I27" s="1">
        <f>I23*I25</f>
        <v>2881212.682419016</v>
      </c>
      <c r="J27" s="47">
        <f>SUM(G27:I27)</f>
        <v>7301991.5068774996</v>
      </c>
      <c r="K27" s="47"/>
      <c r="L27" s="16"/>
      <c r="M27" t="s">
        <v>37</v>
      </c>
      <c r="Q27" s="113">
        <f>-67880478.689335</f>
        <v>-67880478.689335003</v>
      </c>
      <c r="R27" s="22">
        <f>Q27/Q25</f>
        <v>-0.15074349768853948</v>
      </c>
    </row>
    <row r="28" spans="1:18" x14ac:dyDescent="0.55000000000000004">
      <c r="J28" s="19"/>
      <c r="K28" s="19"/>
      <c r="L28" s="16"/>
      <c r="M28" t="s">
        <v>38</v>
      </c>
      <c r="Q28" s="117">
        <f>Q25+Q26+Q27</f>
        <v>213551524.90724134</v>
      </c>
    </row>
    <row r="29" spans="1:18" x14ac:dyDescent="0.55000000000000004">
      <c r="A29" t="s">
        <v>5</v>
      </c>
      <c r="E29" s="59">
        <f>WACOC!B37</f>
        <v>0.24826997000000001</v>
      </c>
      <c r="G29" s="1">
        <f>G23*WACOC!$D$12*$E$29/(1-$E$29)</f>
        <v>199838.78196965944</v>
      </c>
      <c r="H29" s="1">
        <f>H23*WACOC!$D$12*$E$29/(1-$E$29)</f>
        <v>881833.2565141368</v>
      </c>
      <c r="I29" s="1">
        <f>I23*WACOC!D$12*$E$29/(1-$E$29)</f>
        <v>704972.43115963798</v>
      </c>
      <c r="J29" s="47">
        <f>SUM(G29:I29)</f>
        <v>1786644.469643434</v>
      </c>
      <c r="K29" s="47"/>
      <c r="L29" s="16"/>
      <c r="Q29" s="16"/>
    </row>
    <row r="30" spans="1:18" x14ac:dyDescent="0.55000000000000004">
      <c r="J30" s="19"/>
      <c r="K30" s="19"/>
      <c r="L30" s="16"/>
      <c r="M30" t="s">
        <v>41</v>
      </c>
      <c r="Q30" s="116">
        <v>28071514.874494445</v>
      </c>
    </row>
    <row r="31" spans="1:18" x14ac:dyDescent="0.55000000000000004">
      <c r="A31" t="s">
        <v>20</v>
      </c>
      <c r="G31" s="1">
        <f>($Q$36*S11)*0.85</f>
        <v>228980.64624932932</v>
      </c>
      <c r="H31" s="1">
        <f>($Q$36*T11)*0.85</f>
        <v>1010428.2410579077</v>
      </c>
      <c r="I31" s="1">
        <f>($Q$36*U11)*0.85</f>
        <v>807776.35493896855</v>
      </c>
      <c r="J31" s="47">
        <f>SUM(G31:I31)</f>
        <v>2047185.2422462055</v>
      </c>
      <c r="K31" s="47"/>
      <c r="M31" t="s">
        <v>39</v>
      </c>
      <c r="Q31" s="113">
        <v>3379254.68</v>
      </c>
      <c r="R31" s="27"/>
    </row>
    <row r="32" spans="1:18" x14ac:dyDescent="0.55000000000000004">
      <c r="J32" s="19"/>
      <c r="K32" s="19"/>
      <c r="M32" t="s">
        <v>81</v>
      </c>
      <c r="Q32" s="112">
        <f>Q31*R18</f>
        <v>295079.13757344265</v>
      </c>
    </row>
    <row r="33" spans="1:18" x14ac:dyDescent="0.55000000000000004">
      <c r="A33" t="s">
        <v>4</v>
      </c>
      <c r="G33" s="2">
        <f>G12*$R$35</f>
        <v>353538.1241743865</v>
      </c>
      <c r="H33" s="2">
        <f>H12*$R$35</f>
        <v>1560065.9304955725</v>
      </c>
      <c r="I33" s="2">
        <f>I12*$R$35</f>
        <v>1247178.4928346658</v>
      </c>
      <c r="J33" s="2">
        <f>SUM(G33:I33)</f>
        <v>3160782.5475046248</v>
      </c>
      <c r="K33" s="2"/>
      <c r="M33" t="s">
        <v>40</v>
      </c>
      <c r="Q33" s="113">
        <v>18557168.970000003</v>
      </c>
      <c r="R33" s="27"/>
    </row>
    <row r="34" spans="1:18" x14ac:dyDescent="0.55000000000000004">
      <c r="J34" s="18"/>
      <c r="K34" s="18"/>
      <c r="M34" t="s">
        <v>82</v>
      </c>
      <c r="Q34" s="111">
        <f>Q33*R20</f>
        <v>387534.80754967913</v>
      </c>
    </row>
    <row r="35" spans="1:18" x14ac:dyDescent="0.55000000000000004">
      <c r="A35" t="s">
        <v>34</v>
      </c>
      <c r="G35" s="2">
        <f>($Q$31*S11)*0.85</f>
        <v>181417.17823919965</v>
      </c>
      <c r="H35" s="2">
        <f>($Q$31*T11)*0.85</f>
        <v>800543.81585736456</v>
      </c>
      <c r="I35" s="2">
        <f>($Q$31*U11)*0.85</f>
        <v>639986.43274771131</v>
      </c>
      <c r="J35" s="2">
        <f>SUM(G35:I35)</f>
        <v>1621947.4268442756</v>
      </c>
      <c r="K35" s="2"/>
      <c r="M35" t="s">
        <v>42</v>
      </c>
      <c r="Q35" s="113">
        <v>7013994.1883504977</v>
      </c>
      <c r="R35" s="22">
        <f>Q35/Q25</f>
        <v>1.5576113149672909E-2</v>
      </c>
    </row>
    <row r="36" spans="1:18" x14ac:dyDescent="0.55000000000000004">
      <c r="A36" t="s">
        <v>35</v>
      </c>
      <c r="G36" s="3">
        <f>($Q$33*S11)*0.85</f>
        <v>996251.99916729424</v>
      </c>
      <c r="H36" s="3">
        <f>($Q$33*T11)*0.85</f>
        <v>4396184.4446579805</v>
      </c>
      <c r="I36" s="3">
        <f>($Q$33*U11)*0.85</f>
        <v>3514483.9604118918</v>
      </c>
      <c r="J36" s="2">
        <f>SUM(G36:I36)</f>
        <v>8906920.404237166</v>
      </c>
      <c r="K36" s="2"/>
      <c r="M36" t="s">
        <v>43</v>
      </c>
      <c r="Q36" s="113">
        <v>4265218.5861210553</v>
      </c>
    </row>
    <row r="37" spans="1:18" x14ac:dyDescent="0.55000000000000004">
      <c r="A37" t="s">
        <v>85</v>
      </c>
      <c r="G37" s="3">
        <f>(($Q$32+$Q$34)/$Q$37)*(0.85*$Q$38)*(G17/$J$17)</f>
        <v>42075.6138458817</v>
      </c>
      <c r="H37" s="3">
        <f>(($Q$32+$Q$34)/$Q$37)*(0.85*$Q$38)*(H17/$J$17)</f>
        <v>185668.04306872949</v>
      </c>
      <c r="I37" s="3">
        <f>(($Q$32+$Q$34)/$Q$37)*(0.85*$Q$38)*(I17/$J$17)</f>
        <v>148430.38720066266</v>
      </c>
      <c r="J37" s="2">
        <f>SUM(G37:I37)</f>
        <v>376174.04411527386</v>
      </c>
      <c r="K37" s="2"/>
      <c r="M37" t="s">
        <v>86</v>
      </c>
      <c r="Q37" s="116">
        <v>173227730.79892331</v>
      </c>
    </row>
    <row r="38" spans="1:18" x14ac:dyDescent="0.55000000000000004">
      <c r="J38" s="18"/>
      <c r="K38" s="18"/>
      <c r="M38" t="s">
        <v>87</v>
      </c>
      <c r="Q38" s="116">
        <v>112308379.40830261</v>
      </c>
    </row>
    <row r="39" spans="1:18" x14ac:dyDescent="0.55000000000000004">
      <c r="A39" t="s">
        <v>6</v>
      </c>
      <c r="G39" s="2">
        <f>G27+G29+G31+G33+G35+G36+G37</f>
        <v>2818840.7118441076</v>
      </c>
      <c r="H39" s="2">
        <f>H27+H29+H31+H33+H35+H36+H37</f>
        <v>12438764.187911816</v>
      </c>
      <c r="I39" s="2">
        <f>I27+I29+I31+I33+I35+I36+I37</f>
        <v>9944040.7417125534</v>
      </c>
      <c r="J39" s="48">
        <f>SUM(G39:I39)</f>
        <v>25201645.641468477</v>
      </c>
      <c r="K39" s="48"/>
    </row>
    <row r="40" spans="1:18" x14ac:dyDescent="0.55000000000000004">
      <c r="J40" s="4"/>
      <c r="K40" s="4"/>
    </row>
    <row r="41" spans="1:18" x14ac:dyDescent="0.55000000000000004">
      <c r="A41" t="s">
        <v>32</v>
      </c>
      <c r="G41" s="3">
        <f>S9</f>
        <v>81091</v>
      </c>
      <c r="H41" s="3">
        <f t="shared" ref="H41:I41" si="1">T9</f>
        <v>137321</v>
      </c>
      <c r="I41" s="3">
        <f t="shared" si="1"/>
        <v>67805</v>
      </c>
      <c r="J41" s="11">
        <f>SUM(G41:I41)</f>
        <v>286217</v>
      </c>
      <c r="K41" s="11"/>
      <c r="L41" s="25">
        <f>J41/(J41+'LG&amp;E OH'!J41)</f>
        <v>0.72800781379164747</v>
      </c>
    </row>
    <row r="42" spans="1:18" x14ac:dyDescent="0.55000000000000004">
      <c r="J42" s="2"/>
      <c r="K42" s="2"/>
      <c r="L42" s="66"/>
    </row>
    <row r="43" spans="1:18" x14ac:dyDescent="0.55000000000000004">
      <c r="A43" t="s">
        <v>30</v>
      </c>
      <c r="G43" s="18">
        <f>(G39/G41)</f>
        <v>34.761449628739413</v>
      </c>
      <c r="H43" s="18">
        <f>(H39/H41)</f>
        <v>90.581660400898741</v>
      </c>
      <c r="I43" s="18">
        <f>(I39/I41)</f>
        <v>146.65645220429988</v>
      </c>
      <c r="J43" s="18">
        <f>(J39/J41)</f>
        <v>88.050834302184967</v>
      </c>
      <c r="K43" s="18"/>
      <c r="L43" s="16"/>
    </row>
    <row r="45" spans="1:18" x14ac:dyDescent="0.55000000000000004">
      <c r="A45" t="s">
        <v>83</v>
      </c>
      <c r="G45">
        <v>7.5899999999999995E-2</v>
      </c>
      <c r="H45">
        <v>7.5899999999999995E-2</v>
      </c>
      <c r="I45">
        <v>7.5899999999999995E-2</v>
      </c>
      <c r="J45">
        <v>7.5899999999999995E-2</v>
      </c>
    </row>
    <row r="46" spans="1:18" ht="14.7" thickBot="1" x14ac:dyDescent="0.6"/>
    <row r="47" spans="1:18" ht="14.7" thickBot="1" x14ac:dyDescent="0.6">
      <c r="A47" s="20" t="s">
        <v>84</v>
      </c>
      <c r="B47" s="20"/>
      <c r="C47" s="20"/>
      <c r="D47" s="20"/>
      <c r="E47" s="20"/>
      <c r="F47" s="20"/>
      <c r="G47" s="32">
        <f>G43*G45</f>
        <v>2.6383940268213215</v>
      </c>
      <c r="H47" s="32">
        <f>H43*H45</f>
        <v>6.8751480244282144</v>
      </c>
      <c r="I47" s="32">
        <f>I43*I45</f>
        <v>11.13122472230636</v>
      </c>
      <c r="J47" s="65">
        <f>J43*J45</f>
        <v>6.683058323535839</v>
      </c>
      <c r="K47" s="35"/>
      <c r="L47" s="20"/>
    </row>
    <row r="48" spans="1:18" x14ac:dyDescent="0.55000000000000004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x14ac:dyDescent="0.55000000000000004">
      <c r="A49" s="20"/>
      <c r="B49" s="20"/>
      <c r="C49" s="20"/>
      <c r="D49" s="20"/>
      <c r="E49" s="20"/>
      <c r="F49" s="20"/>
      <c r="G49" s="32"/>
      <c r="H49" s="32"/>
      <c r="I49" s="32"/>
      <c r="J49" s="32"/>
      <c r="K49" s="32"/>
      <c r="L49" s="20"/>
    </row>
    <row r="50" spans="1:12" x14ac:dyDescent="0.55000000000000004">
      <c r="A50" s="20"/>
      <c r="B50" s="20"/>
      <c r="C50" s="20"/>
      <c r="D50" s="20"/>
      <c r="E50" s="20"/>
      <c r="F50" s="20"/>
      <c r="G50" s="57"/>
      <c r="H50" s="57"/>
      <c r="I50" s="57"/>
      <c r="J50" s="57"/>
      <c r="K50" s="57"/>
      <c r="L50" s="20"/>
    </row>
    <row r="51" spans="1:12" x14ac:dyDescent="0.55000000000000004">
      <c r="A51" s="20"/>
      <c r="B51" s="20"/>
      <c r="C51" s="20"/>
      <c r="D51" s="20"/>
      <c r="E51" s="20"/>
      <c r="F51" s="20"/>
      <c r="G51" s="32"/>
      <c r="H51" s="32"/>
      <c r="I51" s="32"/>
      <c r="J51" s="32"/>
      <c r="K51" s="32"/>
      <c r="L51" s="20"/>
    </row>
    <row r="52" spans="1:12" x14ac:dyDescent="0.55000000000000004">
      <c r="A52" s="20"/>
      <c r="B52" s="20"/>
      <c r="C52" s="20"/>
      <c r="D52" s="20"/>
      <c r="E52" s="20"/>
      <c r="F52" s="20"/>
      <c r="G52" s="57"/>
      <c r="H52" s="57"/>
      <c r="I52" s="57"/>
      <c r="J52" s="57"/>
      <c r="K52" s="57"/>
      <c r="L52" s="20"/>
    </row>
    <row r="53" spans="1:12" x14ac:dyDescent="0.55000000000000004">
      <c r="A53" s="20"/>
      <c r="B53" s="20"/>
      <c r="C53" s="20"/>
      <c r="D53" s="20"/>
      <c r="E53" s="20"/>
      <c r="F53" s="20"/>
      <c r="G53" s="31"/>
      <c r="H53" s="31"/>
      <c r="I53" s="31"/>
      <c r="J53" s="31"/>
      <c r="K53" s="31"/>
      <c r="L53" s="33"/>
    </row>
    <row r="54" spans="1:12" x14ac:dyDescent="0.55000000000000004">
      <c r="A54" s="20"/>
      <c r="B54" s="20"/>
      <c r="C54" s="20"/>
      <c r="D54" s="20"/>
      <c r="E54" s="20"/>
      <c r="F54" s="20"/>
      <c r="G54" s="32"/>
      <c r="H54" s="32"/>
      <c r="I54" s="32"/>
      <c r="J54" s="32"/>
      <c r="K54" s="32"/>
      <c r="L54" s="20"/>
    </row>
    <row r="55" spans="1:12" x14ac:dyDescent="0.55000000000000004">
      <c r="A55" s="20"/>
      <c r="B55" s="20"/>
      <c r="C55" s="20"/>
      <c r="D55" s="20"/>
      <c r="E55" s="20"/>
      <c r="F55" s="20"/>
      <c r="G55" s="32"/>
      <c r="H55" s="32"/>
      <c r="I55" s="32"/>
      <c r="J55" s="32"/>
      <c r="K55" s="32"/>
      <c r="L55" s="20"/>
    </row>
    <row r="56" spans="1:12" x14ac:dyDescent="0.55000000000000004">
      <c r="A56" s="20"/>
      <c r="B56" s="20"/>
      <c r="C56" s="20"/>
      <c r="D56" s="20"/>
      <c r="E56" s="20"/>
      <c r="F56" s="20"/>
      <c r="G56" s="32"/>
      <c r="H56" s="32"/>
      <c r="I56" s="32"/>
      <c r="J56" s="32"/>
      <c r="K56" s="32"/>
      <c r="L56" s="20"/>
    </row>
    <row r="57" spans="1:12" x14ac:dyDescent="0.55000000000000004">
      <c r="A57" s="20"/>
      <c r="B57" s="20"/>
      <c r="C57" s="20"/>
      <c r="D57" s="20"/>
      <c r="E57" s="20"/>
      <c r="F57" s="20"/>
      <c r="G57" s="34"/>
      <c r="H57" s="34"/>
      <c r="I57" s="34"/>
      <c r="J57" s="34"/>
      <c r="K57" s="34"/>
      <c r="L57" s="33"/>
    </row>
    <row r="58" spans="1:12" x14ac:dyDescent="0.55000000000000004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x14ac:dyDescent="0.55000000000000004">
      <c r="A59" s="20"/>
      <c r="B59" s="20"/>
      <c r="C59" s="20"/>
      <c r="D59" s="20"/>
      <c r="E59" s="20"/>
      <c r="F59" s="20"/>
      <c r="G59" s="32"/>
      <c r="H59" s="32"/>
      <c r="I59" s="32"/>
      <c r="J59" s="35"/>
      <c r="K59" s="35"/>
      <c r="L59" s="20"/>
    </row>
    <row r="60" spans="1:12" x14ac:dyDescent="0.55000000000000004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x14ac:dyDescent="0.55000000000000004">
      <c r="A61" s="20"/>
      <c r="B61" s="20"/>
      <c r="C61" s="20"/>
      <c r="D61" s="20"/>
      <c r="E61" s="20"/>
      <c r="F61" s="20"/>
      <c r="G61" s="34"/>
      <c r="H61" s="34"/>
      <c r="I61" s="34"/>
      <c r="J61" s="34"/>
      <c r="K61" s="34"/>
      <c r="L61" s="33"/>
    </row>
    <row r="62" spans="1:12" x14ac:dyDescent="0.55000000000000004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x14ac:dyDescent="0.55000000000000004">
      <c r="A63" s="20"/>
      <c r="B63" s="20"/>
      <c r="C63" s="20"/>
      <c r="D63" s="20"/>
      <c r="E63" s="20"/>
      <c r="F63" s="20"/>
      <c r="G63" s="32"/>
      <c r="H63" s="32"/>
      <c r="I63" s="32"/>
      <c r="J63" s="35"/>
      <c r="K63" s="35"/>
      <c r="L63" s="20"/>
    </row>
  </sheetData>
  <pageMargins left="0.7" right="0.7" top="0.75" bottom="0.75" header="0.3" footer="0.3"/>
  <pageSetup scale="81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19"/>
  <sheetViews>
    <sheetView zoomScaleNormal="100" workbookViewId="0">
      <selection sqref="A1:N1"/>
    </sheetView>
  </sheetViews>
  <sheetFormatPr defaultRowHeight="12.3" x14ac:dyDescent="0.4"/>
  <cols>
    <col min="1" max="8" width="9.15625" style="36"/>
    <col min="9" max="9" width="13" style="36" customWidth="1"/>
    <col min="10" max="10" width="15.41796875" style="36" customWidth="1"/>
    <col min="11" max="11" width="11.578125" style="36" customWidth="1"/>
    <col min="12" max="12" width="9.15625" style="36"/>
    <col min="13" max="13" width="14" style="36" customWidth="1"/>
    <col min="14" max="14" width="12.83984375" style="36" customWidth="1"/>
    <col min="15" max="264" width="9.15625" style="36"/>
    <col min="265" max="265" width="13" style="36" customWidth="1"/>
    <col min="266" max="266" width="15.41796875" style="36" customWidth="1"/>
    <col min="267" max="267" width="11.578125" style="36" customWidth="1"/>
    <col min="268" max="268" width="9.15625" style="36"/>
    <col min="269" max="269" width="14" style="36" customWidth="1"/>
    <col min="270" max="270" width="12.83984375" style="36" customWidth="1"/>
    <col min="271" max="520" width="9.15625" style="36"/>
    <col min="521" max="521" width="13" style="36" customWidth="1"/>
    <col min="522" max="522" width="15.41796875" style="36" customWidth="1"/>
    <col min="523" max="523" width="11.578125" style="36" customWidth="1"/>
    <col min="524" max="524" width="9.15625" style="36"/>
    <col min="525" max="525" width="14" style="36" customWidth="1"/>
    <col min="526" max="526" width="12.83984375" style="36" customWidth="1"/>
    <col min="527" max="776" width="9.15625" style="36"/>
    <col min="777" max="777" width="13" style="36" customWidth="1"/>
    <col min="778" max="778" width="15.41796875" style="36" customWidth="1"/>
    <col min="779" max="779" width="11.578125" style="36" customWidth="1"/>
    <col min="780" max="780" width="9.15625" style="36"/>
    <col min="781" max="781" width="14" style="36" customWidth="1"/>
    <col min="782" max="782" width="12.83984375" style="36" customWidth="1"/>
    <col min="783" max="1032" width="9.15625" style="36"/>
    <col min="1033" max="1033" width="13" style="36" customWidth="1"/>
    <col min="1034" max="1034" width="15.41796875" style="36" customWidth="1"/>
    <col min="1035" max="1035" width="11.578125" style="36" customWidth="1"/>
    <col min="1036" max="1036" width="9.15625" style="36"/>
    <col min="1037" max="1037" width="14" style="36" customWidth="1"/>
    <col min="1038" max="1038" width="12.83984375" style="36" customWidth="1"/>
    <col min="1039" max="1288" width="9.15625" style="36"/>
    <col min="1289" max="1289" width="13" style="36" customWidth="1"/>
    <col min="1290" max="1290" width="15.41796875" style="36" customWidth="1"/>
    <col min="1291" max="1291" width="11.578125" style="36" customWidth="1"/>
    <col min="1292" max="1292" width="9.15625" style="36"/>
    <col min="1293" max="1293" width="14" style="36" customWidth="1"/>
    <col min="1294" max="1294" width="12.83984375" style="36" customWidth="1"/>
    <col min="1295" max="1544" width="9.15625" style="36"/>
    <col min="1545" max="1545" width="13" style="36" customWidth="1"/>
    <col min="1546" max="1546" width="15.41796875" style="36" customWidth="1"/>
    <col min="1547" max="1547" width="11.578125" style="36" customWidth="1"/>
    <col min="1548" max="1548" width="9.15625" style="36"/>
    <col min="1549" max="1549" width="14" style="36" customWidth="1"/>
    <col min="1550" max="1550" width="12.83984375" style="36" customWidth="1"/>
    <col min="1551" max="1800" width="9.15625" style="36"/>
    <col min="1801" max="1801" width="13" style="36" customWidth="1"/>
    <col min="1802" max="1802" width="15.41796875" style="36" customWidth="1"/>
    <col min="1803" max="1803" width="11.578125" style="36" customWidth="1"/>
    <col min="1804" max="1804" width="9.15625" style="36"/>
    <col min="1805" max="1805" width="14" style="36" customWidth="1"/>
    <col min="1806" max="1806" width="12.83984375" style="36" customWidth="1"/>
    <col min="1807" max="2056" width="9.15625" style="36"/>
    <col min="2057" max="2057" width="13" style="36" customWidth="1"/>
    <col min="2058" max="2058" width="15.41796875" style="36" customWidth="1"/>
    <col min="2059" max="2059" width="11.578125" style="36" customWidth="1"/>
    <col min="2060" max="2060" width="9.15625" style="36"/>
    <col min="2061" max="2061" width="14" style="36" customWidth="1"/>
    <col min="2062" max="2062" width="12.83984375" style="36" customWidth="1"/>
    <col min="2063" max="2312" width="9.15625" style="36"/>
    <col min="2313" max="2313" width="13" style="36" customWidth="1"/>
    <col min="2314" max="2314" width="15.41796875" style="36" customWidth="1"/>
    <col min="2315" max="2315" width="11.578125" style="36" customWidth="1"/>
    <col min="2316" max="2316" width="9.15625" style="36"/>
    <col min="2317" max="2317" width="14" style="36" customWidth="1"/>
    <col min="2318" max="2318" width="12.83984375" style="36" customWidth="1"/>
    <col min="2319" max="2568" width="9.15625" style="36"/>
    <col min="2569" max="2569" width="13" style="36" customWidth="1"/>
    <col min="2570" max="2570" width="15.41796875" style="36" customWidth="1"/>
    <col min="2571" max="2571" width="11.578125" style="36" customWidth="1"/>
    <col min="2572" max="2572" width="9.15625" style="36"/>
    <col min="2573" max="2573" width="14" style="36" customWidth="1"/>
    <col min="2574" max="2574" width="12.83984375" style="36" customWidth="1"/>
    <col min="2575" max="2824" width="9.15625" style="36"/>
    <col min="2825" max="2825" width="13" style="36" customWidth="1"/>
    <col min="2826" max="2826" width="15.41796875" style="36" customWidth="1"/>
    <col min="2827" max="2827" width="11.578125" style="36" customWidth="1"/>
    <col min="2828" max="2828" width="9.15625" style="36"/>
    <col min="2829" max="2829" width="14" style="36" customWidth="1"/>
    <col min="2830" max="2830" width="12.83984375" style="36" customWidth="1"/>
    <col min="2831" max="3080" width="9.15625" style="36"/>
    <col min="3081" max="3081" width="13" style="36" customWidth="1"/>
    <col min="3082" max="3082" width="15.41796875" style="36" customWidth="1"/>
    <col min="3083" max="3083" width="11.578125" style="36" customWidth="1"/>
    <col min="3084" max="3084" width="9.15625" style="36"/>
    <col min="3085" max="3085" width="14" style="36" customWidth="1"/>
    <col min="3086" max="3086" width="12.83984375" style="36" customWidth="1"/>
    <col min="3087" max="3336" width="9.15625" style="36"/>
    <col min="3337" max="3337" width="13" style="36" customWidth="1"/>
    <col min="3338" max="3338" width="15.41796875" style="36" customWidth="1"/>
    <col min="3339" max="3339" width="11.578125" style="36" customWidth="1"/>
    <col min="3340" max="3340" width="9.15625" style="36"/>
    <col min="3341" max="3341" width="14" style="36" customWidth="1"/>
    <col min="3342" max="3342" width="12.83984375" style="36" customWidth="1"/>
    <col min="3343" max="3592" width="9.15625" style="36"/>
    <col min="3593" max="3593" width="13" style="36" customWidth="1"/>
    <col min="3594" max="3594" width="15.41796875" style="36" customWidth="1"/>
    <col min="3595" max="3595" width="11.578125" style="36" customWidth="1"/>
    <col min="3596" max="3596" width="9.15625" style="36"/>
    <col min="3597" max="3597" width="14" style="36" customWidth="1"/>
    <col min="3598" max="3598" width="12.83984375" style="36" customWidth="1"/>
    <col min="3599" max="3848" width="9.15625" style="36"/>
    <col min="3849" max="3849" width="13" style="36" customWidth="1"/>
    <col min="3850" max="3850" width="15.41796875" style="36" customWidth="1"/>
    <col min="3851" max="3851" width="11.578125" style="36" customWidth="1"/>
    <col min="3852" max="3852" width="9.15625" style="36"/>
    <col min="3853" max="3853" width="14" style="36" customWidth="1"/>
    <col min="3854" max="3854" width="12.83984375" style="36" customWidth="1"/>
    <col min="3855" max="4104" width="9.15625" style="36"/>
    <col min="4105" max="4105" width="13" style="36" customWidth="1"/>
    <col min="4106" max="4106" width="15.41796875" style="36" customWidth="1"/>
    <col min="4107" max="4107" width="11.578125" style="36" customWidth="1"/>
    <col min="4108" max="4108" width="9.15625" style="36"/>
    <col min="4109" max="4109" width="14" style="36" customWidth="1"/>
    <col min="4110" max="4110" width="12.83984375" style="36" customWidth="1"/>
    <col min="4111" max="4360" width="9.15625" style="36"/>
    <col min="4361" max="4361" width="13" style="36" customWidth="1"/>
    <col min="4362" max="4362" width="15.41796875" style="36" customWidth="1"/>
    <col min="4363" max="4363" width="11.578125" style="36" customWidth="1"/>
    <col min="4364" max="4364" width="9.15625" style="36"/>
    <col min="4365" max="4365" width="14" style="36" customWidth="1"/>
    <col min="4366" max="4366" width="12.83984375" style="36" customWidth="1"/>
    <col min="4367" max="4616" width="9.15625" style="36"/>
    <col min="4617" max="4617" width="13" style="36" customWidth="1"/>
    <col min="4618" max="4618" width="15.41796875" style="36" customWidth="1"/>
    <col min="4619" max="4619" width="11.578125" style="36" customWidth="1"/>
    <col min="4620" max="4620" width="9.15625" style="36"/>
    <col min="4621" max="4621" width="14" style="36" customWidth="1"/>
    <col min="4622" max="4622" width="12.83984375" style="36" customWidth="1"/>
    <col min="4623" max="4872" width="9.15625" style="36"/>
    <col min="4873" max="4873" width="13" style="36" customWidth="1"/>
    <col min="4874" max="4874" width="15.41796875" style="36" customWidth="1"/>
    <col min="4875" max="4875" width="11.578125" style="36" customWidth="1"/>
    <col min="4876" max="4876" width="9.15625" style="36"/>
    <col min="4877" max="4877" width="14" style="36" customWidth="1"/>
    <col min="4878" max="4878" width="12.83984375" style="36" customWidth="1"/>
    <col min="4879" max="5128" width="9.15625" style="36"/>
    <col min="5129" max="5129" width="13" style="36" customWidth="1"/>
    <col min="5130" max="5130" width="15.41796875" style="36" customWidth="1"/>
    <col min="5131" max="5131" width="11.578125" style="36" customWidth="1"/>
    <col min="5132" max="5132" width="9.15625" style="36"/>
    <col min="5133" max="5133" width="14" style="36" customWidth="1"/>
    <col min="5134" max="5134" width="12.83984375" style="36" customWidth="1"/>
    <col min="5135" max="5384" width="9.15625" style="36"/>
    <col min="5385" max="5385" width="13" style="36" customWidth="1"/>
    <col min="5386" max="5386" width="15.41796875" style="36" customWidth="1"/>
    <col min="5387" max="5387" width="11.578125" style="36" customWidth="1"/>
    <col min="5388" max="5388" width="9.15625" style="36"/>
    <col min="5389" max="5389" width="14" style="36" customWidth="1"/>
    <col min="5390" max="5390" width="12.83984375" style="36" customWidth="1"/>
    <col min="5391" max="5640" width="9.15625" style="36"/>
    <col min="5641" max="5641" width="13" style="36" customWidth="1"/>
    <col min="5642" max="5642" width="15.41796875" style="36" customWidth="1"/>
    <col min="5643" max="5643" width="11.578125" style="36" customWidth="1"/>
    <col min="5644" max="5644" width="9.15625" style="36"/>
    <col min="5645" max="5645" width="14" style="36" customWidth="1"/>
    <col min="5646" max="5646" width="12.83984375" style="36" customWidth="1"/>
    <col min="5647" max="5896" width="9.15625" style="36"/>
    <col min="5897" max="5897" width="13" style="36" customWidth="1"/>
    <col min="5898" max="5898" width="15.41796875" style="36" customWidth="1"/>
    <col min="5899" max="5899" width="11.578125" style="36" customWidth="1"/>
    <col min="5900" max="5900" width="9.15625" style="36"/>
    <col min="5901" max="5901" width="14" style="36" customWidth="1"/>
    <col min="5902" max="5902" width="12.83984375" style="36" customWidth="1"/>
    <col min="5903" max="6152" width="9.15625" style="36"/>
    <col min="6153" max="6153" width="13" style="36" customWidth="1"/>
    <col min="6154" max="6154" width="15.41796875" style="36" customWidth="1"/>
    <col min="6155" max="6155" width="11.578125" style="36" customWidth="1"/>
    <col min="6156" max="6156" width="9.15625" style="36"/>
    <col min="6157" max="6157" width="14" style="36" customWidth="1"/>
    <col min="6158" max="6158" width="12.83984375" style="36" customWidth="1"/>
    <col min="6159" max="6408" width="9.15625" style="36"/>
    <col min="6409" max="6409" width="13" style="36" customWidth="1"/>
    <col min="6410" max="6410" width="15.41796875" style="36" customWidth="1"/>
    <col min="6411" max="6411" width="11.578125" style="36" customWidth="1"/>
    <col min="6412" max="6412" width="9.15625" style="36"/>
    <col min="6413" max="6413" width="14" style="36" customWidth="1"/>
    <col min="6414" max="6414" width="12.83984375" style="36" customWidth="1"/>
    <col min="6415" max="6664" width="9.15625" style="36"/>
    <col min="6665" max="6665" width="13" style="36" customWidth="1"/>
    <col min="6666" max="6666" width="15.41796875" style="36" customWidth="1"/>
    <col min="6667" max="6667" width="11.578125" style="36" customWidth="1"/>
    <col min="6668" max="6668" width="9.15625" style="36"/>
    <col min="6669" max="6669" width="14" style="36" customWidth="1"/>
    <col min="6670" max="6670" width="12.83984375" style="36" customWidth="1"/>
    <col min="6671" max="6920" width="9.15625" style="36"/>
    <col min="6921" max="6921" width="13" style="36" customWidth="1"/>
    <col min="6922" max="6922" width="15.41796875" style="36" customWidth="1"/>
    <col min="6923" max="6923" width="11.578125" style="36" customWidth="1"/>
    <col min="6924" max="6924" width="9.15625" style="36"/>
    <col min="6925" max="6925" width="14" style="36" customWidth="1"/>
    <col min="6926" max="6926" width="12.83984375" style="36" customWidth="1"/>
    <col min="6927" max="7176" width="9.15625" style="36"/>
    <col min="7177" max="7177" width="13" style="36" customWidth="1"/>
    <col min="7178" max="7178" width="15.41796875" style="36" customWidth="1"/>
    <col min="7179" max="7179" width="11.578125" style="36" customWidth="1"/>
    <col min="7180" max="7180" width="9.15625" style="36"/>
    <col min="7181" max="7181" width="14" style="36" customWidth="1"/>
    <col min="7182" max="7182" width="12.83984375" style="36" customWidth="1"/>
    <col min="7183" max="7432" width="9.15625" style="36"/>
    <col min="7433" max="7433" width="13" style="36" customWidth="1"/>
    <col min="7434" max="7434" width="15.41796875" style="36" customWidth="1"/>
    <col min="7435" max="7435" width="11.578125" style="36" customWidth="1"/>
    <col min="7436" max="7436" width="9.15625" style="36"/>
    <col min="7437" max="7437" width="14" style="36" customWidth="1"/>
    <col min="7438" max="7438" width="12.83984375" style="36" customWidth="1"/>
    <col min="7439" max="7688" width="9.15625" style="36"/>
    <col min="7689" max="7689" width="13" style="36" customWidth="1"/>
    <col min="7690" max="7690" width="15.41796875" style="36" customWidth="1"/>
    <col min="7691" max="7691" width="11.578125" style="36" customWidth="1"/>
    <col min="7692" max="7692" width="9.15625" style="36"/>
    <col min="7693" max="7693" width="14" style="36" customWidth="1"/>
    <col min="7694" max="7694" width="12.83984375" style="36" customWidth="1"/>
    <col min="7695" max="7944" width="9.15625" style="36"/>
    <col min="7945" max="7945" width="13" style="36" customWidth="1"/>
    <col min="7946" max="7946" width="15.41796875" style="36" customWidth="1"/>
    <col min="7947" max="7947" width="11.578125" style="36" customWidth="1"/>
    <col min="7948" max="7948" width="9.15625" style="36"/>
    <col min="7949" max="7949" width="14" style="36" customWidth="1"/>
    <col min="7950" max="7950" width="12.83984375" style="36" customWidth="1"/>
    <col min="7951" max="8200" width="9.15625" style="36"/>
    <col min="8201" max="8201" width="13" style="36" customWidth="1"/>
    <col min="8202" max="8202" width="15.41796875" style="36" customWidth="1"/>
    <col min="8203" max="8203" width="11.578125" style="36" customWidth="1"/>
    <col min="8204" max="8204" width="9.15625" style="36"/>
    <col min="8205" max="8205" width="14" style="36" customWidth="1"/>
    <col min="8206" max="8206" width="12.83984375" style="36" customWidth="1"/>
    <col min="8207" max="8456" width="9.15625" style="36"/>
    <col min="8457" max="8457" width="13" style="36" customWidth="1"/>
    <col min="8458" max="8458" width="15.41796875" style="36" customWidth="1"/>
    <col min="8459" max="8459" width="11.578125" style="36" customWidth="1"/>
    <col min="8460" max="8460" width="9.15625" style="36"/>
    <col min="8461" max="8461" width="14" style="36" customWidth="1"/>
    <col min="8462" max="8462" width="12.83984375" style="36" customWidth="1"/>
    <col min="8463" max="8712" width="9.15625" style="36"/>
    <col min="8713" max="8713" width="13" style="36" customWidth="1"/>
    <col min="8714" max="8714" width="15.41796875" style="36" customWidth="1"/>
    <col min="8715" max="8715" width="11.578125" style="36" customWidth="1"/>
    <col min="8716" max="8716" width="9.15625" style="36"/>
    <col min="8717" max="8717" width="14" style="36" customWidth="1"/>
    <col min="8718" max="8718" width="12.83984375" style="36" customWidth="1"/>
    <col min="8719" max="8968" width="9.15625" style="36"/>
    <col min="8969" max="8969" width="13" style="36" customWidth="1"/>
    <col min="8970" max="8970" width="15.41796875" style="36" customWidth="1"/>
    <col min="8971" max="8971" width="11.578125" style="36" customWidth="1"/>
    <col min="8972" max="8972" width="9.15625" style="36"/>
    <col min="8973" max="8973" width="14" style="36" customWidth="1"/>
    <col min="8974" max="8974" width="12.83984375" style="36" customWidth="1"/>
    <col min="8975" max="9224" width="9.15625" style="36"/>
    <col min="9225" max="9225" width="13" style="36" customWidth="1"/>
    <col min="9226" max="9226" width="15.41796875" style="36" customWidth="1"/>
    <col min="9227" max="9227" width="11.578125" style="36" customWidth="1"/>
    <col min="9228" max="9228" width="9.15625" style="36"/>
    <col min="9229" max="9229" width="14" style="36" customWidth="1"/>
    <col min="9230" max="9230" width="12.83984375" style="36" customWidth="1"/>
    <col min="9231" max="9480" width="9.15625" style="36"/>
    <col min="9481" max="9481" width="13" style="36" customWidth="1"/>
    <col min="9482" max="9482" width="15.41796875" style="36" customWidth="1"/>
    <col min="9483" max="9483" width="11.578125" style="36" customWidth="1"/>
    <col min="9484" max="9484" width="9.15625" style="36"/>
    <col min="9485" max="9485" width="14" style="36" customWidth="1"/>
    <col min="9486" max="9486" width="12.83984375" style="36" customWidth="1"/>
    <col min="9487" max="9736" width="9.15625" style="36"/>
    <col min="9737" max="9737" width="13" style="36" customWidth="1"/>
    <col min="9738" max="9738" width="15.41796875" style="36" customWidth="1"/>
    <col min="9739" max="9739" width="11.578125" style="36" customWidth="1"/>
    <col min="9740" max="9740" width="9.15625" style="36"/>
    <col min="9741" max="9741" width="14" style="36" customWidth="1"/>
    <col min="9742" max="9742" width="12.83984375" style="36" customWidth="1"/>
    <col min="9743" max="9992" width="9.15625" style="36"/>
    <col min="9993" max="9993" width="13" style="36" customWidth="1"/>
    <col min="9994" max="9994" width="15.41796875" style="36" customWidth="1"/>
    <col min="9995" max="9995" width="11.578125" style="36" customWidth="1"/>
    <col min="9996" max="9996" width="9.15625" style="36"/>
    <col min="9997" max="9997" width="14" style="36" customWidth="1"/>
    <col min="9998" max="9998" width="12.83984375" style="36" customWidth="1"/>
    <col min="9999" max="10248" width="9.15625" style="36"/>
    <col min="10249" max="10249" width="13" style="36" customWidth="1"/>
    <col min="10250" max="10250" width="15.41796875" style="36" customWidth="1"/>
    <col min="10251" max="10251" width="11.578125" style="36" customWidth="1"/>
    <col min="10252" max="10252" width="9.15625" style="36"/>
    <col min="10253" max="10253" width="14" style="36" customWidth="1"/>
    <col min="10254" max="10254" width="12.83984375" style="36" customWidth="1"/>
    <col min="10255" max="10504" width="9.15625" style="36"/>
    <col min="10505" max="10505" width="13" style="36" customWidth="1"/>
    <col min="10506" max="10506" width="15.41796875" style="36" customWidth="1"/>
    <col min="10507" max="10507" width="11.578125" style="36" customWidth="1"/>
    <col min="10508" max="10508" width="9.15625" style="36"/>
    <col min="10509" max="10509" width="14" style="36" customWidth="1"/>
    <col min="10510" max="10510" width="12.83984375" style="36" customWidth="1"/>
    <col min="10511" max="10760" width="9.15625" style="36"/>
    <col min="10761" max="10761" width="13" style="36" customWidth="1"/>
    <col min="10762" max="10762" width="15.41796875" style="36" customWidth="1"/>
    <col min="10763" max="10763" width="11.578125" style="36" customWidth="1"/>
    <col min="10764" max="10764" width="9.15625" style="36"/>
    <col min="10765" max="10765" width="14" style="36" customWidth="1"/>
    <col min="10766" max="10766" width="12.83984375" style="36" customWidth="1"/>
    <col min="10767" max="11016" width="9.15625" style="36"/>
    <col min="11017" max="11017" width="13" style="36" customWidth="1"/>
    <col min="11018" max="11018" width="15.41796875" style="36" customWidth="1"/>
    <col min="11019" max="11019" width="11.578125" style="36" customWidth="1"/>
    <col min="11020" max="11020" width="9.15625" style="36"/>
    <col min="11021" max="11021" width="14" style="36" customWidth="1"/>
    <col min="11022" max="11022" width="12.83984375" style="36" customWidth="1"/>
    <col min="11023" max="11272" width="9.15625" style="36"/>
    <col min="11273" max="11273" width="13" style="36" customWidth="1"/>
    <col min="11274" max="11274" width="15.41796875" style="36" customWidth="1"/>
    <col min="11275" max="11275" width="11.578125" style="36" customWidth="1"/>
    <col min="11276" max="11276" width="9.15625" style="36"/>
    <col min="11277" max="11277" width="14" style="36" customWidth="1"/>
    <col min="11278" max="11278" width="12.83984375" style="36" customWidth="1"/>
    <col min="11279" max="11528" width="9.15625" style="36"/>
    <col min="11529" max="11529" width="13" style="36" customWidth="1"/>
    <col min="11530" max="11530" width="15.41796875" style="36" customWidth="1"/>
    <col min="11531" max="11531" width="11.578125" style="36" customWidth="1"/>
    <col min="11532" max="11532" width="9.15625" style="36"/>
    <col min="11533" max="11533" width="14" style="36" customWidth="1"/>
    <col min="11534" max="11534" width="12.83984375" style="36" customWidth="1"/>
    <col min="11535" max="11784" width="9.15625" style="36"/>
    <col min="11785" max="11785" width="13" style="36" customWidth="1"/>
    <col min="11786" max="11786" width="15.41796875" style="36" customWidth="1"/>
    <col min="11787" max="11787" width="11.578125" style="36" customWidth="1"/>
    <col min="11788" max="11788" width="9.15625" style="36"/>
    <col min="11789" max="11789" width="14" style="36" customWidth="1"/>
    <col min="11790" max="11790" width="12.83984375" style="36" customWidth="1"/>
    <col min="11791" max="12040" width="9.15625" style="36"/>
    <col min="12041" max="12041" width="13" style="36" customWidth="1"/>
    <col min="12042" max="12042" width="15.41796875" style="36" customWidth="1"/>
    <col min="12043" max="12043" width="11.578125" style="36" customWidth="1"/>
    <col min="12044" max="12044" width="9.15625" style="36"/>
    <col min="12045" max="12045" width="14" style="36" customWidth="1"/>
    <col min="12046" max="12046" width="12.83984375" style="36" customWidth="1"/>
    <col min="12047" max="12296" width="9.15625" style="36"/>
    <col min="12297" max="12297" width="13" style="36" customWidth="1"/>
    <col min="12298" max="12298" width="15.41796875" style="36" customWidth="1"/>
    <col min="12299" max="12299" width="11.578125" style="36" customWidth="1"/>
    <col min="12300" max="12300" width="9.15625" style="36"/>
    <col min="12301" max="12301" width="14" style="36" customWidth="1"/>
    <col min="12302" max="12302" width="12.83984375" style="36" customWidth="1"/>
    <col min="12303" max="12552" width="9.15625" style="36"/>
    <col min="12553" max="12553" width="13" style="36" customWidth="1"/>
    <col min="12554" max="12554" width="15.41796875" style="36" customWidth="1"/>
    <col min="12555" max="12555" width="11.578125" style="36" customWidth="1"/>
    <col min="12556" max="12556" width="9.15625" style="36"/>
    <col min="12557" max="12557" width="14" style="36" customWidth="1"/>
    <col min="12558" max="12558" width="12.83984375" style="36" customWidth="1"/>
    <col min="12559" max="12808" width="9.15625" style="36"/>
    <col min="12809" max="12809" width="13" style="36" customWidth="1"/>
    <col min="12810" max="12810" width="15.41796875" style="36" customWidth="1"/>
    <col min="12811" max="12811" width="11.578125" style="36" customWidth="1"/>
    <col min="12812" max="12812" width="9.15625" style="36"/>
    <col min="12813" max="12813" width="14" style="36" customWidth="1"/>
    <col min="12814" max="12814" width="12.83984375" style="36" customWidth="1"/>
    <col min="12815" max="13064" width="9.15625" style="36"/>
    <col min="13065" max="13065" width="13" style="36" customWidth="1"/>
    <col min="13066" max="13066" width="15.41796875" style="36" customWidth="1"/>
    <col min="13067" max="13067" width="11.578125" style="36" customWidth="1"/>
    <col min="13068" max="13068" width="9.15625" style="36"/>
    <col min="13069" max="13069" width="14" style="36" customWidth="1"/>
    <col min="13070" max="13070" width="12.83984375" style="36" customWidth="1"/>
    <col min="13071" max="13320" width="9.15625" style="36"/>
    <col min="13321" max="13321" width="13" style="36" customWidth="1"/>
    <col min="13322" max="13322" width="15.41796875" style="36" customWidth="1"/>
    <col min="13323" max="13323" width="11.578125" style="36" customWidth="1"/>
    <col min="13324" max="13324" width="9.15625" style="36"/>
    <col min="13325" max="13325" width="14" style="36" customWidth="1"/>
    <col min="13326" max="13326" width="12.83984375" style="36" customWidth="1"/>
    <col min="13327" max="13576" width="9.15625" style="36"/>
    <col min="13577" max="13577" width="13" style="36" customWidth="1"/>
    <col min="13578" max="13578" width="15.41796875" style="36" customWidth="1"/>
    <col min="13579" max="13579" width="11.578125" style="36" customWidth="1"/>
    <col min="13580" max="13580" width="9.15625" style="36"/>
    <col min="13581" max="13581" width="14" style="36" customWidth="1"/>
    <col min="13582" max="13582" width="12.83984375" style="36" customWidth="1"/>
    <col min="13583" max="13832" width="9.15625" style="36"/>
    <col min="13833" max="13833" width="13" style="36" customWidth="1"/>
    <col min="13834" max="13834" width="15.41796875" style="36" customWidth="1"/>
    <col min="13835" max="13835" width="11.578125" style="36" customWidth="1"/>
    <col min="13836" max="13836" width="9.15625" style="36"/>
    <col min="13837" max="13837" width="14" style="36" customWidth="1"/>
    <col min="13838" max="13838" width="12.83984375" style="36" customWidth="1"/>
    <col min="13839" max="14088" width="9.15625" style="36"/>
    <col min="14089" max="14089" width="13" style="36" customWidth="1"/>
    <col min="14090" max="14090" width="15.41796875" style="36" customWidth="1"/>
    <col min="14091" max="14091" width="11.578125" style="36" customWidth="1"/>
    <col min="14092" max="14092" width="9.15625" style="36"/>
    <col min="14093" max="14093" width="14" style="36" customWidth="1"/>
    <col min="14094" max="14094" width="12.83984375" style="36" customWidth="1"/>
    <col min="14095" max="14344" width="9.15625" style="36"/>
    <col min="14345" max="14345" width="13" style="36" customWidth="1"/>
    <col min="14346" max="14346" width="15.41796875" style="36" customWidth="1"/>
    <col min="14347" max="14347" width="11.578125" style="36" customWidth="1"/>
    <col min="14348" max="14348" width="9.15625" style="36"/>
    <col min="14349" max="14349" width="14" style="36" customWidth="1"/>
    <col min="14350" max="14350" width="12.83984375" style="36" customWidth="1"/>
    <col min="14351" max="14600" width="9.15625" style="36"/>
    <col min="14601" max="14601" width="13" style="36" customWidth="1"/>
    <col min="14602" max="14602" width="15.41796875" style="36" customWidth="1"/>
    <col min="14603" max="14603" width="11.578125" style="36" customWidth="1"/>
    <col min="14604" max="14604" width="9.15625" style="36"/>
    <col min="14605" max="14605" width="14" style="36" customWidth="1"/>
    <col min="14606" max="14606" width="12.83984375" style="36" customWidth="1"/>
    <col min="14607" max="14856" width="9.15625" style="36"/>
    <col min="14857" max="14857" width="13" style="36" customWidth="1"/>
    <col min="14858" max="14858" width="15.41796875" style="36" customWidth="1"/>
    <col min="14859" max="14859" width="11.578125" style="36" customWidth="1"/>
    <col min="14860" max="14860" width="9.15625" style="36"/>
    <col min="14861" max="14861" width="14" style="36" customWidth="1"/>
    <col min="14862" max="14862" width="12.83984375" style="36" customWidth="1"/>
    <col min="14863" max="15112" width="9.15625" style="36"/>
    <col min="15113" max="15113" width="13" style="36" customWidth="1"/>
    <col min="15114" max="15114" width="15.41796875" style="36" customWidth="1"/>
    <col min="15115" max="15115" width="11.578125" style="36" customWidth="1"/>
    <col min="15116" max="15116" width="9.15625" style="36"/>
    <col min="15117" max="15117" width="14" style="36" customWidth="1"/>
    <col min="15118" max="15118" width="12.83984375" style="36" customWidth="1"/>
    <col min="15119" max="15368" width="9.15625" style="36"/>
    <col min="15369" max="15369" width="13" style="36" customWidth="1"/>
    <col min="15370" max="15370" width="15.41796875" style="36" customWidth="1"/>
    <col min="15371" max="15371" width="11.578125" style="36" customWidth="1"/>
    <col min="15372" max="15372" width="9.15625" style="36"/>
    <col min="15373" max="15373" width="14" style="36" customWidth="1"/>
    <col min="15374" max="15374" width="12.83984375" style="36" customWidth="1"/>
    <col min="15375" max="15624" width="9.15625" style="36"/>
    <col min="15625" max="15625" width="13" style="36" customWidth="1"/>
    <col min="15626" max="15626" width="15.41796875" style="36" customWidth="1"/>
    <col min="15627" max="15627" width="11.578125" style="36" customWidth="1"/>
    <col min="15628" max="15628" width="9.15625" style="36"/>
    <col min="15629" max="15629" width="14" style="36" customWidth="1"/>
    <col min="15630" max="15630" width="12.83984375" style="36" customWidth="1"/>
    <col min="15631" max="15880" width="9.15625" style="36"/>
    <col min="15881" max="15881" width="13" style="36" customWidth="1"/>
    <col min="15882" max="15882" width="15.41796875" style="36" customWidth="1"/>
    <col min="15883" max="15883" width="11.578125" style="36" customWidth="1"/>
    <col min="15884" max="15884" width="9.15625" style="36"/>
    <col min="15885" max="15885" width="14" style="36" customWidth="1"/>
    <col min="15886" max="15886" width="12.83984375" style="36" customWidth="1"/>
    <col min="15887" max="16136" width="9.15625" style="36"/>
    <col min="16137" max="16137" width="13" style="36" customWidth="1"/>
    <col min="16138" max="16138" width="15.41796875" style="36" customWidth="1"/>
    <col min="16139" max="16139" width="11.578125" style="36" customWidth="1"/>
    <col min="16140" max="16140" width="9.15625" style="36"/>
    <col min="16141" max="16141" width="14" style="36" customWidth="1"/>
    <col min="16142" max="16142" width="12.83984375" style="36" customWidth="1"/>
    <col min="16143" max="16384" width="9.15625" style="36"/>
  </cols>
  <sheetData>
    <row r="1" spans="1:14" x14ac:dyDescent="0.4">
      <c r="A1" s="128" t="s">
        <v>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x14ac:dyDescent="0.4">
      <c r="A2" s="128" t="s">
        <v>47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x14ac:dyDescent="0.4">
      <c r="A3" s="128" t="s">
        <v>90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12.6" thickBot="1" x14ac:dyDescent="0.45">
      <c r="A4" s="37"/>
    </row>
    <row r="5" spans="1:14" ht="14.7" thickBot="1" x14ac:dyDescent="0.6">
      <c r="I5" s="129" t="s">
        <v>48</v>
      </c>
      <c r="J5" s="130"/>
      <c r="K5" s="131"/>
    </row>
    <row r="6" spans="1:14" ht="14.4" x14ac:dyDescent="0.55000000000000004">
      <c r="I6" s="38" t="s">
        <v>49</v>
      </c>
      <c r="M6" s="38" t="s">
        <v>21</v>
      </c>
      <c r="N6" s="38" t="s">
        <v>50</v>
      </c>
    </row>
    <row r="7" spans="1:14" ht="14.4" x14ac:dyDescent="0.55000000000000004">
      <c r="A7" s="36" t="s">
        <v>51</v>
      </c>
      <c r="I7" s="38" t="s">
        <v>52</v>
      </c>
      <c r="J7" s="38" t="s">
        <v>21</v>
      </c>
      <c r="K7" s="38" t="s">
        <v>53</v>
      </c>
      <c r="M7" s="38" t="s">
        <v>54</v>
      </c>
      <c r="N7" s="38" t="s">
        <v>55</v>
      </c>
    </row>
    <row r="9" spans="1:14" ht="14.4" x14ac:dyDescent="0.55000000000000004">
      <c r="A9" s="39">
        <v>580</v>
      </c>
      <c r="B9" s="36" t="s">
        <v>56</v>
      </c>
      <c r="H9" s="36" t="s">
        <v>57</v>
      </c>
      <c r="I9" s="46">
        <f>'LG&amp;E OH'!Q32+'LG&amp;E OH'!Q34</f>
        <v>2328134.7309266347</v>
      </c>
      <c r="J9" s="56">
        <v>11896170</v>
      </c>
      <c r="K9" s="62">
        <f t="shared" ref="K9:K15" si="0">I9/J9</f>
        <v>0.19570456129381428</v>
      </c>
      <c r="M9" s="50">
        <v>2397038.9999999902</v>
      </c>
      <c r="N9" s="41">
        <f>K9*M9</f>
        <v>469111.46589916135</v>
      </c>
    </row>
    <row r="10" spans="1:14" ht="14.4" x14ac:dyDescent="0.55000000000000004">
      <c r="A10" s="39">
        <v>588</v>
      </c>
      <c r="B10" s="36" t="s">
        <v>58</v>
      </c>
      <c r="H10" s="36" t="s">
        <v>22</v>
      </c>
      <c r="I10" s="46">
        <f>'LG&amp;E OH'!Q25</f>
        <v>250357988.95923075</v>
      </c>
      <c r="J10" s="46">
        <v>1786682454.6940265</v>
      </c>
      <c r="K10" s="62">
        <f t="shared" si="0"/>
        <v>0.14012450186740383</v>
      </c>
      <c r="M10" s="52">
        <v>7395817</v>
      </c>
      <c r="N10" s="43">
        <f t="shared" ref="N10:N15" si="1">K10*M10</f>
        <v>1036335.173027477</v>
      </c>
    </row>
    <row r="11" spans="1:14" ht="14.4" x14ac:dyDescent="0.55000000000000004">
      <c r="A11" s="39">
        <v>589</v>
      </c>
      <c r="B11" s="36" t="s">
        <v>59</v>
      </c>
      <c r="H11" s="36" t="s">
        <v>22</v>
      </c>
      <c r="I11" s="46">
        <f>I10</f>
        <v>250357988.95923075</v>
      </c>
      <c r="J11" s="42">
        <f>$J$10</f>
        <v>1786682454.6940265</v>
      </c>
      <c r="K11" s="62">
        <f t="shared" si="0"/>
        <v>0.14012450186740383</v>
      </c>
      <c r="M11" s="53">
        <v>35725</v>
      </c>
      <c r="N11" s="43">
        <f t="shared" si="1"/>
        <v>5005.9478292130016</v>
      </c>
    </row>
    <row r="12" spans="1:14" ht="14.4" x14ac:dyDescent="0.55000000000000004">
      <c r="A12" s="39">
        <v>590</v>
      </c>
      <c r="B12" s="36" t="s">
        <v>60</v>
      </c>
      <c r="H12" s="36" t="s">
        <v>57</v>
      </c>
      <c r="I12" s="46">
        <f>I9</f>
        <v>2328134.7309266347</v>
      </c>
      <c r="J12" s="40">
        <f>J9</f>
        <v>11896170</v>
      </c>
      <c r="K12" s="62">
        <f t="shared" si="0"/>
        <v>0.19570456129381428</v>
      </c>
      <c r="M12" s="53">
        <v>47090</v>
      </c>
      <c r="N12" s="43">
        <f t="shared" si="1"/>
        <v>9215.7277913257149</v>
      </c>
    </row>
    <row r="13" spans="1:14" ht="14.4" x14ac:dyDescent="0.55000000000000004">
      <c r="A13" s="39">
        <v>598</v>
      </c>
      <c r="B13" s="36" t="s">
        <v>61</v>
      </c>
      <c r="H13" s="36" t="s">
        <v>22</v>
      </c>
      <c r="I13" s="46">
        <f>I10</f>
        <v>250357988.95923075</v>
      </c>
      <c r="J13" s="42">
        <f>$J$10</f>
        <v>1786682454.6940265</v>
      </c>
      <c r="K13" s="62">
        <f t="shared" si="0"/>
        <v>0.14012450186740383</v>
      </c>
      <c r="M13" s="53">
        <v>870332</v>
      </c>
      <c r="N13" s="43">
        <f t="shared" si="1"/>
        <v>121954.83795926131</v>
      </c>
    </row>
    <row r="14" spans="1:14" ht="14.4" x14ac:dyDescent="0.55000000000000004">
      <c r="A14" s="39">
        <v>904</v>
      </c>
      <c r="B14" s="36" t="s">
        <v>62</v>
      </c>
      <c r="H14" s="36" t="s">
        <v>22</v>
      </c>
      <c r="I14" s="46">
        <f>I10</f>
        <v>250357988.95923075</v>
      </c>
      <c r="J14" s="42">
        <f>$J$10</f>
        <v>1786682454.6940265</v>
      </c>
      <c r="K14" s="62">
        <f t="shared" si="0"/>
        <v>0.14012450186740383</v>
      </c>
      <c r="M14" s="53">
        <v>2225667.78521111</v>
      </c>
      <c r="N14" s="43">
        <f t="shared" si="1"/>
        <v>311870.58972503472</v>
      </c>
    </row>
    <row r="15" spans="1:14" ht="14.4" x14ac:dyDescent="0.55000000000000004">
      <c r="A15" s="39">
        <v>905</v>
      </c>
      <c r="B15" s="36" t="s">
        <v>63</v>
      </c>
      <c r="H15" s="36" t="s">
        <v>22</v>
      </c>
      <c r="I15" s="46">
        <f>I10</f>
        <v>250357988.95923075</v>
      </c>
      <c r="J15" s="42">
        <f>$J$10</f>
        <v>1786682454.6940265</v>
      </c>
      <c r="K15" s="62">
        <f t="shared" si="0"/>
        <v>0.14012450186740383</v>
      </c>
      <c r="M15" s="53">
        <v>0</v>
      </c>
      <c r="N15" s="43">
        <f t="shared" si="1"/>
        <v>0</v>
      </c>
    </row>
    <row r="16" spans="1:14" ht="14.4" x14ac:dyDescent="0.55000000000000004">
      <c r="A16" s="39"/>
      <c r="I16" s="42"/>
      <c r="J16" s="42"/>
      <c r="N16" s="44">
        <f>SUM(N9:N15)</f>
        <v>1953493.7422314731</v>
      </c>
    </row>
    <row r="17" spans="1:14" ht="14.7" thickBot="1" x14ac:dyDescent="0.6">
      <c r="A17" s="39"/>
      <c r="J17" s="42"/>
      <c r="N17" s="43"/>
    </row>
    <row r="18" spans="1:14" ht="14.7" thickBot="1" x14ac:dyDescent="0.6">
      <c r="I18" s="129" t="s">
        <v>48</v>
      </c>
      <c r="J18" s="130"/>
      <c r="K18" s="131"/>
      <c r="N18" s="38" t="s">
        <v>64</v>
      </c>
    </row>
    <row r="19" spans="1:14" ht="14.4" x14ac:dyDescent="0.55000000000000004">
      <c r="I19" s="38" t="s">
        <v>49</v>
      </c>
      <c r="M19" s="38"/>
      <c r="N19" s="38" t="s">
        <v>49</v>
      </c>
    </row>
    <row r="20" spans="1:14" ht="14.4" x14ac:dyDescent="0.55000000000000004">
      <c r="I20" s="38" t="s">
        <v>52</v>
      </c>
      <c r="J20" s="38" t="s">
        <v>21</v>
      </c>
      <c r="K20" s="38" t="s">
        <v>53</v>
      </c>
      <c r="M20" s="38" t="s">
        <v>65</v>
      </c>
      <c r="N20" s="38" t="s">
        <v>66</v>
      </c>
    </row>
    <row r="21" spans="1:14" x14ac:dyDescent="0.4">
      <c r="A21" s="36" t="s">
        <v>67</v>
      </c>
    </row>
    <row r="22" spans="1:14" x14ac:dyDescent="0.4">
      <c r="M22" s="49"/>
    </row>
    <row r="23" spans="1:14" ht="14.4" x14ac:dyDescent="0.55000000000000004">
      <c r="A23" s="36" t="s">
        <v>68</v>
      </c>
      <c r="H23" s="36" t="s">
        <v>22</v>
      </c>
      <c r="I23" s="56">
        <f>SUM('LG&amp;E OH'!G17:I17)</f>
        <v>61435612.774309032</v>
      </c>
      <c r="J23" s="56">
        <v>4185367363.7841139</v>
      </c>
      <c r="K23" s="36">
        <f t="shared" ref="K23:K28" si="2">I23/J23</f>
        <v>1.467866675358296E-2</v>
      </c>
      <c r="M23" s="50">
        <f>21026365+231173767</f>
        <v>252200132</v>
      </c>
      <c r="N23" s="41">
        <f t="shared" ref="N23:N28" si="3">K23*M23</f>
        <v>3701961.6928376341</v>
      </c>
    </row>
    <row r="24" spans="1:14" ht="14.4" x14ac:dyDescent="0.55000000000000004">
      <c r="A24" s="36" t="s">
        <v>69</v>
      </c>
      <c r="H24" s="36" t="s">
        <v>22</v>
      </c>
      <c r="I24" s="46">
        <f>$I$23</f>
        <v>61435612.774309032</v>
      </c>
      <c r="J24" s="42">
        <f>$J$23</f>
        <v>4185367363.7841139</v>
      </c>
      <c r="K24" s="36">
        <f t="shared" si="2"/>
        <v>1.467866675358296E-2</v>
      </c>
      <c r="M24" s="119">
        <v>2908740</v>
      </c>
      <c r="N24" s="42">
        <f t="shared" si="3"/>
        <v>42696.425132816898</v>
      </c>
    </row>
    <row r="25" spans="1:14" ht="14.4" x14ac:dyDescent="0.55000000000000004">
      <c r="A25" s="36" t="s">
        <v>70</v>
      </c>
      <c r="H25" s="36" t="s">
        <v>22</v>
      </c>
      <c r="I25" s="46">
        <f>$I$23</f>
        <v>61435612.774309032</v>
      </c>
      <c r="J25" s="42">
        <f>$J$23</f>
        <v>4185367363.7841139</v>
      </c>
      <c r="K25" s="36">
        <f t="shared" si="2"/>
        <v>1.467866675358296E-2</v>
      </c>
      <c r="M25" s="51">
        <v>44127132.932526901</v>
      </c>
      <c r="N25" s="42">
        <f t="shared" si="3"/>
        <v>647727.47910761833</v>
      </c>
    </row>
    <row r="26" spans="1:14" ht="14.4" x14ac:dyDescent="0.55000000000000004">
      <c r="A26" s="36" t="s">
        <v>71</v>
      </c>
      <c r="H26" s="36" t="s">
        <v>22</v>
      </c>
      <c r="I26" s="46">
        <f>$I$23</f>
        <v>61435612.774309032</v>
      </c>
      <c r="J26" s="42">
        <f>$J$23</f>
        <v>4185367363.7841139</v>
      </c>
      <c r="K26" s="36">
        <f t="shared" si="2"/>
        <v>1.467866675358296E-2</v>
      </c>
      <c r="M26" s="51">
        <v>14687906.328766206</v>
      </c>
      <c r="N26" s="42">
        <f t="shared" si="3"/>
        <v>215598.88230780125</v>
      </c>
    </row>
    <row r="27" spans="1:14" ht="14.4" x14ac:dyDescent="0.55000000000000004">
      <c r="A27" s="36" t="s">
        <v>72</v>
      </c>
      <c r="H27" s="36" t="s">
        <v>73</v>
      </c>
      <c r="I27" s="46">
        <f>$I$23</f>
        <v>61435612.774309032</v>
      </c>
      <c r="J27" s="42">
        <f>$J$10</f>
        <v>1786682454.6940265</v>
      </c>
      <c r="K27" s="36">
        <f t="shared" si="2"/>
        <v>3.4385300316182948E-2</v>
      </c>
      <c r="M27" s="51">
        <v>16836832</v>
      </c>
      <c r="N27" s="42">
        <f t="shared" si="3"/>
        <v>578939.52469311922</v>
      </c>
    </row>
    <row r="28" spans="1:14" ht="14.4" x14ac:dyDescent="0.55000000000000004">
      <c r="A28" s="36" t="s">
        <v>74</v>
      </c>
      <c r="H28" s="36" t="s">
        <v>22</v>
      </c>
      <c r="I28" s="46">
        <f>$I$23</f>
        <v>61435612.774309032</v>
      </c>
      <c r="J28" s="42">
        <f>$J$23</f>
        <v>4185367363.7841139</v>
      </c>
      <c r="K28" s="36">
        <f t="shared" si="2"/>
        <v>1.467866675358296E-2</v>
      </c>
      <c r="M28" s="51">
        <v>11356326</v>
      </c>
      <c r="N28" s="42">
        <f t="shared" si="3"/>
        <v>166695.72489904976</v>
      </c>
    </row>
    <row r="29" spans="1:14" x14ac:dyDescent="0.4">
      <c r="M29" s="49"/>
      <c r="N29" s="44">
        <f>SUM(N23:N28)</f>
        <v>5353619.7289780406</v>
      </c>
    </row>
    <row r="30" spans="1:14" x14ac:dyDescent="0.4">
      <c r="N30" s="41"/>
    </row>
    <row r="31" spans="1:14" x14ac:dyDescent="0.4">
      <c r="A31" s="124" t="s">
        <v>89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</row>
    <row r="32" spans="1:14" x14ac:dyDescent="0.4">
      <c r="A32" s="124" t="s">
        <v>47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</row>
    <row r="33" spans="1:14" x14ac:dyDescent="0.4">
      <c r="A33" s="124" t="s">
        <v>90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</row>
    <row r="34" spans="1:14" ht="14.7" thickBot="1" x14ac:dyDescent="0.6">
      <c r="A34" s="9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4.7" thickBot="1" x14ac:dyDescent="0.6">
      <c r="A35"/>
      <c r="B35"/>
      <c r="C35"/>
      <c r="D35"/>
      <c r="E35"/>
      <c r="F35"/>
      <c r="G35"/>
      <c r="H35"/>
      <c r="I35" s="125" t="s">
        <v>48</v>
      </c>
      <c r="J35" s="126"/>
      <c r="K35" s="127"/>
      <c r="L35"/>
      <c r="M35"/>
      <c r="N35"/>
    </row>
    <row r="36" spans="1:14" ht="14.4" x14ac:dyDescent="0.55000000000000004">
      <c r="A36"/>
      <c r="B36"/>
      <c r="C36"/>
      <c r="D36"/>
      <c r="E36"/>
      <c r="F36"/>
      <c r="G36"/>
      <c r="H36"/>
      <c r="I36" s="4" t="s">
        <v>49</v>
      </c>
      <c r="J36"/>
      <c r="K36"/>
      <c r="L36"/>
      <c r="M36" s="4" t="s">
        <v>21</v>
      </c>
      <c r="N36" s="4" t="s">
        <v>50</v>
      </c>
    </row>
    <row r="37" spans="1:14" ht="14.4" x14ac:dyDescent="0.55000000000000004">
      <c r="A37" t="s">
        <v>51</v>
      </c>
      <c r="B37"/>
      <c r="C37"/>
      <c r="D37"/>
      <c r="E37"/>
      <c r="F37"/>
      <c r="G37"/>
      <c r="H37"/>
      <c r="I37" s="4" t="s">
        <v>52</v>
      </c>
      <c r="J37" s="4" t="s">
        <v>21</v>
      </c>
      <c r="K37" s="4" t="s">
        <v>53</v>
      </c>
      <c r="L37"/>
      <c r="M37" s="4" t="s">
        <v>54</v>
      </c>
      <c r="N37" s="4" t="s">
        <v>55</v>
      </c>
    </row>
    <row r="38" spans="1:14" ht="14.4" x14ac:dyDescent="0.55000000000000004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4.4" x14ac:dyDescent="0.55000000000000004">
      <c r="A39" s="45">
        <v>580</v>
      </c>
      <c r="B39" t="s">
        <v>56</v>
      </c>
      <c r="C39"/>
      <c r="D39"/>
      <c r="E39"/>
      <c r="F39"/>
      <c r="G39"/>
      <c r="H39" t="s">
        <v>57</v>
      </c>
      <c r="I39" s="40">
        <f>'KU OH'!Q32+'KU OH'!Q34</f>
        <v>682613.94512312184</v>
      </c>
      <c r="J39" s="56">
        <v>21313408</v>
      </c>
      <c r="K39" s="36">
        <f t="shared" ref="K39:K45" si="4">I39/J39</f>
        <v>3.202744230876272E-2</v>
      </c>
      <c r="L39"/>
      <c r="M39" s="61">
        <v>1911255</v>
      </c>
      <c r="N39" s="54">
        <f>K39*M39</f>
        <v>61212.609249834291</v>
      </c>
    </row>
    <row r="40" spans="1:14" ht="14.4" x14ac:dyDescent="0.55000000000000004">
      <c r="A40" s="45">
        <v>588</v>
      </c>
      <c r="B40" t="s">
        <v>58</v>
      </c>
      <c r="C40"/>
      <c r="D40"/>
      <c r="E40"/>
      <c r="F40"/>
      <c r="G40"/>
      <c r="H40" t="s">
        <v>22</v>
      </c>
      <c r="I40" s="42">
        <f>'KU OH'!Q25</f>
        <v>450304522.11999941</v>
      </c>
      <c r="J40" s="46">
        <v>2180108277</v>
      </c>
      <c r="K40" s="36">
        <f t="shared" si="4"/>
        <v>0.20655144832515096</v>
      </c>
      <c r="L40"/>
      <c r="M40" s="53">
        <v>8491579</v>
      </c>
      <c r="N40" s="11">
        <f t="shared" ref="N40:N45" si="5">K40*M40</f>
        <v>1753947.941017437</v>
      </c>
    </row>
    <row r="41" spans="1:14" ht="14.4" x14ac:dyDescent="0.55000000000000004">
      <c r="A41" s="45">
        <v>589</v>
      </c>
      <c r="B41" t="s">
        <v>59</v>
      </c>
      <c r="C41"/>
      <c r="D41"/>
      <c r="E41"/>
      <c r="F41"/>
      <c r="G41"/>
      <c r="H41" t="s">
        <v>22</v>
      </c>
      <c r="I41" s="42">
        <f>$I$40</f>
        <v>450304522.11999941</v>
      </c>
      <c r="J41" s="42">
        <f>J40</f>
        <v>2180108277</v>
      </c>
      <c r="K41" s="36">
        <f t="shared" si="4"/>
        <v>0.20655144832515096</v>
      </c>
      <c r="L41"/>
      <c r="M41" s="53">
        <v>0</v>
      </c>
      <c r="N41" s="11">
        <f t="shared" si="5"/>
        <v>0</v>
      </c>
    </row>
    <row r="42" spans="1:14" ht="14.4" x14ac:dyDescent="0.55000000000000004">
      <c r="A42" s="45">
        <v>590</v>
      </c>
      <c r="B42" t="s">
        <v>60</v>
      </c>
      <c r="C42"/>
      <c r="D42"/>
      <c r="E42"/>
      <c r="F42"/>
      <c r="G42"/>
      <c r="H42" t="s">
        <v>57</v>
      </c>
      <c r="I42" s="42">
        <f>I39</f>
        <v>682613.94512312184</v>
      </c>
      <c r="J42" s="42">
        <f>J39</f>
        <v>21313408</v>
      </c>
      <c r="K42" s="36">
        <f t="shared" si="4"/>
        <v>3.202744230876272E-2</v>
      </c>
      <c r="L42"/>
      <c r="M42" s="53">
        <v>50915</v>
      </c>
      <c r="N42" s="11">
        <f t="shared" si="5"/>
        <v>1630.6772251506538</v>
      </c>
    </row>
    <row r="43" spans="1:14" ht="14.4" x14ac:dyDescent="0.55000000000000004">
      <c r="A43" s="45">
        <v>598</v>
      </c>
      <c r="B43" t="s">
        <v>61</v>
      </c>
      <c r="C43"/>
      <c r="D43"/>
      <c r="E43"/>
      <c r="F43"/>
      <c r="G43"/>
      <c r="H43" t="s">
        <v>22</v>
      </c>
      <c r="I43" s="42">
        <f>$I$40</f>
        <v>450304522.11999941</v>
      </c>
      <c r="J43" s="42">
        <f>J40</f>
        <v>2180108277</v>
      </c>
      <c r="K43" s="36">
        <f t="shared" si="4"/>
        <v>0.20655144832515096</v>
      </c>
      <c r="L43"/>
      <c r="M43" s="53">
        <v>584150</v>
      </c>
      <c r="N43" s="11">
        <f t="shared" si="5"/>
        <v>120657.02853913694</v>
      </c>
    </row>
    <row r="44" spans="1:14" ht="14.4" x14ac:dyDescent="0.55000000000000004">
      <c r="A44" s="45">
        <v>904</v>
      </c>
      <c r="B44" t="s">
        <v>62</v>
      </c>
      <c r="C44"/>
      <c r="D44"/>
      <c r="E44"/>
      <c r="F44"/>
      <c r="G44"/>
      <c r="H44" t="s">
        <v>22</v>
      </c>
      <c r="I44" s="42">
        <f>$I$40</f>
        <v>450304522.11999941</v>
      </c>
      <c r="J44" s="42">
        <f>J43</f>
        <v>2180108277</v>
      </c>
      <c r="K44" s="36">
        <f t="shared" si="4"/>
        <v>0.20655144832515096</v>
      </c>
      <c r="L44"/>
      <c r="M44" s="53">
        <v>4646049</v>
      </c>
      <c r="N44" s="11">
        <f t="shared" si="5"/>
        <v>959648.14993961924</v>
      </c>
    </row>
    <row r="45" spans="1:14" ht="14.4" x14ac:dyDescent="0.55000000000000004">
      <c r="A45" s="45">
        <v>905</v>
      </c>
      <c r="B45" t="s">
        <v>63</v>
      </c>
      <c r="C45"/>
      <c r="D45"/>
      <c r="E45"/>
      <c r="F45"/>
      <c r="G45"/>
      <c r="H45" t="s">
        <v>22</v>
      </c>
      <c r="I45" s="42">
        <f>$I$40</f>
        <v>450304522.11999941</v>
      </c>
      <c r="J45" s="42">
        <f>J44</f>
        <v>2180108277</v>
      </c>
      <c r="K45" s="36">
        <f t="shared" si="4"/>
        <v>0.20655144832515096</v>
      </c>
      <c r="L45"/>
      <c r="M45" s="53">
        <v>165801</v>
      </c>
      <c r="N45" s="11">
        <f t="shared" si="5"/>
        <v>34246.436683758351</v>
      </c>
    </row>
    <row r="46" spans="1:14" ht="14.4" x14ac:dyDescent="0.55000000000000004">
      <c r="A46" s="45"/>
      <c r="B46"/>
      <c r="C46"/>
      <c r="D46"/>
      <c r="E46"/>
      <c r="F46"/>
      <c r="G46"/>
      <c r="H46"/>
      <c r="I46" s="42"/>
      <c r="J46" s="42"/>
      <c r="K46"/>
      <c r="L46"/>
      <c r="M46"/>
      <c r="N46" s="55">
        <f>SUM(N39:N45)</f>
        <v>2931342.842654936</v>
      </c>
    </row>
    <row r="47" spans="1:14" ht="14.7" thickBot="1" x14ac:dyDescent="0.6">
      <c r="A47" s="45"/>
      <c r="B47"/>
      <c r="C47"/>
      <c r="D47"/>
      <c r="E47"/>
      <c r="F47"/>
      <c r="G47"/>
      <c r="H47"/>
      <c r="I47"/>
      <c r="J47" s="42"/>
      <c r="K47"/>
      <c r="L47"/>
      <c r="M47"/>
      <c r="N47" s="11"/>
    </row>
    <row r="48" spans="1:14" ht="14.7" thickBot="1" x14ac:dyDescent="0.6">
      <c r="A48"/>
      <c r="B48"/>
      <c r="C48"/>
      <c r="D48"/>
      <c r="E48"/>
      <c r="F48"/>
      <c r="G48"/>
      <c r="H48"/>
      <c r="I48" s="125" t="s">
        <v>48</v>
      </c>
      <c r="J48" s="126"/>
      <c r="K48" s="127"/>
      <c r="L48"/>
      <c r="M48"/>
      <c r="N48" s="4" t="s">
        <v>64</v>
      </c>
    </row>
    <row r="49" spans="1:14" ht="14.4" x14ac:dyDescent="0.55000000000000004">
      <c r="A49"/>
      <c r="B49"/>
      <c r="C49"/>
      <c r="D49"/>
      <c r="E49"/>
      <c r="F49"/>
      <c r="G49"/>
      <c r="H49"/>
      <c r="I49" s="4" t="s">
        <v>49</v>
      </c>
      <c r="J49"/>
      <c r="K49"/>
      <c r="L49"/>
      <c r="M49" s="4"/>
      <c r="N49" s="4" t="s">
        <v>49</v>
      </c>
    </row>
    <row r="50" spans="1:14" ht="14.4" x14ac:dyDescent="0.55000000000000004">
      <c r="A50"/>
      <c r="B50"/>
      <c r="C50"/>
      <c r="D50"/>
      <c r="E50"/>
      <c r="F50"/>
      <c r="G50"/>
      <c r="H50"/>
      <c r="I50" s="4" t="s">
        <v>52</v>
      </c>
      <c r="J50" s="4" t="s">
        <v>21</v>
      </c>
      <c r="K50" s="4" t="s">
        <v>53</v>
      </c>
      <c r="L50"/>
      <c r="M50" s="4" t="s">
        <v>65</v>
      </c>
      <c r="N50" s="4" t="s">
        <v>66</v>
      </c>
    </row>
    <row r="51" spans="1:14" ht="14.4" x14ac:dyDescent="0.55000000000000004">
      <c r="A51" t="s">
        <v>67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4.4" x14ac:dyDescent="0.55000000000000004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4.4" x14ac:dyDescent="0.55000000000000004">
      <c r="A53" t="s">
        <v>68</v>
      </c>
      <c r="B53"/>
      <c r="C53"/>
      <c r="D53"/>
      <c r="E53"/>
      <c r="F53"/>
      <c r="G53"/>
      <c r="H53" t="s">
        <v>22</v>
      </c>
      <c r="I53" s="40">
        <f>SUM('KU OH'!G17:I17)</f>
        <v>126824365.88766468</v>
      </c>
      <c r="J53" s="56">
        <v>6291008281</v>
      </c>
      <c r="K53">
        <f t="shared" ref="K53:K58" si="6">I53/J53</f>
        <v>2.0159624693341694E-2</v>
      </c>
      <c r="L53"/>
      <c r="M53" s="50">
        <v>244918755</v>
      </c>
      <c r="N53" s="54">
        <f t="shared" ref="N53:N58" si="7">K53*M53</f>
        <v>4937470.1811605049</v>
      </c>
    </row>
    <row r="54" spans="1:14" ht="14.4" x14ac:dyDescent="0.55000000000000004">
      <c r="A54" t="s">
        <v>69</v>
      </c>
      <c r="B54"/>
      <c r="C54"/>
      <c r="D54"/>
      <c r="E54"/>
      <c r="F54"/>
      <c r="G54"/>
      <c r="H54" t="s">
        <v>22</v>
      </c>
      <c r="I54" s="42">
        <f>$I$53</f>
        <v>126824365.88766468</v>
      </c>
      <c r="J54" s="46">
        <f>$J$53</f>
        <v>6291008281</v>
      </c>
      <c r="K54">
        <f t="shared" si="6"/>
        <v>2.0159624693341694E-2</v>
      </c>
      <c r="L54"/>
      <c r="M54" s="63">
        <v>906481</v>
      </c>
      <c r="N54" s="42">
        <f t="shared" si="7"/>
        <v>18274.316751645074</v>
      </c>
    </row>
    <row r="55" spans="1:14" ht="14.4" x14ac:dyDescent="0.55000000000000004">
      <c r="A55" t="s">
        <v>70</v>
      </c>
      <c r="B55"/>
      <c r="C55"/>
      <c r="D55"/>
      <c r="E55"/>
      <c r="F55"/>
      <c r="G55"/>
      <c r="H55" t="s">
        <v>22</v>
      </c>
      <c r="I55" s="42">
        <f>$I$53</f>
        <v>126824365.88766468</v>
      </c>
      <c r="J55" s="42">
        <f>$J$53</f>
        <v>6291008281</v>
      </c>
      <c r="K55">
        <f t="shared" si="6"/>
        <v>2.0159624693341694E-2</v>
      </c>
      <c r="L55"/>
      <c r="M55" s="63">
        <v>59890781</v>
      </c>
      <c r="N55" s="42">
        <f t="shared" si="7"/>
        <v>1207375.6675511196</v>
      </c>
    </row>
    <row r="56" spans="1:14" ht="14.4" x14ac:dyDescent="0.55000000000000004">
      <c r="A56" t="s">
        <v>71</v>
      </c>
      <c r="B56"/>
      <c r="C56"/>
      <c r="D56"/>
      <c r="E56"/>
      <c r="F56"/>
      <c r="G56"/>
      <c r="H56" t="s">
        <v>22</v>
      </c>
      <c r="I56" s="42">
        <f>$I$53</f>
        <v>126824365.88766468</v>
      </c>
      <c r="J56" s="42">
        <f>$J$53</f>
        <v>6291008281</v>
      </c>
      <c r="K56">
        <f t="shared" si="6"/>
        <v>2.0159624693341694E-2</v>
      </c>
      <c r="L56"/>
      <c r="M56" s="63">
        <v>19024116</v>
      </c>
      <c r="N56" s="42">
        <f t="shared" si="7"/>
        <v>383519.03868259682</v>
      </c>
    </row>
    <row r="57" spans="1:14" ht="14.4" x14ac:dyDescent="0.55000000000000004">
      <c r="A57" t="s">
        <v>72</v>
      </c>
      <c r="B57"/>
      <c r="C57"/>
      <c r="D57"/>
      <c r="E57"/>
      <c r="F57"/>
      <c r="G57"/>
      <c r="H57" t="s">
        <v>73</v>
      </c>
      <c r="I57" s="42">
        <f>$I$53</f>
        <v>126824365.88766468</v>
      </c>
      <c r="J57" s="42">
        <f>$J$40</f>
        <v>2180108277</v>
      </c>
      <c r="K57" s="73">
        <f t="shared" si="6"/>
        <v>5.8173425249403186E-2</v>
      </c>
      <c r="L57"/>
      <c r="M57" s="63">
        <v>26143041</v>
      </c>
      <c r="N57" s="42">
        <f t="shared" si="7"/>
        <v>1520830.2414055828</v>
      </c>
    </row>
    <row r="58" spans="1:14" ht="14.4" x14ac:dyDescent="0.55000000000000004">
      <c r="A58" t="s">
        <v>74</v>
      </c>
      <c r="B58"/>
      <c r="C58"/>
      <c r="D58"/>
      <c r="E58"/>
      <c r="F58"/>
      <c r="G58"/>
      <c r="H58" t="s">
        <v>22</v>
      </c>
      <c r="I58" s="42">
        <f>$I$53</f>
        <v>126824365.88766468</v>
      </c>
      <c r="J58" s="42">
        <f>$J$53</f>
        <v>6291008281</v>
      </c>
      <c r="K58">
        <f t="shared" si="6"/>
        <v>2.0159624693341694E-2</v>
      </c>
      <c r="L58"/>
      <c r="M58" s="63">
        <v>29729390</v>
      </c>
      <c r="N58" s="42">
        <f t="shared" si="7"/>
        <v>599333.34476198559</v>
      </c>
    </row>
    <row r="59" spans="1:14" ht="14.4" x14ac:dyDescent="0.55000000000000004">
      <c r="A59"/>
      <c r="B59"/>
      <c r="C59"/>
      <c r="D59"/>
      <c r="E59"/>
      <c r="F59"/>
      <c r="G59"/>
      <c r="H59"/>
      <c r="I59"/>
      <c r="J59"/>
      <c r="K59"/>
      <c r="L59"/>
      <c r="M59"/>
      <c r="N59" s="55">
        <f>SUM(N53:N58)</f>
        <v>8666802.7903134357</v>
      </c>
    </row>
    <row r="61" spans="1:14" x14ac:dyDescent="0.4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</row>
    <row r="62" spans="1:14" x14ac:dyDescent="0.4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</row>
    <row r="63" spans="1:14" x14ac:dyDescent="0.4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</row>
    <row r="64" spans="1:14" x14ac:dyDescent="0.4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4.4" x14ac:dyDescent="0.55000000000000004">
      <c r="A65" s="80"/>
      <c r="B65" s="80"/>
      <c r="C65" s="80"/>
      <c r="D65" s="80"/>
      <c r="E65" s="80"/>
      <c r="F65" s="80"/>
      <c r="G65" s="80"/>
      <c r="H65" s="80"/>
      <c r="I65" s="123"/>
      <c r="J65" s="123"/>
      <c r="K65" s="123"/>
      <c r="L65" s="80"/>
      <c r="M65" s="80"/>
      <c r="N65" s="80"/>
    </row>
    <row r="66" spans="1:14" ht="14.4" x14ac:dyDescent="0.55000000000000004">
      <c r="A66" s="80"/>
      <c r="B66" s="80"/>
      <c r="C66" s="80"/>
      <c r="D66" s="80"/>
      <c r="E66" s="80"/>
      <c r="F66" s="80"/>
      <c r="G66" s="80"/>
      <c r="H66" s="80"/>
      <c r="I66" s="81"/>
      <c r="J66" s="80"/>
      <c r="K66" s="80"/>
      <c r="L66" s="80"/>
      <c r="M66" s="81"/>
      <c r="N66" s="81"/>
    </row>
    <row r="67" spans="1:14" ht="14.4" x14ac:dyDescent="0.55000000000000004">
      <c r="A67" s="80"/>
      <c r="B67" s="80"/>
      <c r="C67" s="80"/>
      <c r="D67" s="80"/>
      <c r="E67" s="80"/>
      <c r="F67" s="80"/>
      <c r="G67" s="80"/>
      <c r="H67" s="80"/>
      <c r="I67" s="81"/>
      <c r="J67" s="81"/>
      <c r="K67" s="81"/>
      <c r="L67" s="80"/>
      <c r="M67" s="81"/>
      <c r="N67" s="81"/>
    </row>
    <row r="68" spans="1:14" x14ac:dyDescent="0.4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4.4" x14ac:dyDescent="0.55000000000000004">
      <c r="A69" s="82"/>
      <c r="B69" s="80"/>
      <c r="C69" s="80"/>
      <c r="D69" s="80"/>
      <c r="E69" s="80"/>
      <c r="F69" s="80"/>
      <c r="G69" s="80"/>
      <c r="H69" s="80"/>
      <c r="I69" s="83"/>
      <c r="J69" s="84"/>
      <c r="K69" s="85"/>
      <c r="L69" s="80"/>
      <c r="M69" s="86"/>
      <c r="N69" s="87"/>
    </row>
    <row r="70" spans="1:14" ht="14.4" x14ac:dyDescent="0.55000000000000004">
      <c r="A70" s="82"/>
      <c r="B70" s="80"/>
      <c r="C70" s="80"/>
      <c r="D70" s="80"/>
      <c r="E70" s="80"/>
      <c r="F70" s="80"/>
      <c r="G70" s="80"/>
      <c r="H70" s="80"/>
      <c r="I70" s="88"/>
      <c r="J70" s="88"/>
      <c r="K70" s="85"/>
      <c r="L70" s="80"/>
      <c r="M70" s="89"/>
      <c r="N70" s="90"/>
    </row>
    <row r="71" spans="1:14" ht="14.4" x14ac:dyDescent="0.55000000000000004">
      <c r="A71" s="82"/>
      <c r="B71" s="80"/>
      <c r="C71" s="80"/>
      <c r="D71" s="80"/>
      <c r="E71" s="80"/>
      <c r="F71" s="80"/>
      <c r="G71" s="80"/>
      <c r="H71" s="80"/>
      <c r="I71" s="88"/>
      <c r="J71" s="91"/>
      <c r="K71" s="85"/>
      <c r="L71" s="80"/>
      <c r="M71" s="92"/>
      <c r="N71" s="90"/>
    </row>
    <row r="72" spans="1:14" ht="14.4" x14ac:dyDescent="0.55000000000000004">
      <c r="A72" s="82"/>
      <c r="B72" s="80"/>
      <c r="C72" s="80"/>
      <c r="D72" s="80"/>
      <c r="E72" s="80"/>
      <c r="F72" s="80"/>
      <c r="G72" s="80"/>
      <c r="H72" s="80"/>
      <c r="I72" s="88"/>
      <c r="J72" s="83"/>
      <c r="K72" s="85"/>
      <c r="L72" s="80"/>
      <c r="M72" s="92"/>
      <c r="N72" s="90"/>
    </row>
    <row r="73" spans="1:14" ht="14.4" x14ac:dyDescent="0.55000000000000004">
      <c r="A73" s="82"/>
      <c r="B73" s="80"/>
      <c r="C73" s="80"/>
      <c r="D73" s="80"/>
      <c r="E73" s="80"/>
      <c r="F73" s="80"/>
      <c r="G73" s="80"/>
      <c r="H73" s="80"/>
      <c r="I73" s="88"/>
      <c r="J73" s="91"/>
      <c r="K73" s="85"/>
      <c r="L73" s="80"/>
      <c r="M73" s="92"/>
      <c r="N73" s="90"/>
    </row>
    <row r="74" spans="1:14" ht="14.4" x14ac:dyDescent="0.55000000000000004">
      <c r="A74" s="82"/>
      <c r="B74" s="80"/>
      <c r="C74" s="80"/>
      <c r="D74" s="80"/>
      <c r="E74" s="80"/>
      <c r="F74" s="80"/>
      <c r="G74" s="80"/>
      <c r="H74" s="80"/>
      <c r="I74" s="88"/>
      <c r="J74" s="91"/>
      <c r="K74" s="85"/>
      <c r="L74" s="80"/>
      <c r="M74" s="92"/>
      <c r="N74" s="90"/>
    </row>
    <row r="75" spans="1:14" ht="14.4" x14ac:dyDescent="0.55000000000000004">
      <c r="A75" s="82"/>
      <c r="B75" s="80"/>
      <c r="C75" s="80"/>
      <c r="D75" s="80"/>
      <c r="E75" s="80"/>
      <c r="F75" s="80"/>
      <c r="G75" s="80"/>
      <c r="H75" s="80"/>
      <c r="I75" s="88"/>
      <c r="J75" s="91"/>
      <c r="K75" s="85"/>
      <c r="L75" s="80"/>
      <c r="M75" s="92"/>
      <c r="N75" s="90"/>
    </row>
    <row r="76" spans="1:14" ht="14.4" x14ac:dyDescent="0.55000000000000004">
      <c r="A76" s="82"/>
      <c r="B76" s="80"/>
      <c r="C76" s="80"/>
      <c r="D76" s="80"/>
      <c r="E76" s="80"/>
      <c r="F76" s="80"/>
      <c r="G76" s="80"/>
      <c r="H76" s="80"/>
      <c r="I76" s="91"/>
      <c r="J76" s="91"/>
      <c r="K76" s="80"/>
      <c r="L76" s="80"/>
      <c r="M76" s="80"/>
      <c r="N76" s="87"/>
    </row>
    <row r="77" spans="1:14" ht="14.4" x14ac:dyDescent="0.55000000000000004">
      <c r="A77" s="82"/>
      <c r="B77" s="80"/>
      <c r="C77" s="80"/>
      <c r="D77" s="80"/>
      <c r="E77" s="80"/>
      <c r="F77" s="80"/>
      <c r="G77" s="80"/>
      <c r="H77" s="80"/>
      <c r="I77" s="80"/>
      <c r="J77" s="91"/>
      <c r="K77" s="80"/>
      <c r="L77" s="80"/>
      <c r="M77" s="80"/>
      <c r="N77" s="90"/>
    </row>
    <row r="78" spans="1:14" ht="14.4" x14ac:dyDescent="0.55000000000000004">
      <c r="A78" s="80"/>
      <c r="B78" s="80"/>
      <c r="C78" s="80"/>
      <c r="D78" s="80"/>
      <c r="E78" s="80"/>
      <c r="F78" s="80"/>
      <c r="G78" s="80"/>
      <c r="H78" s="80"/>
      <c r="I78" s="123"/>
      <c r="J78" s="123"/>
      <c r="K78" s="123"/>
      <c r="L78" s="80"/>
      <c r="M78" s="80"/>
      <c r="N78" s="81"/>
    </row>
    <row r="79" spans="1:14" ht="14.4" x14ac:dyDescent="0.55000000000000004">
      <c r="A79" s="80"/>
      <c r="B79" s="80"/>
      <c r="C79" s="80"/>
      <c r="D79" s="80"/>
      <c r="E79" s="80"/>
      <c r="F79" s="80"/>
      <c r="G79" s="80"/>
      <c r="H79" s="80"/>
      <c r="I79" s="81"/>
      <c r="J79" s="80"/>
      <c r="K79" s="80"/>
      <c r="L79" s="80"/>
      <c r="M79" s="81"/>
      <c r="N79" s="81"/>
    </row>
    <row r="80" spans="1:14" ht="14.4" x14ac:dyDescent="0.55000000000000004">
      <c r="A80" s="80"/>
      <c r="B80" s="80"/>
      <c r="C80" s="80"/>
      <c r="D80" s="80"/>
      <c r="E80" s="80"/>
      <c r="F80" s="80"/>
      <c r="G80" s="80"/>
      <c r="H80" s="80"/>
      <c r="I80" s="81"/>
      <c r="J80" s="81"/>
      <c r="K80" s="81"/>
      <c r="L80" s="80"/>
      <c r="M80" s="81"/>
      <c r="N80" s="81"/>
    </row>
    <row r="81" spans="1:14" x14ac:dyDescent="0.4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</row>
    <row r="82" spans="1:14" x14ac:dyDescent="0.4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93"/>
      <c r="N82" s="80"/>
    </row>
    <row r="83" spans="1:14" ht="14.4" x14ac:dyDescent="0.55000000000000004">
      <c r="A83" s="80"/>
      <c r="B83" s="80"/>
      <c r="C83" s="80"/>
      <c r="D83" s="80"/>
      <c r="E83" s="80"/>
      <c r="F83" s="80"/>
      <c r="G83" s="80"/>
      <c r="H83" s="80"/>
      <c r="I83" s="84"/>
      <c r="J83" s="83"/>
      <c r="K83" s="80"/>
      <c r="L83" s="80"/>
      <c r="M83" s="86"/>
      <c r="N83" s="87"/>
    </row>
    <row r="84" spans="1:14" ht="14.4" x14ac:dyDescent="0.55000000000000004">
      <c r="A84" s="80"/>
      <c r="B84" s="80"/>
      <c r="C84" s="80"/>
      <c r="D84" s="80"/>
      <c r="E84" s="80"/>
      <c r="F84" s="80"/>
      <c r="G84" s="80"/>
      <c r="H84" s="80"/>
      <c r="I84" s="88"/>
      <c r="J84" s="91"/>
      <c r="K84" s="80"/>
      <c r="L84" s="80"/>
      <c r="M84" s="94"/>
      <c r="N84" s="91"/>
    </row>
    <row r="85" spans="1:14" ht="14.4" x14ac:dyDescent="0.55000000000000004">
      <c r="A85" s="80"/>
      <c r="B85" s="80"/>
      <c r="C85" s="80"/>
      <c r="D85" s="80"/>
      <c r="E85" s="80"/>
      <c r="F85" s="80"/>
      <c r="G85" s="80"/>
      <c r="H85" s="80"/>
      <c r="I85" s="88"/>
      <c r="J85" s="91"/>
      <c r="K85" s="80"/>
      <c r="L85" s="80"/>
      <c r="M85" s="94"/>
      <c r="N85" s="91"/>
    </row>
    <row r="86" spans="1:14" ht="14.4" x14ac:dyDescent="0.55000000000000004">
      <c r="A86" s="80"/>
      <c r="B86" s="80"/>
      <c r="C86" s="80"/>
      <c r="D86" s="80"/>
      <c r="E86" s="80"/>
      <c r="F86" s="80"/>
      <c r="G86" s="80"/>
      <c r="H86" s="80"/>
      <c r="I86" s="88"/>
      <c r="J86" s="91"/>
      <c r="K86" s="80"/>
      <c r="L86" s="80"/>
      <c r="M86" s="94"/>
      <c r="N86" s="91"/>
    </row>
    <row r="87" spans="1:14" ht="14.4" x14ac:dyDescent="0.55000000000000004">
      <c r="A87" s="80"/>
      <c r="B87" s="80"/>
      <c r="C87" s="80"/>
      <c r="D87" s="80"/>
      <c r="E87" s="80"/>
      <c r="F87" s="80"/>
      <c r="G87" s="80"/>
      <c r="H87" s="80"/>
      <c r="I87" s="88"/>
      <c r="J87" s="91"/>
      <c r="K87" s="95"/>
      <c r="L87" s="80"/>
      <c r="M87" s="94"/>
      <c r="N87" s="91"/>
    </row>
    <row r="88" spans="1:14" ht="14.4" x14ac:dyDescent="0.55000000000000004">
      <c r="A88" s="80"/>
      <c r="B88" s="80"/>
      <c r="C88" s="80"/>
      <c r="D88" s="80"/>
      <c r="E88" s="80"/>
      <c r="F88" s="80"/>
      <c r="G88" s="80"/>
      <c r="H88" s="80"/>
      <c r="I88" s="88"/>
      <c r="J88" s="91"/>
      <c r="K88" s="80"/>
      <c r="L88" s="80"/>
      <c r="M88" s="94"/>
      <c r="N88" s="91"/>
    </row>
    <row r="89" spans="1:14" x14ac:dyDescent="0.4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93"/>
      <c r="N89" s="87"/>
    </row>
    <row r="90" spans="1:14" x14ac:dyDescent="0.4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7"/>
    </row>
    <row r="91" spans="1:14" x14ac:dyDescent="0.4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</row>
    <row r="92" spans="1:14" x14ac:dyDescent="0.4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</row>
    <row r="93" spans="1:14" x14ac:dyDescent="0.4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</row>
    <row r="94" spans="1:14" ht="14.4" x14ac:dyDescent="0.55000000000000004">
      <c r="A94" s="96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ht="14.4" x14ac:dyDescent="0.55000000000000004">
      <c r="A95" s="20"/>
      <c r="B95" s="20"/>
      <c r="C95" s="20"/>
      <c r="D95" s="20"/>
      <c r="E95" s="20"/>
      <c r="F95" s="20"/>
      <c r="G95" s="20"/>
      <c r="H95" s="20"/>
      <c r="I95" s="122"/>
      <c r="J95" s="122"/>
      <c r="K95" s="122"/>
      <c r="L95" s="20"/>
      <c r="M95" s="20"/>
      <c r="N95" s="20"/>
    </row>
    <row r="96" spans="1:14" ht="14.4" x14ac:dyDescent="0.55000000000000004">
      <c r="A96" s="20"/>
      <c r="B96" s="20"/>
      <c r="C96" s="20"/>
      <c r="D96" s="20"/>
      <c r="E96" s="20"/>
      <c r="F96" s="20"/>
      <c r="G96" s="20"/>
      <c r="H96" s="20"/>
      <c r="I96" s="21"/>
      <c r="J96" s="20"/>
      <c r="K96" s="20"/>
      <c r="L96" s="20"/>
      <c r="M96" s="21"/>
      <c r="N96" s="21"/>
    </row>
    <row r="97" spans="1:14" ht="14.4" x14ac:dyDescent="0.55000000000000004">
      <c r="A97" s="20"/>
      <c r="B97" s="20"/>
      <c r="C97" s="20"/>
      <c r="D97" s="20"/>
      <c r="E97" s="20"/>
      <c r="F97" s="20"/>
      <c r="G97" s="20"/>
      <c r="H97" s="20"/>
      <c r="I97" s="21"/>
      <c r="J97" s="21"/>
      <c r="K97" s="21"/>
      <c r="L97" s="20"/>
      <c r="M97" s="21"/>
      <c r="N97" s="21"/>
    </row>
    <row r="98" spans="1:14" ht="14.4" x14ac:dyDescent="0.5500000000000000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ht="14.4" x14ac:dyDescent="0.55000000000000004">
      <c r="A99" s="97"/>
      <c r="B99" s="20"/>
      <c r="C99" s="20"/>
      <c r="D99" s="20"/>
      <c r="E99" s="20"/>
      <c r="F99" s="20"/>
      <c r="G99" s="20"/>
      <c r="H99" s="20"/>
      <c r="I99" s="83"/>
      <c r="J99" s="83"/>
      <c r="K99" s="80"/>
      <c r="L99" s="20"/>
      <c r="M99" s="98"/>
      <c r="N99" s="99"/>
    </row>
    <row r="100" spans="1:14" ht="14.4" x14ac:dyDescent="0.55000000000000004">
      <c r="A100" s="97"/>
      <c r="B100" s="20"/>
      <c r="C100" s="20"/>
      <c r="D100" s="20"/>
      <c r="E100" s="20"/>
      <c r="F100" s="20"/>
      <c r="G100" s="20"/>
      <c r="H100" s="20"/>
      <c r="I100" s="91"/>
      <c r="J100" s="88"/>
      <c r="K100" s="80"/>
      <c r="L100" s="20"/>
      <c r="M100" s="100"/>
      <c r="N100" s="101"/>
    </row>
    <row r="101" spans="1:14" ht="14.4" x14ac:dyDescent="0.55000000000000004">
      <c r="A101" s="97"/>
      <c r="B101" s="20"/>
      <c r="C101" s="20"/>
      <c r="D101" s="20"/>
      <c r="E101" s="20"/>
      <c r="F101" s="20"/>
      <c r="G101" s="20"/>
      <c r="H101" s="20"/>
      <c r="I101" s="91"/>
      <c r="J101" s="91"/>
      <c r="K101" s="80"/>
      <c r="L101" s="20"/>
      <c r="M101" s="100"/>
      <c r="N101" s="101"/>
    </row>
    <row r="102" spans="1:14" ht="14.4" x14ac:dyDescent="0.55000000000000004">
      <c r="A102" s="97"/>
      <c r="B102" s="20"/>
      <c r="C102" s="20"/>
      <c r="D102" s="20"/>
      <c r="E102" s="20"/>
      <c r="F102" s="20"/>
      <c r="G102" s="20"/>
      <c r="H102" s="20"/>
      <c r="I102" s="91"/>
      <c r="J102" s="91"/>
      <c r="K102" s="80"/>
      <c r="L102" s="20"/>
      <c r="M102" s="100"/>
      <c r="N102" s="101"/>
    </row>
    <row r="103" spans="1:14" ht="14.4" x14ac:dyDescent="0.55000000000000004">
      <c r="A103" s="97"/>
      <c r="B103" s="20"/>
      <c r="C103" s="20"/>
      <c r="D103" s="20"/>
      <c r="E103" s="20"/>
      <c r="F103" s="20"/>
      <c r="G103" s="20"/>
      <c r="H103" s="20"/>
      <c r="I103" s="91"/>
      <c r="J103" s="91"/>
      <c r="K103" s="80"/>
      <c r="L103" s="20"/>
      <c r="M103" s="100"/>
      <c r="N103" s="101"/>
    </row>
    <row r="104" spans="1:14" ht="14.4" x14ac:dyDescent="0.55000000000000004">
      <c r="A104" s="97"/>
      <c r="B104" s="20"/>
      <c r="C104" s="20"/>
      <c r="D104" s="20"/>
      <c r="E104" s="20"/>
      <c r="F104" s="20"/>
      <c r="G104" s="20"/>
      <c r="H104" s="20"/>
      <c r="I104" s="91"/>
      <c r="J104" s="91"/>
      <c r="K104" s="80"/>
      <c r="L104" s="20"/>
      <c r="M104" s="100"/>
      <c r="N104" s="101"/>
    </row>
    <row r="105" spans="1:14" ht="14.4" x14ac:dyDescent="0.55000000000000004">
      <c r="A105" s="97"/>
      <c r="B105" s="20"/>
      <c r="C105" s="20"/>
      <c r="D105" s="20"/>
      <c r="E105" s="20"/>
      <c r="F105" s="20"/>
      <c r="G105" s="20"/>
      <c r="H105" s="20"/>
      <c r="I105" s="91"/>
      <c r="J105" s="91"/>
      <c r="K105" s="80"/>
      <c r="L105" s="20"/>
      <c r="M105" s="100"/>
      <c r="N105" s="101"/>
    </row>
    <row r="106" spans="1:14" ht="14.4" x14ac:dyDescent="0.55000000000000004">
      <c r="A106" s="97"/>
      <c r="B106" s="20"/>
      <c r="C106" s="20"/>
      <c r="D106" s="20"/>
      <c r="E106" s="20"/>
      <c r="F106" s="20"/>
      <c r="G106" s="20"/>
      <c r="H106" s="20"/>
      <c r="I106" s="91"/>
      <c r="J106" s="91"/>
      <c r="K106" s="20"/>
      <c r="L106" s="20"/>
      <c r="M106" s="20"/>
      <c r="N106" s="99"/>
    </row>
    <row r="107" spans="1:14" ht="14.4" x14ac:dyDescent="0.55000000000000004">
      <c r="A107" s="97"/>
      <c r="B107" s="20"/>
      <c r="C107" s="20"/>
      <c r="D107" s="20"/>
      <c r="E107" s="20"/>
      <c r="F107" s="20"/>
      <c r="G107" s="20"/>
      <c r="H107" s="20"/>
      <c r="I107" s="20"/>
      <c r="J107" s="91"/>
      <c r="K107" s="20"/>
      <c r="L107" s="20"/>
      <c r="M107" s="20"/>
      <c r="N107" s="101"/>
    </row>
    <row r="108" spans="1:14" ht="14.4" x14ac:dyDescent="0.55000000000000004">
      <c r="A108" s="20"/>
      <c r="B108" s="20"/>
      <c r="C108" s="20"/>
      <c r="D108" s="20"/>
      <c r="E108" s="20"/>
      <c r="F108" s="20"/>
      <c r="G108" s="20"/>
      <c r="H108" s="20"/>
      <c r="I108" s="122"/>
      <c r="J108" s="122"/>
      <c r="K108" s="122"/>
      <c r="L108" s="20"/>
      <c r="M108" s="20"/>
      <c r="N108" s="21"/>
    </row>
    <row r="109" spans="1:14" ht="14.4" x14ac:dyDescent="0.55000000000000004">
      <c r="A109" s="20"/>
      <c r="B109" s="20"/>
      <c r="C109" s="20"/>
      <c r="D109" s="20"/>
      <c r="E109" s="20"/>
      <c r="F109" s="20"/>
      <c r="G109" s="20"/>
      <c r="H109" s="20"/>
      <c r="I109" s="21"/>
      <c r="J109" s="20"/>
      <c r="K109" s="20"/>
      <c r="L109" s="20"/>
      <c r="M109" s="21"/>
      <c r="N109" s="21"/>
    </row>
    <row r="110" spans="1:14" ht="14.4" x14ac:dyDescent="0.55000000000000004">
      <c r="A110" s="20"/>
      <c r="B110" s="20"/>
      <c r="C110" s="20"/>
      <c r="D110" s="20"/>
      <c r="E110" s="20"/>
      <c r="F110" s="20"/>
      <c r="G110" s="20"/>
      <c r="H110" s="20"/>
      <c r="I110" s="21"/>
      <c r="J110" s="21"/>
      <c r="K110" s="21"/>
      <c r="L110" s="20"/>
      <c r="M110" s="21"/>
      <c r="N110" s="21"/>
    </row>
    <row r="111" spans="1:14" ht="14.4" x14ac:dyDescent="0.5500000000000000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ht="14.4" x14ac:dyDescent="0.5500000000000000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ht="14.4" x14ac:dyDescent="0.55000000000000004">
      <c r="A113" s="20"/>
      <c r="B113" s="20"/>
      <c r="C113" s="20"/>
      <c r="D113" s="20"/>
      <c r="E113" s="20"/>
      <c r="F113" s="20"/>
      <c r="G113" s="20"/>
      <c r="H113" s="20"/>
      <c r="I113" s="83"/>
      <c r="J113" s="83"/>
      <c r="K113" s="20"/>
      <c r="L113" s="20"/>
      <c r="M113" s="86"/>
      <c r="N113" s="99"/>
    </row>
    <row r="114" spans="1:14" ht="14.4" x14ac:dyDescent="0.55000000000000004">
      <c r="A114" s="20"/>
      <c r="B114" s="20"/>
      <c r="C114" s="20"/>
      <c r="D114" s="20"/>
      <c r="E114" s="20"/>
      <c r="F114" s="20"/>
      <c r="G114" s="20"/>
      <c r="H114" s="20"/>
      <c r="I114" s="91"/>
      <c r="J114" s="91"/>
      <c r="K114" s="20"/>
      <c r="L114" s="20"/>
      <c r="M114" s="102"/>
      <c r="N114" s="91"/>
    </row>
    <row r="115" spans="1:14" ht="14.4" x14ac:dyDescent="0.55000000000000004">
      <c r="A115" s="20"/>
      <c r="B115" s="20"/>
      <c r="C115" s="20"/>
      <c r="D115" s="20"/>
      <c r="E115" s="20"/>
      <c r="F115" s="20"/>
      <c r="G115" s="20"/>
      <c r="H115" s="20"/>
      <c r="I115" s="91"/>
      <c r="J115" s="91"/>
      <c r="K115" s="20"/>
      <c r="L115" s="20"/>
      <c r="M115" s="102"/>
      <c r="N115" s="91"/>
    </row>
    <row r="116" spans="1:14" ht="14.4" x14ac:dyDescent="0.55000000000000004">
      <c r="A116" s="20"/>
      <c r="B116" s="20"/>
      <c r="C116" s="20"/>
      <c r="D116" s="20"/>
      <c r="E116" s="20"/>
      <c r="F116" s="20"/>
      <c r="G116" s="20"/>
      <c r="H116" s="20"/>
      <c r="I116" s="91"/>
      <c r="J116" s="91"/>
      <c r="K116" s="20"/>
      <c r="L116" s="20"/>
      <c r="M116" s="102"/>
      <c r="N116" s="91"/>
    </row>
    <row r="117" spans="1:14" ht="14.4" x14ac:dyDescent="0.55000000000000004">
      <c r="A117" s="20"/>
      <c r="B117" s="20"/>
      <c r="C117" s="20"/>
      <c r="D117" s="20"/>
      <c r="E117" s="20"/>
      <c r="F117" s="20"/>
      <c r="G117" s="20"/>
      <c r="H117" s="20"/>
      <c r="I117" s="91"/>
      <c r="J117" s="91"/>
      <c r="K117" s="20"/>
      <c r="L117" s="20"/>
      <c r="M117" s="102"/>
      <c r="N117" s="91"/>
    </row>
    <row r="118" spans="1:14" ht="14.4" x14ac:dyDescent="0.55000000000000004">
      <c r="A118" s="20"/>
      <c r="B118" s="20"/>
      <c r="C118" s="20"/>
      <c r="D118" s="20"/>
      <c r="E118" s="20"/>
      <c r="F118" s="20"/>
      <c r="G118" s="20"/>
      <c r="H118" s="20"/>
      <c r="I118" s="91"/>
      <c r="J118" s="91"/>
      <c r="K118" s="20"/>
      <c r="L118" s="20"/>
      <c r="M118" s="102"/>
      <c r="N118" s="91"/>
    </row>
    <row r="119" spans="1:14" ht="14.4" x14ac:dyDescent="0.5500000000000000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99"/>
    </row>
  </sheetData>
  <mergeCells count="20">
    <mergeCell ref="A32:N32"/>
    <mergeCell ref="I35:K35"/>
    <mergeCell ref="I48:K48"/>
    <mergeCell ref="A1:N1"/>
    <mergeCell ref="A2:N2"/>
    <mergeCell ref="I5:K5"/>
    <mergeCell ref="I18:K18"/>
    <mergeCell ref="A31:N31"/>
    <mergeCell ref="A3:N3"/>
    <mergeCell ref="A33:N33"/>
    <mergeCell ref="A61:N61"/>
    <mergeCell ref="A62:N62"/>
    <mergeCell ref="A63:N63"/>
    <mergeCell ref="I65:K65"/>
    <mergeCell ref="I78:K78"/>
    <mergeCell ref="A91:N91"/>
    <mergeCell ref="A92:N92"/>
    <mergeCell ref="A93:N93"/>
    <mergeCell ref="I95:K95"/>
    <mergeCell ref="I108:K108"/>
  </mergeCells>
  <pageMargins left="0.7" right="0.7" top="0.75" bottom="0.75" header="0.3" footer="0.3"/>
  <pageSetup scale="81" orientation="landscape" r:id="rId1"/>
  <rowBreaks count="3" manualBreakCount="3">
    <brk id="30" max="16383" man="1"/>
    <brk id="60" max="16383" man="1"/>
    <brk id="9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8"/>
  <sheetViews>
    <sheetView zoomScaleNormal="100" workbookViewId="0">
      <selection sqref="A1:D1"/>
    </sheetView>
  </sheetViews>
  <sheetFormatPr defaultRowHeight="14.4" x14ac:dyDescent="0.55000000000000004"/>
  <cols>
    <col min="1" max="1" width="22.83984375" customWidth="1"/>
    <col min="2" max="4" width="16.68359375" customWidth="1"/>
    <col min="6" max="6" width="14.26171875" bestFit="1" customWidth="1"/>
    <col min="7" max="7" width="15.83984375" customWidth="1"/>
    <col min="8" max="8" width="16.83984375" bestFit="1" customWidth="1"/>
  </cols>
  <sheetData>
    <row r="1" spans="1:8" ht="15.6" x14ac:dyDescent="0.6">
      <c r="A1" s="132" t="s">
        <v>18</v>
      </c>
      <c r="B1" s="132"/>
      <c r="C1" s="132"/>
      <c r="D1" s="132"/>
    </row>
    <row r="2" spans="1:8" ht="15.6" x14ac:dyDescent="0.6">
      <c r="A2" s="133" t="s">
        <v>17</v>
      </c>
      <c r="B2" s="133"/>
      <c r="C2" s="133"/>
      <c r="D2" s="133"/>
    </row>
    <row r="3" spans="1:8" ht="15.6" x14ac:dyDescent="0.6">
      <c r="A3" s="10"/>
      <c r="B3" s="10"/>
      <c r="C3" s="10"/>
      <c r="D3" s="10"/>
    </row>
    <row r="4" spans="1:8" ht="15.6" x14ac:dyDescent="0.6">
      <c r="A4" s="10"/>
      <c r="B4" s="10"/>
      <c r="C4" s="10"/>
      <c r="D4" s="10"/>
    </row>
    <row r="5" spans="1:8" ht="15.9" thickBot="1" x14ac:dyDescent="0.65">
      <c r="A5" s="10"/>
      <c r="B5" s="10"/>
      <c r="C5" s="10"/>
      <c r="D5" s="10"/>
    </row>
    <row r="6" spans="1:8" ht="14.7" thickBot="1" x14ac:dyDescent="0.6">
      <c r="A6" s="134" t="s">
        <v>16</v>
      </c>
      <c r="B6" s="135"/>
      <c r="C6" s="135"/>
      <c r="D6" s="136"/>
    </row>
    <row r="7" spans="1:8" x14ac:dyDescent="0.55000000000000004">
      <c r="A7" s="9"/>
      <c r="D7" s="8" t="s">
        <v>14</v>
      </c>
    </row>
    <row r="8" spans="1:8" x14ac:dyDescent="0.55000000000000004">
      <c r="B8" s="9"/>
      <c r="C8" s="9"/>
      <c r="D8" s="8" t="s">
        <v>13</v>
      </c>
    </row>
    <row r="9" spans="1:8" ht="14.7" thickBot="1" x14ac:dyDescent="0.6">
      <c r="A9" s="7" t="s">
        <v>12</v>
      </c>
      <c r="B9" s="6" t="s">
        <v>11</v>
      </c>
      <c r="C9" s="6" t="s">
        <v>10</v>
      </c>
      <c r="D9" s="6" t="s">
        <v>9</v>
      </c>
    </row>
    <row r="10" spans="1:8" x14ac:dyDescent="0.55000000000000004">
      <c r="A10" t="s">
        <v>102</v>
      </c>
      <c r="B10" s="76">
        <v>2.46E-2</v>
      </c>
      <c r="C10" s="76">
        <v>4.5999999999999999E-3</v>
      </c>
      <c r="D10" s="60">
        <f>C10*B10</f>
        <v>1.1315999999999999E-4</v>
      </c>
      <c r="F10" s="3">
        <v>130691965</v>
      </c>
      <c r="G10" s="68">
        <f>F10*C10</f>
        <v>601183.03899999999</v>
      </c>
      <c r="H10" s="68"/>
    </row>
    <row r="11" spans="1:8" x14ac:dyDescent="0.55000000000000004">
      <c r="A11" t="s">
        <v>24</v>
      </c>
      <c r="B11" s="76">
        <v>0.44409999999999999</v>
      </c>
      <c r="C11" s="76">
        <v>4.1599999999999998E-2</v>
      </c>
      <c r="D11" s="60">
        <f>B11*C11</f>
        <v>1.8474559999999998E-2</v>
      </c>
      <c r="F11" s="3">
        <v>2363551548</v>
      </c>
      <c r="G11" s="68">
        <f t="shared" ref="G11:G12" si="0">F11*C11</f>
        <v>98323744.396799996</v>
      </c>
      <c r="H11" s="68"/>
    </row>
    <row r="12" spans="1:8" ht="14.7" thickBot="1" x14ac:dyDescent="0.6">
      <c r="A12" t="s">
        <v>8</v>
      </c>
      <c r="B12" s="77">
        <v>0.53139999999999998</v>
      </c>
      <c r="C12" s="77">
        <v>0.1</v>
      </c>
      <c r="D12" s="78">
        <f>B12*C12</f>
        <v>5.314E-2</v>
      </c>
      <c r="F12" s="3">
        <v>2828180486</v>
      </c>
      <c r="G12" s="68">
        <f t="shared" si="0"/>
        <v>282818048.60000002</v>
      </c>
      <c r="H12" s="68"/>
    </row>
    <row r="13" spans="1:8" x14ac:dyDescent="0.55000000000000004">
      <c r="B13" s="30"/>
      <c r="C13" s="30"/>
      <c r="D13" s="60">
        <f>SUM(D10:D12)</f>
        <v>7.1727719999999995E-2</v>
      </c>
      <c r="F13" s="11">
        <f>SUM(F10:F12)</f>
        <v>5322423999</v>
      </c>
      <c r="G13">
        <f>((F13)/($F$13+$F$23))*D13</f>
        <v>4.3339762245581732E-2</v>
      </c>
      <c r="H13">
        <f>((F12)/($F$12+$F$22))*B37</f>
        <v>0.15002333906310988</v>
      </c>
    </row>
    <row r="15" spans="1:8" ht="14.7" thickBot="1" x14ac:dyDescent="0.6"/>
    <row r="16" spans="1:8" ht="14.7" thickBot="1" x14ac:dyDescent="0.6">
      <c r="A16" s="134" t="s">
        <v>15</v>
      </c>
      <c r="B16" s="135"/>
      <c r="C16" s="135"/>
      <c r="D16" s="136"/>
    </row>
    <row r="17" spans="1:10" x14ac:dyDescent="0.55000000000000004">
      <c r="A17" s="9"/>
      <c r="D17" s="8" t="s">
        <v>14</v>
      </c>
    </row>
    <row r="18" spans="1:10" x14ac:dyDescent="0.55000000000000004">
      <c r="B18" s="9"/>
      <c r="C18" s="9"/>
      <c r="D18" s="8" t="s">
        <v>13</v>
      </c>
    </row>
    <row r="19" spans="1:10" ht="14.7" thickBot="1" x14ac:dyDescent="0.6">
      <c r="A19" s="7" t="s">
        <v>12</v>
      </c>
      <c r="B19" s="6" t="s">
        <v>11</v>
      </c>
      <c r="C19" s="6" t="s">
        <v>10</v>
      </c>
      <c r="D19" s="6" t="s">
        <v>9</v>
      </c>
    </row>
    <row r="20" spans="1:10" x14ac:dyDescent="0.55000000000000004">
      <c r="A20" t="s">
        <v>23</v>
      </c>
      <c r="B20" s="76">
        <v>1.5299999999999999E-2</v>
      </c>
      <c r="C20" s="76">
        <v>4.5999999999999999E-3</v>
      </c>
      <c r="D20" s="76">
        <f>B20*C20</f>
        <v>7.038E-5</v>
      </c>
      <c r="F20" s="3">
        <v>53439864</v>
      </c>
      <c r="G20" s="11">
        <f>F20*C20</f>
        <v>245823.3744</v>
      </c>
      <c r="H20" s="68"/>
    </row>
    <row r="21" spans="1:10" x14ac:dyDescent="0.55000000000000004">
      <c r="A21" t="s">
        <v>24</v>
      </c>
      <c r="B21" s="76">
        <v>0.45340000000000003</v>
      </c>
      <c r="C21" s="76">
        <v>4.0399999999999998E-2</v>
      </c>
      <c r="D21" s="76">
        <f>B21*C21</f>
        <v>1.8317360000000001E-2</v>
      </c>
      <c r="F21" s="3">
        <v>1580692114</v>
      </c>
      <c r="G21" s="11">
        <f t="shared" ref="G21:G22" si="1">F21*C21</f>
        <v>63859961.405599996</v>
      </c>
      <c r="H21" s="68"/>
    </row>
    <row r="22" spans="1:10" ht="14.7" thickBot="1" x14ac:dyDescent="0.6">
      <c r="A22" t="s">
        <v>8</v>
      </c>
      <c r="B22" s="77">
        <v>0.53129999999999999</v>
      </c>
      <c r="C22" s="77">
        <v>0.1</v>
      </c>
      <c r="D22" s="77">
        <f>B22*C22</f>
        <v>5.3130000000000004E-2</v>
      </c>
      <c r="F22" s="3">
        <v>1852106520</v>
      </c>
      <c r="G22" s="11">
        <f t="shared" si="1"/>
        <v>185210652</v>
      </c>
      <c r="H22" s="68"/>
    </row>
    <row r="23" spans="1:10" x14ac:dyDescent="0.55000000000000004">
      <c r="D23" s="5">
        <f>SUM(D20:D22)</f>
        <v>7.1517739999999996E-2</v>
      </c>
      <c r="F23" s="11">
        <f>SUM(F20:F22)</f>
        <v>3486238498</v>
      </c>
      <c r="G23">
        <f>((F23)/($F$13+$F$23))*D23</f>
        <v>2.8304853155955184E-2</v>
      </c>
      <c r="H23">
        <f>((F22)/($F$12+$F$22))*B36</f>
        <v>9.8335490982979765E-2</v>
      </c>
    </row>
    <row r="24" spans="1:10" x14ac:dyDescent="0.55000000000000004">
      <c r="G24" s="22"/>
    </row>
    <row r="25" spans="1:10" ht="14.7" thickBot="1" x14ac:dyDescent="0.6"/>
    <row r="26" spans="1:10" ht="14.7" thickBot="1" x14ac:dyDescent="0.6">
      <c r="A26" s="134" t="s">
        <v>91</v>
      </c>
      <c r="B26" s="135"/>
      <c r="C26" s="135"/>
      <c r="D26" s="136"/>
    </row>
    <row r="27" spans="1:10" x14ac:dyDescent="0.55000000000000004">
      <c r="A27" s="9"/>
      <c r="D27" s="8" t="s">
        <v>14</v>
      </c>
    </row>
    <row r="28" spans="1:10" x14ac:dyDescent="0.55000000000000004">
      <c r="B28" s="9"/>
      <c r="C28" s="9"/>
      <c r="D28" s="8" t="s">
        <v>13</v>
      </c>
    </row>
    <row r="29" spans="1:10" ht="14.7" thickBot="1" x14ac:dyDescent="0.6">
      <c r="A29" s="7" t="s">
        <v>12</v>
      </c>
      <c r="B29" s="6" t="s">
        <v>11</v>
      </c>
      <c r="C29" s="6" t="s">
        <v>10</v>
      </c>
      <c r="D29" s="6" t="s">
        <v>9</v>
      </c>
    </row>
    <row r="30" spans="1:10" x14ac:dyDescent="0.55000000000000004">
      <c r="A30" t="s">
        <v>23</v>
      </c>
      <c r="B30" s="60">
        <f>F30/$F$33</f>
        <v>2.0903494606895254E-2</v>
      </c>
      <c r="C30" s="60">
        <f>H30/F30</f>
        <v>4.5999999999999999E-3</v>
      </c>
      <c r="D30" s="76">
        <f>B30*C30</f>
        <v>9.6156075191718173E-5</v>
      </c>
      <c r="F30" s="11">
        <f>F20+F10</f>
        <v>184131829</v>
      </c>
      <c r="G30" s="27">
        <f>F30/$F$33</f>
        <v>2.0903494606895254E-2</v>
      </c>
      <c r="H30" s="11">
        <f>G10+G20</f>
        <v>847006.41339999996</v>
      </c>
      <c r="I30">
        <f>H30/F30</f>
        <v>4.5999999999999999E-3</v>
      </c>
      <c r="J30">
        <f>G30*I30</f>
        <v>9.6156075191718173E-5</v>
      </c>
    </row>
    <row r="31" spans="1:10" x14ac:dyDescent="0.55000000000000004">
      <c r="A31" t="s">
        <v>24</v>
      </c>
      <c r="B31" s="60">
        <f>F31/$F$33</f>
        <v>0.44776873484973528</v>
      </c>
      <c r="C31" s="60">
        <f>H31/F31</f>
        <v>4.1119088905415602E-2</v>
      </c>
      <c r="D31" s="76">
        <f>B31*C31</f>
        <v>1.8411842417351731E-2</v>
      </c>
      <c r="F31" s="11">
        <f t="shared" ref="F31:F32" si="2">F21+F11</f>
        <v>3944243662</v>
      </c>
      <c r="G31" s="27">
        <f t="shared" ref="G31:G32" si="3">F31/$F$33</f>
        <v>0.44776873484973528</v>
      </c>
      <c r="H31" s="11">
        <f t="shared" ref="H31:H32" si="4">G11+G21</f>
        <v>162183705.80239999</v>
      </c>
      <c r="I31">
        <f t="shared" ref="I31:I32" si="5">H31/F31</f>
        <v>4.1119088905415602E-2</v>
      </c>
      <c r="J31">
        <f t="shared" ref="J31:J32" si="6">G31*I31</f>
        <v>1.8411842417351731E-2</v>
      </c>
    </row>
    <row r="32" spans="1:10" ht="14.7" thickBot="1" x14ac:dyDescent="0.6">
      <c r="A32" t="s">
        <v>8</v>
      </c>
      <c r="B32" s="78">
        <f>F32/$F$33</f>
        <v>0.53132777054336944</v>
      </c>
      <c r="C32" s="78">
        <f>H32/F32</f>
        <v>0.1</v>
      </c>
      <c r="D32" s="77">
        <f>B32*C32</f>
        <v>5.3132777054336944E-2</v>
      </c>
      <c r="F32" s="11">
        <f t="shared" si="2"/>
        <v>4680287006</v>
      </c>
      <c r="G32" s="27">
        <f t="shared" si="3"/>
        <v>0.53132777054336944</v>
      </c>
      <c r="H32" s="11">
        <f t="shared" si="4"/>
        <v>468028700.60000002</v>
      </c>
      <c r="I32">
        <f t="shared" si="5"/>
        <v>0.1</v>
      </c>
      <c r="J32">
        <f t="shared" si="6"/>
        <v>5.3132777054336944E-2</v>
      </c>
    </row>
    <row r="33" spans="1:10" x14ac:dyDescent="0.55000000000000004">
      <c r="B33" s="5">
        <f>SUM(B30:B32)</f>
        <v>1</v>
      </c>
      <c r="D33" s="5">
        <f>SUM(D30:D32)</f>
        <v>7.1640775546880392E-2</v>
      </c>
      <c r="F33" s="11">
        <f>SUM(F30:F32)</f>
        <v>8808662497</v>
      </c>
      <c r="G33" s="75">
        <f>SUM(G30:G32)</f>
        <v>1</v>
      </c>
      <c r="J33">
        <f>SUM(J30:J32)</f>
        <v>7.1640775546880392E-2</v>
      </c>
    </row>
    <row r="35" spans="1:10" x14ac:dyDescent="0.55000000000000004">
      <c r="A35" t="s">
        <v>92</v>
      </c>
    </row>
    <row r="36" spans="1:10" x14ac:dyDescent="0.55000000000000004">
      <c r="A36" t="s">
        <v>93</v>
      </c>
      <c r="B36" s="60">
        <v>0.24849452</v>
      </c>
    </row>
    <row r="37" spans="1:10" x14ac:dyDescent="0.55000000000000004">
      <c r="A37" t="s">
        <v>94</v>
      </c>
      <c r="B37" s="60">
        <v>0.24826997000000001</v>
      </c>
    </row>
    <row r="38" spans="1:10" x14ac:dyDescent="0.55000000000000004">
      <c r="A38" t="s">
        <v>95</v>
      </c>
      <c r="B38" s="60">
        <f>SUM(H13:H23)</f>
        <v>0.24835883004608966</v>
      </c>
    </row>
  </sheetData>
  <mergeCells count="5">
    <mergeCell ref="A1:D1"/>
    <mergeCell ref="A2:D2"/>
    <mergeCell ref="A6:D6"/>
    <mergeCell ref="A16:D16"/>
    <mergeCell ref="A26:D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2FC01438-5B1B-4A74-887D-27E97715C82E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2b9e1b56-1bc3-4bb6-83f9-6df8fea7da2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7E4AE2-90C7-41BB-8B13-C0A28A46991B}"/>
</file>

<file path=customXml/itemProps3.xml><?xml version="1.0" encoding="utf-8"?>
<ds:datastoreItem xmlns:ds="http://schemas.openxmlformats.org/officeDocument/2006/customXml" ds:itemID="{81C7FAAD-16CE-4632-B8DA-0099C483F14F}"/>
</file>

<file path=customXml/itemProps4.xml><?xml version="1.0" encoding="utf-8"?>
<ds:datastoreItem xmlns:ds="http://schemas.openxmlformats.org/officeDocument/2006/customXml" ds:itemID="{8EC8DD94-3104-4787-A723-C0326C46C298}"/>
</file>

<file path=customXml/itemProps5.xml><?xml version="1.0" encoding="utf-8"?>
<ds:datastoreItem xmlns:ds="http://schemas.openxmlformats.org/officeDocument/2006/customXml" ds:itemID="{DBC03FED-F555-40D3-A818-B007D83B38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Combined OH</vt:lpstr>
      <vt:lpstr>LG&amp;E OH</vt:lpstr>
      <vt:lpstr>KU OH</vt:lpstr>
      <vt:lpstr>CWC and Common</vt:lpstr>
      <vt:lpstr>WACOC</vt:lpstr>
      <vt:lpstr>'Combined OH'!Print_Area</vt:lpstr>
      <vt:lpstr>'KU OH'!Print_Area</vt:lpstr>
      <vt:lpstr>'LG&amp;E OH'!Print_Area</vt:lpstr>
      <vt:lpstr>WACOC!Print_Area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Blake</dc:creator>
  <cp:lastModifiedBy>Jeff Wernert</cp:lastModifiedBy>
  <cp:lastPrinted>2020-11-18T17:23:16Z</cp:lastPrinted>
  <dcterms:created xsi:type="dcterms:W3CDTF">2016-09-26T18:23:26Z</dcterms:created>
  <dcterms:modified xsi:type="dcterms:W3CDTF">2020-11-25T19:05:55Z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