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FERC Formula Rates\1 - Attachment O\2019 Update\6 - OASIS Upload Docs\"/>
    </mc:Choice>
  </mc:AlternateContent>
  <xr:revisionPtr revIDLastSave="0" documentId="13_ncr:1_{0A3FB9AA-6C43-4EB4-A207-0D59421D9D4A}" xr6:coauthVersionLast="44" xr6:coauthVersionMax="44" xr10:uidLastSave="{00000000-0000-0000-0000-000000000000}"/>
  <bookViews>
    <workbookView xWindow="-110" yWindow="-110" windowWidth="19420" windowHeight="9800" tabRatio="950" firstSheet="3" activeTab="4" xr2:uid="{00000000-000D-0000-FFFF-FFFF00000000}"/>
  </bookViews>
  <sheets>
    <sheet name="Disclosures" sheetId="28" r:id="rId1"/>
    <sheet name="OATT Input Data" sheetId="20" r:id="rId2"/>
    <sheet name="Summary" sheetId="33" r:id="rId3"/>
    <sheet name="VA Transmission" sheetId="21" r:id="rId4"/>
    <sheet name="NITS Pg 1 of 5" sheetId="1" r:id="rId5"/>
    <sheet name="NITS Pg 2 of 5" sheetId="3" r:id="rId6"/>
    <sheet name="NITS Pg 3 of 5" sheetId="4" r:id="rId7"/>
    <sheet name="NITS Pg 4 of 5" sheetId="5" r:id="rId8"/>
    <sheet name="PTP Pg 1 of 5" sheetId="15" r:id="rId9"/>
    <sheet name="PTP Pg 2 of 5" sheetId="16" r:id="rId10"/>
    <sheet name="PTP Pg 3 of 5" sheetId="17" r:id="rId11"/>
    <sheet name="PTP Pg 4 of 5" sheetId="18" r:id="rId12"/>
    <sheet name="Pg 5 of 5 Notes for both" sheetId="6" r:id="rId13"/>
    <sheet name="ADIT Worksheet" sheetId="32" r:id="rId14"/>
    <sheet name="Depreciation Rates" sheetId="14" r:id="rId15"/>
    <sheet name="Sch 1" sheetId="2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 localSheetId="0" hidden="1">#REF!</definedName>
    <definedName name="\\" hidden="1">#REF!</definedName>
    <definedName name="\\\" localSheetId="0" hidden="1">#REF!</definedName>
    <definedName name="\\\" hidden="1">#REF!</definedName>
    <definedName name="\\\\" localSheetId="0" hidden="1">#REF!</definedName>
    <definedName name="\\\\" hidden="1">#REF!</definedName>
    <definedName name="\0" localSheetId="0">#REF!</definedName>
    <definedName name="\0">#REF!</definedName>
    <definedName name="\A" localSheetId="0">#REF!</definedName>
    <definedName name="\A">#REF!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J" localSheetId="0">#REF!</definedName>
    <definedName name="\J">#REF!</definedName>
    <definedName name="\L" localSheetId="0">#REF!</definedName>
    <definedName name="\L">#REF!</definedName>
    <definedName name="\M" localSheetId="0">#REF!</definedName>
    <definedName name="\M">#REF!</definedName>
    <definedName name="\N" localSheetId="0">#REF!</definedName>
    <definedName name="\N">#REF!</definedName>
    <definedName name="\O" localSheetId="0">#REF!</definedName>
    <definedName name="\O">#REF!</definedName>
    <definedName name="\P" localSheetId="0">#REF!</definedName>
    <definedName name="\P">#REF!</definedName>
    <definedName name="\S" localSheetId="0">#REF!</definedName>
    <definedName name="\S">#REF!</definedName>
    <definedName name="\T" localSheetId="0">#REF!</definedName>
    <definedName name="\T">#REF!</definedName>
    <definedName name="\U" localSheetId="0">#REF!</definedName>
    <definedName name="\U">#REF!</definedName>
    <definedName name="\X" localSheetId="0">#REF!</definedName>
    <definedName name="\X">#REF!</definedName>
    <definedName name="\Y" localSheetId="0">#REF!</definedName>
    <definedName name="\Y">#REF!</definedName>
    <definedName name="__123Graph_A" localSheetId="0" hidden="1">#REF!</definedName>
    <definedName name="__123Graph_A" localSheetId="5" hidden="1">#REF!</definedName>
    <definedName name="__123Graph_A" localSheetId="6" hidden="1">#REF!</definedName>
    <definedName name="__123Graph_A" localSheetId="7" hidden="1">#REF!</definedName>
    <definedName name="__123Graph_A" localSheetId="12"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hidden="1">#REF!</definedName>
    <definedName name="__123Graph_B" localSheetId="0" hidden="1">#REF!</definedName>
    <definedName name="__123Graph_B" localSheetId="5" hidden="1">#REF!</definedName>
    <definedName name="__123Graph_B" localSheetId="6" hidden="1">#REF!</definedName>
    <definedName name="__123Graph_B" localSheetId="7" hidden="1">#REF!</definedName>
    <definedName name="__123Graph_B" localSheetId="12"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hidden="1">#REF!</definedName>
    <definedName name="__123Graph_C" localSheetId="0" hidden="1">#REF!</definedName>
    <definedName name="__123Graph_C" localSheetId="5" hidden="1">#REF!</definedName>
    <definedName name="__123Graph_C" localSheetId="6" hidden="1">#REF!</definedName>
    <definedName name="__123Graph_C" localSheetId="7" hidden="1">#REF!</definedName>
    <definedName name="__123Graph_C" localSheetId="12"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hidden="1">#REF!</definedName>
    <definedName name="__123Graph_D" localSheetId="0" hidden="1">#REF!</definedName>
    <definedName name="__123Graph_D" localSheetId="5" hidden="1">#REF!</definedName>
    <definedName name="__123Graph_D" localSheetId="6" hidden="1">#REF!</definedName>
    <definedName name="__123Graph_D" localSheetId="7" hidden="1">#REF!</definedName>
    <definedName name="__123Graph_D" localSheetId="12"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hidden="1">#REF!</definedName>
    <definedName name="__123Graph_E" localSheetId="0" hidden="1">#REF!</definedName>
    <definedName name="__123Graph_E" localSheetId="5" hidden="1">#REF!</definedName>
    <definedName name="__123Graph_E" localSheetId="6" hidden="1">#REF!</definedName>
    <definedName name="__123Graph_E" localSheetId="7" hidden="1">#REF!</definedName>
    <definedName name="__123Graph_E" localSheetId="12"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hidden="1">#REF!</definedName>
    <definedName name="__123Graph_F" localSheetId="0" hidden="1">#REF!</definedName>
    <definedName name="__123Graph_F" localSheetId="5" hidden="1">#REF!</definedName>
    <definedName name="__123Graph_F" localSheetId="6" hidden="1">#REF!</definedName>
    <definedName name="__123Graph_F" localSheetId="7" hidden="1">#REF!</definedName>
    <definedName name="__123Graph_F" localSheetId="12" hidden="1">#REF!</definedName>
    <definedName name="__123Graph_F" localSheetId="8" hidden="1">#REF!</definedName>
    <definedName name="__123Graph_F" localSheetId="9" hidden="1">#REF!</definedName>
    <definedName name="__123Graph_F" localSheetId="10" hidden="1">#REF!</definedName>
    <definedName name="__123Graph_F" localSheetId="11" hidden="1">#REF!</definedName>
    <definedName name="__123Graph_F" hidden="1">#REF!</definedName>
    <definedName name="__123Graph_X" localSheetId="0" hidden="1">#REF!</definedName>
    <definedName name="__123Graph_X" localSheetId="5" hidden="1">#REF!</definedName>
    <definedName name="__123Graph_X" localSheetId="6" hidden="1">#REF!</definedName>
    <definedName name="__123Graph_X" localSheetId="7" hidden="1">#REF!</definedName>
    <definedName name="__123Graph_X" localSheetId="12" hidden="1">#REF!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hidden="1">#REF!</definedName>
    <definedName name="__key3" localSheetId="0" hidden="1">#REF!</definedName>
    <definedName name="__key3" hidden="1">#REF!</definedName>
    <definedName name="_9_97" localSheetId="0">'[1]Parent&amp;SUb Ratios'!#REF!</definedName>
    <definedName name="_9_97">'[1]Parent&amp;SUb Ratios'!#REF!</definedName>
    <definedName name="_9_98" localSheetId="0">'[1]Parent&amp;SUb Ratios'!#REF!</definedName>
    <definedName name="_9_98">'[1]Parent&amp;SUb Ratios'!#REF!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CB1" localSheetId="0">#REF!</definedName>
    <definedName name="_FCB1">#REF!</definedName>
    <definedName name="_FCB2" localSheetId="0">#REF!</definedName>
    <definedName name="_FCB2">#REF!</definedName>
    <definedName name="_Fill" localSheetId="0" hidden="1">#REF!</definedName>
    <definedName name="_Fill" localSheetId="5" hidden="1">#REF!</definedName>
    <definedName name="_Fill" localSheetId="6" hidden="1">#REF!</definedName>
    <definedName name="_Fill" localSheetId="7" hidden="1">#REF!</definedName>
    <definedName name="_Fill" localSheetId="1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xlnm._FilterDatabase" localSheetId="4" hidden="1">'NITS Pg 1 of 5'!$E$10:$E$45</definedName>
    <definedName name="_xlnm._FilterDatabase" localSheetId="5" hidden="1">'NITS Pg 2 of 5'!#REF!</definedName>
    <definedName name="_xlnm._FilterDatabase" localSheetId="6" hidden="1">'NITS Pg 3 of 5'!#REF!</definedName>
    <definedName name="_xlnm._FilterDatabase" localSheetId="7" hidden="1">'NITS Pg 4 of 5'!#REF!</definedName>
    <definedName name="_xlnm._FilterDatabase" localSheetId="12" hidden="1">'Pg 5 of 5 Notes for both'!#REF!</definedName>
    <definedName name="_xlnm._FilterDatabase" localSheetId="8" hidden="1">'PTP Pg 1 of 5'!$E$10:$E$45</definedName>
    <definedName name="_xlnm._FilterDatabase" localSheetId="9" hidden="1">'PTP Pg 2 of 5'!#REF!</definedName>
    <definedName name="_xlnm._FilterDatabase" localSheetId="10" hidden="1">'PTP Pg 3 of 5'!#REF!</definedName>
    <definedName name="_xlnm._FilterDatabase" localSheetId="11" hidden="1">'PTP Pg 4 of 5'!#REF!</definedName>
    <definedName name="_xlnm._FilterDatabase" localSheetId="15" hidden="1">'Sch 1'!$E$22:$E$51</definedName>
    <definedName name="_JE29" localSheetId="0">#REF!</definedName>
    <definedName name="_JE29">#REF!</definedName>
    <definedName name="_JE30" localSheetId="0">#REF!</definedName>
    <definedName name="_JE30">#REF!</definedName>
    <definedName name="_JE31" localSheetId="0">#REF!</definedName>
    <definedName name="_JE31">#REF!</definedName>
    <definedName name="_JE32" localSheetId="0">#REF!</definedName>
    <definedName name="_JE32">#REF!</definedName>
    <definedName name="_JE33" localSheetId="0">#REF!</definedName>
    <definedName name="_JE33">#REF!</definedName>
    <definedName name="_JE66" localSheetId="0">#REF!</definedName>
    <definedName name="_JE66">#REF!</definedName>
    <definedName name="_JE67" localSheetId="0">#REF!</definedName>
    <definedName name="_JE67">#REF!</definedName>
    <definedName name="_JE68" localSheetId="0">#REF!</definedName>
    <definedName name="_JE68">#REF!</definedName>
    <definedName name="_JE69" localSheetId="0">#REF!</definedName>
    <definedName name="_JE69">#REF!</definedName>
    <definedName name="_JE691" localSheetId="0">#REF!</definedName>
    <definedName name="_JE691">#REF!</definedName>
    <definedName name="_JE70" localSheetId="0">#REF!</definedName>
    <definedName name="_JE70">#REF!</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key4" localSheetId="0" hidden="1">#REF!</definedName>
    <definedName name="_key4" hidden="1">#REF!</definedName>
    <definedName name="_Order1" localSheetId="0" hidden="1">0</definedName>
    <definedName name="_Order1" hidden="1">255</definedName>
    <definedName name="_Order2" localSheetId="0" hidden="1">0</definedName>
    <definedName name="_Order2" hidden="1">255</definedName>
    <definedName name="_PG1" localSheetId="0">#REF!</definedName>
    <definedName name="_PG1">#REF!</definedName>
    <definedName name="_PG2" localSheetId="0">#REF!</definedName>
    <definedName name="_PG2">#REF!</definedName>
    <definedName name="_Sort" localSheetId="0" hidden="1">#REF!</definedName>
    <definedName name="_Sort" hidden="1">#REF!</definedName>
    <definedName name="a" localSheetId="0">#REF!</definedName>
    <definedName name="a">#REF!</definedName>
    <definedName name="A_GEXP" localSheetId="0">#REF!</definedName>
    <definedName name="A_GEXP">#REF!</definedName>
    <definedName name="actsum" localSheetId="0">#REF!</definedName>
    <definedName name="actsum">#REF!</definedName>
    <definedName name="ACTUAL">"'Vol_Revs'!R5C3:R5C14"</definedName>
    <definedName name="ADITPP" localSheetId="0">#REF!</definedName>
    <definedName name="ADITPP">#REF!</definedName>
    <definedName name="ADITTP" localSheetId="0">#REF!</definedName>
    <definedName name="ADITTP">#REF!</definedName>
    <definedName name="AFUDC" localSheetId="0">#REF!</definedName>
    <definedName name="AFUDC">#REF!</definedName>
    <definedName name="ALERT2" localSheetId="0">#REF!</definedName>
    <definedName name="ALERT2">#REF!</definedName>
    <definedName name="Annual_Sales_KU" localSheetId="0">'[2]LGE Sales'!#REF!</definedName>
    <definedName name="Annual_Sales_KU">'[2]LGE Sales'!#REF!</definedName>
    <definedName name="apra" localSheetId="0">#REF!</definedName>
    <definedName name="apra">#REF!</definedName>
    <definedName name="auga" localSheetId="0">#REF!</definedName>
    <definedName name="auga">#REF!</definedName>
    <definedName name="AUTO" localSheetId="0">[3]Ins!#REF!</definedName>
    <definedName name="AUTO">[3]Ins!#REF!</definedName>
    <definedName name="BENN" localSheetId="0">#REF!</definedName>
    <definedName name="BENN">#REF!</definedName>
    <definedName name="Billed_Revenues_Dollars" localSheetId="0">#REF!</definedName>
    <definedName name="Billed_Revenues_Dollars">#REF!</definedName>
    <definedName name="Billed_Sales__KWh" localSheetId="0">#REF!</definedName>
    <definedName name="Billed_Sales__KWh">#REF!</definedName>
    <definedName name="BNE_MESSAGES_HIDDEN" localSheetId="0" hidden="1">#REF!</definedName>
    <definedName name="BNE_MESSAGES_HIDDEN" hidden="1">#REF!</definedName>
    <definedName name="CANE423" localSheetId="0">#REF!</definedName>
    <definedName name="CANE423">#REF!</definedName>
    <definedName name="Cap_YTD" localSheetId="0">#REF!</definedName>
    <definedName name="Cap_YTD">#REF!</definedName>
    <definedName name="Cap_YTDPrt" localSheetId="0">#REF!</definedName>
    <definedName name="Cap_YTDPrt">#REF!</definedName>
    <definedName name="Choices_Wrapper">#N/A</definedName>
    <definedName name="COAL" localSheetId="0">#REF!</definedName>
    <definedName name="COAL">#REF!</definedName>
    <definedName name="Coal_Annual_KU" localSheetId="0">'[2]LGE Coal'!#REF!</definedName>
    <definedName name="Coal_Annual_KU">'[2]LGE Coal'!#REF!</definedName>
    <definedName name="coal_hide_ku_01" localSheetId="0">'[2]LGE Coal'!#REF!</definedName>
    <definedName name="coal_hide_ku_01">'[2]LGE Coal'!#REF!</definedName>
    <definedName name="coal_hide_lge_01" localSheetId="0">'[2]LGE Coal'!#REF!</definedName>
    <definedName name="coal_hide_lge_01">'[2]LGE Coal'!#REF!</definedName>
    <definedName name="coal_ku_01" localSheetId="0">'[2]LGE Coal'!#REF!</definedName>
    <definedName name="coal_ku_01">'[2]LGE Coal'!#REF!</definedName>
    <definedName name="COAL1" localSheetId="0">#REF!</definedName>
    <definedName name="COAL1">#REF!</definedName>
    <definedName name="COAL1A" localSheetId="0">#REF!</definedName>
    <definedName name="COAL1A">#REF!</definedName>
    <definedName name="COAL2" localSheetId="0">#REF!</definedName>
    <definedName name="COAL2">#REF!</definedName>
    <definedName name="COAL3" localSheetId="0">#REF!</definedName>
    <definedName name="COAL3">#REF!</definedName>
    <definedName name="coalcost" localSheetId="0">#REF!</definedName>
    <definedName name="coalcost">#REF!</definedName>
    <definedName name="ColumnAttributes1" localSheetId="0">#REF!</definedName>
    <definedName name="ColumnAttributes1">#REF!</definedName>
    <definedName name="ColumnHeadings1" localSheetId="0">#REF!</definedName>
    <definedName name="ColumnHeadings1">#REF!</definedName>
    <definedName name="combined" localSheetId="0">[4]Main!#REF!</definedName>
    <definedName name="combined">[4]Main!#REF!</definedName>
    <definedName name="COMMIT" localSheetId="0">#REF!</definedName>
    <definedName name="COMMIT">#REF!</definedName>
    <definedName name="COMMT." localSheetId="0">#REF!</definedName>
    <definedName name="COMMT.">#REF!</definedName>
    <definedName name="Comp">#N/A</definedName>
    <definedName name="COMPNAME">'[5]Info Page'!$E$29</definedName>
    <definedName name="comsum" localSheetId="0">#REF!</definedName>
    <definedName name="comsum">#REF!</definedName>
    <definedName name="Cost_Categories" localSheetId="0">#REF!</definedName>
    <definedName name="Cost_Categories">#REF!</definedName>
    <definedName name="Costs_Bank_Audit_and_Risk_Mgmt_Fees" localSheetId="0">#REF!</definedName>
    <definedName name="Costs_Bank_Audit_and_Risk_Mgmt_Fees">#REF!</definedName>
    <definedName name="Costs_Contractors_and_Consultants" localSheetId="0">#REF!</definedName>
    <definedName name="Costs_Contractors_and_Consultants">#REF!</definedName>
    <definedName name="Costs_Dues_and_Subscriptions" localSheetId="0">#REF!</definedName>
    <definedName name="Costs_Dues_and_Subscriptions">#REF!</definedName>
    <definedName name="Costs_Education_and_Training" localSheetId="0">#REF!</definedName>
    <definedName name="Costs_Education_and_Training">#REF!</definedName>
    <definedName name="Costs_Lease_and_Maintenance" localSheetId="0">#REF!</definedName>
    <definedName name="Costs_Lease_and_Maintenance">#REF!</definedName>
    <definedName name="Costs_Meals_and_Entertainment" localSheetId="0">#REF!</definedName>
    <definedName name="Costs_Meals_and_Entertainment">#REF!</definedName>
    <definedName name="Costs_Other" localSheetId="0">#REF!</definedName>
    <definedName name="Costs_Other">#REF!</definedName>
    <definedName name="Costs_Travel" localSheetId="0">#REF!</definedName>
    <definedName name="Costs_Travel">#REF!</definedName>
    <definedName name="counter" localSheetId="0">#REF!</definedName>
    <definedName name="counter">#REF!</definedName>
    <definedName name="CS_STAFF" localSheetId="0">#REF!</definedName>
    <definedName name="CS_STAFF">#REF!</definedName>
    <definedName name="CS_VAR" localSheetId="0">#REF!</definedName>
    <definedName name="CS_VAR">#REF!</definedName>
    <definedName name="CSS_BORD" localSheetId="0">#REF!</definedName>
    <definedName name="CSS_BORD">#REF!</definedName>
    <definedName name="CSV_BORD" localSheetId="0">#REF!</definedName>
    <definedName name="CSV_BORD">#REF!</definedName>
    <definedName name="CURRENT" localSheetId="0">#REF!</definedName>
    <definedName name="CURRENT">#REF!</definedName>
    <definedName name="currMonth">[6]Inputs!$C$4</definedName>
    <definedName name="currYear">[6]Inputs!$C$5</definedName>
    <definedName name="CUST369K" localSheetId="0">#REF!</definedName>
    <definedName name="CUST369K">#REF!</definedName>
    <definedName name="CUST369T" localSheetId="0">#REF!</definedName>
    <definedName name="CUST369T">#REF!</definedName>
    <definedName name="CUST369V" localSheetId="0">#REF!</definedName>
    <definedName name="CUST369V">#REF!</definedName>
    <definedName name="CUST370K" localSheetId="0">#REF!</definedName>
    <definedName name="CUST370K">#REF!</definedName>
    <definedName name="CUST370T" localSheetId="0">#REF!</definedName>
    <definedName name="CUST370T">#REF!</definedName>
    <definedName name="CUST370V" localSheetId="0">#REF!</definedName>
    <definedName name="CUST370V">#REF!</definedName>
    <definedName name="CUST371K" localSheetId="0">#REF!</definedName>
    <definedName name="CUST371K">#REF!</definedName>
    <definedName name="CUST371T" localSheetId="0">#REF!</definedName>
    <definedName name="CUST371T">#REF!</definedName>
    <definedName name="CUST371V" localSheetId="0">#REF!</definedName>
    <definedName name="CUST371V">#REF!</definedName>
    <definedName name="CUST373K" localSheetId="0">#REF!</definedName>
    <definedName name="CUST373K">#REF!</definedName>
    <definedName name="CUST373V" localSheetId="0">#REF!</definedName>
    <definedName name="CUST373V">#REF!</definedName>
    <definedName name="CUST902" localSheetId="0">#REF!</definedName>
    <definedName name="CUST902">#REF!</definedName>
    <definedName name="CUST903" localSheetId="0">#REF!</definedName>
    <definedName name="CUST903">#REF!</definedName>
    <definedName name="CUST904" localSheetId="0">#REF!</definedName>
    <definedName name="CUST904">#REF!</definedName>
    <definedName name="CUST908" localSheetId="0">#REF!</definedName>
    <definedName name="CUST908">#REF!</definedName>
    <definedName name="CUST909" localSheetId="0">#REF!</definedName>
    <definedName name="CUST909">#REF!</definedName>
    <definedName name="CUST912" localSheetId="0">#REF!</definedName>
    <definedName name="CUST912">#REF!</definedName>
    <definedName name="CUST913" localSheetId="0">#REF!</definedName>
    <definedName name="CUST913">#REF!</definedName>
    <definedName name="CUSTADV" localSheetId="0">#REF!</definedName>
    <definedName name="CUSTADV">#REF!</definedName>
    <definedName name="CUSTANN" localSheetId="0">#REF!</definedName>
    <definedName name="CUSTANN">#REF!</definedName>
    <definedName name="CUSTDEP" localSheetId="0">#REF!</definedName>
    <definedName name="CUSTDEP">#REF!</definedName>
    <definedName name="CUSTDEPI" localSheetId="0">#REF!</definedName>
    <definedName name="CUSTDEPI">#REF!</definedName>
    <definedName name="CUSTSER" localSheetId="0">#REF!</definedName>
    <definedName name="CUSTSER">#REF!</definedName>
    <definedName name="CWIPPP" localSheetId="0">#REF!</definedName>
    <definedName name="CWIPPP">#REF!</definedName>
    <definedName name="CWIPTP" localSheetId="0">#REF!</definedName>
    <definedName name="CWIPTP">#REF!</definedName>
    <definedName name="DATA" localSheetId="0">#REF!</definedName>
    <definedName name="DATA">#REF!</definedName>
    <definedName name="data8" localSheetId="0">#REF!</definedName>
    <definedName name="data8">#REF!</definedName>
    <definedName name="dataone" localSheetId="0">[7]Main!#REF!</definedName>
    <definedName name="dataone">[7]Main!#REF!</definedName>
    <definedName name="DATE_TIME">'[5]Info Page'!$E$2</definedName>
    <definedName name="deca" localSheetId="0">#REF!</definedName>
    <definedName name="deca">#REF!</definedName>
    <definedName name="DEFTAX" localSheetId="0">#REF!</definedName>
    <definedName name="DEFTAX">#REF!</definedName>
    <definedName name="DEM3602V" localSheetId="0">#REF!</definedName>
    <definedName name="DEM3602V">#REF!</definedName>
    <definedName name="DEM360K" localSheetId="0">#REF!</definedName>
    <definedName name="DEM360K">#REF!</definedName>
    <definedName name="DEM360T" localSheetId="0">#REF!</definedName>
    <definedName name="DEM360T">#REF!</definedName>
    <definedName name="DEM360V" localSheetId="0">#REF!</definedName>
    <definedName name="DEM360V">#REF!</definedName>
    <definedName name="DEM361K" localSheetId="0">#REF!</definedName>
    <definedName name="DEM361K">#REF!</definedName>
    <definedName name="DEM361T" localSheetId="0">#REF!</definedName>
    <definedName name="DEM361T">#REF!</definedName>
    <definedName name="DEM361V" localSheetId="0">#REF!</definedName>
    <definedName name="DEM361V">#REF!</definedName>
    <definedName name="DEM362K" localSheetId="0">#REF!</definedName>
    <definedName name="DEM362K">#REF!</definedName>
    <definedName name="DEM362T" localSheetId="0">#REF!</definedName>
    <definedName name="DEM362T">#REF!</definedName>
    <definedName name="DEM362V" localSheetId="0">#REF!</definedName>
    <definedName name="DEM362V">#REF!</definedName>
    <definedName name="DEM3645K" localSheetId="0">#REF!</definedName>
    <definedName name="DEM3645K">#REF!</definedName>
    <definedName name="DEM3645V" localSheetId="0">#REF!</definedName>
    <definedName name="DEM3645V">#REF!</definedName>
    <definedName name="DEM364K" localSheetId="0">#REF!</definedName>
    <definedName name="DEM364K">#REF!</definedName>
    <definedName name="DEM364T" localSheetId="0">#REF!</definedName>
    <definedName name="DEM364T">#REF!</definedName>
    <definedName name="DEM364V" localSheetId="0">#REF!</definedName>
    <definedName name="DEM364V">#REF!</definedName>
    <definedName name="DEM365K" localSheetId="0">#REF!</definedName>
    <definedName name="DEM365K">#REF!</definedName>
    <definedName name="DEM365T" localSheetId="0">#REF!</definedName>
    <definedName name="DEM365T">#REF!</definedName>
    <definedName name="DEM365V" localSheetId="0">#REF!</definedName>
    <definedName name="DEM365V">#REF!</definedName>
    <definedName name="DEM3667K" localSheetId="0">#REF!</definedName>
    <definedName name="DEM3667K">#REF!</definedName>
    <definedName name="DEM3667V" localSheetId="0">#REF!</definedName>
    <definedName name="DEM3667V">#REF!</definedName>
    <definedName name="DEM366K" localSheetId="0">#REF!</definedName>
    <definedName name="DEM366K">#REF!</definedName>
    <definedName name="DEM367K" localSheetId="0">#REF!</definedName>
    <definedName name="DEM367K">#REF!</definedName>
    <definedName name="DEM367V" localSheetId="0">#REF!</definedName>
    <definedName name="DEM367V">#REF!</definedName>
    <definedName name="DEM368K" localSheetId="0">#REF!</definedName>
    <definedName name="DEM368K">#REF!</definedName>
    <definedName name="DEM368T" localSheetId="0">#REF!</definedName>
    <definedName name="DEM368T">#REF!</definedName>
    <definedName name="DEM368V" localSheetId="0">#REF!</definedName>
    <definedName name="DEM368V">#REF!</definedName>
    <definedName name="DEM374K" localSheetId="0">#REF!</definedName>
    <definedName name="DEM374K">#REF!</definedName>
    <definedName name="DEMFERC" localSheetId="0">#REF!</definedName>
    <definedName name="DEMFERC">#REF!</definedName>
    <definedName name="DEMFERCP" localSheetId="0">#REF!</definedName>
    <definedName name="DEMFERCP">#REF!</definedName>
    <definedName name="DEMFERCT" localSheetId="0">#REF!</definedName>
    <definedName name="DEMFERCT">#REF!</definedName>
    <definedName name="DEMPROD" localSheetId="0">#REF!</definedName>
    <definedName name="DEMPROD">#REF!</definedName>
    <definedName name="DEMPRODNV" localSheetId="0">#REF!</definedName>
    <definedName name="DEMPRODNV">#REF!</definedName>
    <definedName name="DEMTENND" localSheetId="0">#REF!</definedName>
    <definedName name="DEMTENND">#REF!</definedName>
    <definedName name="DEMTRAN" localSheetId="0">#REF!</definedName>
    <definedName name="DEMTRAN">#REF!</definedName>
    <definedName name="DEMTRANNF" localSheetId="0">#REF!</definedName>
    <definedName name="DEMTRANNF">#REF!</definedName>
    <definedName name="DEMTRANNVF" localSheetId="0">#REF!</definedName>
    <definedName name="DEMTRANNVF">#REF!</definedName>
    <definedName name="DEMVA" localSheetId="0">#REF!</definedName>
    <definedName name="DEMVA">#REF!</definedName>
    <definedName name="Departments">'[8]Allocation %s'!$C$7:$C$40</definedName>
    <definedName name="dflt4">'[9]Customize Your Invoice'!$E$26</definedName>
    <definedName name="dflt5">'[9]Customize Your Invoice'!$E$27</definedName>
    <definedName name="dflt6">'[9]Customize Your Invoice'!$D$28</definedName>
    <definedName name="DFUELVA" localSheetId="0">#REF!</definedName>
    <definedName name="DFUELVA">#REF!</definedName>
    <definedName name="DIR203E" localSheetId="0">#REF!</definedName>
    <definedName name="DIR203E">#REF!</definedName>
    <definedName name="DIR3602V" localSheetId="0">#REF!</definedName>
    <definedName name="DIR3602V">#REF!</definedName>
    <definedName name="DIR361K" localSheetId="0">#REF!</definedName>
    <definedName name="DIR361K">#REF!</definedName>
    <definedName name="DIR362K" localSheetId="0">#REF!</definedName>
    <definedName name="DIR362K">#REF!</definedName>
    <definedName name="DIR364K" localSheetId="0">#REF!</definedName>
    <definedName name="DIR364K">#REF!</definedName>
    <definedName name="DIR365K" localSheetId="0">#REF!</definedName>
    <definedName name="DIR365K">#REF!</definedName>
    <definedName name="DIR366K" localSheetId="0">#REF!</definedName>
    <definedName name="DIR366K">#REF!</definedName>
    <definedName name="DIR367K" localSheetId="0">#REF!</definedName>
    <definedName name="DIR367K">#REF!</definedName>
    <definedName name="DIR368K" localSheetId="0">#REF!</definedName>
    <definedName name="DIR368K">#REF!</definedName>
    <definedName name="DIR450REV" localSheetId="0">#REF!</definedName>
    <definedName name="DIR450REV">#REF!</definedName>
    <definedName name="DIR451OTH" localSheetId="0">#REF!</definedName>
    <definedName name="DIR451OTH">#REF!</definedName>
    <definedName name="DIR451REC" localSheetId="0">#REF!</definedName>
    <definedName name="DIR451REC">#REF!</definedName>
    <definedName name="DIR454REV" localSheetId="0">#REF!</definedName>
    <definedName name="DIR454REV">#REF!</definedName>
    <definedName name="DIR456CHK" localSheetId="0">#REF!</definedName>
    <definedName name="DIR456CHK">#REF!</definedName>
    <definedName name="DIR456FAC" localSheetId="0">#REF!</definedName>
    <definedName name="DIR456FAC">#REF!</definedName>
    <definedName name="DIR456OTH" localSheetId="0">#REF!</definedName>
    <definedName name="DIR456OTH">#REF!</definedName>
    <definedName name="DIRACDEP" localSheetId="0">#REF!</definedName>
    <definedName name="DIRACDEP">#REF!</definedName>
    <definedName name="DIRACDEPF" localSheetId="0">#REF!</definedName>
    <definedName name="DIRACDEPF">#REF!</definedName>
    <definedName name="DIRACDFTX" localSheetId="0">#REF!</definedName>
    <definedName name="DIRACDFTX">#REF!</definedName>
    <definedName name="DIRACITC" localSheetId="0">#REF!</definedName>
    <definedName name="DIRACITC">#REF!</definedName>
    <definedName name="DIRCWIP" localSheetId="0">#REF!</definedName>
    <definedName name="DIRCWIP">#REF!</definedName>
    <definedName name="DIRITCADJ" localSheetId="0">#REF!</definedName>
    <definedName name="DIRITCADJ">#REF!</definedName>
    <definedName name="DIRLATEPAY" localSheetId="0">#REF!</definedName>
    <definedName name="DIRLATEPAY">#REF!</definedName>
    <definedName name="DIRSE" localSheetId="0">#REF!</definedName>
    <definedName name="DIRSE">#REF!</definedName>
    <definedName name="DISTOTHPLTKF" localSheetId="0">#REF!</definedName>
    <definedName name="DISTOTHPLTKF">#REF!</definedName>
    <definedName name="DISTPLT" localSheetId="0">#REF!</definedName>
    <definedName name="DISTPLT">#REF!</definedName>
    <definedName name="DISTPLTKF" localSheetId="0">#REF!</definedName>
    <definedName name="DISTPLTKF">#REF!</definedName>
    <definedName name="DISTSUBPLTKF" localSheetId="0">#REF!</definedName>
    <definedName name="DISTSUBPLTKF">#REF!</definedName>
    <definedName name="DPLTXVA" localSheetId="0">#REF!</definedName>
    <definedName name="DPLTXVA">#REF!</definedName>
    <definedName name="DPRODKY" localSheetId="0">#REF!</definedName>
    <definedName name="DPRODKY">#REF!</definedName>
    <definedName name="DPRODVA" localSheetId="0">#REF!</definedName>
    <definedName name="DPRODVA">#REF!</definedName>
    <definedName name="emiuie" localSheetId="0">#REF!</definedName>
    <definedName name="emiuie">#REF!</definedName>
    <definedName name="End_Date_Planned">'[10]Outages by Unit'!$C$1:$C$65536</definedName>
    <definedName name="ENERGY" localSheetId="0">#REF!</definedName>
    <definedName name="ENERGY">#REF!</definedName>
    <definedName name="ENERGY1" localSheetId="0">#REF!</definedName>
    <definedName name="ENERGY1">#REF!</definedName>
    <definedName name="ENTRY" localSheetId="0">#REF!</definedName>
    <definedName name="ENTRY">#REF!</definedName>
    <definedName name="entry1" localSheetId="0">#REF!</definedName>
    <definedName name="entry1">#REF!</definedName>
    <definedName name="entry12" localSheetId="0">#REF!</definedName>
    <definedName name="entry12">#REF!</definedName>
    <definedName name="entry2" localSheetId="0">#REF!</definedName>
    <definedName name="entry2">#REF!</definedName>
    <definedName name="entry3" localSheetId="0">#REF!</definedName>
    <definedName name="entry3">#REF!</definedName>
    <definedName name="entry4" localSheetId="0">#REF!</definedName>
    <definedName name="entry4">#REF!</definedName>
    <definedName name="entry5" localSheetId="0">#REF!</definedName>
    <definedName name="entry5">#REF!</definedName>
    <definedName name="entry6" localSheetId="0">#REF!</definedName>
    <definedName name="entry6">#REF!</definedName>
    <definedName name="entry7" localSheetId="0">#REF!</definedName>
    <definedName name="entry7">#REF!</definedName>
    <definedName name="ENTRYN" localSheetId="0">[11]SupportN!#REF!</definedName>
    <definedName name="ENTRYN">[11]SupportN!#REF!</definedName>
    <definedName name="ENTRYQ" localSheetId="0">[11]SupportN!#REF!</definedName>
    <definedName name="ENTRYQ">[11]SupportN!#REF!</definedName>
    <definedName name="ESB_STAFF" localSheetId="0">#REF!</definedName>
    <definedName name="ESB_STAFF">#REF!</definedName>
    <definedName name="ESB_VAR" localSheetId="0">#REF!</definedName>
    <definedName name="ESB_VAR">#REF!</definedName>
    <definedName name="ESS_BORD" localSheetId="0">#REF!</definedName>
    <definedName name="ESS_BORD">#REF!</definedName>
    <definedName name="ESV_BORD" localSheetId="0">#REF!</definedName>
    <definedName name="ESV_BORD">#REF!</definedName>
    <definedName name="EXP5017STM" localSheetId="0">#REF!</definedName>
    <definedName name="EXP5017STM">#REF!</definedName>
    <definedName name="EXP5114STM" localSheetId="0">#REF!</definedName>
    <definedName name="EXP5114STM">#REF!</definedName>
    <definedName name="EXP5360HYD" localSheetId="0">#REF!</definedName>
    <definedName name="EXP5360HYD">#REF!</definedName>
    <definedName name="EXP5425HYD" localSheetId="0">#REF!</definedName>
    <definedName name="EXP5425HYD">#REF!</definedName>
    <definedName name="EXP5479OTH" localSheetId="0">#REF!</definedName>
    <definedName name="EXP5479OTH">#REF!</definedName>
    <definedName name="EXP5524OTH" localSheetId="0">#REF!</definedName>
    <definedName name="EXP5524OTH">#REF!</definedName>
    <definedName name="EXP5627TX" localSheetId="0">#REF!</definedName>
    <definedName name="EXP5627TX">#REF!</definedName>
    <definedName name="EXP5693TX" localSheetId="0">#REF!</definedName>
    <definedName name="EXP5693TX">#REF!</definedName>
    <definedName name="EXP5829DIS" localSheetId="0">#REF!</definedName>
    <definedName name="EXP5829DIS">#REF!</definedName>
    <definedName name="EXP5918DIS" localSheetId="0">#REF!</definedName>
    <definedName name="EXP5918DIS">#REF!</definedName>
    <definedName name="EXP9024CA" localSheetId="0">#REF!</definedName>
    <definedName name="EXP9024CA">#REF!</definedName>
    <definedName name="EXP9025CA" localSheetId="0">#REF!</definedName>
    <definedName name="EXP9025CA">#REF!</definedName>
    <definedName name="EXP9080CS" localSheetId="0">#REF!</definedName>
    <definedName name="EXP9080CS">#REF!</definedName>
    <definedName name="EXP9089CS" localSheetId="0">#REF!</definedName>
    <definedName name="EXP9089CS">#REF!</definedName>
    <definedName name="EXP9123SA" localSheetId="0">#REF!</definedName>
    <definedName name="EXP9123SA">#REF!</definedName>
    <definedName name="EXP9126SA" localSheetId="0">#REF!</definedName>
    <definedName name="EXP9126SA">#REF!</definedName>
    <definedName name="EXP9245TOT" localSheetId="0">#REF!</definedName>
    <definedName name="EXP9245TOT">#REF!</definedName>
    <definedName name="EXP930A" localSheetId="0">#REF!</definedName>
    <definedName name="EXP930A">#REF!</definedName>
    <definedName name="Expenditure_Types" localSheetId="0">#REF!</definedName>
    <definedName name="Expenditure_Types">#REF!</definedName>
    <definedName name="EXPLAIN" localSheetId="0">#REF!</definedName>
    <definedName name="EXPLAIN">#REF!</definedName>
    <definedName name="Fac_2000" localSheetId="0">'[2]LGE Base Fuel &amp; FAC'!#REF!</definedName>
    <definedName name="Fac_2000">'[2]LGE Base Fuel &amp; FAC'!#REF!</definedName>
    <definedName name="fac_annual_ku" localSheetId="0">'[2]LGE Base Fuel &amp; FAC'!#REF!</definedName>
    <definedName name="fac_annual_ku">'[2]LGE Base Fuel &amp; FAC'!#REF!</definedName>
    <definedName name="fac_hide_ku_01" localSheetId="0">'[2]LGE Base Fuel &amp; FAC'!#REF!</definedName>
    <definedName name="fac_hide_ku_01">'[2]LGE Base Fuel &amp; FAC'!#REF!</definedName>
    <definedName name="fac_hide_lge_01" localSheetId="0">'[2]LGE Base Fuel &amp; FAC'!#REF!</definedName>
    <definedName name="fac_hide_lge_01">'[2]LGE Base Fuel &amp; FAC'!#REF!</definedName>
    <definedName name="fac_ku_01" localSheetId="0">'[2]LGE Base Fuel &amp; FAC'!#REF!</definedName>
    <definedName name="fac_ku_01">'[2]LGE Base Fuel &amp; FAC'!#REF!</definedName>
    <definedName name="faf" localSheetId="0" hidden="1">#REF!</definedName>
    <definedName name="faf" hidden="1">#REF!</definedName>
    <definedName name="feba" localSheetId="0">#REF!</definedName>
    <definedName name="feba">#REF!</definedName>
    <definedName name="February" localSheetId="0">#REF!</definedName>
    <definedName name="February">#REF!</definedName>
    <definedName name="FEIN">'[5]Info Page'!$E$36</definedName>
    <definedName name="FINAL" localSheetId="0">#REF!</definedName>
    <definedName name="FINAL">#REF!</definedName>
    <definedName name="fl" hidden="1">[12]PopCache!$A$1:$A$2</definedName>
    <definedName name="flash" localSheetId="0">#REF!</definedName>
    <definedName name="flash">#REF!</definedName>
    <definedName name="FOOT" localSheetId="0">#REF!</definedName>
    <definedName name="FOOT">#REF!</definedName>
    <definedName name="FOOTER" localSheetId="0">#REF!</definedName>
    <definedName name="FOOTER">#REF!</definedName>
    <definedName name="FORECAST">"'IFPSReport'!R5C3:R5C14"</definedName>
    <definedName name="FRED" localSheetId="0">#REF!</definedName>
    <definedName name="FRED">#REF!</definedName>
    <definedName name="FUELCLAU" localSheetId="0">#REF!</definedName>
    <definedName name="FUELCLAU">#REF!</definedName>
    <definedName name="FULLYR" localSheetId="0">#REF!</definedName>
    <definedName name="FULLYR">#REF!</definedName>
    <definedName name="GAS" localSheetId="0">#REF!</definedName>
    <definedName name="GAS">#REF!</definedName>
    <definedName name="Gas_Annual_NetRev" localSheetId="0">#REF!</definedName>
    <definedName name="Gas_Annual_NetRev">#REF!</definedName>
    <definedName name="Gas_Annual_Revenue" localSheetId="0">#REF!</definedName>
    <definedName name="Gas_Annual_Revenue">#REF!</definedName>
    <definedName name="gas_data" localSheetId="0">#REF!</definedName>
    <definedName name="gas_data">#REF!</definedName>
    <definedName name="Gas_Monthly_NetRevenue" localSheetId="0">#REF!</definedName>
    <definedName name="Gas_Monthly_NetRevenue">#REF!</definedName>
    <definedName name="Gas_Sales_Revenues" localSheetId="0">#REF!</definedName>
    <definedName name="Gas_Sales_Revenues">#REF!</definedName>
    <definedName name="GenEx_Annual_KU" localSheetId="0">'[2]LGE Cost of Sales'!#REF!</definedName>
    <definedName name="GenEx_Annual_KU">'[2]LGE Cost of Sales'!#REF!</definedName>
    <definedName name="genex_hide_ku_01" localSheetId="0">'[2]LGE Cost of Sales'!#REF!</definedName>
    <definedName name="genex_hide_ku_01">'[2]LGE Cost of Sales'!#REF!</definedName>
    <definedName name="genex_hide_lge_01" localSheetId="0">'[2]LGE Cost of Sales'!#REF!</definedName>
    <definedName name="genex_hide_lge_01">'[2]LGE Cost of Sales'!#REF!</definedName>
    <definedName name="genex_ku_01" localSheetId="0">'[2]LGE Cost of Sales'!#REF!</definedName>
    <definedName name="genex_ku_01">'[2]LGE Cost of Sales'!#REF!</definedName>
    <definedName name="GENPLT" localSheetId="0">#REF!</definedName>
    <definedName name="GENPLT">#REF!</definedName>
    <definedName name="Home_KU" localSheetId="0">#REF!</definedName>
    <definedName name="Home_KU">#REF!</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HYDPLT" localSheetId="0">#REF!</definedName>
    <definedName name="HYDPLT">#REF!</definedName>
    <definedName name="HYDSYS" localSheetId="0">#REF!</definedName>
    <definedName name="HYDSYS">#REF!</definedName>
    <definedName name="INPUT1" localSheetId="0">#REF!</definedName>
    <definedName name="INPUT1">#REF!</definedName>
    <definedName name="INPUT2" localSheetId="0">#REF!</definedName>
    <definedName name="INPUT2">#REF!</definedName>
    <definedName name="INPUTCOL" localSheetId="0">#REF!</definedName>
    <definedName name="INPUTCOL">#REF!</definedName>
    <definedName name="INPUTROW" localSheetId="0">#REF!</definedName>
    <definedName name="INPUTROW">#REF!</definedName>
    <definedName name="Inputs">'[13]data import'!$B$6:$C$50</definedName>
    <definedName name="Instruct" localSheetId="0">#REF!</definedName>
    <definedName name="Instruct">#REF!</definedName>
    <definedName name="Intranet" localSheetId="0">#REF!</definedName>
    <definedName name="Intranet">#REF!</definedName>
    <definedName name="IntRate">[14]Inputs!$D$10:$H$10</definedName>
    <definedName name="INTTOTCO" localSheetId="0">#REF!</definedName>
    <definedName name="INTTOTCO">#REF!</definedName>
    <definedName name="jana" localSheetId="0">#REF!</definedName>
    <definedName name="jana">#REF!</definedName>
    <definedName name="January" localSheetId="0">#REF!</definedName>
    <definedName name="January">#REF!</definedName>
    <definedName name="JE" localSheetId="0">#REF!</definedName>
    <definedName name="JE">#REF!</definedName>
    <definedName name="JE_Name_1">'[15]J019-0119'!$J$14</definedName>
    <definedName name="JE_Name_2" localSheetId="0">'[16]Journal 1'!$J$14</definedName>
    <definedName name="JE_Name_2">'[17]Journal 1'!$J$14</definedName>
    <definedName name="JE_Name_3" localSheetId="0">#REF!</definedName>
    <definedName name="JE_Name_3">#REF!</definedName>
    <definedName name="JE_Name_4" localSheetId="0">#REF!</definedName>
    <definedName name="JE_Name_4">#REF!</definedName>
    <definedName name="JE_Name_5" localSheetId="0">#REF!</definedName>
    <definedName name="JE_Name_5">#REF!</definedName>
    <definedName name="JE_Name_6" localSheetId="0">#REF!</definedName>
    <definedName name="JE_Name_6">#REF!</definedName>
    <definedName name="JEDATA" localSheetId="0">#REF!</definedName>
    <definedName name="JEDATA">#REF!</definedName>
    <definedName name="jijul" localSheetId="0" hidden="1">#REF!</definedName>
    <definedName name="jijul" hidden="1">#REF!</definedName>
    <definedName name="jula" localSheetId="0">#REF!</definedName>
    <definedName name="jula">#REF!</definedName>
    <definedName name="juna" localSheetId="0">#REF!</definedName>
    <definedName name="juna">#REF!</definedName>
    <definedName name="KU_OMExplPrt" localSheetId="0">#REF!</definedName>
    <definedName name="KU_OMExplPrt">#REF!</definedName>
    <definedName name="KU_Recov" localSheetId="0">#REF!</definedName>
    <definedName name="KU_Recov">#REF!</definedName>
    <definedName name="KUCapExplPrt" localSheetId="0">#REF!</definedName>
    <definedName name="KUCapExplPrt">#REF!</definedName>
    <definedName name="KURETPLT" localSheetId="0">#REF!</definedName>
    <definedName name="KURETPLT">#REF!</definedName>
    <definedName name="KYDIST" localSheetId="0">#REF!</definedName>
    <definedName name="KYDIST">#REF!</definedName>
    <definedName name="KYTRPLT" localSheetId="0">#REF!</definedName>
    <definedName name="KYTRPLT">#REF!</definedName>
    <definedName name="KYTRPLTXF" localSheetId="0">#REF!</definedName>
    <definedName name="KYTRPLTXF">#REF!</definedName>
    <definedName name="LABCA" localSheetId="0">#REF!</definedName>
    <definedName name="LABCA">#REF!</definedName>
    <definedName name="LABCS" localSheetId="0">#REF!</definedName>
    <definedName name="LABCS">#REF!</definedName>
    <definedName name="LABDISMN" localSheetId="0">#REF!</definedName>
    <definedName name="LABDISMN">#REF!</definedName>
    <definedName name="LABDISOP" localSheetId="0">#REF!</definedName>
    <definedName name="LABDISOP">#REF!</definedName>
    <definedName name="LABHYDMN" localSheetId="0">#REF!</definedName>
    <definedName name="LABHYDMN">#REF!</definedName>
    <definedName name="LABHYDOP" localSheetId="0">#REF!</definedName>
    <definedName name="LABHYDOP">#REF!</definedName>
    <definedName name="LABOR" localSheetId="0">#REF!</definedName>
    <definedName name="LABOR">#REF!</definedName>
    <definedName name="LABORXF" localSheetId="0">#REF!</definedName>
    <definedName name="LABORXF">#REF!</definedName>
    <definedName name="LABOTHMN" localSheetId="0">#REF!</definedName>
    <definedName name="LABOTHMN">#REF!</definedName>
    <definedName name="LABOTHOP" localSheetId="0">#REF!</definedName>
    <definedName name="LABOTHOP">#REF!</definedName>
    <definedName name="LABPTDFER" localSheetId="0">#REF!</definedName>
    <definedName name="LABPTDFER">#REF!</definedName>
    <definedName name="LABPTDKY" localSheetId="0">#REF!</definedName>
    <definedName name="LABPTDKY">#REF!</definedName>
    <definedName name="LABPTDVAJ" localSheetId="0">#REF!</definedName>
    <definedName name="LABPTDVAJ">#REF!</definedName>
    <definedName name="LABPTDVNJ" localSheetId="0">#REF!</definedName>
    <definedName name="LABPTDVNJ">#REF!</definedName>
    <definedName name="LABSA" localSheetId="0">#REF!</definedName>
    <definedName name="LABSA">#REF!</definedName>
    <definedName name="LABSTMMN" localSheetId="0">#REF!</definedName>
    <definedName name="LABSTMMN">#REF!</definedName>
    <definedName name="LABSTMOP" localSheetId="0">#REF!</definedName>
    <definedName name="LABSTMOP">#REF!</definedName>
    <definedName name="LABTRMN" localSheetId="0">#REF!</definedName>
    <definedName name="LABTRMN">#REF!</definedName>
    <definedName name="LABTROP" localSheetId="0">#REF!</definedName>
    <definedName name="LABTROP">#REF!</definedName>
    <definedName name="LEASED" localSheetId="0">#REF!</definedName>
    <definedName name="LEASED">#REF!</definedName>
    <definedName name="LFMAR" localSheetId="0">#REF!</definedName>
    <definedName name="LFMAR">#REF!</definedName>
    <definedName name="LGE_OMCMExplPrt" localSheetId="0">#REF!</definedName>
    <definedName name="LGE_OMCMExplPrt">#REF!</definedName>
    <definedName name="LGE_OMYTDExplPrt" localSheetId="0">#REF!</definedName>
    <definedName name="LGE_OMYTDExplPrt">#REF!</definedName>
    <definedName name="LGE_Recov" localSheetId="0">#REF!</definedName>
    <definedName name="LGE_Recov">#REF!</definedName>
    <definedName name="LGECapExplPrt" localSheetId="0">#REF!</definedName>
    <definedName name="LGECapExplPrt">#REF!</definedName>
    <definedName name="LOBFLASH" localSheetId="0">#REF!</definedName>
    <definedName name="LOBFLASH">#REF!</definedName>
    <definedName name="LOCINPUT" localSheetId="0">#REF!</definedName>
    <definedName name="LOCINPUT">#REF!</definedName>
    <definedName name="Losses_by_State" localSheetId="0">#REF!</definedName>
    <definedName name="Losses_by_State">#REF!</definedName>
    <definedName name="lpforecast" localSheetId="0">'[18]99 Budget'!#REF!</definedName>
    <definedName name="lpforecast">'[18]99 Budget'!#REF!</definedName>
    <definedName name="lpshares" localSheetId="0">'[18]99 Budget'!#REF!</definedName>
    <definedName name="lpshares">'[18]99 Budget'!#REF!</definedName>
    <definedName name="LY" localSheetId="0">#REF!</definedName>
    <definedName name="LY">#REF!</definedName>
    <definedName name="M_S" localSheetId="0">#REF!</definedName>
    <definedName name="M_S">#REF!</definedName>
    <definedName name="MAIN" localSheetId="0">#REF!</definedName>
    <definedName name="MAIN">#REF!</definedName>
    <definedName name="mara" localSheetId="0">#REF!</definedName>
    <definedName name="mara">#REF!</definedName>
    <definedName name="maya" localSheetId="0">#REF!</definedName>
    <definedName name="maya">#REF!</definedName>
    <definedName name="MESG1" localSheetId="0">#REF!</definedName>
    <definedName name="MESG1">#REF!</definedName>
    <definedName name="MESG2" localSheetId="0">#REF!</definedName>
    <definedName name="MESG2">#REF!</definedName>
    <definedName name="MILL423" localSheetId="0">#REF!</definedName>
    <definedName name="MILL423">#REF!</definedName>
    <definedName name="MISC" localSheetId="0">#REF!</definedName>
    <definedName name="MISC">#REF!</definedName>
    <definedName name="mmbtu1" localSheetId="0">#REF!</definedName>
    <definedName name="mmbtu1">#REF!</definedName>
    <definedName name="mmbtu2" localSheetId="0">#REF!</definedName>
    <definedName name="mmbtu2">#REF!</definedName>
    <definedName name="MONTH" localSheetId="0">#REF!</definedName>
    <definedName name="MONTH">#REF!</definedName>
    <definedName name="MONTH_NAME" localSheetId="0">#REF!</definedName>
    <definedName name="MONTH_NAME">#REF!</definedName>
    <definedName name="MONTHCOUNT" localSheetId="0">#REF!</definedName>
    <definedName name="MONTHCOUNT">#REF!</definedName>
    <definedName name="Net_Revenues" localSheetId="0">#REF!</definedName>
    <definedName name="Net_Revenues">#REF!</definedName>
    <definedName name="Net_Unbilled_KWh" localSheetId="0">#REF!</definedName>
    <definedName name="Net_Unbilled_KWh">#REF!</definedName>
    <definedName name="Net_Unbilled_Revenue_Dollars" localSheetId="0">#REF!</definedName>
    <definedName name="Net_Unbilled_Revenue_Dollars">#REF!</definedName>
    <definedName name="NETPLANT" localSheetId="0">#REF!</definedName>
    <definedName name="NETPLANT">#REF!</definedName>
    <definedName name="netrev_hide_ku_01" localSheetId="0">'[2]LGE Gross Margin-Inc.Stmt'!#REF!</definedName>
    <definedName name="netrev_hide_ku_01">'[2]LGE Gross Margin-Inc.Stmt'!#REF!</definedName>
    <definedName name="netrev_hide_lge_01" localSheetId="0">'[2]LGE Gross Margin-Inc.Stmt'!#REF!</definedName>
    <definedName name="netrev_hide_lge_01">'[2]LGE Gross Margin-Inc.Stmt'!#REF!</definedName>
    <definedName name="netrev_ku_01" localSheetId="0">'[2]LGE Gross Margin-Inc.Stmt'!#REF!</definedName>
    <definedName name="netrev_ku_01">'[2]LGE Gross Margin-Inc.Stmt'!#REF!</definedName>
    <definedName name="NetRevenue_Annual_KU" localSheetId="0">'[2]LGE Gross Margin-Inc.Stmt'!#REF!</definedName>
    <definedName name="NetRevenue_Annual_KU">'[2]LGE Gross Margin-Inc.Stmt'!#REF!</definedName>
    <definedName name="nova" localSheetId="0">#REF!</definedName>
    <definedName name="nova">#REF!</definedName>
    <definedName name="NvsValTbl.BUSINESS_UNIT">"BUS_UNIT_TBL_GL"</definedName>
    <definedName name="NvsValTbl.PRODUCT">"PROD_ALL_VW"</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a" localSheetId="0">#REF!</definedName>
    <definedName name="octa">#REF!</definedName>
    <definedName name="OIL" localSheetId="0">#REF!</definedName>
    <definedName name="OIL">#REF!</definedName>
    <definedName name="OM_CM" localSheetId="0">#REF!</definedName>
    <definedName name="OM_CM">#REF!</definedName>
    <definedName name="OM_CMPrt" localSheetId="0">#REF!</definedName>
    <definedName name="OM_CMPrt">#REF!</definedName>
    <definedName name="OM_NL_CM" localSheetId="0">#REF!</definedName>
    <definedName name="OM_NL_CM">#REF!</definedName>
    <definedName name="OM_NL_YTD" localSheetId="0">#REF!</definedName>
    <definedName name="OM_NL_YTD">#REF!</definedName>
    <definedName name="OM_YTD" localSheetId="0">#REF!</definedName>
    <definedName name="OM_YTD">#REF!</definedName>
    <definedName name="OM_YTDPrt" localSheetId="0">#REF!</definedName>
    <definedName name="OM_YTDPrt">#REF!</definedName>
    <definedName name="On_or_Off" localSheetId="0">[19]database!#REF!</definedName>
    <definedName name="On_or_Off">[19]database!#REF!</definedName>
    <definedName name="Operating_Revenue_Dollars" localSheetId="0">#REF!</definedName>
    <definedName name="Operating_Revenue_Dollars">#REF!</definedName>
    <definedName name="Operating_Sales__KWh" localSheetId="0">#REF!</definedName>
    <definedName name="Operating_Sales__KWh">#REF!</definedName>
    <definedName name="OTHPLT" localSheetId="0">#REF!</definedName>
    <definedName name="OTHPLT">#REF!</definedName>
    <definedName name="OTHSYS" localSheetId="0">#REF!</definedName>
    <definedName name="OTHSY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ERCENT" localSheetId="0">[3]Ins!#REF!</definedName>
    <definedName name="PERCENT">[3]Ins!#REF!</definedName>
    <definedName name="perfor2223" localSheetId="0">#REF!</definedName>
    <definedName name="perfor2223">#REF!</definedName>
    <definedName name="PERIOD" localSheetId="0">#REF!</definedName>
    <definedName name="PERIOD">#REF!</definedName>
    <definedName name="PETCOKE" localSheetId="0">#REF!</definedName>
    <definedName name="PETCOKE">#REF!</definedName>
    <definedName name="PLANT" localSheetId="0">#REF!</definedName>
    <definedName name="PLANT">#REF!</definedName>
    <definedName name="PLANTKF" localSheetId="0">#REF!</definedName>
    <definedName name="PLANTKF">#REF!</definedName>
    <definedName name="PLANTKY" localSheetId="0">#REF!</definedName>
    <definedName name="PLANTKY">#REF!</definedName>
    <definedName name="PLANTVA" localSheetId="0">#REF!</definedName>
    <definedName name="PLANTVA">#REF!</definedName>
    <definedName name="PLT302TOT" localSheetId="0">#REF!</definedName>
    <definedName name="PLT302TOT">#REF!</definedName>
    <definedName name="PLT303TOT" localSheetId="0">#REF!</definedName>
    <definedName name="PLT303TOT">#REF!</definedName>
    <definedName name="PLT3602TOT" localSheetId="0">#REF!</definedName>
    <definedName name="PLT3602TOT">#REF!</definedName>
    <definedName name="PLT3645TOT" localSheetId="0">#REF!</definedName>
    <definedName name="PLT3645TOT">#REF!</definedName>
    <definedName name="PLT3667TOT" localSheetId="0">#REF!</definedName>
    <definedName name="PLT3667TOT">#REF!</definedName>
    <definedName name="PLT368TOT" localSheetId="0">#REF!</definedName>
    <definedName name="PLT368TOT">#REF!</definedName>
    <definedName name="PLT370TOT" localSheetId="0">#REF!</definedName>
    <definedName name="PLT370TOT">#REF!</definedName>
    <definedName name="PLT371TOT" localSheetId="0">#REF!</definedName>
    <definedName name="PLT371TOT">#REF!</definedName>
    <definedName name="PLT373TOT" localSheetId="0">#REF!</definedName>
    <definedName name="PLT373TOT">#REF!</definedName>
    <definedName name="PopCache_GL_INTERFACE_REFERENCE7" localSheetId="0" hidden="1">[20]PopCache!$A$1:$A$2</definedName>
    <definedName name="PopCache_GL_INTERFACE_REFERENCE7" hidden="1">[21]PopCache!$A$1:$A$2</definedName>
    <definedName name="PRELIM" localSheetId="0">#REF!</definedName>
    <definedName name="PRELIM">#REF!</definedName>
    <definedName name="PRICE" localSheetId="0">#REF!</definedName>
    <definedName name="PRICE">#REF!</definedName>
    <definedName name="PRICETC" localSheetId="0">#REF!</definedName>
    <definedName name="PRICETC">#REF!</definedName>
    <definedName name="_xlnm.Print_Area" localSheetId="4">'NITS Pg 1 of 5'!$A$1:$K$41</definedName>
    <definedName name="_xlnm.Print_Area" localSheetId="5">'NITS Pg 2 of 5'!$A$1:$J$57</definedName>
    <definedName name="_xlnm.Print_Area" localSheetId="6">'NITS Pg 3 of 5'!$A$1:$J$60</definedName>
    <definedName name="_xlnm.Print_Area" localSheetId="7">'NITS Pg 4 of 5'!$A$1:$K$68</definedName>
    <definedName name="_xlnm.Print_Area" localSheetId="12">'Pg 5 of 5 Notes for both'!$A$1:$L$66</definedName>
    <definedName name="_xlnm.Print_Area" localSheetId="8">'PTP Pg 1 of 5'!$A$1:$K$42</definedName>
    <definedName name="_xlnm.Print_Area" localSheetId="9">'PTP Pg 2 of 5'!$A$1:$J$57</definedName>
    <definedName name="_xlnm.Print_Area" localSheetId="10">'PTP Pg 3 of 5'!$A$1:$J$60</definedName>
    <definedName name="_xlnm.Print_Area" localSheetId="11">'PTP Pg 4 of 5'!$A$1:$K$68</definedName>
    <definedName name="_xlnm.Print_Area" localSheetId="15">'Sch 1'!$A$3:$D$33</definedName>
    <definedName name="_xlnm.Print_Area" localSheetId="3">'VA Transmission'!$A$1:$J$63</definedName>
    <definedName name="Print_Area_MI" localSheetId="0">#REF!</definedName>
    <definedName name="Print_Area_MI">#REF!</definedName>
    <definedName name="_xlnm.Print_Titles" localSheetId="4">'NITS Pg 1 of 5'!$1:$7</definedName>
    <definedName name="_xlnm.Print_Titles" localSheetId="5">'NITS Pg 2 of 5'!#REF!</definedName>
    <definedName name="_xlnm.Print_Titles" localSheetId="7">'NITS Pg 4 of 5'!#REF!</definedName>
    <definedName name="_xlnm.Print_Titles" localSheetId="12">'Pg 5 of 5 Notes for both'!#REF!</definedName>
    <definedName name="_xlnm.Print_Titles" localSheetId="8">'PTP Pg 1 of 5'!$1:$7</definedName>
    <definedName name="_xlnm.Print_Titles" localSheetId="9">'PTP Pg 2 of 5'!#REF!</definedName>
    <definedName name="_xlnm.Print_Titles" localSheetId="11">'PTP Pg 4 of 5'!#REF!</definedName>
    <definedName name="PRINT1" localSheetId="0">#REF!</definedName>
    <definedName name="PRINT1">#REF!</definedName>
    <definedName name="Printing" localSheetId="13">[22]!Printing</definedName>
    <definedName name="Printing" localSheetId="0">[22]!Printing</definedName>
    <definedName name="Printing">[22]!Printing</definedName>
    <definedName name="PRODPLT" localSheetId="0">#REF!</definedName>
    <definedName name="PRODPLT">#REF!</definedName>
    <definedName name="PRODSYS" localSheetId="0">#REF!</definedName>
    <definedName name="PRODSYS">#REF!</definedName>
    <definedName name="PTDCUSTLABOR" localSheetId="0">#REF!</definedName>
    <definedName name="PTDCUSTLABOR">#REF!</definedName>
    <definedName name="PTDGPLT" localSheetId="0">#REF!</definedName>
    <definedName name="PTDGPLT">#REF!</definedName>
    <definedName name="PUBLIC" localSheetId="0">[3]Ins!#REF!</definedName>
    <definedName name="PUBLIC">[3]Ins!#REF!</definedName>
    <definedName name="RangeRptgMo">[23]Main!$K$11</definedName>
    <definedName name="RangeRptgYr">[24]Main!$G$5</definedName>
    <definedName name="rate" localSheetId="0">#REF!</definedName>
    <definedName name="rate">#REF!</definedName>
    <definedName name="RATEBASE" localSheetId="0">#REF!</definedName>
    <definedName name="RATEBASE">#REF!</definedName>
    <definedName name="Reconciliation" localSheetId="0">[7]Main!#REF!</definedName>
    <definedName name="Reconciliation">[7]Main!#REF!</definedName>
    <definedName name="Recover">[25]Macro1!$A$180</definedName>
    <definedName name="REPDATA" localSheetId="0">#REF!</definedName>
    <definedName name="REPDATA">#REF!</definedName>
    <definedName name="REPORT" localSheetId="0">[3]Ins!#REF!</definedName>
    <definedName name="REPORT">[3]Ins!#REF!</definedName>
    <definedName name="Reports" localSheetId="0">#REF!</definedName>
    <definedName name="Reports">#REF!</definedName>
    <definedName name="ReportTitle1" localSheetId="0">#REF!</definedName>
    <definedName name="ReportTitle1">#REF!</definedName>
    <definedName name="require_hide_ku_01" localSheetId="0">'[2]LGE Require &amp; Source'!#REF!</definedName>
    <definedName name="require_hide_ku_01">'[2]LGE Require &amp; Source'!#REF!</definedName>
    <definedName name="require_hide_lge_01" localSheetId="0">'[2]LGE Require &amp; Source'!#REF!</definedName>
    <definedName name="require_hide_lge_01">'[2]LGE Require &amp; Source'!#REF!</definedName>
    <definedName name="require_ku_01" localSheetId="0">'[2]LGE Require &amp; Source'!#REF!</definedName>
    <definedName name="require_ku_01">'[2]LGE Require &amp; Source'!#REF!</definedName>
    <definedName name="Requirements_Annual_KU" localSheetId="0">'[2]LGE Require &amp; Source'!#REF!</definedName>
    <definedName name="Requirements_Annual_KU">'[2]LGE Require &amp; Source'!#REF!</definedName>
    <definedName name="Requirements_Data" localSheetId="0">'[2]LGE Require &amp; Source'!#REF!</definedName>
    <definedName name="Requirements_Data">'[2]LGE Require &amp; Source'!#REF!</definedName>
    <definedName name="Requirements_KU" localSheetId="0">'[2]LGE Require &amp; Source'!#REF!</definedName>
    <definedName name="Requirements_KU">'[2]LGE Require &amp; Source'!#REF!</definedName>
    <definedName name="REVENUE" localSheetId="0">#REF!</definedName>
    <definedName name="REVENUE">#REF!</definedName>
    <definedName name="Revenues" localSheetId="0">#REF!</definedName>
    <definedName name="Revenues">#REF!</definedName>
    <definedName name="revenues_hide_ku_01" localSheetId="0">'[2]KU Other Electric Revenues'!#REF!</definedName>
    <definedName name="revenues_hide_ku_01">'[2]KU Other Electric Revenues'!#REF!</definedName>
    <definedName name="revenues_ku_01" localSheetId="0">'[2]KU Other Electric Revenues'!#REF!</definedName>
    <definedName name="revenues_ku_01">'[2]KU Other Electric Revenues'!#REF!</definedName>
    <definedName name="REVENUEX" localSheetId="0">#REF!</definedName>
    <definedName name="REVENUEX">#REF!</definedName>
    <definedName name="REVFERC" localSheetId="0">#REF!</definedName>
    <definedName name="REVFERC">#REF!</definedName>
    <definedName name="REVKU" localSheetId="0">#REF!</definedName>
    <definedName name="REVKU">#REF!</definedName>
    <definedName name="REVKY" localSheetId="0">#REF!</definedName>
    <definedName name="REVKY">#REF!</definedName>
    <definedName name="REVNJVA" localSheetId="0">#REF!</definedName>
    <definedName name="REVNJVA">#REF!</definedName>
    <definedName name="REVVA" localSheetId="0">#REF!</definedName>
    <definedName name="REVV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wDetails1" localSheetId="0">#REF!</definedName>
    <definedName name="RowDetails1">#REF!</definedName>
    <definedName name="RPTCOL" localSheetId="0">#REF!</definedName>
    <definedName name="RPTCOL">#REF!</definedName>
    <definedName name="RPTROW" localSheetId="0">#REF!</definedName>
    <definedName name="RPTROW">#REF!</definedName>
    <definedName name="Sales" localSheetId="0">'[2]LGE Sales'!#REF!</definedName>
    <definedName name="Sales">'[2]LGE Sales'!#REF!</definedName>
    <definedName name="Sales_Data" localSheetId="0">#REF!</definedName>
    <definedName name="Sales_Data">#REF!</definedName>
    <definedName name="sales_hide_ku_01" localSheetId="0">'[2]LGE Sales'!#REF!</definedName>
    <definedName name="sales_hide_ku_01">'[2]LGE Sales'!#REF!</definedName>
    <definedName name="sales_ku_01" localSheetId="0">'[2]LGE Sales'!#REF!</definedName>
    <definedName name="sales_ku_01">'[2]LGE Sales'!#REF!</definedName>
    <definedName name="sales_title_ku" localSheetId="0">'[2]LGE Sales'!#REF!</definedName>
    <definedName name="sales_title_ku">'[2]LGE Sales'!#REF!</definedName>
    <definedName name="SEMIYTM" localSheetId="0">#REF!</definedName>
    <definedName name="SEMIYTM">#REF!</definedName>
    <definedName name="sepa" localSheetId="0">#REF!</definedName>
    <definedName name="sepa">#REF!</definedName>
    <definedName name="September__1996" localSheetId="0">#REF!</definedName>
    <definedName name="September__1996">#REF!</definedName>
    <definedName name="SEREV" localSheetId="0">#REF!</definedName>
    <definedName name="SEREV">#REF!</definedName>
    <definedName name="SNYDER1" localSheetId="0">#REF!</definedName>
    <definedName name="SNYDER1">#REF!</definedName>
    <definedName name="SNYDER2" localSheetId="0">#REF!</definedName>
    <definedName name="SNYDER2">#REF!</definedName>
    <definedName name="START" localSheetId="0">#REF!</definedName>
    <definedName name="START">#REF!</definedName>
    <definedName name="Start_Date_Planned">'[10]Outages by Unit'!$B$1:$B$65536</definedName>
    <definedName name="START2" localSheetId="0">#REF!</definedName>
    <definedName name="START2">#REF!</definedName>
    <definedName name="START3" localSheetId="0">#REF!</definedName>
    <definedName name="START3">#REF!</definedName>
    <definedName name="STATE203E" localSheetId="0">#REF!</definedName>
    <definedName name="STATE203E">#REF!</definedName>
    <definedName name="STMPLT" localSheetId="0">#REF!</definedName>
    <definedName name="STMPLT">#REF!</definedName>
    <definedName name="STMSYS" localSheetId="0">#REF!</definedName>
    <definedName name="STMSYS">#REF!</definedName>
    <definedName name="SUPP1" localSheetId="0">#REF!</definedName>
    <definedName name="SUPP1">#REF!</definedName>
    <definedName name="SUPP17" localSheetId="0">#REF!</definedName>
    <definedName name="SUPP17">#REF!</definedName>
    <definedName name="SUPP18" localSheetId="0">#REF!</definedName>
    <definedName name="SUPP18">#REF!</definedName>
    <definedName name="SUPP2" localSheetId="0">#REF!</definedName>
    <definedName name="SUPP2">#REF!</definedName>
    <definedName name="SUPP3" localSheetId="0">#REF!</definedName>
    <definedName name="SUPP3">#REF!</definedName>
    <definedName name="SUPPORT" localSheetId="0">#REF!</definedName>
    <definedName name="SUPPORT">#REF!</definedName>
    <definedName name="support1" localSheetId="0">#REF!</definedName>
    <definedName name="support1">#REF!</definedName>
    <definedName name="SUPPORTQ" localSheetId="0">[11]SupportN!#REF!</definedName>
    <definedName name="SUPPORTQ">[11]SupportN!#REF!</definedName>
    <definedName name="TableName">"Dummy"</definedName>
    <definedName name="TAX203E" localSheetId="0">#REF!</definedName>
    <definedName name="TAX203E">#REF!</definedName>
    <definedName name="TaxRate">[14]Inputs!$D$8:$H$8</definedName>
    <definedName name="test">#N/A</definedName>
    <definedName name="Title" localSheetId="0">#REF!</definedName>
    <definedName name="Title">#REF!</definedName>
    <definedName name="Title_Choice" localSheetId="0">#REF!</definedName>
    <definedName name="Title_Choice">#REF!</definedName>
    <definedName name="Titles" localSheetId="0">#REF!</definedName>
    <definedName name="Titles">#REF!</definedName>
    <definedName name="Titles_KU" localSheetId="0">#REF!</definedName>
    <definedName name="Titles_KU">#REF!</definedName>
    <definedName name="TNDIST" localSheetId="0">#REF!</definedName>
    <definedName name="TNDIST">#REF!</definedName>
    <definedName name="TONS" localSheetId="0">#REF!</definedName>
    <definedName name="TONS">#REF!</definedName>
    <definedName name="TOTAL_EXEC_VP___CAO___Wood" localSheetId="0">#REF!</definedName>
    <definedName name="TOTAL_EXEC_VP___CAO___Wood">#REF!</definedName>
    <definedName name="TRANPLT" localSheetId="0">#REF!</definedName>
    <definedName name="TRANPLT">#REF!</definedName>
    <definedName name="TRANPLTX" localSheetId="0">#REF!</definedName>
    <definedName name="TRANPLTX">#REF!</definedName>
    <definedName name="TRANPLTXF" localSheetId="0">#REF!</definedName>
    <definedName name="TRANPLTXF">#REF!</definedName>
    <definedName name="TRANSFERS" localSheetId="0">#REF!</definedName>
    <definedName name="TRANSFERS">#REF!</definedName>
    <definedName name="TRDSPLT" localSheetId="0">#REF!</definedName>
    <definedName name="TRDSPLT">#REF!</definedName>
    <definedName name="Trend2" localSheetId="0" hidden="1">#REF!</definedName>
    <definedName name="Trend2" hidden="1">#REF!</definedName>
    <definedName name="TRIMB423" localSheetId="0">#REF!</definedName>
    <definedName name="TRIMB423">#REF!</definedName>
    <definedName name="TRPLTVA" localSheetId="0">#REF!</definedName>
    <definedName name="TRPLTVA">#REF!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S">'[26]PP Data Dump NEEDS UPDATING'!$A$63:$A$77</definedName>
    <definedName name="Updtmnth" localSheetId="0">#REF!</definedName>
    <definedName name="Updtmnth">#REF!</definedName>
    <definedName name="Updtmnth2" localSheetId="0">#REF!</definedName>
    <definedName name="Updtmnth2">#REF!</definedName>
    <definedName name="UPLOAD" localSheetId="0">#REF!</definedName>
    <definedName name="UPLOAD">#REF!</definedName>
    <definedName name="VADIST" localSheetId="0">#REF!</definedName>
    <definedName name="VADIST">#REF!</definedName>
    <definedName name="VALLEY" localSheetId="0">[3]Ins!#REF!</definedName>
    <definedName name="VALLEY">[3]Ins!#REF!</definedName>
    <definedName name="VATRPLT" localSheetId="0">#REF!</definedName>
    <definedName name="VATRPLT">#REF!</definedName>
    <definedName name="VATRPLTN" localSheetId="0">#REF!</definedName>
    <definedName name="VATRPLTN">#REF!</definedName>
    <definedName name="VATRPLTT" localSheetId="0">#REF!</definedName>
    <definedName name="VATRPLTT">#REF!</definedName>
    <definedName name="VIEW1" localSheetId="0">#REF!</definedName>
    <definedName name="VIEW1">#REF!</definedName>
    <definedName name="vital5">'[9]Customize Your Invoice'!$E$15</definedName>
    <definedName name="vol_rev_annual_ku" localSheetId="0">'[2]LGE Retail Margin'!#REF!</definedName>
    <definedName name="vol_rev_annual_ku">'[2]LGE Retail Margin'!#REF!</definedName>
    <definedName name="vol_rev_hide_ku_monthly" localSheetId="0">'[2]LGE Retail Margin'!#REF!</definedName>
    <definedName name="vol_rev_hide_ku_monthly">'[2]LGE Retail Margin'!#REF!</definedName>
    <definedName name="vol_rev_hide_lge_01" localSheetId="0">'[2]LGE Retail Margin'!#REF!</definedName>
    <definedName name="vol_rev_hide_lge_01">'[2]LGE Retail Margin'!#REF!</definedName>
    <definedName name="vol_rev_ku_monthly" localSheetId="0">'[2]LGE Retail Margin'!#REF!</definedName>
    <definedName name="vol_rev_ku_monthly">'[2]LGE Retail Margin'!#REF!</definedName>
    <definedName name="volrev_data" localSheetId="0">'[2]LGE Retail Margin'!#REF!</definedName>
    <definedName name="volrev_data">'[2]LGE Retail Margin'!#REF!</definedName>
    <definedName name="Volumes" localSheetId="0">#REF!</definedName>
    <definedName name="Volumes">#REF!</definedName>
    <definedName name="wholesale" localSheetId="0">#REF!</definedName>
    <definedName name="wholesale">#REF!</definedName>
    <definedName name="WORKERS" localSheetId="0">[3]Ins!#REF!</definedName>
    <definedName name="WORKERS">[3]Ins!#REF!</definedName>
    <definedName name="wrn.ECR." localSheetId="0" hidden="1">{#N/A,#N/A,FALSE,"schA"}</definedName>
    <definedName name="wrn.ECR." hidden="1">{#N/A,#N/A,FALSE,"schA"}</definedName>
    <definedName name="X" localSheetId="0">#REF!</definedName>
    <definedName name="X">#REF!</definedName>
    <definedName name="XALLDOMESTIC">'[27]Info Page'!$I$7</definedName>
    <definedName name="xxx" localSheetId="0">[28]SupportN!#REF!</definedName>
    <definedName name="xxx">[28]SupportN!#REF!</definedName>
    <definedName name="YTD" localSheetId="0">#REF!</definedName>
    <definedName name="YTD">#REF!</definedName>
    <definedName name="YTDYTG" localSheetId="0">#REF!</definedName>
    <definedName name="YTDYTG">#REF!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6" i="20" l="1"/>
  <c r="D35" i="23" l="1"/>
  <c r="D36" i="23"/>
  <c r="E49" i="4" l="1"/>
  <c r="E50" i="4"/>
  <c r="J14" i="1"/>
  <c r="E49" i="17"/>
  <c r="E50" i="17"/>
  <c r="H9" i="28" l="1"/>
  <c r="C4" i="32" l="1"/>
  <c r="C3" i="32"/>
  <c r="D152" i="20" l="1"/>
  <c r="C152" i="20"/>
  <c r="D137" i="20"/>
  <c r="C137" i="20"/>
  <c r="D147" i="20"/>
  <c r="D148" i="20"/>
  <c r="D150" i="20" s="1"/>
  <c r="D149" i="20"/>
  <c r="C150" i="20"/>
  <c r="D145" i="20"/>
  <c r="D146" i="20"/>
  <c r="D143" i="20"/>
  <c r="C148" i="20"/>
  <c r="C145" i="20"/>
  <c r="C147" i="20"/>
  <c r="C149" i="20"/>
  <c r="C146" i="20"/>
  <c r="C143" i="20"/>
  <c r="D186" i="20" l="1"/>
  <c r="C186" i="20"/>
  <c r="C412" i="20" l="1"/>
  <c r="C97" i="20" l="1"/>
  <c r="D412" i="20" l="1"/>
  <c r="E355" i="20" l="1"/>
  <c r="J64" i="18" s="1"/>
  <c r="J64" i="5" l="1"/>
  <c r="C413" i="20"/>
  <c r="D3" i="33" l="1"/>
  <c r="C3" i="33"/>
  <c r="O74" i="32" l="1"/>
  <c r="O73" i="32"/>
  <c r="O72" i="32"/>
  <c r="O71" i="32"/>
  <c r="N70" i="32"/>
  <c r="N75" i="32" s="1"/>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O41" i="32"/>
  <c r="O40" i="32"/>
  <c r="O39" i="32"/>
  <c r="O38" i="32"/>
  <c r="O37" i="32"/>
  <c r="O36" i="32"/>
  <c r="O35" i="32"/>
  <c r="O34" i="32"/>
  <c r="O33" i="32"/>
  <c r="O32" i="32"/>
  <c r="O31" i="32"/>
  <c r="O30" i="32"/>
  <c r="O29" i="32"/>
  <c r="O28" i="32"/>
  <c r="O27" i="32"/>
  <c r="O70" i="32" s="1"/>
  <c r="O75" i="32" s="1"/>
  <c r="O23" i="32"/>
  <c r="N22" i="32"/>
  <c r="N24" i="32" s="1"/>
  <c r="O21" i="32"/>
  <c r="O20" i="32"/>
  <c r="O19" i="32"/>
  <c r="O18" i="32"/>
  <c r="O17" i="32"/>
  <c r="N16" i="32"/>
  <c r="O15" i="32"/>
  <c r="O14" i="32"/>
  <c r="O13" i="32"/>
  <c r="O12" i="32"/>
  <c r="O16" i="32" s="1"/>
  <c r="O22" i="32" s="1"/>
  <c r="O24" i="32" s="1"/>
  <c r="B257" i="20" l="1"/>
  <c r="B256" i="20"/>
  <c r="B255" i="20"/>
  <c r="C241" i="20" l="1"/>
  <c r="D241" i="20"/>
  <c r="M74" i="32" l="1"/>
  <c r="M73" i="32"/>
  <c r="M72" i="32"/>
  <c r="I71" i="32"/>
  <c r="K71" i="32" s="1"/>
  <c r="J70" i="32"/>
  <c r="J75" i="32" s="1"/>
  <c r="F69" i="32"/>
  <c r="G69" i="32" s="1"/>
  <c r="F68" i="32"/>
  <c r="G68" i="32" s="1"/>
  <c r="F67" i="32"/>
  <c r="G67" i="32" s="1"/>
  <c r="F66" i="32"/>
  <c r="G66" i="32" s="1"/>
  <c r="F65" i="32"/>
  <c r="G65" i="32" s="1"/>
  <c r="F64" i="32"/>
  <c r="G64" i="32" s="1"/>
  <c r="F63" i="32"/>
  <c r="G63" i="32" s="1"/>
  <c r="F62" i="32"/>
  <c r="G62" i="32" s="1"/>
  <c r="F61" i="32"/>
  <c r="G61" i="32" s="1"/>
  <c r="F60" i="32"/>
  <c r="G60" i="32" s="1"/>
  <c r="F59" i="32"/>
  <c r="G59" i="32" s="1"/>
  <c r="F58" i="32"/>
  <c r="G58" i="32" s="1"/>
  <c r="F57" i="32"/>
  <c r="G57" i="32" s="1"/>
  <c r="F56" i="32"/>
  <c r="G56" i="32" s="1"/>
  <c r="F55" i="32"/>
  <c r="G55" i="32" s="1"/>
  <c r="F54" i="32"/>
  <c r="G54" i="32" s="1"/>
  <c r="F53" i="32"/>
  <c r="G53" i="32" s="1"/>
  <c r="F52" i="32"/>
  <c r="G52" i="32" s="1"/>
  <c r="F51" i="32"/>
  <c r="G51" i="32" s="1"/>
  <c r="F50" i="32"/>
  <c r="G50" i="32" s="1"/>
  <c r="F49" i="32"/>
  <c r="G49" i="32" s="1"/>
  <c r="F48" i="32"/>
  <c r="G48" i="32" s="1"/>
  <c r="F47" i="32"/>
  <c r="G47" i="32" s="1"/>
  <c r="F46" i="32"/>
  <c r="G46" i="32" s="1"/>
  <c r="F45" i="32"/>
  <c r="G45" i="32" s="1"/>
  <c r="F44" i="32"/>
  <c r="G44" i="32" s="1"/>
  <c r="F43" i="32"/>
  <c r="G43" i="32" s="1"/>
  <c r="F42" i="32"/>
  <c r="G42" i="32" s="1"/>
  <c r="F41" i="32"/>
  <c r="G41" i="32" s="1"/>
  <c r="F40" i="32"/>
  <c r="G40" i="32" s="1"/>
  <c r="F39" i="32"/>
  <c r="G39" i="32" s="1"/>
  <c r="F38" i="32"/>
  <c r="G38" i="32" s="1"/>
  <c r="F37" i="32"/>
  <c r="G37" i="32" s="1"/>
  <c r="F36" i="32"/>
  <c r="G36" i="32" s="1"/>
  <c r="F35" i="32"/>
  <c r="G35" i="32" s="1"/>
  <c r="F34" i="32"/>
  <c r="G34" i="32" s="1"/>
  <c r="F33" i="32"/>
  <c r="G33" i="32" s="1"/>
  <c r="F32" i="32"/>
  <c r="G32" i="32" s="1"/>
  <c r="F31" i="32"/>
  <c r="G31" i="32" s="1"/>
  <c r="F30" i="32"/>
  <c r="G30" i="32" s="1"/>
  <c r="F29" i="32"/>
  <c r="G29" i="32" s="1"/>
  <c r="F28" i="32"/>
  <c r="G28" i="32" s="1"/>
  <c r="F27" i="32"/>
  <c r="G27" i="32" s="1"/>
  <c r="I23" i="32"/>
  <c r="K23" i="32" s="1"/>
  <c r="M23" i="32" s="1"/>
  <c r="F21" i="32"/>
  <c r="H21" i="32" s="1"/>
  <c r="F20" i="32"/>
  <c r="H20" i="32" s="1"/>
  <c r="F19" i="32"/>
  <c r="G19" i="32" s="1"/>
  <c r="F18" i="32"/>
  <c r="H18" i="32" s="1"/>
  <c r="F17" i="32"/>
  <c r="L16" i="32"/>
  <c r="L22" i="32" s="1"/>
  <c r="J16" i="32"/>
  <c r="J22" i="32" s="1"/>
  <c r="J24" i="32" s="1"/>
  <c r="E16" i="32"/>
  <c r="D16" i="32"/>
  <c r="F15" i="32"/>
  <c r="G15" i="32" s="1"/>
  <c r="F14" i="32"/>
  <c r="G14" i="32" s="1"/>
  <c r="F13" i="32"/>
  <c r="F12" i="32"/>
  <c r="G12" i="32" s="1"/>
  <c r="H61" i="32" l="1"/>
  <c r="I61" i="32" s="1"/>
  <c r="L61" i="32" s="1"/>
  <c r="H50" i="32"/>
  <c r="I50" i="32" s="1"/>
  <c r="L50" i="32" s="1"/>
  <c r="H66" i="32"/>
  <c r="I66" i="32" s="1"/>
  <c r="L66" i="32" s="1"/>
  <c r="H35" i="32"/>
  <c r="I35" i="32" s="1"/>
  <c r="K35" i="32" s="1"/>
  <c r="H47" i="32"/>
  <c r="I47" i="32" s="1"/>
  <c r="L47" i="32" s="1"/>
  <c r="H36" i="32"/>
  <c r="I36" i="32" s="1"/>
  <c r="L36" i="32" s="1"/>
  <c r="H43" i="32"/>
  <c r="I43" i="32" s="1"/>
  <c r="L43" i="32" s="1"/>
  <c r="H62" i="32"/>
  <c r="I62" i="32" s="1"/>
  <c r="L62" i="32" s="1"/>
  <c r="H29" i="32"/>
  <c r="I29" i="32" s="1"/>
  <c r="K29" i="32" s="1"/>
  <c r="H28" i="32"/>
  <c r="I28" i="32" s="1"/>
  <c r="L28" i="32" s="1"/>
  <c r="H34" i="32"/>
  <c r="I34" i="32" s="1"/>
  <c r="K34" i="32" s="1"/>
  <c r="H46" i="32"/>
  <c r="I46" i="32" s="1"/>
  <c r="L46" i="32" s="1"/>
  <c r="H65" i="32"/>
  <c r="I65" i="32" s="1"/>
  <c r="L65" i="32" s="1"/>
  <c r="H33" i="32"/>
  <c r="I33" i="32" s="1"/>
  <c r="K33" i="32" s="1"/>
  <c r="H40" i="32"/>
  <c r="I40" i="32" s="1"/>
  <c r="K40" i="32" s="1"/>
  <c r="H51" i="32"/>
  <c r="I51" i="32" s="1"/>
  <c r="L51" i="32" s="1"/>
  <c r="H55" i="32"/>
  <c r="I55" i="32" s="1"/>
  <c r="K55" i="32" s="1"/>
  <c r="H14" i="32"/>
  <c r="I14" i="32" s="1"/>
  <c r="K14" i="32" s="1"/>
  <c r="M14" i="32" s="1"/>
  <c r="G18" i="32"/>
  <c r="I18" i="32" s="1"/>
  <c r="K18" i="32" s="1"/>
  <c r="M18" i="32" s="1"/>
  <c r="L24" i="32"/>
  <c r="H30" i="32"/>
  <c r="I30" i="32" s="1"/>
  <c r="K30" i="32" s="1"/>
  <c r="H37" i="32"/>
  <c r="I37" i="32" s="1"/>
  <c r="L37" i="32" s="1"/>
  <c r="H44" i="32"/>
  <c r="I44" i="32" s="1"/>
  <c r="K44" i="32" s="1"/>
  <c r="H48" i="32"/>
  <c r="I48" i="32" s="1"/>
  <c r="K48" i="32" s="1"/>
  <c r="H59" i="32"/>
  <c r="I59" i="32" s="1"/>
  <c r="L59" i="32" s="1"/>
  <c r="H63" i="32"/>
  <c r="I63" i="32" s="1"/>
  <c r="K63" i="32" s="1"/>
  <c r="L71" i="32"/>
  <c r="M71" i="32" s="1"/>
  <c r="H41" i="32"/>
  <c r="I41" i="32" s="1"/>
  <c r="L41" i="32" s="1"/>
  <c r="H52" i="32"/>
  <c r="I52" i="32" s="1"/>
  <c r="L52" i="32" s="1"/>
  <c r="H56" i="32"/>
  <c r="I56" i="32" s="1"/>
  <c r="K56" i="32" s="1"/>
  <c r="H67" i="32"/>
  <c r="I67" i="32" s="1"/>
  <c r="K67" i="32" s="1"/>
  <c r="H27" i="32"/>
  <c r="I27" i="32" s="1"/>
  <c r="H38" i="32"/>
  <c r="I38" i="32" s="1"/>
  <c r="L38" i="32" s="1"/>
  <c r="H45" i="32"/>
  <c r="I45" i="32" s="1"/>
  <c r="L45" i="32" s="1"/>
  <c r="H49" i="32"/>
  <c r="I49" i="32" s="1"/>
  <c r="L49" i="32" s="1"/>
  <c r="H60" i="32"/>
  <c r="I60" i="32" s="1"/>
  <c r="L60" i="32" s="1"/>
  <c r="H64" i="32"/>
  <c r="I64" i="32" s="1"/>
  <c r="L64" i="32" s="1"/>
  <c r="H31" i="32"/>
  <c r="I31" i="32" s="1"/>
  <c r="L31" i="32" s="1"/>
  <c r="H42" i="32"/>
  <c r="I42" i="32" s="1"/>
  <c r="L42" i="32" s="1"/>
  <c r="H53" i="32"/>
  <c r="I53" i="32" s="1"/>
  <c r="L53" i="32" s="1"/>
  <c r="H57" i="32"/>
  <c r="I57" i="32" s="1"/>
  <c r="K57" i="32" s="1"/>
  <c r="H68" i="32"/>
  <c r="I68" i="32" s="1"/>
  <c r="K68" i="32" s="1"/>
  <c r="H12" i="32"/>
  <c r="I12" i="32" s="1"/>
  <c r="K12" i="32" s="1"/>
  <c r="H32" i="32"/>
  <c r="I32" i="32" s="1"/>
  <c r="K32" i="32" s="1"/>
  <c r="H39" i="32"/>
  <c r="I39" i="32" s="1"/>
  <c r="L39" i="32" s="1"/>
  <c r="H54" i="32"/>
  <c r="I54" i="32" s="1"/>
  <c r="L54" i="32" s="1"/>
  <c r="H58" i="32"/>
  <c r="I58" i="32" s="1"/>
  <c r="L58" i="32" s="1"/>
  <c r="H69" i="32"/>
  <c r="I69" i="32" s="1"/>
  <c r="L69" i="32" s="1"/>
  <c r="L55" i="32"/>
  <c r="H13" i="32"/>
  <c r="G13" i="32"/>
  <c r="G16" i="32" s="1"/>
  <c r="G21" i="32"/>
  <c r="I21" i="32" s="1"/>
  <c r="K21" i="32" s="1"/>
  <c r="M21" i="32" s="1"/>
  <c r="G70" i="32"/>
  <c r="G75" i="32" s="1"/>
  <c r="H19" i="32"/>
  <c r="I19" i="32" s="1"/>
  <c r="K19" i="32" s="1"/>
  <c r="M19" i="32" s="1"/>
  <c r="H17" i="32"/>
  <c r="G17" i="32"/>
  <c r="G20" i="32"/>
  <c r="I20" i="32" s="1"/>
  <c r="K20" i="32" s="1"/>
  <c r="M20" i="32" s="1"/>
  <c r="H15" i="32"/>
  <c r="I15" i="32" s="1"/>
  <c r="K15" i="32" s="1"/>
  <c r="M15" i="32" s="1"/>
  <c r="F16" i="32"/>
  <c r="K43" i="32" l="1"/>
  <c r="M43" i="32" s="1"/>
  <c r="L40" i="32"/>
  <c r="M40" i="32" s="1"/>
  <c r="K46" i="32"/>
  <c r="K65" i="32"/>
  <c r="M65" i="32" s="1"/>
  <c r="K50" i="32"/>
  <c r="M50" i="32" s="1"/>
  <c r="L35" i="32"/>
  <c r="M35" i="32" s="1"/>
  <c r="K41" i="32"/>
  <c r="M41" i="32" s="1"/>
  <c r="K28" i="32"/>
  <c r="M28" i="32" s="1"/>
  <c r="K45" i="32"/>
  <c r="M45" i="32" s="1"/>
  <c r="K51" i="32"/>
  <c r="M51" i="32" s="1"/>
  <c r="L29" i="32"/>
  <c r="M29" i="32" s="1"/>
  <c r="K38" i="32"/>
  <c r="M38" i="32" s="1"/>
  <c r="K53" i="32"/>
  <c r="M53" i="32" s="1"/>
  <c r="K62" i="32"/>
  <c r="M62" i="32" s="1"/>
  <c r="K69" i="32"/>
  <c r="M69" i="32" s="1"/>
  <c r="K61" i="32"/>
  <c r="M61" i="32" s="1"/>
  <c r="K59" i="32"/>
  <c r="M59" i="32" s="1"/>
  <c r="K66" i="32"/>
  <c r="M66" i="32" s="1"/>
  <c r="L48" i="32"/>
  <c r="M48" i="32" s="1"/>
  <c r="L33" i="32"/>
  <c r="M33" i="32" s="1"/>
  <c r="K52" i="32"/>
  <c r="M52" i="32" s="1"/>
  <c r="L44" i="32"/>
  <c r="M44" i="32" s="1"/>
  <c r="M46" i="32"/>
  <c r="K31" i="32"/>
  <c r="M31" i="32" s="1"/>
  <c r="L56" i="32"/>
  <c r="M56" i="32" s="1"/>
  <c r="L32" i="32"/>
  <c r="M32" i="32" s="1"/>
  <c r="K37" i="32"/>
  <c r="M37" i="32" s="1"/>
  <c r="K58" i="32"/>
  <c r="M58" i="32" s="1"/>
  <c r="K54" i="32"/>
  <c r="M54" i="32" s="1"/>
  <c r="K64" i="32"/>
  <c r="M64" i="32" s="1"/>
  <c r="L67" i="32"/>
  <c r="M67" i="32" s="1"/>
  <c r="K36" i="32"/>
  <c r="M36" i="32" s="1"/>
  <c r="K39" i="32"/>
  <c r="M39" i="32" s="1"/>
  <c r="K47" i="32"/>
  <c r="M47" i="32" s="1"/>
  <c r="K42" i="32"/>
  <c r="M42" i="32" s="1"/>
  <c r="L30" i="32"/>
  <c r="M30" i="32" s="1"/>
  <c r="H70" i="32"/>
  <c r="H75" i="32" s="1"/>
  <c r="K49" i="32"/>
  <c r="M49" i="32" s="1"/>
  <c r="L34" i="32"/>
  <c r="M34" i="32" s="1"/>
  <c r="L57" i="32"/>
  <c r="M57" i="32" s="1"/>
  <c r="G22" i="32"/>
  <c r="G24" i="32" s="1"/>
  <c r="L63" i="32"/>
  <c r="M63" i="32" s="1"/>
  <c r="L68" i="32"/>
  <c r="M68" i="32" s="1"/>
  <c r="K60" i="32"/>
  <c r="M60" i="32" s="1"/>
  <c r="K27" i="32"/>
  <c r="I70" i="32"/>
  <c r="I75" i="32" s="1"/>
  <c r="L27" i="32"/>
  <c r="I13" i="32"/>
  <c r="M55" i="32"/>
  <c r="I17" i="32"/>
  <c r="K17" i="32" s="1"/>
  <c r="M17" i="32" s="1"/>
  <c r="H16" i="32"/>
  <c r="H22" i="32" s="1"/>
  <c r="H24" i="32" s="1"/>
  <c r="M12" i="32"/>
  <c r="L70" i="32" l="1"/>
  <c r="K13" i="32"/>
  <c r="I16" i="32"/>
  <c r="I22" i="32" s="1"/>
  <c r="I24" i="32" s="1"/>
  <c r="M27" i="32"/>
  <c r="M70" i="32" s="1"/>
  <c r="M75" i="32" s="1"/>
  <c r="K70" i="32"/>
  <c r="K75" i="32" s="1"/>
  <c r="A4" i="32"/>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L75" i="32" l="1"/>
  <c r="M13" i="32"/>
  <c r="M16" i="32" s="1"/>
  <c r="M22" i="32" s="1"/>
  <c r="M24" i="32" s="1"/>
  <c r="K16" i="32"/>
  <c r="K22" i="32" s="1"/>
  <c r="K24" i="32" s="1"/>
  <c r="G25" i="3" l="1"/>
  <c r="E412" i="20" l="1"/>
  <c r="H30" i="28" l="1"/>
  <c r="E139" i="20" l="1"/>
  <c r="C120" i="20"/>
  <c r="I30" i="28" l="1"/>
  <c r="B3" i="28" l="1"/>
  <c r="B5" i="28" l="1"/>
  <c r="H27" i="28"/>
  <c r="I27" i="28"/>
  <c r="F29" i="28"/>
  <c r="D142" i="20" l="1"/>
  <c r="C142" i="20"/>
  <c r="E137" i="20" l="1"/>
  <c r="D250" i="20"/>
  <c r="C250" i="20"/>
  <c r="C206" i="20"/>
  <c r="E206" i="20" l="1"/>
  <c r="E16" i="4" l="1"/>
  <c r="E16" i="17"/>
  <c r="E421" i="20" l="1"/>
  <c r="D226" i="20" l="1"/>
  <c r="L5" i="6" l="1"/>
  <c r="K4" i="18"/>
  <c r="J4" i="17"/>
  <c r="J4" i="16"/>
  <c r="J4" i="15"/>
  <c r="K4" i="5"/>
  <c r="J4" i="4"/>
  <c r="J4" i="3"/>
  <c r="J4" i="1"/>
  <c r="E12" i="20" l="1"/>
  <c r="D127" i="20" l="1"/>
  <c r="A4" i="21" l="1"/>
  <c r="B59" i="21" l="1"/>
  <c r="B58" i="21"/>
  <c r="B57" i="21"/>
  <c r="B56" i="21"/>
  <c r="B55" i="21"/>
  <c r="B54" i="21"/>
  <c r="B53" i="21"/>
  <c r="B52" i="21"/>
  <c r="B51" i="21"/>
  <c r="F41" i="21"/>
  <c r="G41" i="21" s="1"/>
  <c r="F40" i="21"/>
  <c r="G40" i="21" s="1"/>
  <c r="F39" i="21"/>
  <c r="G39" i="21" s="1"/>
  <c r="F38" i="21"/>
  <c r="G38" i="21" s="1"/>
  <c r="F37" i="21"/>
  <c r="G37" i="21" s="1"/>
  <c r="F36" i="21"/>
  <c r="G36" i="21" s="1"/>
  <c r="F35" i="21"/>
  <c r="G35" i="21" s="1"/>
  <c r="F34" i="21"/>
  <c r="G34" i="21" s="1"/>
  <c r="F33" i="21"/>
  <c r="G33" i="21" s="1"/>
  <c r="F20" i="21"/>
  <c r="F19" i="21"/>
  <c r="F18" i="21"/>
  <c r="F17" i="21"/>
  <c r="F16" i="21"/>
  <c r="F15" i="21"/>
  <c r="F14" i="21"/>
  <c r="F13" i="21"/>
  <c r="F12" i="21"/>
  <c r="E322" i="20"/>
  <c r="E323" i="20"/>
  <c r="E324" i="20"/>
  <c r="E325" i="20"/>
  <c r="E326" i="20"/>
  <c r="E327" i="20"/>
  <c r="E328" i="20"/>
  <c r="E298" i="20"/>
  <c r="E297" i="20"/>
  <c r="E296" i="20"/>
  <c r="E286" i="20"/>
  <c r="E285" i="20"/>
  <c r="E273" i="20"/>
  <c r="E274" i="20"/>
  <c r="E275" i="20"/>
  <c r="E276" i="20"/>
  <c r="E277" i="20"/>
  <c r="E278" i="20"/>
  <c r="E279" i="20"/>
  <c r="E133" i="20"/>
  <c r="E111" i="20"/>
  <c r="E112" i="20"/>
  <c r="E113" i="20"/>
  <c r="E114" i="20"/>
  <c r="E85" i="20"/>
  <c r="E86" i="20"/>
  <c r="E87" i="20"/>
  <c r="E88" i="20"/>
  <c r="E89" i="20"/>
  <c r="E90" i="20"/>
  <c r="E91" i="20"/>
  <c r="E92" i="20"/>
  <c r="E93" i="20"/>
  <c r="E94" i="20"/>
  <c r="E95" i="20"/>
  <c r="E67" i="20"/>
  <c r="E68" i="20"/>
  <c r="E69" i="20"/>
  <c r="E70" i="20"/>
  <c r="E71" i="20"/>
  <c r="E72" i="20"/>
  <c r="E73" i="20"/>
  <c r="E74" i="20"/>
  <c r="E75" i="20"/>
  <c r="E76" i="20"/>
  <c r="E77" i="20"/>
  <c r="D79" i="20"/>
  <c r="C79" i="20"/>
  <c r="F49" i="20"/>
  <c r="F50" i="20"/>
  <c r="F51" i="20"/>
  <c r="F52" i="20"/>
  <c r="F53" i="20"/>
  <c r="F54" i="20"/>
  <c r="F55" i="20"/>
  <c r="F56" i="20"/>
  <c r="F57" i="20"/>
  <c r="F58" i="20"/>
  <c r="F59" i="20"/>
  <c r="E31" i="20"/>
  <c r="E32" i="20"/>
  <c r="E33" i="20"/>
  <c r="E34" i="20"/>
  <c r="E35" i="20"/>
  <c r="E36" i="20"/>
  <c r="E37" i="20"/>
  <c r="E38" i="20"/>
  <c r="E39" i="20"/>
  <c r="E40" i="20"/>
  <c r="E41" i="20"/>
  <c r="E13" i="20"/>
  <c r="E14" i="20"/>
  <c r="E15" i="20"/>
  <c r="E16" i="20"/>
  <c r="E17" i="20"/>
  <c r="E18" i="20"/>
  <c r="E19" i="20"/>
  <c r="E20" i="20"/>
  <c r="E21" i="20"/>
  <c r="E22" i="20"/>
  <c r="E23" i="20"/>
  <c r="E25" i="20" l="1"/>
  <c r="B60" i="21"/>
  <c r="F21" i="21"/>
  <c r="J61" i="18" l="1"/>
  <c r="J62" i="18" s="1"/>
  <c r="E48" i="18"/>
  <c r="E42" i="17"/>
  <c r="E47" i="17" s="1"/>
  <c r="J29" i="15"/>
  <c r="D105" i="20" s="1"/>
  <c r="E54" i="17" l="1"/>
  <c r="E55" i="17"/>
  <c r="E53" i="17"/>
  <c r="J29" i="1"/>
  <c r="E321" i="20" l="1"/>
  <c r="H54" i="18" l="1"/>
  <c r="H54" i="5"/>
  <c r="E319" i="20"/>
  <c r="E42" i="4"/>
  <c r="E47" i="4" s="1"/>
  <c r="E54" i="4" l="1"/>
  <c r="E55" i="4"/>
  <c r="E53" i="4"/>
  <c r="J28" i="15"/>
  <c r="D104" i="20" s="1"/>
  <c r="C43" i="20"/>
  <c r="E59" i="21" l="1"/>
  <c r="D59" i="21"/>
  <c r="C59" i="21"/>
  <c r="E58" i="21"/>
  <c r="D58" i="21"/>
  <c r="C58" i="21"/>
  <c r="E57" i="21"/>
  <c r="D57" i="21"/>
  <c r="C57" i="21"/>
  <c r="E56" i="21"/>
  <c r="D56" i="21"/>
  <c r="C56" i="21"/>
  <c r="E55" i="21"/>
  <c r="D55" i="21"/>
  <c r="C55" i="21"/>
  <c r="E54" i="21"/>
  <c r="D54" i="21"/>
  <c r="C54" i="21"/>
  <c r="E53" i="21"/>
  <c r="D53" i="21"/>
  <c r="C53" i="21"/>
  <c r="E52" i="21"/>
  <c r="D52" i="21"/>
  <c r="C52" i="21"/>
  <c r="E51" i="21"/>
  <c r="D51" i="21"/>
  <c r="C51" i="21"/>
  <c r="E42" i="21"/>
  <c r="D42" i="21"/>
  <c r="C42" i="21"/>
  <c r="B42" i="21"/>
  <c r="E21" i="21"/>
  <c r="D21" i="21"/>
  <c r="C21" i="21"/>
  <c r="B21" i="21"/>
  <c r="G19" i="21"/>
  <c r="J19" i="21" s="1"/>
  <c r="G17" i="21"/>
  <c r="J17" i="21" s="1"/>
  <c r="G15" i="21"/>
  <c r="J15" i="21" s="1"/>
  <c r="F53" i="21"/>
  <c r="G53" i="21" s="1"/>
  <c r="G13" i="21"/>
  <c r="J13" i="21" s="1"/>
  <c r="D424" i="20"/>
  <c r="C424" i="20"/>
  <c r="E422" i="20"/>
  <c r="D23" i="23"/>
  <c r="G421" i="20" s="1"/>
  <c r="D413" i="20"/>
  <c r="E413" i="20" s="1"/>
  <c r="E357" i="20"/>
  <c r="D348" i="20"/>
  <c r="C348" i="20"/>
  <c r="D339" i="20"/>
  <c r="C339" i="20"/>
  <c r="D338" i="20"/>
  <c r="C338" i="20"/>
  <c r="D337" i="20"/>
  <c r="C337" i="20"/>
  <c r="D334" i="20"/>
  <c r="C334" i="20"/>
  <c r="D333" i="20"/>
  <c r="C333" i="20"/>
  <c r="D329" i="20"/>
  <c r="C329" i="20"/>
  <c r="E317" i="20"/>
  <c r="D313" i="20"/>
  <c r="C313" i="20"/>
  <c r="D291" i="20"/>
  <c r="C291" i="20"/>
  <c r="E284" i="20"/>
  <c r="D280" i="20"/>
  <c r="C280" i="20"/>
  <c r="D19" i="23"/>
  <c r="D18" i="23"/>
  <c r="D17" i="23"/>
  <c r="D16" i="23"/>
  <c r="D15" i="23"/>
  <c r="D14" i="23"/>
  <c r="D13" i="23"/>
  <c r="E272" i="20"/>
  <c r="D12" i="23" s="1"/>
  <c r="E265" i="20"/>
  <c r="B246" i="20"/>
  <c r="E244" i="20"/>
  <c r="E242" i="20"/>
  <c r="E229" i="20"/>
  <c r="E228" i="20"/>
  <c r="E226" i="20"/>
  <c r="D224" i="20"/>
  <c r="C224" i="20"/>
  <c r="D223" i="20"/>
  <c r="C223" i="20"/>
  <c r="D222" i="20"/>
  <c r="C222" i="20"/>
  <c r="M170" i="20" s="1"/>
  <c r="E217" i="20"/>
  <c r="E216" i="20"/>
  <c r="E215" i="20"/>
  <c r="D209" i="20"/>
  <c r="D214" i="20" s="1"/>
  <c r="C209" i="20"/>
  <c r="C214" i="20" s="1"/>
  <c r="E208" i="20"/>
  <c r="E200" i="20"/>
  <c r="D199" i="20"/>
  <c r="C199" i="20"/>
  <c r="E188" i="20"/>
  <c r="D181" i="20"/>
  <c r="D182" i="20" s="1"/>
  <c r="C181" i="20"/>
  <c r="C182" i="20" s="1"/>
  <c r="E185" i="20"/>
  <c r="E175" i="20"/>
  <c r="E159" i="20"/>
  <c r="E158" i="20"/>
  <c r="E156" i="20"/>
  <c r="E155" i="20"/>
  <c r="E153" i="20"/>
  <c r="E127" i="20"/>
  <c r="D126" i="20"/>
  <c r="C126" i="20"/>
  <c r="D125" i="20"/>
  <c r="C125" i="20"/>
  <c r="D124" i="20"/>
  <c r="C124" i="20"/>
  <c r="D123" i="20"/>
  <c r="C123" i="20"/>
  <c r="D122" i="20"/>
  <c r="C122" i="20"/>
  <c r="D121" i="20"/>
  <c r="C121" i="20"/>
  <c r="D120" i="20"/>
  <c r="I115" i="20"/>
  <c r="D115" i="20" s="1"/>
  <c r="E110" i="20"/>
  <c r="D97" i="20"/>
  <c r="E98" i="20" s="1"/>
  <c r="E84" i="20"/>
  <c r="E66" i="20"/>
  <c r="E61" i="20"/>
  <c r="D61" i="20"/>
  <c r="C61" i="20"/>
  <c r="F48" i="20"/>
  <c r="F61" i="20" s="1"/>
  <c r="D43" i="20"/>
  <c r="E30" i="20"/>
  <c r="D25" i="20"/>
  <c r="C25" i="20"/>
  <c r="E8" i="20"/>
  <c r="E7" i="20"/>
  <c r="E424" i="20" l="1"/>
  <c r="D24" i="23"/>
  <c r="D26" i="23" s="1"/>
  <c r="E125" i="20"/>
  <c r="E123" i="20"/>
  <c r="E121" i="20"/>
  <c r="E122" i="20"/>
  <c r="M169" i="20"/>
  <c r="E124" i="20"/>
  <c r="E126" i="20"/>
  <c r="E280" i="20"/>
  <c r="D60" i="21"/>
  <c r="C60" i="21"/>
  <c r="E299" i="20"/>
  <c r="F57" i="21"/>
  <c r="G57" i="21" s="1"/>
  <c r="E160" i="20"/>
  <c r="E46" i="3" s="1"/>
  <c r="E17" i="17"/>
  <c r="E17" i="4"/>
  <c r="E20" i="17"/>
  <c r="E20" i="4"/>
  <c r="E33" i="17"/>
  <c r="E33" i="4"/>
  <c r="E29" i="18"/>
  <c r="E29" i="5"/>
  <c r="J66" i="18"/>
  <c r="J66" i="5"/>
  <c r="E27" i="17"/>
  <c r="E27" i="4"/>
  <c r="D21" i="23"/>
  <c r="E39" i="18"/>
  <c r="E39" i="5"/>
  <c r="E21" i="17"/>
  <c r="J21" i="17" s="1"/>
  <c r="E21" i="4"/>
  <c r="J21" i="4" s="1"/>
  <c r="E42" i="16"/>
  <c r="E42" i="3"/>
  <c r="E15" i="17"/>
  <c r="J15" i="17" s="1"/>
  <c r="E15" i="4"/>
  <c r="J15" i="4" s="1"/>
  <c r="E35" i="4"/>
  <c r="E35" i="17"/>
  <c r="E30" i="18"/>
  <c r="E30" i="5"/>
  <c r="E37" i="5"/>
  <c r="E37" i="18"/>
  <c r="E26" i="16"/>
  <c r="E26" i="3"/>
  <c r="E49" i="16"/>
  <c r="E49" i="3"/>
  <c r="E54" i="16"/>
  <c r="E190" i="20" s="1"/>
  <c r="E54" i="3"/>
  <c r="E189" i="20" s="1"/>
  <c r="E19" i="17"/>
  <c r="E19" i="4"/>
  <c r="C262" i="20"/>
  <c r="E31" i="18"/>
  <c r="H31" i="18" s="1"/>
  <c r="E31" i="5"/>
  <c r="H31" i="5" s="1"/>
  <c r="E38" i="5"/>
  <c r="E38" i="18"/>
  <c r="E17" i="16"/>
  <c r="E17" i="3"/>
  <c r="E15" i="16"/>
  <c r="E15" i="3"/>
  <c r="E38" i="16"/>
  <c r="E38" i="3"/>
  <c r="E16" i="16"/>
  <c r="E16" i="3"/>
  <c r="E39" i="16"/>
  <c r="E39" i="3"/>
  <c r="E14" i="16"/>
  <c r="E14" i="3"/>
  <c r="E329" i="20"/>
  <c r="D262" i="20"/>
  <c r="E157" i="20"/>
  <c r="E152" i="20"/>
  <c r="E115" i="20"/>
  <c r="E116" i="20" s="1"/>
  <c r="E199" i="20"/>
  <c r="F51" i="21"/>
  <c r="G51" i="21" s="1"/>
  <c r="F55" i="21"/>
  <c r="G55" i="21" s="1"/>
  <c r="F59" i="21"/>
  <c r="G59" i="21" s="1"/>
  <c r="E182" i="20"/>
  <c r="E60" i="21"/>
  <c r="G16" i="21"/>
  <c r="J16" i="21" s="1"/>
  <c r="G14" i="21"/>
  <c r="J14" i="21" s="1"/>
  <c r="G12" i="21"/>
  <c r="J12" i="21" s="1"/>
  <c r="G20" i="21"/>
  <c r="J20" i="21" s="1"/>
  <c r="G18" i="21"/>
  <c r="J18" i="21" s="1"/>
  <c r="N169" i="20"/>
  <c r="E43" i="20"/>
  <c r="E222" i="20"/>
  <c r="E142" i="20"/>
  <c r="E79" i="20"/>
  <c r="E250" i="20"/>
  <c r="E313" i="20"/>
  <c r="E348" i="20"/>
  <c r="E291" i="20"/>
  <c r="E292" i="20" s="1"/>
  <c r="E120" i="20"/>
  <c r="D225" i="20"/>
  <c r="C225" i="20"/>
  <c r="E214" i="20"/>
  <c r="G42" i="21"/>
  <c r="J42" i="21" s="1"/>
  <c r="N170" i="20"/>
  <c r="O170" i="20" s="1"/>
  <c r="F42" i="21"/>
  <c r="F52" i="21"/>
  <c r="G52" i="21" s="1"/>
  <c r="F54" i="21"/>
  <c r="G54" i="21" s="1"/>
  <c r="F56" i="21"/>
  <c r="G56" i="21" s="1"/>
  <c r="F58" i="21"/>
  <c r="G58" i="21" s="1"/>
  <c r="E241" i="20"/>
  <c r="C336" i="20"/>
  <c r="C340" i="20" s="1"/>
  <c r="D336" i="20"/>
  <c r="D340" i="20" s="1"/>
  <c r="E359" i="20" l="1"/>
  <c r="E360" i="20"/>
  <c r="E218" i="20"/>
  <c r="G424" i="20"/>
  <c r="E251" i="20"/>
  <c r="G422" i="20"/>
  <c r="O169" i="20"/>
  <c r="I171" i="20" s="1"/>
  <c r="G60" i="21"/>
  <c r="E128" i="20"/>
  <c r="D28" i="23"/>
  <c r="J20" i="18"/>
  <c r="E282" i="20" s="1"/>
  <c r="E46" i="16"/>
  <c r="E40" i="5"/>
  <c r="E300" i="20" s="1"/>
  <c r="E32" i="4"/>
  <c r="E32" i="17"/>
  <c r="E32" i="18"/>
  <c r="H32" i="18" s="1"/>
  <c r="E32" i="5"/>
  <c r="H32" i="5" s="1"/>
  <c r="E18" i="17"/>
  <c r="E18" i="4"/>
  <c r="E53" i="18"/>
  <c r="E350" i="20" s="1"/>
  <c r="E53" i="5"/>
  <c r="E349" i="20" s="1"/>
  <c r="J67" i="18"/>
  <c r="J68" i="18" s="1"/>
  <c r="J67" i="5"/>
  <c r="E414" i="20" s="1"/>
  <c r="E44" i="18"/>
  <c r="E315" i="20" s="1"/>
  <c r="E44" i="5"/>
  <c r="E314" i="20" s="1"/>
  <c r="E40" i="16"/>
  <c r="E40" i="3"/>
  <c r="E53" i="16"/>
  <c r="E53" i="3"/>
  <c r="E14" i="17"/>
  <c r="E14" i="4"/>
  <c r="J20" i="5"/>
  <c r="E281" i="20" s="1"/>
  <c r="J27" i="15"/>
  <c r="E100" i="20" s="1"/>
  <c r="J27" i="1"/>
  <c r="E99" i="20" s="1"/>
  <c r="E18" i="16"/>
  <c r="E34" i="16" s="1"/>
  <c r="E18" i="3"/>
  <c r="E34" i="3" s="1"/>
  <c r="E47" i="5"/>
  <c r="E330" i="20" s="1"/>
  <c r="E47" i="18"/>
  <c r="E331" i="20" s="1"/>
  <c r="H29" i="5"/>
  <c r="E36" i="4"/>
  <c r="E36" i="17"/>
  <c r="E41" i="16"/>
  <c r="E41" i="3"/>
  <c r="E40" i="18"/>
  <c r="H29" i="18"/>
  <c r="E25" i="4"/>
  <c r="E25" i="17"/>
  <c r="J23" i="15"/>
  <c r="E27" i="20" s="1"/>
  <c r="J23" i="1"/>
  <c r="E26" i="20" s="1"/>
  <c r="E25" i="16"/>
  <c r="E33" i="16" s="1"/>
  <c r="E25" i="3"/>
  <c r="E33" i="3" s="1"/>
  <c r="J24" i="15"/>
  <c r="E45" i="20" s="1"/>
  <c r="J24" i="1"/>
  <c r="E44" i="20" s="1"/>
  <c r="E45" i="16"/>
  <c r="E45" i="3"/>
  <c r="E22" i="16"/>
  <c r="E30" i="16" s="1"/>
  <c r="E22" i="3"/>
  <c r="E23" i="16"/>
  <c r="E31" i="16" s="1"/>
  <c r="E23" i="3"/>
  <c r="E31" i="3" s="1"/>
  <c r="J26" i="15"/>
  <c r="E81" i="20" s="1"/>
  <c r="J26" i="1"/>
  <c r="E80" i="20" s="1"/>
  <c r="J25" i="15"/>
  <c r="F63" i="20" s="1"/>
  <c r="J25" i="1"/>
  <c r="F62" i="20" s="1"/>
  <c r="E24" i="16"/>
  <c r="E32" i="16" s="1"/>
  <c r="E24" i="3"/>
  <c r="E32" i="3" s="1"/>
  <c r="E225" i="20"/>
  <c r="E231" i="20" s="1"/>
  <c r="G21" i="21"/>
  <c r="J21" i="21" s="1"/>
  <c r="F60" i="21"/>
  <c r="E340" i="20"/>
  <c r="J68" i="5" l="1"/>
  <c r="F414" i="20"/>
  <c r="E170" i="20"/>
  <c r="H171" i="20" s="1"/>
  <c r="I163" i="20"/>
  <c r="E33" i="5"/>
  <c r="E293" i="20" s="1"/>
  <c r="J12" i="5"/>
  <c r="G61" i="21" s="1"/>
  <c r="J12" i="18"/>
  <c r="G62" i="21" s="1"/>
  <c r="E415" i="20"/>
  <c r="F41" i="18"/>
  <c r="E301" i="20"/>
  <c r="E184" i="20"/>
  <c r="E183" i="20"/>
  <c r="E19" i="16"/>
  <c r="E118" i="20" s="1"/>
  <c r="E33" i="18"/>
  <c r="E294" i="20" s="1"/>
  <c r="E22" i="4"/>
  <c r="E52" i="16" s="1"/>
  <c r="E55" i="16" s="1"/>
  <c r="H53" i="18"/>
  <c r="E22" i="17"/>
  <c r="E220" i="20" s="1"/>
  <c r="J19" i="18"/>
  <c r="J21" i="18" s="1"/>
  <c r="J23" i="18" s="1"/>
  <c r="E38" i="17"/>
  <c r="E253" i="20" s="1"/>
  <c r="E49" i="5"/>
  <c r="E341" i="20" s="1"/>
  <c r="E49" i="18"/>
  <c r="E19" i="3"/>
  <c r="E117" i="20" s="1"/>
  <c r="E38" i="4"/>
  <c r="E252" i="20" s="1"/>
  <c r="E26" i="17"/>
  <c r="E28" i="17" s="1"/>
  <c r="E233" i="20" s="1"/>
  <c r="E26" i="4"/>
  <c r="E28" i="4" s="1"/>
  <c r="E232" i="20" s="1"/>
  <c r="E163" i="20"/>
  <c r="E164" i="20" s="1"/>
  <c r="E166" i="20" s="1"/>
  <c r="E27" i="3"/>
  <c r="E129" i="20" s="1"/>
  <c r="E30" i="3"/>
  <c r="E35" i="3" s="1"/>
  <c r="E35" i="16"/>
  <c r="E27" i="16"/>
  <c r="E130" i="20" s="1"/>
  <c r="J30" i="1"/>
  <c r="D30" i="23" s="1"/>
  <c r="J30" i="15"/>
  <c r="H53" i="5"/>
  <c r="E171" i="20" l="1"/>
  <c r="E173" i="20" s="1"/>
  <c r="E176" i="20" s="1"/>
  <c r="D32" i="23"/>
  <c r="E15" i="15"/>
  <c r="F415" i="20"/>
  <c r="E50" i="18"/>
  <c r="E55" i="18" s="1"/>
  <c r="E56" i="18" s="1"/>
  <c r="F55" i="18" s="1"/>
  <c r="J55" i="18" s="1"/>
  <c r="E342" i="20"/>
  <c r="E219" i="20"/>
  <c r="E52" i="3"/>
  <c r="E55" i="3" s="1"/>
  <c r="E43" i="3"/>
  <c r="E43" i="16"/>
  <c r="E44" i="16" l="1"/>
  <c r="J44" i="16" s="1"/>
  <c r="E44" i="3"/>
  <c r="J44" i="3" s="1"/>
  <c r="D34" i="23"/>
  <c r="D33" i="23"/>
  <c r="C10" i="33"/>
  <c r="D10" i="33" s="1"/>
  <c r="F54" i="18"/>
  <c r="J54" i="18" s="1"/>
  <c r="F53" i="18"/>
  <c r="J53" i="18" s="1"/>
  <c r="E47" i="3"/>
  <c r="E57" i="3" s="1"/>
  <c r="E47" i="16"/>
  <c r="E57" i="16" s="1"/>
  <c r="C26" i="16"/>
  <c r="C34" i="16" s="1"/>
  <c r="C25" i="16"/>
  <c r="C33" i="16" s="1"/>
  <c r="C24" i="16"/>
  <c r="C32" i="16" s="1"/>
  <c r="C23" i="16"/>
  <c r="C31" i="16" s="1"/>
  <c r="C22" i="16"/>
  <c r="C30" i="16" s="1"/>
  <c r="A7" i="4"/>
  <c r="E177" i="20" l="1"/>
  <c r="E178" i="20"/>
  <c r="J56" i="18"/>
  <c r="E58" i="17" s="1"/>
  <c r="E44" i="17"/>
  <c r="G46" i="16"/>
  <c r="G45" i="16"/>
  <c r="E45" i="17" l="1"/>
  <c r="E43" i="17"/>
  <c r="E52" i="17" s="1"/>
  <c r="G46" i="3"/>
  <c r="G45" i="3"/>
  <c r="E56" i="17" l="1"/>
  <c r="E60" i="17" s="1"/>
  <c r="E14" i="15"/>
  <c r="E48" i="5" l="1"/>
  <c r="E50" i="5" s="1"/>
  <c r="J61" i="5" l="1"/>
  <c r="J62" i="5" s="1"/>
  <c r="G36" i="17"/>
  <c r="G33" i="17"/>
  <c r="G19" i="17"/>
  <c r="G17" i="17"/>
  <c r="G18" i="17" s="1"/>
  <c r="G49" i="16"/>
  <c r="G43" i="16"/>
  <c r="G41" i="16"/>
  <c r="A39" i="16"/>
  <c r="A40" i="16" s="1"/>
  <c r="A41" i="16" s="1"/>
  <c r="A42" i="16" s="1"/>
  <c r="A43" i="16" s="1"/>
  <c r="A44" i="16" s="1"/>
  <c r="A45" i="16" s="1"/>
  <c r="A46" i="16" s="1"/>
  <c r="A47" i="16" s="1"/>
  <c r="G26" i="16"/>
  <c r="G25" i="16"/>
  <c r="G24" i="16"/>
  <c r="A49" i="16" l="1"/>
  <c r="A52" i="16" s="1"/>
  <c r="A53" i="16" l="1"/>
  <c r="A54" i="16" s="1"/>
  <c r="A55" i="16" s="1"/>
  <c r="A57" i="16" s="1"/>
  <c r="G15" i="15"/>
  <c r="G16" i="15" s="1"/>
  <c r="G17" i="15" s="1"/>
  <c r="D55" i="16" l="1"/>
  <c r="E14" i="1"/>
  <c r="G43" i="3" l="1"/>
  <c r="A39" i="3" l="1"/>
  <c r="A40" i="3" s="1"/>
  <c r="A41" i="3" s="1"/>
  <c r="A42" i="3" l="1"/>
  <c r="A43" i="3" s="1"/>
  <c r="A44" i="3" s="1"/>
  <c r="A45" i="3" s="1"/>
  <c r="A46" i="3" s="1"/>
  <c r="A47" i="3" s="1"/>
  <c r="A49" i="3" l="1"/>
  <c r="A52" i="3" s="1"/>
  <c r="A53" i="3" l="1"/>
  <c r="A54" i="3" s="1"/>
  <c r="A55" i="3" s="1"/>
  <c r="A57" i="3" s="1"/>
  <c r="D55" i="3" l="1"/>
  <c r="E15" i="1" l="1"/>
  <c r="G36" i="4"/>
  <c r="G33" i="4"/>
  <c r="G19" i="4"/>
  <c r="G17" i="4"/>
  <c r="G18" i="4" s="1"/>
  <c r="G26" i="3"/>
  <c r="C26" i="3"/>
  <c r="C34" i="3" s="1"/>
  <c r="C25" i="3"/>
  <c r="C33" i="3" s="1"/>
  <c r="G24" i="3"/>
  <c r="C24" i="3"/>
  <c r="C32" i="3" s="1"/>
  <c r="G49" i="3"/>
  <c r="C23" i="3"/>
  <c r="C31" i="3" s="1"/>
  <c r="C22" i="3"/>
  <c r="C30" i="3" s="1"/>
  <c r="G15" i="1"/>
  <c r="G16" i="1" s="1"/>
  <c r="G17" i="1" s="1"/>
  <c r="E55" i="5" l="1"/>
  <c r="E56" i="5" s="1"/>
  <c r="J11" i="18"/>
  <c r="F41" i="5"/>
  <c r="J14" i="18" l="1"/>
  <c r="J16" i="18" s="1"/>
  <c r="J24" i="18" s="1"/>
  <c r="J25" i="18" s="1"/>
  <c r="F55" i="5"/>
  <c r="J55" i="5" s="1"/>
  <c r="J11" i="5"/>
  <c r="J19" i="5"/>
  <c r="J21" i="5" l="1"/>
  <c r="J23" i="5" s="1"/>
  <c r="F54" i="5"/>
  <c r="J54" i="5" s="1"/>
  <c r="F53" i="5"/>
  <c r="J53" i="5" s="1"/>
  <c r="J14" i="5"/>
  <c r="J16" i="5" s="1"/>
  <c r="H15" i="16"/>
  <c r="J15" i="16" s="1"/>
  <c r="H17" i="15"/>
  <c r="J17" i="15" s="1"/>
  <c r="H16" i="15"/>
  <c r="J16" i="15" s="1"/>
  <c r="H14" i="15"/>
  <c r="J14" i="15" s="1"/>
  <c r="H15" i="15"/>
  <c r="J15" i="15" s="1"/>
  <c r="F30" i="18"/>
  <c r="J24" i="5" l="1"/>
  <c r="J25" i="5" s="1"/>
  <c r="H15" i="1"/>
  <c r="J15" i="1" s="1"/>
  <c r="H16" i="1"/>
  <c r="J16" i="1" s="1"/>
  <c r="H17" i="1"/>
  <c r="J17" i="1" s="1"/>
  <c r="H30" i="18"/>
  <c r="H33" i="18" s="1"/>
  <c r="J33" i="18" s="1"/>
  <c r="H41" i="18" s="1"/>
  <c r="J41" i="18" s="1"/>
  <c r="H45" i="16"/>
  <c r="J45" i="16" s="1"/>
  <c r="J18" i="15"/>
  <c r="J56" i="5"/>
  <c r="E44" i="4"/>
  <c r="H25" i="17"/>
  <c r="J25" i="17" s="1"/>
  <c r="H15" i="3"/>
  <c r="J15" i="3" s="1"/>
  <c r="H14" i="1"/>
  <c r="F30" i="5"/>
  <c r="E43" i="4" l="1"/>
  <c r="E58" i="4"/>
  <c r="H30" i="5"/>
  <c r="H33" i="5" s="1"/>
  <c r="J33" i="5" s="1"/>
  <c r="H45" i="3"/>
  <c r="J45" i="3" s="1"/>
  <c r="J18" i="1"/>
  <c r="H18" i="16"/>
  <c r="J18" i="16" s="1"/>
  <c r="H20" i="17"/>
  <c r="J20" i="17" s="1"/>
  <c r="H27" i="17"/>
  <c r="J27" i="17" s="1"/>
  <c r="E45" i="4"/>
  <c r="H17" i="17"/>
  <c r="J17" i="17" s="1"/>
  <c r="H32" i="17"/>
  <c r="J32" i="17" s="1"/>
  <c r="H16" i="17"/>
  <c r="J16" i="17" s="1"/>
  <c r="H26" i="17"/>
  <c r="J26" i="17" s="1"/>
  <c r="H18" i="17"/>
  <c r="J18" i="17" s="1"/>
  <c r="H33" i="17"/>
  <c r="J33" i="17" s="1"/>
  <c r="H17" i="16"/>
  <c r="J17" i="16" s="1"/>
  <c r="H19" i="17"/>
  <c r="J19" i="17" s="1"/>
  <c r="H14" i="17"/>
  <c r="J14" i="17" s="1"/>
  <c r="H53" i="16"/>
  <c r="J53" i="16" s="1"/>
  <c r="H25" i="4"/>
  <c r="J25" i="4" s="1"/>
  <c r="H43" i="16"/>
  <c r="J43" i="16" s="1"/>
  <c r="H23" i="16"/>
  <c r="J23" i="16" s="1"/>
  <c r="J31" i="16" s="1"/>
  <c r="H43" i="3"/>
  <c r="J43" i="3" s="1"/>
  <c r="H23" i="3"/>
  <c r="J23" i="3" s="1"/>
  <c r="J31" i="3" s="1"/>
  <c r="E52" i="4" l="1"/>
  <c r="E56" i="4" s="1"/>
  <c r="E60" i="4" s="1"/>
  <c r="H55" i="17"/>
  <c r="J55" i="17" s="1"/>
  <c r="H55" i="4"/>
  <c r="J55" i="4" s="1"/>
  <c r="J28" i="17"/>
  <c r="J22" i="17"/>
  <c r="J19" i="16"/>
  <c r="H19" i="16" s="1"/>
  <c r="H46" i="16"/>
  <c r="J46" i="16" s="1"/>
  <c r="H14" i="4"/>
  <c r="J14" i="4" s="1"/>
  <c r="H33" i="4"/>
  <c r="J33" i="4" s="1"/>
  <c r="H26" i="4"/>
  <c r="J26" i="4" s="1"/>
  <c r="H17" i="4"/>
  <c r="J17" i="4" s="1"/>
  <c r="H18" i="4"/>
  <c r="J18" i="4" s="1"/>
  <c r="H16" i="4"/>
  <c r="H25" i="16"/>
  <c r="J25" i="16" s="1"/>
  <c r="J33" i="16" s="1"/>
  <c r="H41" i="5"/>
  <c r="J41" i="5" s="1"/>
  <c r="H17" i="3"/>
  <c r="H32" i="4"/>
  <c r="J32" i="4" s="1"/>
  <c r="H53" i="3"/>
  <c r="J53" i="3" s="1"/>
  <c r="H49" i="16"/>
  <c r="J49" i="16" s="1"/>
  <c r="H19" i="4"/>
  <c r="J19" i="4" s="1"/>
  <c r="H49" i="3"/>
  <c r="J49" i="3" s="1"/>
  <c r="J17" i="3" l="1"/>
  <c r="H25" i="3"/>
  <c r="J25" i="3" s="1"/>
  <c r="J16" i="4"/>
  <c r="H20" i="4"/>
  <c r="J20" i="4" s="1"/>
  <c r="H18" i="3"/>
  <c r="J18" i="3" s="1"/>
  <c r="H27" i="4"/>
  <c r="J27" i="4" s="1"/>
  <c r="J28" i="4" s="1"/>
  <c r="J33" i="3" l="1"/>
  <c r="J19" i="3"/>
  <c r="J22" i="4"/>
  <c r="J52" i="16" s="1"/>
  <c r="H46" i="3"/>
  <c r="J46" i="3" s="1"/>
  <c r="H26" i="16"/>
  <c r="J26" i="16" s="1"/>
  <c r="H26" i="3"/>
  <c r="J26" i="3" s="1"/>
  <c r="J34" i="3" s="1"/>
  <c r="J35" i="3" s="1"/>
  <c r="H35" i="3" s="1"/>
  <c r="H40" i="3" l="1"/>
  <c r="J40" i="3" s="1"/>
  <c r="H39" i="3"/>
  <c r="H41" i="3"/>
  <c r="J41" i="3" s="1"/>
  <c r="H54" i="17"/>
  <c r="J54" i="17" s="1"/>
  <c r="H54" i="4"/>
  <c r="J54" i="4" s="1"/>
  <c r="J27" i="16"/>
  <c r="J34" i="16"/>
  <c r="J35" i="16" s="1"/>
  <c r="H35" i="16" s="1"/>
  <c r="H53" i="17" s="1"/>
  <c r="J52" i="3"/>
  <c r="J27" i="3"/>
  <c r="H19" i="3"/>
  <c r="H54" i="16"/>
  <c r="J54" i="16" s="1"/>
  <c r="J55" i="16" s="1"/>
  <c r="H37" i="17"/>
  <c r="J37" i="17" s="1"/>
  <c r="H36" i="17"/>
  <c r="J36" i="17" s="1"/>
  <c r="H35" i="17"/>
  <c r="J35" i="17" s="1"/>
  <c r="J38" i="17" l="1"/>
  <c r="H35" i="4"/>
  <c r="J35" i="4" s="1"/>
  <c r="H54" i="3"/>
  <c r="J54" i="3" s="1"/>
  <c r="H36" i="4"/>
  <c r="J36" i="4" s="1"/>
  <c r="H37" i="4"/>
  <c r="J37" i="4" s="1"/>
  <c r="H39" i="16"/>
  <c r="J39" i="16" s="1"/>
  <c r="J53" i="17"/>
  <c r="J55" i="3" l="1"/>
  <c r="L54" i="3"/>
  <c r="J38" i="4"/>
  <c r="H40" i="16"/>
  <c r="J40" i="16" s="1"/>
  <c r="H42" i="16" l="1"/>
  <c r="J42" i="16" s="1"/>
  <c r="H53" i="4"/>
  <c r="J53" i="4" s="1"/>
  <c r="H41" i="16"/>
  <c r="J41" i="16" s="1"/>
  <c r="J39" i="3" l="1"/>
  <c r="J47" i="16"/>
  <c r="J57" i="16" s="1"/>
  <c r="J58" i="17" s="1"/>
  <c r="J52" i="17" s="1"/>
  <c r="J56" i="17" s="1"/>
  <c r="J60" i="17" s="1"/>
  <c r="H42" i="3" l="1"/>
  <c r="J42" i="3" s="1"/>
  <c r="J47" i="3" l="1"/>
  <c r="J57" i="3" s="1"/>
  <c r="J58" i="4" s="1"/>
  <c r="J11" i="15" l="1"/>
  <c r="J20" i="15" s="1"/>
  <c r="J52" i="4" l="1"/>
  <c r="J56" i="4" s="1"/>
  <c r="J60" i="4" s="1"/>
  <c r="E32" i="15"/>
  <c r="J11" i="1" l="1"/>
  <c r="J20" i="1" s="1"/>
  <c r="E32" i="1" s="1"/>
  <c r="E33" i="1" s="1"/>
  <c r="D9" i="33" s="1"/>
  <c r="F30" i="28"/>
  <c r="E33" i="15"/>
  <c r="C9" i="33" s="1"/>
  <c r="E36" i="15"/>
  <c r="C8" i="33" s="1"/>
  <c r="J36" i="15"/>
  <c r="J37" i="15" s="1"/>
  <c r="C7" i="33" s="1"/>
  <c r="E37" i="15" l="1"/>
  <c r="J38" i="15"/>
  <c r="C5" i="33" s="1"/>
  <c r="E38" i="15" l="1"/>
  <c r="C4" i="33" s="1"/>
  <c r="C6" i="33"/>
</calcChain>
</file>

<file path=xl/sharedStrings.xml><?xml version="1.0" encoding="utf-8"?>
<sst xmlns="http://schemas.openxmlformats.org/spreadsheetml/2006/main" count="2014" uniqueCount="1156">
  <si>
    <t xml:space="preserve"> </t>
  </si>
  <si>
    <t>Line</t>
  </si>
  <si>
    <t>Allocated</t>
  </si>
  <si>
    <t>No.</t>
  </si>
  <si>
    <t>Amount</t>
  </si>
  <si>
    <t xml:space="preserve">REVENUE CREDITS </t>
  </si>
  <si>
    <t>Total</t>
  </si>
  <si>
    <t>Allocator</t>
  </si>
  <si>
    <t xml:space="preserve">  Account No. 454</t>
  </si>
  <si>
    <t>TP</t>
  </si>
  <si>
    <t xml:space="preserve">  Account No. 456</t>
  </si>
  <si>
    <t xml:space="preserve">  Revenues from Grandfathered Interzonal Transactions</t>
  </si>
  <si>
    <t>NET REVENUE REQUIREMENT</t>
  </si>
  <si>
    <t xml:space="preserve">DIVISOR </t>
  </si>
  <si>
    <t>Annual Cost ($/kW/Yr)</t>
  </si>
  <si>
    <t>FERC Annual Charge($/MWh)</t>
  </si>
  <si>
    <t>Short Term</t>
  </si>
  <si>
    <t>Long Term</t>
  </si>
  <si>
    <t>(1)</t>
  </si>
  <si>
    <t>(2)</t>
  </si>
  <si>
    <t>(3)</t>
  </si>
  <si>
    <t>(4)</t>
  </si>
  <si>
    <t>(5)</t>
  </si>
  <si>
    <t>Form No. 1</t>
  </si>
  <si>
    <t>Transmission</t>
  </si>
  <si>
    <t>Page, Line, Col.</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</si>
  <si>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</si>
  <si>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</si>
  <si>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</si>
  <si>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</si>
  <si>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</si>
  <si>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</si>
  <si>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</si>
  <si>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</si>
  <si>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</si>
  <si>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</si>
  <si>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</si>
  <si>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</si>
  <si>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</si>
  <si>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</si>
  <si>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</si>
  <si>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Other</t>
  </si>
  <si>
    <t>NET PLANT IN SERVICE</t>
  </si>
  <si>
    <t>Common</t>
  </si>
  <si>
    <t xml:space="preserve">  Account No. 281 (enter negative)</t>
  </si>
  <si>
    <t xml:space="preserve">  Account No. 282 (enter negative)</t>
  </si>
  <si>
    <t>NP</t>
  </si>
  <si>
    <t xml:space="preserve">  Account No. 283 (enter negative)</t>
  </si>
  <si>
    <t xml:space="preserve">  Account No. 190 </t>
  </si>
  <si>
    <t xml:space="preserve">  Account No. 255 (enter negative)</t>
  </si>
  <si>
    <t xml:space="preserve">  Network Upgrade (enter negative)</t>
  </si>
  <si>
    <t>LSE Direct Assignment (enter negative)</t>
  </si>
  <si>
    <t>calculated</t>
  </si>
  <si>
    <t>TE</t>
  </si>
  <si>
    <t>GP</t>
  </si>
  <si>
    <t>O&amp;M</t>
  </si>
  <si>
    <t>A&amp;G</t>
  </si>
  <si>
    <t xml:space="preserve">  LABOR RELATED</t>
  </si>
  <si>
    <t>263.i</t>
  </si>
  <si>
    <t>Payroll</t>
  </si>
  <si>
    <t xml:space="preserve">  PLANT RELATED</t>
  </si>
  <si>
    <t>Property</t>
  </si>
  <si>
    <t xml:space="preserve">  </t>
  </si>
  <si>
    <t>Total Income Taxes</t>
  </si>
  <si>
    <t>TP=</t>
  </si>
  <si>
    <t xml:space="preserve">TRANSMISSION EXPENSES </t>
  </si>
  <si>
    <t>TE=</t>
  </si>
  <si>
    <t>Form 1 Reference</t>
  </si>
  <si>
    <t>W&amp;S Allocator</t>
  </si>
  <si>
    <t xml:space="preserve">  Other</t>
  </si>
  <si>
    <t>=</t>
  </si>
  <si>
    <t xml:space="preserve">  Electric</t>
  </si>
  <si>
    <t>200.3.c</t>
  </si>
  <si>
    <t xml:space="preserve">  Gas</t>
  </si>
  <si>
    <t>201.3.d</t>
  </si>
  <si>
    <t xml:space="preserve">  Water</t>
  </si>
  <si>
    <t>201.3.e</t>
  </si>
  <si>
    <t>Long Term Interest</t>
  </si>
  <si>
    <t>Proprietary Capital</t>
  </si>
  <si>
    <t>%</t>
  </si>
  <si>
    <t>Weighted</t>
  </si>
  <si>
    <t>REVENUE CREDITS</t>
  </si>
  <si>
    <t>Load</t>
  </si>
  <si>
    <t>ACCOUNT 447 (SALES FOR RESALE)</t>
  </si>
  <si>
    <t>(330.x.n)</t>
  </si>
  <si>
    <t xml:space="preserve">  a. Transmission charges for all transmission transactions </t>
  </si>
  <si>
    <t xml:space="preserve">  b. Transmission charges for all transmission transactions included in Divisor on Page 1</t>
  </si>
  <si>
    <t xml:space="preserve">                           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</si>
  <si>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</si>
  <si>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</si>
  <si>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</si>
  <si>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</si>
  <si>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</si>
  <si>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</si>
  <si>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</si>
  <si>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</si>
  <si>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</si>
  <si>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</si>
  <si>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</si>
  <si>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</si>
  <si>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I</t>
  </si>
  <si>
    <t>J</t>
  </si>
  <si>
    <t>K</t>
  </si>
  <si>
    <t xml:space="preserve">         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</si>
  <si>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</si>
  <si>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</si>
  <si>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</si>
  <si>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</si>
  <si>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</si>
  <si>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</si>
  <si>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all of Account No. 561.</t>
  </si>
  <si>
    <t>M</t>
  </si>
  <si>
    <t>N</t>
  </si>
  <si>
    <t>O</t>
  </si>
  <si>
    <t>P</t>
  </si>
  <si>
    <t>Q</t>
  </si>
  <si>
    <t>R</t>
  </si>
  <si>
    <t>Includes income related only to transmission facilities, such as pole attachments, rentals and special use.</t>
  </si>
  <si>
    <t>S</t>
  </si>
  <si>
    <t>T</t>
  </si>
  <si>
    <t>U</t>
  </si>
  <si>
    <t>Account 456 entry shall be the annual total of the quarterly values reported at Form 1, 330.x.n.</t>
  </si>
  <si>
    <t>V</t>
  </si>
  <si>
    <t>Page 2 of 5</t>
  </si>
  <si>
    <t>Page 3 of 5</t>
  </si>
  <si>
    <t>Page 4 of 5</t>
  </si>
  <si>
    <t>Preferred Dividends</t>
  </si>
  <si>
    <t>GROSS REVENUE REQUIREMENT</t>
  </si>
  <si>
    <t>TOTAL REVENUE CREDITS</t>
  </si>
  <si>
    <t>Development of Common Stock:</t>
  </si>
  <si>
    <t>LG&amp;E and KU</t>
  </si>
  <si>
    <t>[RESERVED]</t>
  </si>
  <si>
    <t>X</t>
  </si>
  <si>
    <t xml:space="preserve">  Average of 12 coincident system peaks for requirements (RQ) service (kW)</t>
  </si>
  <si>
    <t xml:space="preserve">  Plus 12 CP of firm bundled sales over one year not in line 8 (kW)</t>
  </si>
  <si>
    <t xml:space="preserve">  Plus 12 CP of Network Load not in line 8 (kW)</t>
  </si>
  <si>
    <t xml:space="preserve">  Less 12 CP of firm P-T-P over one year (enter negative) (kW)</t>
  </si>
  <si>
    <t xml:space="preserve">  Plus Contract Demand of firm P-T-P over one year (kW)</t>
  </si>
  <si>
    <t>(Note P)</t>
  </si>
  <si>
    <t>Depreciation Rates Used in Attachment O</t>
  </si>
  <si>
    <t>For Kentucky Utilities Company:</t>
  </si>
  <si>
    <t xml:space="preserve">Current </t>
  </si>
  <si>
    <t>Rates</t>
  </si>
  <si>
    <t>Property Group</t>
  </si>
  <si>
    <t>ASL</t>
  </si>
  <si>
    <t>Transmission Plant</t>
  </si>
  <si>
    <t>350.1 Land Rights</t>
  </si>
  <si>
    <t>350.2 Land</t>
  </si>
  <si>
    <t>352.1 Struct. and Impr. Non Sys Control</t>
  </si>
  <si>
    <t>352.2 Struct. and Impr. Sys Control</t>
  </si>
  <si>
    <t>353.1 Station Equipment</t>
  </si>
  <si>
    <t>353.2 Syst Control/Microwave Equip</t>
  </si>
  <si>
    <t>354 Towers &amp; Fixtures</t>
  </si>
  <si>
    <t>355 Poles &amp; Fixtures</t>
  </si>
  <si>
    <t>356 Overhead Conductors and Devices</t>
  </si>
  <si>
    <t>357 Underground Conduit</t>
  </si>
  <si>
    <t>358 Underground Conductors &amp; Devices</t>
  </si>
  <si>
    <t>Total Transmission Plant</t>
  </si>
  <si>
    <t>For Louisville Gas and Electric Company:</t>
  </si>
  <si>
    <t xml:space="preserve">ELECTRIC PLANT </t>
  </si>
  <si>
    <t>Electric Transmission Plant</t>
  </si>
  <si>
    <t>350.2 Transmission Lines Land</t>
  </si>
  <si>
    <t>352.1 Structures &amp; Improvements</t>
  </si>
  <si>
    <t>356 Overhead Conductors &amp; Devices</t>
  </si>
  <si>
    <t>Peak Rate</t>
  </si>
  <si>
    <t>Off-Peak Rate</t>
  </si>
  <si>
    <t>Capped at weekly rates</t>
  </si>
  <si>
    <t>WAGE &amp; SALARY ALLOCATOR   (W&amp;S)</t>
  </si>
  <si>
    <t xml:space="preserve">  [RESERVED]</t>
  </si>
  <si>
    <t>CWC</t>
  </si>
  <si>
    <t>Prepayments (Account 165)</t>
  </si>
  <si>
    <t>TOTAL NET PLANT</t>
  </si>
  <si>
    <t>TOTAL ACCUM. DEPRECIATION</t>
  </si>
  <si>
    <t>TOTAL GROSS PLANT</t>
  </si>
  <si>
    <t>354.20.b</t>
  </si>
  <si>
    <t>205.46.g</t>
  </si>
  <si>
    <t>207.58.g</t>
  </si>
  <si>
    <t>207.75.g</t>
  </si>
  <si>
    <t>205.5.g &amp; 207.99.g</t>
  </si>
  <si>
    <t>356.1</t>
  </si>
  <si>
    <t>219.25.c</t>
  </si>
  <si>
    <t>219.26.c</t>
  </si>
  <si>
    <t>219.28.c &amp; 200.21.c</t>
  </si>
  <si>
    <t>Transmission Plant ARO -- Net Balance (enter negative)</t>
  </si>
  <si>
    <t>Common Plant ARO -- Net Balance (enter negative)</t>
  </si>
  <si>
    <t>ATTACHMENT O</t>
  </si>
  <si>
    <t>Rate Formula Template</t>
  </si>
  <si>
    <t>Utilizing FERC Form 1 Data</t>
  </si>
  <si>
    <t xml:space="preserve">  Revenues from service provided by LG&amp;E and KU at a discount</t>
  </si>
  <si>
    <t xml:space="preserve">  Less Contract Demands from service over one year provided by LG&amp;E and KU at a discount (enter negative) (kW)</t>
  </si>
  <si>
    <t>219.20-24.c</t>
  </si>
  <si>
    <t>ADJUSTMENTS TO RATE BASE</t>
  </si>
  <si>
    <t>TOTAL ADJUSTMENTS</t>
  </si>
  <si>
    <t xml:space="preserve">TOTAL WORKING CAPITAL </t>
  </si>
  <si>
    <t>336.7.b</t>
  </si>
  <si>
    <t>336.10.b &amp; 336.1.f</t>
  </si>
  <si>
    <t>336.11.b</t>
  </si>
  <si>
    <t xml:space="preserve">TOTAL O&amp;M   </t>
  </si>
  <si>
    <t>Less Account 565 (enter negative)</t>
  </si>
  <si>
    <t>Transmission Lease Payments</t>
  </si>
  <si>
    <t>Less FERC Annual Fees (enter negative)</t>
  </si>
  <si>
    <t>TOTAL DEPRECIATION</t>
  </si>
  <si>
    <t>TOTAL OTHER TAXES</t>
  </si>
  <si>
    <t>REVENUE REQUIREMENT</t>
  </si>
  <si>
    <t>TRANSMISSION PLANT INCLUDED IN LG&amp;E and KU RATES</t>
  </si>
  <si>
    <t>Total transmission plant</t>
  </si>
  <si>
    <t>Note M</t>
  </si>
  <si>
    <t>Less transmission plant excluded from LG&amp;E and KU rates</t>
  </si>
  <si>
    <t>Note N</t>
  </si>
  <si>
    <t>Less transmission plant included in OATT Ancillary Services</t>
  </si>
  <si>
    <t>L. 1 - L.2 - L.3</t>
  </si>
  <si>
    <r>
      <t xml:space="preserve">L.4 </t>
    </r>
    <r>
      <rPr>
        <sz val="10"/>
        <rFont val="Calibri"/>
        <family val="2"/>
      </rPr>
      <t>÷ L.1</t>
    </r>
  </si>
  <si>
    <t>Note L</t>
  </si>
  <si>
    <t>L. 6 - L.7</t>
  </si>
  <si>
    <t>Included transmission expenses</t>
  </si>
  <si>
    <t xml:space="preserve">Less transmission expenses included in OATT Ancillary Services </t>
  </si>
  <si>
    <t>Total transmission expenses</t>
  </si>
  <si>
    <r>
      <t xml:space="preserve">L.8 </t>
    </r>
    <r>
      <rPr>
        <sz val="10"/>
        <rFont val="Calibri"/>
        <family val="2"/>
      </rPr>
      <t>÷ L.6</t>
    </r>
  </si>
  <si>
    <t>L. 5</t>
  </si>
  <si>
    <t>L.9 x L.10</t>
  </si>
  <si>
    <t>Percentage of transmission expenses after adjustment</t>
  </si>
  <si>
    <t>354.21.b</t>
  </si>
  <si>
    <t>354.23.b</t>
  </si>
  <si>
    <t xml:space="preserve">  Total  Wages and Salaries</t>
  </si>
  <si>
    <t>Sum of Ls. 12-15</t>
  </si>
  <si>
    <t>COMMON PLANT ALLOCATOR  (CE)</t>
  </si>
  <si>
    <t>Note O</t>
  </si>
  <si>
    <t>Sum of Ls. 17-19</t>
  </si>
  <si>
    <t xml:space="preserve">  Total  Plant</t>
  </si>
  <si>
    <t>Allocated W&amp;S</t>
  </si>
  <si>
    <t>Total W&amp;S</t>
  </si>
  <si>
    <t>Total Plant</t>
  </si>
  <si>
    <t>Total per Form 1</t>
  </si>
  <si>
    <t>118.29.c</t>
  </si>
  <si>
    <t>Less Accounts 216.1 &amp; 219 (enter negative)</t>
  </si>
  <si>
    <t>112.12.c; 112.15.c</t>
  </si>
  <si>
    <t>112.3.c</t>
  </si>
  <si>
    <t>Cost Rate</t>
  </si>
  <si>
    <t xml:space="preserve">  Total</t>
  </si>
  <si>
    <t>Note R</t>
  </si>
  <si>
    <t>ACCOUNT 456 (OTHER ELECTRIC REVENUES)</t>
  </si>
  <si>
    <t>ACCOUNT 454 (RENT FROM ELECTRIC PROPERTY)</t>
  </si>
  <si>
    <t>Note T</t>
  </si>
  <si>
    <t>Sum of Ls. 2-5</t>
  </si>
  <si>
    <t>L.1 - L.6</t>
  </si>
  <si>
    <t>Note A</t>
  </si>
  <si>
    <t>Note B</t>
  </si>
  <si>
    <t>Note C</t>
  </si>
  <si>
    <t>Note D</t>
  </si>
  <si>
    <t>RATE FORMULA FOR POINT TO POINT TRANSMISSION SERVICE</t>
  </si>
  <si>
    <t>Labeled LF on page 328 of Form 1 at the time of the LG&amp;E and KU coincident monthly peaks.</t>
  </si>
  <si>
    <t>Y</t>
  </si>
  <si>
    <t>Note Y</t>
  </si>
  <si>
    <t>Note F</t>
  </si>
  <si>
    <t>Note H</t>
  </si>
  <si>
    <t>WORKING CAPITAL</t>
  </si>
  <si>
    <t>Materials &amp; Supplies</t>
  </si>
  <si>
    <t>Rate Base</t>
  </si>
  <si>
    <t>Sum of Ls. 18,28,29,33</t>
  </si>
  <si>
    <t>LAND HELD FOR FUTURE USE</t>
  </si>
  <si>
    <t>275.2.k</t>
  </si>
  <si>
    <t>277.9.k &amp; Note W</t>
  </si>
  <si>
    <t>234.8.c &amp; Note W</t>
  </si>
  <si>
    <t>267.8.h</t>
  </si>
  <si>
    <t>Sum of Ls. 19 - 27</t>
  </si>
  <si>
    <t>Sum of Ls. 1 - 5</t>
  </si>
  <si>
    <t>Sum of Ls. 7 - 11</t>
  </si>
  <si>
    <t>L.1 - L.7</t>
  </si>
  <si>
    <t>L.2 - L.8</t>
  </si>
  <si>
    <t>L.3 - L.9</t>
  </si>
  <si>
    <t>L.4 - L.10</t>
  </si>
  <si>
    <t>L.5 - L.11</t>
  </si>
  <si>
    <t>Sum of Ls. 13 - 17</t>
  </si>
  <si>
    <t>321.96.b</t>
  </si>
  <si>
    <t>323.197.b</t>
  </si>
  <si>
    <t>351.2.h</t>
  </si>
  <si>
    <t>Note I</t>
  </si>
  <si>
    <t>Plus Transmission Related Reg. Comm.  Exp.</t>
  </si>
  <si>
    <t>Less EPRI &amp; Reg. Comm. Exp. &amp; Non-safety  Ad. (enter negative)</t>
  </si>
  <si>
    <t xml:space="preserve">TAXES OTHER THAN INCOME TAXES </t>
  </si>
  <si>
    <t>TAXES OTHER THAN INCOME TAXES</t>
  </si>
  <si>
    <t xml:space="preserve">  Long Term Debt</t>
  </si>
  <si>
    <t xml:space="preserve">  Preferred Stock</t>
  </si>
  <si>
    <t xml:space="preserve">  Common Stock</t>
  </si>
  <si>
    <t xml:space="preserve">Total </t>
  </si>
  <si>
    <t>W</t>
  </si>
  <si>
    <t>Note X</t>
  </si>
  <si>
    <t>Sum of Ls. 8-14</t>
  </si>
  <si>
    <t>Divisor (kW)</t>
  </si>
  <si>
    <t>Capped at weekly &amp; daily rates</t>
  </si>
  <si>
    <t>Point-To-Point Rate ($/kW/Wk)</t>
  </si>
  <si>
    <r>
      <t xml:space="preserve">L. 16 </t>
    </r>
    <r>
      <rPr>
        <sz val="10"/>
        <rFont val="Calibri"/>
        <family val="2"/>
      </rPr>
      <t>÷ 52</t>
    </r>
  </si>
  <si>
    <r>
      <t xml:space="preserve">L. 18 </t>
    </r>
    <r>
      <rPr>
        <sz val="10"/>
        <rFont val="Calibri"/>
        <family val="2"/>
      </rPr>
      <t>÷ 5</t>
    </r>
  </si>
  <si>
    <r>
      <t xml:space="preserve">L. 19 </t>
    </r>
    <r>
      <rPr>
        <sz val="10"/>
        <rFont val="Calibri"/>
        <family val="2"/>
      </rPr>
      <t>÷ 16</t>
    </r>
  </si>
  <si>
    <r>
      <t>L. 7</t>
    </r>
    <r>
      <rPr>
        <sz val="10"/>
        <rFont val="Calibri"/>
        <family val="2"/>
      </rPr>
      <t>÷</t>
    </r>
    <r>
      <rPr>
        <sz val="10"/>
        <rFont val="Calibri"/>
        <family val="2"/>
        <scheme val="minor"/>
      </rPr>
      <t xml:space="preserve"> L. 15</t>
    </r>
  </si>
  <si>
    <r>
      <t xml:space="preserve">L. 16 </t>
    </r>
    <r>
      <rPr>
        <sz val="10"/>
        <rFont val="Calibri"/>
        <family val="2"/>
      </rPr>
      <t>÷</t>
    </r>
    <r>
      <rPr>
        <sz val="10"/>
        <rFont val="Calibri"/>
        <family val="2"/>
        <scheme val="minor"/>
      </rPr>
      <t xml:space="preserve"> 12</t>
    </r>
  </si>
  <si>
    <t>Point-To-Point Rate ($/kW/Day)</t>
  </si>
  <si>
    <t>Note E</t>
  </si>
  <si>
    <r>
      <t xml:space="preserve">L. 18 </t>
    </r>
    <r>
      <rPr>
        <sz val="10"/>
        <rFont val="Calibri"/>
        <family val="2"/>
      </rPr>
      <t>÷ 7</t>
    </r>
  </si>
  <si>
    <r>
      <t xml:space="preserve">L. 19 </t>
    </r>
    <r>
      <rPr>
        <sz val="10"/>
        <rFont val="Calibri"/>
        <family val="2"/>
      </rPr>
      <t>÷ 24</t>
    </r>
  </si>
  <si>
    <t xml:space="preserve">Network Rate ($/kW/Month) </t>
  </si>
  <si>
    <t xml:space="preserve">P-to-P Rate ($/kW/Month) </t>
  </si>
  <si>
    <t>Notes J &amp; Z</t>
  </si>
  <si>
    <t>Z</t>
  </si>
  <si>
    <t>Note K</t>
  </si>
  <si>
    <t>FIT, SIT and p</t>
  </si>
  <si>
    <t xml:space="preserve">DEVELOPMENT OF INCOME TAXES          </t>
  </si>
  <si>
    <t>Income Tax Gross Up Factor:  1 / (1 - T)</t>
  </si>
  <si>
    <t>Amortized Investment Tax Credit (enter negative)</t>
  </si>
  <si>
    <t>RETURN  (rate base times rate of return)</t>
  </si>
  <si>
    <t>Income Tax Calculation</t>
  </si>
  <si>
    <t>ITC adjustment</t>
  </si>
  <si>
    <t>Electric Plant Ratio</t>
  </si>
  <si>
    <r>
      <t xml:space="preserve">L. 17 </t>
    </r>
    <r>
      <rPr>
        <sz val="10"/>
        <rFont val="Calibri"/>
        <family val="2"/>
      </rPr>
      <t>÷ L. 20</t>
    </r>
  </si>
  <si>
    <t>= CE</t>
  </si>
  <si>
    <t xml:space="preserve"> DEVELOPMENT OF RATE OF RETURN (R)</t>
  </si>
  <si>
    <t>= R</t>
  </si>
  <si>
    <t>Less Preferred Stock (enter negative)</t>
  </si>
  <si>
    <t>310-311, Note Q</t>
  </si>
  <si>
    <t>GP =</t>
  </si>
  <si>
    <t>NP =</t>
  </si>
  <si>
    <t>Sum of Ls. 1-8</t>
  </si>
  <si>
    <t>= W/S</t>
  </si>
  <si>
    <t>times W/S (L. 16)</t>
  </si>
  <si>
    <t>Sum of Ls. 24-26</t>
  </si>
  <si>
    <t xml:space="preserve"> = WCLTD</t>
  </si>
  <si>
    <t>Total Company</t>
  </si>
  <si>
    <t>Sum of Ls. 28-30</t>
  </si>
  <si>
    <t>L. 32-L.33</t>
  </si>
  <si>
    <t>311.x.h; Note Z</t>
  </si>
  <si>
    <t>Pg 2 of 5, L.2, C.3</t>
  </si>
  <si>
    <t>Pg 3 of 5, L.1, C.3</t>
  </si>
  <si>
    <t>Pg 4 of 5, L. 28</t>
  </si>
  <si>
    <t>Pg 4 of 5, L. 31</t>
  </si>
  <si>
    <t>214.x.d; Notes G &amp; Z</t>
  </si>
  <si>
    <t>Sum of Ls. 10-12</t>
  </si>
  <si>
    <t>WCLTD =</t>
  </si>
  <si>
    <t>R =</t>
  </si>
  <si>
    <t>Pg 2 of 5, L.34 x Pg 4 of 5, L. 31</t>
  </si>
  <si>
    <t>Transmission plant included in LG&amp;E and KU rates</t>
  </si>
  <si>
    <t>Percentage of transmission plant included in LG&amp;E and KU Rates</t>
  </si>
  <si>
    <t>Percentage of transmission expenses included in LG&amp;E and KU Rates</t>
  </si>
  <si>
    <t>117.62-67.c; Note W</t>
  </si>
  <si>
    <t>112.16.c</t>
  </si>
  <si>
    <t>L.29</t>
  </si>
  <si>
    <t>Total Common Stock</t>
  </si>
  <si>
    <t>Weighted Average Cost of Capital:</t>
  </si>
  <si>
    <t>L.27</t>
  </si>
  <si>
    <t>L. 36-L.37</t>
  </si>
  <si>
    <t>Depreciation rates and accumulated depreciation balances used in this formula include adjustments to reflect depreciation rates on file with the FERC.</t>
  </si>
  <si>
    <t>The balances in Accounts 190, 281, 282 and 283, as adjusted by any amounts in contra accounts identified as regulatory assets or liabilities related to</t>
  </si>
  <si>
    <t>Cash Working Capital assigned to transmission is one-eighth of O&amp;M allocated to transmission at page 3, line 9, column 5. Prepayments are the electric</t>
  </si>
  <si>
    <t>related prepayments booked to Account No. 165 and reported on Page 111 line 57 in the Form 1.</t>
  </si>
  <si>
    <t>Line 5 - EPRI Annual Membership Dues listed in Form 1 at 353.f, Regulatory Commission Expenses itemized at 351.h, and non-safety related advertising</t>
  </si>
  <si>
    <t xml:space="preserve">itemized at 351.h. </t>
  </si>
  <si>
    <t xml:space="preserve">Includes only FICA, unemployment, highway, property and other assessments charged in the current year.  Taxes related to income are excluded.  </t>
  </si>
  <si>
    <t>The currently effective income tax rate,  where FIT is the Federal income tax rate; SIT is the State income tax rate, and p = "the percentage of federal</t>
  </si>
  <si>
    <t>income tax deductible for state income taxes".  If LG&amp;E and KU is taxed in more than one state it must attach a work paper showing the name of each state</t>
  </si>
  <si>
    <t>and how the blended or composite SIT was developed.  Furthermore, if LG&amp;E and KU elected to utilize amortization of tax credits against taxable income,</t>
  </si>
  <si>
    <t>rather than book tax credits to Account No. 255 and reduce rate base, LG&amp;E and KU must reduce its income tax expense by the amount of the Amortized</t>
  </si>
  <si>
    <t>Investment Tax Credit (Form 1, 266.8.f; transmission related only) multiplied by (1/1-T) (page 3, line 26).  (LG&amp;E elected to amortize tax credits against</t>
  </si>
  <si>
    <t>taxable income; KU elected to amortize tax credits below the line and reduce rate base.  Current income tax credit balances for LG&amp;E and KU are related</t>
  </si>
  <si>
    <t>Removes transmission plant determined by Commission order to be state-jurisdictional according to the seven-factor test (until Form 1 balances are</t>
  </si>
  <si>
    <t>adjusted to reflect application of seven-factor test).</t>
  </si>
  <si>
    <t>Removes dollar amount of transmission plant included in the development of OATT ancillary services rates and generation step-up facilities, which are</t>
  </si>
  <si>
    <t>deemed to be included in OATT ancillary services.  For these purposes, generation step-up facilities are those facilities at a generator substation on which</t>
  </si>
  <si>
    <t>there is no through-flow when the generator is shut down. LG&amp;E and KU generator step-up facilities are included in production plant accounts and are not</t>
  </si>
  <si>
    <t>included in this Attachment O.</t>
  </si>
  <si>
    <t>ROE will be supported in the original filing and no change in ROE may be made absent a filing with FERC.</t>
  </si>
  <si>
    <t>Line 34 must equal zero since all short-term power sales must be unbundled and the transmission component reflected in Account No. 456 and all other</t>
  </si>
  <si>
    <t>uses are to be included in the divisor.</t>
  </si>
  <si>
    <t>The revenues credited on page 1 lines 2-5 shall include only the amounts received directly (in the case of grandfathered agreements) or from LG&amp;E and KU</t>
  </si>
  <si>
    <t>(for service under this tariff) reflecting the Transmission Owner's integrated transmission facilities.  They do not include revenues associated with FERC</t>
  </si>
  <si>
    <t>annual charges, gross receipts taxes, ancillary services, facilities not included in this template (e.g., direct assignment facilities and GSUs) which are not</t>
  </si>
  <si>
    <t>recovered under this Rate Formula Template.</t>
  </si>
  <si>
    <t>This Attachment O reflects a pass-through of the costs associated with the ITO and the Reliability Coordinator and excludes amortization of regulatory</t>
  </si>
  <si>
    <t>assets when such amortization is charged to transmission O&amp;M and recovered entirely from retail customers.</t>
  </si>
  <si>
    <t>Pg 4 of 5, L. 35</t>
  </si>
  <si>
    <t>Pg 4 of 5, L. 38</t>
  </si>
  <si>
    <t>273.8.k</t>
  </si>
  <si>
    <t>Page 5 of 5</t>
  </si>
  <si>
    <t>Page 1 of 5</t>
  </si>
  <si>
    <t>227.8.c &amp; 16.c; Note G</t>
  </si>
  <si>
    <t>321.112.b; see also Note V</t>
  </si>
  <si>
    <t>Average of monthly peak amounts reported on Page 400, column e of Form 1.</t>
  </si>
  <si>
    <t>Average of monthly peak amounts reported on Page 400, column f + column h.</t>
  </si>
  <si>
    <t>included in Account 930.1.  Line 6 - Regulatory Commission Expenses directly related to transmission service,  LG&amp;E and KU filings, or transmission siting</t>
  </si>
  <si>
    <t xml:space="preserve">  Plus CBM Capacity withheld from P-T-P Customers (kW)</t>
  </si>
  <si>
    <t>SUPPORTING CALCULATIONS AND NOTES</t>
  </si>
  <si>
    <t>Highway and vehicle</t>
  </si>
  <si>
    <t>Payments in lieu of taxes</t>
  </si>
  <si>
    <t>266.8.f; see also Note K</t>
  </si>
  <si>
    <r>
      <t xml:space="preserve">(Allocated W&amp;S  </t>
    </r>
    <r>
      <rPr>
        <sz val="12"/>
        <rFont val="Calibri"/>
        <family val="2"/>
      </rPr>
      <t>÷</t>
    </r>
    <r>
      <rPr>
        <sz val="12"/>
        <rFont val="Calibri"/>
        <family val="2"/>
        <scheme val="minor"/>
      </rPr>
      <t xml:space="preserve"> Total W&amp;S)</t>
    </r>
  </si>
  <si>
    <t>FERC Form 1 pages do not specify line numbers, which are subject to change from year to year and between LG&amp;E and KU.  Please see the line item</t>
  </si>
  <si>
    <t>Enter dollar amounts.  Common Plant Allocator (CE) = ratio of electric only plant to total plant, multiplied by W/S (wages and salaries allocator).</t>
  </si>
  <si>
    <r>
      <t xml:space="preserve">Debt cost rate = long-term interest (line 22) </t>
    </r>
    <r>
      <rPr>
        <sz val="14"/>
        <rFont val="Calibri"/>
        <family val="2"/>
      </rPr>
      <t>÷</t>
    </r>
    <r>
      <rPr>
        <sz val="14"/>
        <rFont val="Calibri"/>
        <family val="2"/>
        <scheme val="minor"/>
      </rPr>
      <t xml:space="preserve"> long term debt (line 28).  Preferred cost rate = preferred dividends (line 23) ÷ preferred outstanding (line 29).  </t>
    </r>
  </si>
  <si>
    <t>These adjustments are necessary to insulate customers from costs related to the acquisition.</t>
  </si>
  <si>
    <t>descriptions for identification of amounts from FERC Form 1 included in this rate formula.</t>
  </si>
  <si>
    <t>General and Intangible</t>
  </si>
  <si>
    <r>
      <t xml:space="preserve">T = 1 - ([(1 - SIT) x (1 - FIT)] </t>
    </r>
    <r>
      <rPr>
        <sz val="12"/>
        <rFont val="Calibri"/>
        <family val="2"/>
      </rPr>
      <t>÷</t>
    </r>
    <r>
      <rPr>
        <sz val="12"/>
        <rFont val="Calibri"/>
        <family val="2"/>
        <scheme val="minor"/>
      </rPr>
      <t xml:space="preserve"> (1 - SIT x FIT x p)) </t>
    </r>
  </si>
  <si>
    <r>
      <t xml:space="preserve">CIT = (T </t>
    </r>
    <r>
      <rPr>
        <sz val="12"/>
        <rFont val="Calibri"/>
        <family val="2"/>
      </rPr>
      <t>÷</t>
    </r>
    <r>
      <rPr>
        <sz val="12"/>
        <rFont val="Calibri"/>
        <family val="2"/>
        <scheme val="minor"/>
      </rPr>
      <t xml:space="preserve"> (1 - T)) x (1 - (WCLTD </t>
    </r>
    <r>
      <rPr>
        <sz val="12"/>
        <rFont val="Calibri"/>
        <family val="2"/>
      </rPr>
      <t>÷</t>
    </r>
    <r>
      <rPr>
        <sz val="12"/>
        <rFont val="Calibri"/>
        <family val="2"/>
        <scheme val="minor"/>
      </rPr>
      <t xml:space="preserve"> R)), where:</t>
    </r>
  </si>
  <si>
    <t>112.18-23.c; Note W</t>
  </si>
  <si>
    <t xml:space="preserve">  a. Bundled Non-RQ Sales for Resale (kW)</t>
  </si>
  <si>
    <t xml:space="preserve">  b. Bundled Sales for Resale  included in Divisor on page 1 (kW)</t>
  </si>
  <si>
    <t xml:space="preserve">  Total (kW)</t>
  </si>
  <si>
    <t>Notes U &amp; Z</t>
  </si>
  <si>
    <t xml:space="preserve">The amounts included in this Attachment O are net of purchase accounting adjustments resulting from the 2010 acquisition of LG&amp;E and KU by PPL Corp. </t>
  </si>
  <si>
    <t>Sum of Ls. 9,13,20,27,28</t>
  </si>
  <si>
    <t>Pg 3 of 5, L. 29</t>
  </si>
  <si>
    <t>Sum of Ls. 14-19</t>
  </si>
  <si>
    <t>L. 22 x L. 28</t>
  </si>
  <si>
    <t>L. 23 x L. 24</t>
  </si>
  <si>
    <t>Transmission (net of ARO depreciation)</t>
  </si>
  <si>
    <t>Common (net of ARO depreciation)</t>
  </si>
  <si>
    <t>DEPRECIATION  AND AMORTIZATION EXPENSE</t>
  </si>
  <si>
    <t>ASC 715 and ASC 740.  Balance of Account 255 is reduced by prior flow throughs and excluded if LG&amp;E and KU chose to utilize amortization of tax credits</t>
  </si>
  <si>
    <t xml:space="preserve">against taxable income as discussed in Note K.  Account 281 is not allocated. </t>
  </si>
  <si>
    <t>111.57.c</t>
  </si>
  <si>
    <t>Labeled LF, LU, IF, IU on pages 310-311 of Form 1 at the time of the LG&amp;E and KU coincident monthly peaks.</t>
  </si>
  <si>
    <t>Entry on Page 2, Line 24 shall include the Network Upgrade value included in Line 2 and any accumulated depreciation included in Line 8.  Entry on</t>
  </si>
  <si>
    <t>Page 2, Line 25 shall include the Load Serving Entity direct assigned value included in Line 2 and any accumulated depreciation in Line 8.</t>
  </si>
  <si>
    <t>359 Asset Retirement Obligations - Transmission *</t>
  </si>
  <si>
    <t>rates; AROs are depreciated at the same rates as the underlying</t>
  </si>
  <si>
    <t>physical assets.</t>
  </si>
  <si>
    <t>General Note:  References to pages in this formula rate are indicated as:  (page#, line#, col.#)</t>
  </si>
  <si>
    <t>RATE FORMULA FOR NETWORK INTEGRATION TRANSMISSION SERVICE</t>
  </si>
  <si>
    <t>100% to production investment and are not included in the Attachment O.)</t>
  </si>
  <si>
    <t>Point-To-Point Rate ($/MWh)</t>
  </si>
  <si>
    <t>Page 1</t>
  </si>
  <si>
    <t>Update Year</t>
  </si>
  <si>
    <t>Revenue Credits</t>
  </si>
  <si>
    <t>KU</t>
  </si>
  <si>
    <t>LGE</t>
  </si>
  <si>
    <t>Combined</t>
  </si>
  <si>
    <t>Revenue from Grandfathered Interzonal Transactions</t>
  </si>
  <si>
    <t>to Page 1 of 5, L. 4</t>
  </si>
  <si>
    <t>Not applicable; hold over from MISO formula, will be removed with Sec 205</t>
  </si>
  <si>
    <t>Revenues from service provided by LG&amp;E Energy</t>
  </si>
  <si>
    <t>to Page 1 of 5, L. 5</t>
  </si>
  <si>
    <t>Contract demand here is the load with IMEA and IMPA.  Per the contract with the</t>
  </si>
  <si>
    <t>partners, we do not charge for transmission so there is no revenue to record on this</t>
  </si>
  <si>
    <t>line.</t>
  </si>
  <si>
    <t>12 CP Data, requirements service:</t>
  </si>
  <si>
    <t>Form 1, p. 400, col. (e)</t>
  </si>
  <si>
    <t>Jan</t>
  </si>
  <si>
    <t>times 1,000</t>
  </si>
  <si>
    <t>Feb</t>
  </si>
  <si>
    <t>Mar</t>
  </si>
  <si>
    <t>Apr</t>
  </si>
  <si>
    <t>May</t>
  </si>
  <si>
    <t>Form 1 source data</t>
  </si>
  <si>
    <t>Jun</t>
  </si>
  <si>
    <t>Internal reporting source data</t>
  </si>
  <si>
    <t>Jul</t>
  </si>
  <si>
    <t>Aug</t>
  </si>
  <si>
    <t>Sep</t>
  </si>
  <si>
    <t>Oct</t>
  </si>
  <si>
    <t>Nov</t>
  </si>
  <si>
    <t>Dec</t>
  </si>
  <si>
    <t>Average</t>
  </si>
  <si>
    <t>to Page 1 of 5, L. 8</t>
  </si>
  <si>
    <t>12 CP Data, firm bundled sales:</t>
  </si>
  <si>
    <t>when p. 310, col (b)</t>
  </si>
  <si>
    <t>contains the following:</t>
  </si>
  <si>
    <t>LF, LU, IF, IU</t>
  </si>
  <si>
    <t>to Page 1 of 5, L. 9</t>
  </si>
  <si>
    <t>12 CP Data, other network load:</t>
  </si>
  <si>
    <t>Form 1, p. 400, col. (f) + col. (h)</t>
  </si>
  <si>
    <t>KU-col F</t>
  </si>
  <si>
    <t>KU-Col h</t>
  </si>
  <si>
    <t>LGE-Col F</t>
  </si>
  <si>
    <t>to Page 1 of 5, L. 10</t>
  </si>
  <si>
    <t>Firm P-T-P transmission is billed on a reservation basis only;</t>
  </si>
  <si>
    <t>amounts are included below and carried to L. 12 of page 1.</t>
  </si>
  <si>
    <t>Transmission does not track or bill firm contract P-T-P customers</t>
  </si>
  <si>
    <t xml:space="preserve">for actual flows, and the actual flows are not included in the </t>
  </si>
  <si>
    <t>network transmission peaks included above; therefore, there</t>
  </si>
  <si>
    <t>is no CP data associated with firm P-T-P transmission to</t>
  </si>
  <si>
    <t>include here.</t>
  </si>
  <si>
    <t>to Page 1 of 5, L. 11</t>
  </si>
  <si>
    <t>Contract demand, firm Point to Point over one year</t>
  </si>
  <si>
    <t>Form 1, p. 400, col. (g)</t>
  </si>
  <si>
    <t>OMU reservations for Long Term PTP</t>
  </si>
  <si>
    <t>to Page 1 of 5, L. 12</t>
  </si>
  <si>
    <t>Amounts on Ls. 13 &amp; 14 of page 1 of 5 are provided by Transmission Policy and Rates (Fernando Rubio)</t>
  </si>
  <si>
    <t>CBM Capacity withheld from P-T-P Customers</t>
  </si>
  <si>
    <t>to PTP Pg 1 of 5, L. 13</t>
  </si>
  <si>
    <t>Applicable to PTP only; capacity benefit margin provided by F Rubio, Transmission Policy and Tariffs</t>
  </si>
  <si>
    <t>Contract demand -- service provided at discount</t>
  </si>
  <si>
    <t>to Page 1 of 5, L. 14</t>
  </si>
  <si>
    <t xml:space="preserve">Provided by Transmisison Policy &amp; Tariffs; includes IMEA/IMPA transmission to BAA border per contract </t>
  </si>
  <si>
    <t>and OMU MISO LT PTP reservation due to depancaking</t>
  </si>
  <si>
    <t>Intangible</t>
  </si>
  <si>
    <t>P.205, L.5, Col.(g)</t>
  </si>
  <si>
    <t>to Page 2 of 5, L. 4, col.3</t>
  </si>
  <si>
    <t>Production</t>
  </si>
  <si>
    <t>P.205, L.46, Col.(g)</t>
  </si>
  <si>
    <t>to Page 2 of 5, L. 1, col.3</t>
  </si>
  <si>
    <t>P.207, L.58, Col.(g)</t>
  </si>
  <si>
    <t>to Page 2 of 5, L. 2, col.3</t>
  </si>
  <si>
    <t>Distribution</t>
  </si>
  <si>
    <t>P.207, L.75, Col.(g)</t>
  </si>
  <si>
    <t>to Page 2 of 5, L. 3, col.3</t>
  </si>
  <si>
    <t>General</t>
  </si>
  <si>
    <t>P.207, L.99, Col.(g)</t>
  </si>
  <si>
    <t>P.356.1, electric only</t>
  </si>
  <si>
    <t>N/A</t>
  </si>
  <si>
    <t>to Page 2 of 5, L. 5, col.3</t>
  </si>
  <si>
    <t>Accumulated Reserve for Depreciation Adjustment</t>
  </si>
  <si>
    <t>P.200, L.21, Col.(c)</t>
  </si>
  <si>
    <t>to Page 2 of 5, L. 10, col.3</t>
  </si>
  <si>
    <t>Production, Steam</t>
  </si>
  <si>
    <t>P.219, L.20, Col.(c)</t>
  </si>
  <si>
    <t>to Page 2 of 5, L. 7, col.3</t>
  </si>
  <si>
    <t>Steam Prod</t>
  </si>
  <si>
    <t>Production, Hydro</t>
  </si>
  <si>
    <t>P.219, L.22, Col.(c)</t>
  </si>
  <si>
    <t>Hydro Prod</t>
  </si>
  <si>
    <t>Production, Other</t>
  </si>
  <si>
    <t>P.219, L.24, Col.(c)</t>
  </si>
  <si>
    <t>Other Prod</t>
  </si>
  <si>
    <t>P.219, L.25, Col.(c)</t>
  </si>
  <si>
    <t>to Page 2 of 5, L. 8, col.3</t>
  </si>
  <si>
    <t>P.219, L.26, Col.(c)</t>
  </si>
  <si>
    <t>to Page 2 of 5, L. 9, col.3</t>
  </si>
  <si>
    <t xml:space="preserve">P.219, L.28, Col.(c) </t>
  </si>
  <si>
    <t>to Page 2 of 5, L. 11, col.3</t>
  </si>
  <si>
    <t>ADJUSTMENTS TO RATE BASE       (Note F)</t>
  </si>
  <si>
    <t>Account No. 281</t>
  </si>
  <si>
    <t>P.273, L.8, Col.(k)</t>
  </si>
  <si>
    <t>to Page 2 of 5, L. 19, col.3</t>
  </si>
  <si>
    <t>Account No. 282</t>
  </si>
  <si>
    <t>P.275, L.2, Col.(k)</t>
  </si>
  <si>
    <t>to Page 2 of 5, L. 20, col.3</t>
  </si>
  <si>
    <t>Account No. 283</t>
  </si>
  <si>
    <t>P.277, L.9, Col.(k)</t>
  </si>
  <si>
    <t>Acct. 283 Other (w. PA)</t>
  </si>
  <si>
    <t>P.277, L.8, Col.(k)</t>
  </si>
  <si>
    <t>Acct. 283 Other (w.o. PA)</t>
  </si>
  <si>
    <t>Footnote for L.8, Col.(k)</t>
  </si>
  <si>
    <t>use beginning balance, 'Total Without Purchase Accounting"</t>
  </si>
  <si>
    <t>Net Included Account 283</t>
  </si>
  <si>
    <t>to Page 2 of 5, L. 21, col.3</t>
  </si>
  <si>
    <t xml:space="preserve">Account No. 190 </t>
  </si>
  <si>
    <t>P.234, L.8, Col.(c)</t>
  </si>
  <si>
    <t>Acct. 190 Other (w PA)</t>
  </si>
  <si>
    <t>P.234, L.7, Col.(c)</t>
  </si>
  <si>
    <t>Acct. 190 Other (w.o. PA)</t>
  </si>
  <si>
    <t>Notes Detail for L.7, electric</t>
  </si>
  <si>
    <t>Net Included Account 190</t>
  </si>
  <si>
    <t>to Page 2 of 5, L. 22, col.3</t>
  </si>
  <si>
    <t>Account No. 255, KU Transmission only</t>
  </si>
  <si>
    <t>P.267, L.8, Col.(h)</t>
  </si>
  <si>
    <t>to Page 2 of 5, L. 23, col.3</t>
  </si>
  <si>
    <t>KU ITC balance is an adjustment to rate base for transmission related projects only; outstanding balances are for generation and therefore not included.</t>
  </si>
  <si>
    <t>P.207, L.57, Col.(g)</t>
  </si>
  <si>
    <t>Transmission Reserve</t>
  </si>
  <si>
    <t>to Page 2 of 5, L. 26, col.3 (enter negative)</t>
  </si>
  <si>
    <t>multiply the total balance in account 399 times the electric only allocation ratio</t>
  </si>
  <si>
    <t>Common Reserve</t>
  </si>
  <si>
    <t>Provided by Transmission if applicable.  Represents costs for required network upgrades required in response to a</t>
  </si>
  <si>
    <t>Ending Balance, previous year</t>
  </si>
  <si>
    <t>XM plnt</t>
  </si>
  <si>
    <t>Adjustment for depreciation expense</t>
  </si>
  <si>
    <t>depreciation expense:</t>
  </si>
  <si>
    <t>XM depr</t>
  </si>
  <si>
    <t>Net Book LSE Direct Assignment Assets</t>
  </si>
  <si>
    <t>Assets Added During the year</t>
  </si>
  <si>
    <t xml:space="preserve">Provided by Transmission if applicable.  </t>
  </si>
  <si>
    <t>Ending Balance, current year</t>
  </si>
  <si>
    <t>Land Held for Future Use</t>
  </si>
  <si>
    <t>P.214, L.various, Col.(d)</t>
  </si>
  <si>
    <t>to Page 2 of 5, L. 25, col.3</t>
  </si>
  <si>
    <t>Only include amounts associated with transmission projects (confirmed by</t>
  </si>
  <si>
    <t>P.227, L.8, Col.(c)</t>
  </si>
  <si>
    <t>Stores Expense Undistributed</t>
  </si>
  <si>
    <t>P.227, L.16, Col.(c)</t>
  </si>
  <si>
    <t>Total Account 154</t>
  </si>
  <si>
    <t>P.227, L.12, Col.(c)</t>
  </si>
  <si>
    <t>Transmission Ratio</t>
  </si>
  <si>
    <t>Prepayments (acct. 165)</t>
  </si>
  <si>
    <t>P.111, L.57, Col.(c)</t>
  </si>
  <si>
    <t xml:space="preserve">Transmission </t>
  </si>
  <si>
    <t>Page 321, L.112, Col.(b)</t>
  </si>
  <si>
    <t>Sum of accounts 560-573.  Do not include Regional Market Expense, account 575</t>
  </si>
  <si>
    <t>Less Regulatory Assets:</t>
  </si>
  <si>
    <t xml:space="preserve">KU and LG&amp;E have three regulatory assets that are amortized to transmission operating expense; </t>
  </si>
  <si>
    <t>EKPC, amortized to retail</t>
  </si>
  <si>
    <t>these regulatory assets are approved for rate recovery from retail customers only.  The annual</t>
  </si>
  <si>
    <t>2008 Wind storm amortized to retail only -- distribution only, no transmission impact</t>
  </si>
  <si>
    <t>amortization must be removed from transmission expense until FERC approves rate recovery.</t>
  </si>
  <si>
    <t>Annual amortization amount is provided by Regulatory Accounting and Reporting -- Eric Raible</t>
  </si>
  <si>
    <t>Total Included Transmission expense</t>
  </si>
  <si>
    <t>to Page 3 of 5, L. 1, col.3</t>
  </si>
  <si>
    <t>R&amp;D charged to 930, per page 353:</t>
  </si>
  <si>
    <t>Less Account 565</t>
  </si>
  <si>
    <t>Page 321, L.96, Col.(b)</t>
  </si>
  <si>
    <t>to Page 3 of 5, L. 2, col.3</t>
  </si>
  <si>
    <t>Page 323, L.197, Col.(b)</t>
  </si>
  <si>
    <t>to Page 3 of 5, L. 3, col.3</t>
  </si>
  <si>
    <t>FERC Annual Fees</t>
  </si>
  <si>
    <t>Page 351, L.2, Col.(h)</t>
  </si>
  <si>
    <t>to Page 3 of 5, L. 4, col.3</t>
  </si>
  <si>
    <t>EPRI &amp; Reg. Comm. Exp</t>
  </si>
  <si>
    <t>Page 353, Acct 930, Col.(f)</t>
  </si>
  <si>
    <t>Line 5 - EPRI Annual Membership Dues listed in Form 1 at 353.f, all Regulatory Commission Expenses itemized at 351.h, and non-safety</t>
  </si>
  <si>
    <t>Non-safety  Ad.</t>
  </si>
  <si>
    <t>Page 323, L.191, Col.(b)</t>
  </si>
  <si>
    <t xml:space="preserve">   related advertising included in Account 930.1. </t>
  </si>
  <si>
    <t>use total charged to Att O exp accts</t>
  </si>
  <si>
    <t>Reg Comm Expenses-Audit</t>
  </si>
  <si>
    <t>Reg Comm Expenses-Proj 289</t>
  </si>
  <si>
    <t>to Page 3 of 5, L. 5, col.3</t>
  </si>
  <si>
    <t>FERC annual fees removed because they are separately reported on Line 4; FERC audit removed b/c they are includable in revenue requirement</t>
  </si>
  <si>
    <t>Plus Transmission Related Reg. Comm.  Exp. (Note I)</t>
  </si>
  <si>
    <t>Page 351 (h) related to transmission only</t>
  </si>
  <si>
    <t xml:space="preserve">Line 5a - Regulatory Commission Expenses directly related to transmission service, ISO filings, or transmission siting itemized at 351.h. </t>
  </si>
  <si>
    <t>Page 356.1</t>
  </si>
  <si>
    <t>to Page 3 of 5, L. 6, col.3</t>
  </si>
  <si>
    <t>Common Plant related O&amp;M is not maintained separately, but is included in accounts as noted on page 356</t>
  </si>
  <si>
    <t xml:space="preserve">  Transmission Lease Payments</t>
  </si>
  <si>
    <t>to Page 3 of 5, L. 7, col.3</t>
  </si>
  <si>
    <t>will be notified by Transmission Policy and Tariffs</t>
  </si>
  <si>
    <t>DEPRECIATION EXPENSE</t>
  </si>
  <si>
    <t>Page 336, L.7, Col.(f)</t>
  </si>
  <si>
    <t>Page 336, L.10, Col.(f)</t>
  </si>
  <si>
    <t>Page 336, L.1, Col.(f)</t>
  </si>
  <si>
    <t>to Page 3 of 5, L. 10, col.3</t>
  </si>
  <si>
    <t>Page 336, L.11, Col.(f)</t>
  </si>
  <si>
    <t>to Page 3 of 5, L. 11, col.3</t>
  </si>
  <si>
    <t>Transmission ARO</t>
  </si>
  <si>
    <t>Page 336, L.7, Col.(c)</t>
  </si>
  <si>
    <t>Common ARO</t>
  </si>
  <si>
    <t>Page 336, L.11, Col.(c)</t>
  </si>
  <si>
    <t>input accrual amount from LG&amp;E utility report page 2 FIN, and multiply by the electric ratio from page 2 of 5</t>
  </si>
  <si>
    <t>TAXES OTHER THAN INCOME TAXES  (Note 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</si>
  <si>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</si>
  <si>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</si>
  <si>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</si>
  <si>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FICA</t>
  </si>
  <si>
    <t>Page 262-3, L.3, Col.(i)</t>
  </si>
  <si>
    <t>Line numbers can differ between the two Companies, so use the "Kind of Tax" entry in Col.(a), page 262</t>
  </si>
  <si>
    <t>Unemployment Insurance</t>
  </si>
  <si>
    <t>to select the correct amount on page 263 for the input  (applies to payroll taxes, highway &amp; vehicle taxes, and plant related taxes</t>
  </si>
  <si>
    <t>Local: Occupational</t>
  </si>
  <si>
    <t>Total Payroll Taxes</t>
  </si>
  <si>
    <t xml:space="preserve">          Highway and vehicle</t>
  </si>
  <si>
    <t>Page 262-3, Col.(i)</t>
  </si>
  <si>
    <t>to Page 3 of 5, L. 14, col.3</t>
  </si>
  <si>
    <t>See note above</t>
  </si>
  <si>
    <t>Gross Receipts</t>
  </si>
  <si>
    <t>to Page 3 of 5, L. 17, col.3</t>
  </si>
  <si>
    <t>Public Service Commission</t>
  </si>
  <si>
    <t>Page 262-3, L.7, Col.(i)</t>
  </si>
  <si>
    <t>6% Use tax (KY)</t>
  </si>
  <si>
    <t>Miscellaneous</t>
  </si>
  <si>
    <t>Total Other Taxes</t>
  </si>
  <si>
    <t>to Page 3 of 5, L. 18, col.3</t>
  </si>
  <si>
    <t>INCOME TAX INPUTS AND CALCULATIONS</t>
  </si>
  <si>
    <t>income-fed</t>
  </si>
  <si>
    <t>Page 263, L.2, Col.(i)</t>
  </si>
  <si>
    <t>income state</t>
  </si>
  <si>
    <t>Page 263, L.6, Col.(i)</t>
  </si>
  <si>
    <t>check total on taxes</t>
  </si>
  <si>
    <t>Account 255, amortization of ITC</t>
  </si>
  <si>
    <t>Page 266, L.8, Col.(f)</t>
  </si>
  <si>
    <t>to Page 3 of 5, L. 24, col.3, negative</t>
  </si>
  <si>
    <t>KU ITC amortization is below the line in Other Income &amp; Deductions; LGE ITC is production related &amp; excluded from XM</t>
  </si>
  <si>
    <t>Ancillary Charges Per Schedule 1:</t>
  </si>
  <si>
    <t>(561)</t>
  </si>
  <si>
    <t>(561.1)</t>
  </si>
  <si>
    <t>Page 321, L.85, Col.(b)</t>
  </si>
  <si>
    <t>to Sch 1, L.2</t>
  </si>
  <si>
    <t>(561.2)</t>
  </si>
  <si>
    <t>Page 321, L.86, Col.(b)</t>
  </si>
  <si>
    <t>to Sch 1, L.3</t>
  </si>
  <si>
    <t>(561.3)</t>
  </si>
  <si>
    <t>Page 321, L.87, Col.(b)</t>
  </si>
  <si>
    <t>to Sch 1, L.4</t>
  </si>
  <si>
    <t>(561.4)</t>
  </si>
  <si>
    <t>Page 321, L.88, Col.(b)</t>
  </si>
  <si>
    <t>to Sch 1, L.5</t>
  </si>
  <si>
    <t>(561.5)</t>
  </si>
  <si>
    <t>Page 321, L.89, Col.(b)</t>
  </si>
  <si>
    <t>to Sch 1, L.6</t>
  </si>
  <si>
    <t>(561.6)</t>
  </si>
  <si>
    <t>Page 321, L.90, Col.(b)</t>
  </si>
  <si>
    <t>to Sch 1, L.7</t>
  </si>
  <si>
    <t>(561.7)</t>
  </si>
  <si>
    <t>Page 321, L.91, Col.(b)</t>
  </si>
  <si>
    <t>to Sch 1, L.8</t>
  </si>
  <si>
    <t>(561.8)</t>
  </si>
  <si>
    <t>Page 321, L.92, Col.(b)</t>
  </si>
  <si>
    <t>to Sch 1, L.9</t>
  </si>
  <si>
    <t>to page 4 of 5, L. 7</t>
  </si>
  <si>
    <t>Ancillary services are included in the formula for Schedule 1 and must be removed in Attachment O</t>
  </si>
  <si>
    <t>Wages and Salaries</t>
  </si>
  <si>
    <t>Page 354, L.20, Col.(b)</t>
  </si>
  <si>
    <t>to page 4 of 5, L. 12</t>
  </si>
  <si>
    <t>Page 354, L.21, Col.(b)</t>
  </si>
  <si>
    <t>to page 4 of 5, L. 13</t>
  </si>
  <si>
    <t>Page 354, L.23, Col.(b)</t>
  </si>
  <si>
    <t>to page 4 of 5, L. 14</t>
  </si>
  <si>
    <t>Customer Accounts</t>
  </si>
  <si>
    <t>Page 354, L.24, Col.(b)</t>
  </si>
  <si>
    <t>Customer Service</t>
  </si>
  <si>
    <t>Page 354, L.25, Col.(b)</t>
  </si>
  <si>
    <t>Sales</t>
  </si>
  <si>
    <t>Page 354, L.26, Col.(b)</t>
  </si>
  <si>
    <t>to page 4 of 5, L. 15</t>
  </si>
  <si>
    <t>COMMON PLANT ALLOCATOR  (CE)   (Note O)</t>
  </si>
  <si>
    <t>Page 200, L.3, Col.(c)</t>
  </si>
  <si>
    <t>to page 4 of 5, L. 17</t>
  </si>
  <si>
    <t>Page 201, L.3, Col.(d)</t>
  </si>
  <si>
    <t>to page 4 of 5, L. 18</t>
  </si>
  <si>
    <t>Page 201, L.3, Col.(e)</t>
  </si>
  <si>
    <t>to page 4 of 5, L. 19</t>
  </si>
  <si>
    <t>RETURN INPUTS</t>
  </si>
  <si>
    <t>Account 427</t>
  </si>
  <si>
    <t>Page 117, L.62, Col.(c)</t>
  </si>
  <si>
    <t>Purchase Accounting Adjustments</t>
  </si>
  <si>
    <t>Acct 427 (PA)</t>
  </si>
  <si>
    <t>Acct 427 (w.o. PA)</t>
  </si>
  <si>
    <t>Footnote to line 62</t>
  </si>
  <si>
    <t>Account 428</t>
  </si>
  <si>
    <t>Page 117, L.63, Col.(c)</t>
  </si>
  <si>
    <t>Account 428.1</t>
  </si>
  <si>
    <t>Page 117, L.64, Col.(c)</t>
  </si>
  <si>
    <t>Account 429</t>
  </si>
  <si>
    <t>Page 117, L.65, Col.(c)</t>
  </si>
  <si>
    <t>Account 429.1</t>
  </si>
  <si>
    <t>Page 117, L.66, Col.(c)</t>
  </si>
  <si>
    <t>Account 430</t>
  </si>
  <si>
    <t>Page 117, L.67, Col.(c)</t>
  </si>
  <si>
    <t>Page 118, L.29, Col.(c)</t>
  </si>
  <si>
    <t>to page 4 of 5, L. 22</t>
  </si>
  <si>
    <t>Page 112, L.16, Col.(c)</t>
  </si>
  <si>
    <t>Other Paid In Capital (PA)</t>
  </si>
  <si>
    <t>Page 112, L.7, Col.(c)</t>
  </si>
  <si>
    <t>Other Paid In Capital (w.o. PA)</t>
  </si>
  <si>
    <t>Footnote to line 7</t>
  </si>
  <si>
    <t>Retained Earnings (PA)</t>
  </si>
  <si>
    <t>Page 112, L.11, Col.(c)</t>
  </si>
  <si>
    <t>Retained Earnings (w.o. PA)</t>
  </si>
  <si>
    <t>Footnote to line 11</t>
  </si>
  <si>
    <t>Acct 216.1 (PA)</t>
  </si>
  <si>
    <t>Page 112, L.12, Col.(c)</t>
  </si>
  <si>
    <t>Acct. 216.1 (w.o. PA)</t>
  </si>
  <si>
    <t>Footnote to L.12</t>
  </si>
  <si>
    <t>Acct 219 (PA)</t>
  </si>
  <si>
    <t>Page 112, L.15, Col.(c)</t>
  </si>
  <si>
    <t>Acct 219 (w.o. PA)</t>
  </si>
  <si>
    <t>Footnote to L.15</t>
  </si>
  <si>
    <t>Proprietary Capital without Purchase Accounting</t>
  </si>
  <si>
    <t>to page 4 of 5, L. 23</t>
  </si>
  <si>
    <t>ADJUSTMENTS TO CAPITALIZATION</t>
  </si>
  <si>
    <t>Unappropriated Undistributed Earnings</t>
  </si>
  <si>
    <t>Accum. OCI, Acct. 219</t>
  </si>
  <si>
    <t>Unappropriated Undistributed Earnings w/o PA</t>
  </si>
  <si>
    <t>to page 4 of 5, L. 25</t>
  </si>
  <si>
    <t>LONG TERM DEBT</t>
  </si>
  <si>
    <t>Total Long Term Debt</t>
  </si>
  <si>
    <t>Page 112, L.24, Col.(c)</t>
  </si>
  <si>
    <t>Acct 224 (PA)</t>
  </si>
  <si>
    <t>Page 112, L.21, Col.(c)</t>
  </si>
  <si>
    <t>Acct 224 ( w.o. PA)</t>
  </si>
  <si>
    <t>Footnote to L.21</t>
  </si>
  <si>
    <t>Return on Equity</t>
  </si>
  <si>
    <t>Set by FERC Order; only change with authorization to do so.</t>
  </si>
  <si>
    <t>Account 456 -- Other Electric Revenues</t>
  </si>
  <si>
    <t>Total Transmission Charges</t>
  </si>
  <si>
    <t>Page 330, Col.(n)</t>
  </si>
  <si>
    <t>Page 328, Col.(d) contains FNO</t>
  </si>
  <si>
    <t>Page 330, L.1, Col.(n)</t>
  </si>
  <si>
    <t>Page 330, L.4, Col.(n)</t>
  </si>
  <si>
    <t>Page 330, L.6, Col.(n)</t>
  </si>
  <si>
    <t>Page 330, L.13, Col.(n)</t>
  </si>
  <si>
    <t>Page 330, L.15, Col.(n)</t>
  </si>
  <si>
    <t>Page 330, L.16, Col.(n)</t>
  </si>
  <si>
    <t>Page 330, L.17, Col.(n)</t>
  </si>
  <si>
    <t>Page 330, L.28, Col.(n)</t>
  </si>
  <si>
    <t>Page 330, L.29, Col.(n)</t>
  </si>
  <si>
    <t>Page 330, L.30, Col.(n)</t>
  </si>
  <si>
    <t>Page 330, L.31, Col.(n)</t>
  </si>
  <si>
    <t>Page 330, L.32, Col.(n)</t>
  </si>
  <si>
    <t>Page 330, L.33, Col.(n)</t>
  </si>
  <si>
    <t>Page 330, L.34, Col.(n)</t>
  </si>
  <si>
    <t>Page 328, Col.(d) contains OLF</t>
  </si>
  <si>
    <t>Page 330, L.11, Col.(n)</t>
  </si>
  <si>
    <t>Page 328, Col.(d) contains FNS</t>
  </si>
  <si>
    <t>no FNS codes for either company</t>
  </si>
  <si>
    <t>Page 328, Col.(d) contains AD</t>
  </si>
  <si>
    <t>Page 330, L.14, Col.(n)</t>
  </si>
  <si>
    <t>Page 330, L.27, Col.(n)</t>
  </si>
  <si>
    <t>Page 328, Col.(d) contains LFP</t>
  </si>
  <si>
    <t>Page 330, L.5, Col.(n)</t>
  </si>
  <si>
    <t>Page 330, L.7, Col.(n)</t>
  </si>
  <si>
    <t>Page 330, L.26, Col.(n)</t>
  </si>
  <si>
    <t>Excluded Charges</t>
  </si>
  <si>
    <t>Schedule 1</t>
  </si>
  <si>
    <t>LG&amp;E</t>
  </si>
  <si>
    <t>Expenses</t>
  </si>
  <si>
    <t>Ancillary service expenses are itemized above for removal from Attachment O.</t>
  </si>
  <si>
    <t>Revenue</t>
  </si>
  <si>
    <t>Scheduling System Control &amp; Dispatch</t>
  </si>
  <si>
    <t>To Sch. 1, Line 11</t>
  </si>
  <si>
    <t>Revenue from Network &amp; Long Term</t>
  </si>
  <si>
    <t>To Sch. 1, Line 12</t>
  </si>
  <si>
    <t>Sch. 1 charges for network, long term firm, and firm other; provided by F. Rubio, Transmission</t>
  </si>
  <si>
    <t>Short-Term and Non-Firm Revenue</t>
  </si>
  <si>
    <t>To Sch. 1, Line 13</t>
  </si>
  <si>
    <t>Beginning</t>
  </si>
  <si>
    <t>Transfers/</t>
  </si>
  <si>
    <t>Ending</t>
  </si>
  <si>
    <t>Balance</t>
  </si>
  <si>
    <t>Additions</t>
  </si>
  <si>
    <t>Retirements</t>
  </si>
  <si>
    <t>Adjustments</t>
  </si>
  <si>
    <t>Net Additions</t>
  </si>
  <si>
    <t>TOTAL 101 &amp; 106</t>
  </si>
  <si>
    <t>Plant in Service</t>
  </si>
  <si>
    <t>Electric Transmission</t>
  </si>
  <si>
    <t>E350.10-Land Rights</t>
  </si>
  <si>
    <t>E350.20-Land</t>
  </si>
  <si>
    <t>E352.10-Struct &amp; Imp-Non Sys Contro</t>
  </si>
  <si>
    <t>E353.10-Station Equipment - Non Sys</t>
  </si>
  <si>
    <t>E354.00-Towers and Fixtures</t>
  </si>
  <si>
    <t>E355.00-Poles and Fixtures</t>
  </si>
  <si>
    <t>E356.00-OH Conductors and Devices</t>
  </si>
  <si>
    <t>E357.00-Underground Conduit</t>
  </si>
  <si>
    <t>E358.00-Underground Conductors a</t>
  </si>
  <si>
    <t>Electric Transmission -- 500kV Transmission Line Located in Virginia, serving Kentucky</t>
  </si>
  <si>
    <t>Electric Transmission -- Virginia Balances excluded from OATT formula rate</t>
  </si>
  <si>
    <t xml:space="preserve">Type of Service </t>
  </si>
  <si>
    <t xml:space="preserve">Unit of Measure </t>
  </si>
  <si>
    <t>Hourly Peak</t>
  </si>
  <si>
    <t xml:space="preserve">$/MWh </t>
  </si>
  <si>
    <t>Hourly Off-Peak</t>
  </si>
  <si>
    <t>Daily Peak</t>
  </si>
  <si>
    <t>$/MW-Day</t>
  </si>
  <si>
    <t>Daily Off-Peak</t>
  </si>
  <si>
    <t xml:space="preserve">Weekly  </t>
  </si>
  <si>
    <t>$/MW-Week</t>
  </si>
  <si>
    <t xml:space="preserve">Monthly </t>
  </si>
  <si>
    <t>$/MW-Month</t>
  </si>
  <si>
    <t xml:space="preserve">Schedule 1 </t>
  </si>
  <si>
    <t>$/MWh</t>
  </si>
  <si>
    <t>354.24,25,26.b</t>
  </si>
  <si>
    <t>LGE balance, per Form 1 page 356.1 (excludes all 107)</t>
  </si>
  <si>
    <t>101 &amp; 106</t>
  </si>
  <si>
    <t>to Page 2 of 5, L. 25</t>
  </si>
  <si>
    <t>to Page 2 of 5, L. 24</t>
  </si>
  <si>
    <t>to Page 2 of 5, L. 27, col.3 (enter negative)</t>
  </si>
  <si>
    <t>Common ARO (electric only)</t>
  </si>
  <si>
    <t>P.356.1, acct 399 (LGE only)</t>
  </si>
  <si>
    <t>Amortization complete February 2014</t>
  </si>
  <si>
    <t>Amortization until July 2020</t>
  </si>
  <si>
    <t>FERC audit expenses are recoverable through the transmission revenue requirement and are included in the total entered in C&amp;D179</t>
  </si>
  <si>
    <t>Reg Comm Expenses</t>
  </si>
  <si>
    <t>Page 262-3, L.8, Col.(i)</t>
  </si>
  <si>
    <t>T = L. 21</t>
  </si>
  <si>
    <t>Page 330, L.19, Col.(n)</t>
  </si>
  <si>
    <t>Page 330, L.23, Col.(n)</t>
  </si>
  <si>
    <t>Page 330, L.25, Col.(n)</t>
  </si>
  <si>
    <t>n/a</t>
  </si>
  <si>
    <t>SCHEDULE 1 FORMULA DEVELOPMENT</t>
  </si>
  <si>
    <t>Line No</t>
  </si>
  <si>
    <t>Description</t>
  </si>
  <si>
    <t>Reference</t>
  </si>
  <si>
    <t>Expense</t>
  </si>
  <si>
    <t>Form 1 Page</t>
  </si>
  <si>
    <t>Load Dispatching</t>
  </si>
  <si>
    <t>Load Dispatch-Reliability</t>
  </si>
  <si>
    <t>321.85.b</t>
  </si>
  <si>
    <t>Load Dispatch-Monitor &amp; Operate Transmission System</t>
  </si>
  <si>
    <t>321.86.b</t>
  </si>
  <si>
    <t>Load Dispatch-Transmission Service and Scheduling</t>
  </si>
  <si>
    <t>321.87.b</t>
  </si>
  <si>
    <t>Scheduling, System Control &amp; Dispatch Services</t>
  </si>
  <si>
    <t>321.88.b</t>
  </si>
  <si>
    <t>Reliability, Planning &amp; Standards Development</t>
  </si>
  <si>
    <t>321.89.b</t>
  </si>
  <si>
    <t>Transmission Service Studies</t>
  </si>
  <si>
    <t>321.90.b</t>
  </si>
  <si>
    <t>Generation Interconnection Studies</t>
  </si>
  <si>
    <t>321.91.b</t>
  </si>
  <si>
    <t>Reliability, Planning &amp; Standards Development Services</t>
  </si>
  <si>
    <t>321.92.b</t>
  </si>
  <si>
    <t>Sum of O&amp;M Expenses</t>
  </si>
  <si>
    <t>line 11 + line 12</t>
  </si>
  <si>
    <t>Revenue Requirement</t>
  </si>
  <si>
    <t>line 10 - line 13</t>
  </si>
  <si>
    <t>Transmission System 12 CP</t>
  </si>
  <si>
    <t>Att. O, pg 1, line 15</t>
  </si>
  <si>
    <t>Annual Schedule 1 Rate</t>
  </si>
  <si>
    <t>line 14 / line 15</t>
  </si>
  <si>
    <t>line 16 / 12</t>
  </si>
  <si>
    <t>to page 4 of 5, L. 30</t>
  </si>
  <si>
    <t>to Page 2 of 5, L. 31, col.3</t>
  </si>
  <si>
    <t>Total Includable O&amp;M</t>
  </si>
  <si>
    <t>Net Includable Depreciation Expense</t>
  </si>
  <si>
    <t>Total Adjustments</t>
  </si>
  <si>
    <t>LSE Direct Assign assets-rate base adjustment</t>
  </si>
  <si>
    <t>Network Upgrade assets-rate base adjustment</t>
  </si>
  <si>
    <t>check total-NITS</t>
  </si>
  <si>
    <t>check total-PTP</t>
  </si>
  <si>
    <t>total Gross Plant</t>
  </si>
  <si>
    <t>Total Accumulated Reserve</t>
  </si>
  <si>
    <t>Total Wages and Salaries</t>
  </si>
  <si>
    <t>Input Data for Annual Update of the LG&amp;E/KU Attachment O Formula Rate</t>
  </si>
  <si>
    <t>12 CP Data, firm Point to Point:</t>
  </si>
  <si>
    <t>Error checks</t>
  </si>
  <si>
    <t>Line 35a-Transmission Charges for all transmission transactions:</t>
  </si>
  <si>
    <t>year, include dollar amounts on appropriate acct row in the Additions column; otherwise, check for change in balance due to retirements.  Previous</t>
  </si>
  <si>
    <t>year ending balance is transferred to current year beginning balance, additions and retirements are entered as appropriate in columns, and ending</t>
  </si>
  <si>
    <t>balance is updated automatically.</t>
  </si>
  <si>
    <t>remove from all formula rate components any costs related to VA transmission facilities from total transmission on Page 2 of 5, line 8.</t>
  </si>
  <si>
    <t>Kentucky Utilities Company</t>
  </si>
  <si>
    <t>Per Plant Report</t>
  </si>
  <si>
    <t>Ending Balance</t>
  </si>
  <si>
    <t>Check</t>
  </si>
  <si>
    <t>Notes: Source spreadsheet provided by Property Accounting for the annual cost separation study.  If any entries in the Date column are for current</t>
  </si>
  <si>
    <t xml:space="preserve">Notes:  VA transmission plant total from row 59 below is linked to Page 4 of 5, line 2, and a transmission plant allocator is calculated to appropriately </t>
  </si>
  <si>
    <t>Tab:  VA_PIS NBV P9 (REG) -- Electric Transmission only starting on row 46 of support file</t>
  </si>
  <si>
    <t>If any, see "Power Transaction Schedule(s)" in applicable Form B</t>
  </si>
  <si>
    <t>Plant reports, P2 REG (KU), P11 (LGE)</t>
  </si>
  <si>
    <t>Plant reports, P5 REG (LGE only)</t>
  </si>
  <si>
    <t>copy prev yr end bal to beg, multiply by calculated depreciation rate in I153</t>
  </si>
  <si>
    <t>Depreciation Expense Adjustment</t>
  </si>
  <si>
    <t>Page 351, L.46, Col.(h)</t>
  </si>
  <si>
    <t>Page 262-3, L.14 (K), L.17 (L), Col.(i)</t>
  </si>
  <si>
    <t>Page 330, L.3, Col.(n)</t>
  </si>
  <si>
    <t>Page 330, L.20, Col.(n)</t>
  </si>
  <si>
    <t>request for transmission service that are deemed beneficial to entire network system.</t>
  </si>
  <si>
    <t>reviewing Plant Report Pg 26 REG (LGE) and Pg 13 REG (KU)</t>
  </si>
  <si>
    <t>Page 262-3, L.15 (K), L.14 (L), Col.(i)</t>
  </si>
  <si>
    <t>Page 262-3, L.11 (K), L.12 (L), Col.(i)</t>
  </si>
  <si>
    <t>to Page 5 of 5, Note K</t>
  </si>
  <si>
    <t>Net Book Network Upgrade Assets</t>
  </si>
  <si>
    <t>to Page 3 of 5, L. 8, col.3</t>
  </si>
  <si>
    <t>to Page 3 of 5, L. 12, col.3</t>
  </si>
  <si>
    <t>to Page 3 of 5, L. 15, col.3</t>
  </si>
  <si>
    <t>Page 351, L.3, Col.(h) LGE only</t>
  </si>
  <si>
    <t>Reference: Depreciation Expense per Form 1, Page 336, Col.(f)</t>
  </si>
  <si>
    <t>Accumulated Reserve per Form 1, Pages 200 col. (c), 219 col. (c), &amp; 356.1</t>
  </si>
  <si>
    <t>All Sch. 1 charges except the cost of depancaking for OMU and KMPA; provided by F. Rubio, Transmission</t>
  </si>
  <si>
    <t>Page 262-3, L.15 (K), Col.(i)</t>
  </si>
  <si>
    <t>* Asset retirement obligations do not have specific depreciation</t>
  </si>
  <si>
    <t>Exclude gas amounts</t>
  </si>
  <si>
    <t>check totals-Sch1</t>
  </si>
  <si>
    <t>Electric Allocation Ratio, per Form 1 page 356.1</t>
  </si>
  <si>
    <t>Page 351, L.XX KU,L.XX LGE, Col.(h)</t>
  </si>
  <si>
    <t>Page 330.1, L.1, Col.(n)</t>
  </si>
  <si>
    <t>Form 1, p. 311, col. (f)</t>
  </si>
  <si>
    <t>Electric portion obtained from LG&amp;E Electric Gas Split Report</t>
  </si>
  <si>
    <t>Note: The following disclosures relate to accounting errors that impact the current year rates.</t>
  </si>
  <si>
    <t>Individual Error Impact</t>
  </si>
  <si>
    <t>1)</t>
  </si>
  <si>
    <t>2)</t>
  </si>
  <si>
    <t>4)</t>
  </si>
  <si>
    <t>5)</t>
  </si>
  <si>
    <t>Actual Cumulative Error Impact</t>
  </si>
  <si>
    <t>As Originally Filed</t>
  </si>
  <si>
    <t>Transmission Formula Disclosures</t>
  </si>
  <si>
    <t>NITS Monthly Rate ($/kW)</t>
  </si>
  <si>
    <t>PTP Monthly Rate ($/kW)</t>
  </si>
  <si>
    <t>Note: Beginning in Q3 2017, LG&amp;E and KU notified FERC of a change to their FERC Form 1 reporting to exclude purchase accounting activity, which is not included in the determination of the transmission rates.  With this reporting change, the purchase accounting adjustments to Form 1 amounts previously shown on this tab are no longer required to determine the amounts used in the formula rates.   A reconciliation of Form 1 amounts to GAAP amounts, which include purchase accounting activity, is disclosed in the Notes on Page 123 of the Form 1 for each company.</t>
  </si>
  <si>
    <t>Monthly Firm and Non-Firm Rate ((line 16) / 12)</t>
  </si>
  <si>
    <t>Weekly Firm and Non-Firm Rate ((line 16) / 52)</t>
  </si>
  <si>
    <t>line 16 / 52</t>
  </si>
  <si>
    <t>$/kw-year</t>
  </si>
  <si>
    <t>$/kw-mo.</t>
  </si>
  <si>
    <t>$/kw-week</t>
  </si>
  <si>
    <t>$/kw-day</t>
  </si>
  <si>
    <t>$/kw-hour</t>
  </si>
  <si>
    <t>Page 330, L.18, Col.(n)</t>
  </si>
  <si>
    <t>Page 330, L.12, Col.(n)</t>
  </si>
  <si>
    <t>Pensions</t>
  </si>
  <si>
    <t>Green River plant retirement</t>
  </si>
  <si>
    <t>2009 Ice storm transmission portion only</t>
  </si>
  <si>
    <t>Kentucky Utilities Company/Louisville Gas and Electric Company</t>
  </si>
  <si>
    <t>6)</t>
  </si>
  <si>
    <t>7)</t>
  </si>
  <si>
    <t>8)</t>
  </si>
  <si>
    <t>9)</t>
  </si>
  <si>
    <t xml:space="preserve">Green River Retirement Tax amortization </t>
  </si>
  <si>
    <t>Regulatory Asset Adjustments:</t>
  </si>
  <si>
    <t>KU amount minus amount on row 232 and LGE amount agree to total on page 263, column i</t>
  </si>
  <si>
    <t>11)</t>
  </si>
  <si>
    <t>10)</t>
  </si>
  <si>
    <t>If Excluded from Current Year Results</t>
  </si>
  <si>
    <t>Cumulative Error Impacts (1)</t>
  </si>
  <si>
    <t>(1) May not tie to the sum of the individual error impacts above due to rounding.</t>
  </si>
  <si>
    <t>Page 330, L.24, Col.(n)</t>
  </si>
  <si>
    <t>Page 330, L.10, Col.(n)</t>
  </si>
  <si>
    <t>Page 330, L.2, Col.(n)</t>
  </si>
  <si>
    <t>Page 330, L.21, Col.(n)</t>
  </si>
  <si>
    <t>Page 330, L.22, Col.(n)</t>
  </si>
  <si>
    <t>confirm links to transmission plant and book depreciation expense in O163:O164</t>
  </si>
  <si>
    <t>copy prev yr end bal to beg, multiply by calculated depreciation rate in I165</t>
  </si>
  <si>
    <t>Source:  VA 500 KV Line - Dec 2018.xlsx prepared by Property Accounting</t>
  </si>
  <si>
    <t>to Page 2 of 5, L. 32, col.3</t>
  </si>
  <si>
    <t>to page 4 of 5, L. 28</t>
  </si>
  <si>
    <t>to page 4 of 5, L. 36</t>
  </si>
  <si>
    <t>agree to page 4 of 5, L. 38</t>
  </si>
  <si>
    <t>to Page 4 of 5, L. 37</t>
  </si>
  <si>
    <t>3)</t>
  </si>
  <si>
    <t>26a</t>
  </si>
  <si>
    <t>26b</t>
  </si>
  <si>
    <t>Protected (Property Related) Deferred Taxes:</t>
  </si>
  <si>
    <t>Tax Repairs Expensing</t>
  </si>
  <si>
    <t>Contributions in Aid of Construction (CIAC)</t>
  </si>
  <si>
    <t>Interest Capitalized</t>
  </si>
  <si>
    <t>Other Basis Adjustments</t>
  </si>
  <si>
    <t>Total Basis Adjustments</t>
  </si>
  <si>
    <t>Tax versus Book (method/life) Depreciation - Federal</t>
  </si>
  <si>
    <t>Tax versus Book (method/life) Depreciation - State</t>
  </si>
  <si>
    <t>Federal Net Operating Losses</t>
  </si>
  <si>
    <t>Unprotected Deferred Taxes:</t>
  </si>
  <si>
    <t>2008 Wind Storm Damages</t>
  </si>
  <si>
    <t>2009 Winter Storm Damages</t>
  </si>
  <si>
    <t>2011 Summer Storm Damages</t>
  </si>
  <si>
    <t>African American Venture Fund</t>
  </si>
  <si>
    <t>Amortization Loss on Reacquired Debt</t>
  </si>
  <si>
    <t>Bad Debts Reserves</t>
  </si>
  <si>
    <t>CAFC - Federal</t>
  </si>
  <si>
    <t>CAFC - State</t>
  </si>
  <si>
    <t>Capitalized Gas Inventory Costs</t>
  </si>
  <si>
    <t>CMRG Regulatory Asset</t>
  </si>
  <si>
    <t>Contingency Reserve</t>
  </si>
  <si>
    <t>Demand Side Management</t>
  </si>
  <si>
    <t>Emission Allowances</t>
  </si>
  <si>
    <t>FAS 106 Cost Write-Off (Post Retirement)</t>
  </si>
  <si>
    <t>FAS 112 Cost Write-Off (Post Employment)</t>
  </si>
  <si>
    <t>FAS 87 Pensions</t>
  </si>
  <si>
    <t>Gas Line Tracker Reg Liab - Current</t>
  </si>
  <si>
    <t>Interest Rate Swaps</t>
  </si>
  <si>
    <t>Line Pack - IRS Audit</t>
  </si>
  <si>
    <t>Off-System Sales Tracker - Reg Liab</t>
  </si>
  <si>
    <t>Performance Incentive</t>
  </si>
  <si>
    <t xml:space="preserve">Plant Outage Normalization - Reg Asset </t>
  </si>
  <si>
    <t>Prepaid Insurance</t>
  </si>
  <si>
    <t>Purchased Gas Adjustment - Current</t>
  </si>
  <si>
    <t>Refined Coal - KY - Reg Liab</t>
  </si>
  <si>
    <t>Regulatory Expenses</t>
  </si>
  <si>
    <t>Research Dev. &amp; Demo Exp.</t>
  </si>
  <si>
    <t>State Tax Current</t>
  </si>
  <si>
    <t>Swap Termination</t>
  </si>
  <si>
    <t>Tenant Incentive Amortization</t>
  </si>
  <si>
    <t>Unclaimed Checks</t>
  </si>
  <si>
    <t>Vacation Pay</t>
  </si>
  <si>
    <t>Workers Compensation</t>
  </si>
  <si>
    <t>Cumulative Timing Differences as of 2017 Tax Return</t>
  </si>
  <si>
    <t>Deferred Rent Payable</t>
  </si>
  <si>
    <t>FAC Under Recovery KY</t>
  </si>
  <si>
    <t>Green River Regulatory Asset</t>
  </si>
  <si>
    <t>Muni True-up - Reg Asset</t>
  </si>
  <si>
    <t>Over/Under Accrual FICA</t>
  </si>
  <si>
    <t>Over/Under Accrual of PSC Tax</t>
  </si>
  <si>
    <t>Over/Under Accrual of UN/INS</t>
  </si>
  <si>
    <t>Refined Coal - VA - Reg Liab</t>
  </si>
  <si>
    <t>VA over/under Recovery Fuel Clause - Current</t>
  </si>
  <si>
    <t>Environmental Cost Recovery</t>
  </si>
  <si>
    <t>OLD
Fed - 35%, KY - 6%</t>
  </si>
  <si>
    <t>NEW
(Fed - 21%, KY - 5%)</t>
  </si>
  <si>
    <t>Combined Utilities</t>
  </si>
  <si>
    <t>CCR ARO Ponds</t>
  </si>
  <si>
    <t>Tax versus Book (method/life) Depreciation - Fed Offset</t>
  </si>
  <si>
    <t>(a)</t>
  </si>
  <si>
    <t>(b)</t>
  </si>
  <si>
    <t>ADIT Balance at Statutory Rates</t>
  </si>
  <si>
    <t>Line No.</t>
  </si>
  <si>
    <t>(d)</t>
  </si>
  <si>
    <t>(f)</t>
  </si>
  <si>
    <t>(g)</t>
  </si>
  <si>
    <t>(h)</t>
  </si>
  <si>
    <t>(i)</t>
  </si>
  <si>
    <t>24a</t>
  </si>
  <si>
    <t>24b</t>
  </si>
  <si>
    <t>Sum of Ls. 25-26b</t>
  </si>
  <si>
    <t>(Excess)/Deficient ADIT Amortization - Protected</t>
  </si>
  <si>
    <t>(Excess)/Deficient ADIT Amortization - Unprotected</t>
  </si>
  <si>
    <t>(Excess)/Deficient ADIT Amortization - Unprotected - Grossed-Up</t>
  </si>
  <si>
    <t>(Excess)/Deficient ADIT Amortization - Protected - Grossed-Up</t>
  </si>
  <si>
    <t>on this row represents the difference between beginning the amortization on January 1, 2018, as proposed in the formula, versus beginning May 1, 2019.</t>
  </si>
  <si>
    <t>on this row represents the difference between beginning the amortization on January 1, 2018, as proposed in the formula, versus beginning June 1, 2018, as well as the difference between the amortization periods.</t>
  </si>
  <si>
    <t>represents the difference between beginning the amortization on January 1, 2018, as proposed in the formula, versus no amortization.</t>
  </si>
  <si>
    <t>Notes</t>
  </si>
  <si>
    <t>(e)</t>
  </si>
  <si>
    <t>(c)</t>
  </si>
  <si>
    <t>(j)</t>
  </si>
  <si>
    <t>LG&amp;E and KU HB 487 - 15 years beginning 5/1/19 (Note D)</t>
  </si>
  <si>
    <t>For the Kentucky jurisdiction, unprotected excess/deficient ADIT balances resulting from KY HB 487 are amortized over a 15-year period beginning May 1, 2019 per final order in Case No. 2018-00294.  The amount</t>
  </si>
  <si>
    <t>KU TCJA Virginia Juris - 5 years beginning 6/1/18 (Note E)</t>
  </si>
  <si>
    <t>KU FERC Municipals - No approved amortization period (Note F)</t>
  </si>
  <si>
    <t>For the Virginia jurisdiction, unprotected excess/deficient ADIT balances resulting from TCJA are amortized over a 5-year period beginning June 1, 2018 per final order in Case No. PUR-2017-00106.  The amount</t>
  </si>
  <si>
    <t>For the FERC Generation Formula rates, KU has not begun to amortize unprotected excess/deficient ADIT balances and plans to address the amortization period in future rate filings.  The amount on this row</t>
  </si>
  <si>
    <t>Unprotected Excess/Deficient Deferred Tax (Note C)</t>
  </si>
  <si>
    <t>Total Unprotected Excess/Deficient Deferred Tax Per FORM 1</t>
  </si>
  <si>
    <t xml:space="preserve">Protected Excess/Deficient Deferred Tax </t>
  </si>
  <si>
    <t>Total Protected Excess/Deficient Deferred Tax Per FORM 1</t>
  </si>
  <si>
    <t>L. 23 x L. 24a; see also Note S</t>
  </si>
  <si>
    <t>L. 23 x L. 24b; see also Note S</t>
  </si>
  <si>
    <t>ADIT Worksheet, L. 1</t>
  </si>
  <si>
    <t>ADIT Worksheet, L. 2</t>
  </si>
  <si>
    <t>L. 23 x L 24a; see also Note S</t>
  </si>
  <si>
    <t>L. 23 x L 24b; see also Note S</t>
  </si>
  <si>
    <t>Excess/Deficient Deferred Taxes - Protected and Unprotected</t>
  </si>
  <si>
    <t>LG&amp;E - Electric</t>
  </si>
  <si>
    <t>Excess/(Deficient) ADIT - Current Tax Reform 
(Note A)</t>
  </si>
  <si>
    <t>Excess/(Deficient) ADIT - Prior Tax Reform</t>
  </si>
  <si>
    <t>(k)</t>
  </si>
  <si>
    <t>(l)</t>
  </si>
  <si>
    <t>Excess/(Deficient) ADIT 
12/31/2018</t>
  </si>
  <si>
    <t>ARAM</t>
  </si>
  <si>
    <t>LG&amp;E - Gas Protected Excess/Deficient Deferred Tax</t>
  </si>
  <si>
    <t>15  Years</t>
  </si>
  <si>
    <t>LG&amp;E - Gas Unprotected Excess/Deficient Deferred Tax</t>
  </si>
  <si>
    <t>Includes amounts recorded to Accounts 411.1 and 410.1 for amortization of excess/deficient ADIT resulting from tax rate changes.</t>
  </si>
  <si>
    <t>Excess/Deficient ADIT balances resulting from corporate income tax rate changes are recorded to account 254/182.3.</t>
  </si>
  <si>
    <t>Excess/Deficient ADIT balances are amortized to accounts 411.1/410.1.</t>
  </si>
  <si>
    <t>Amortization Period         (Note C)</t>
  </si>
  <si>
    <t>Amortization of (Excess)/Deficient ADIT - 2018       (Note B)</t>
  </si>
  <si>
    <t>The protected excess/deficient ADIT balances utilize an amortization period based on ARAM, and the unprotected excess/deficient ADIT balances are amortized on a straight-line method based on the balances recorded as of 12/31/17 divided by a 15-year amortization period.</t>
  </si>
  <si>
    <t>Total Excess/(Deficient) ADIT as of 2018 Tax Return</t>
  </si>
  <si>
    <r>
      <t xml:space="preserve">LG&amp;E col (h) = </t>
    </r>
    <r>
      <rPr>
        <sz val="10"/>
        <color rgb="FF0070C0"/>
        <rFont val="Calibri"/>
        <family val="2"/>
        <scheme val="minor"/>
      </rPr>
      <t>0 for 2019</t>
    </r>
  </si>
  <si>
    <t>Source:  December 2019 Kentucky Utilities Company Monthly Plant Report prepared by Property Accounting</t>
  </si>
  <si>
    <t>Amortization of (Excess)/Deficient ADIT - 2019
(Note B)</t>
  </si>
  <si>
    <t>Excess/(Deficient) ADIT 
12/31/2019</t>
  </si>
  <si>
    <t>(m)</t>
  </si>
  <si>
    <t>(n)</t>
  </si>
  <si>
    <t>Account 454 - Pole Attachment Revenues</t>
  </si>
  <si>
    <t>Page 330, L.8, Col.(n)</t>
  </si>
  <si>
    <t xml:space="preserve">     ASC 740 Adjustment</t>
  </si>
  <si>
    <t xml:space="preserve">     Adj. to Reverse ADIT Related to Leases</t>
  </si>
  <si>
    <t>P. 275, L. 2, Col. (k), Footnote Data</t>
  </si>
  <si>
    <t>P. 234, L. 8, Col. (c), Notes</t>
  </si>
  <si>
    <t xml:space="preserve">     Other (w PA) Total</t>
  </si>
  <si>
    <t xml:space="preserve">     Other (w.o.  PA) Total</t>
  </si>
  <si>
    <t xml:space="preserve">   ASC 740 Adjustment</t>
  </si>
  <si>
    <t xml:space="preserve"> KU J260-0110-0919 Move transmission line charges</t>
  </si>
  <si>
    <t xml:space="preserve"> KU J260-0110-0219 Move transmission line charges</t>
  </si>
  <si>
    <t xml:space="preserve"> KU J260-0110-0119 Move transmission line charges</t>
  </si>
  <si>
    <t xml:space="preserve"> KU J260-0110-0419 Move transmission line charges</t>
  </si>
  <si>
    <t xml:space="preserve"> KU J260-0110-0619 Move transmission line charges</t>
  </si>
  <si>
    <t xml:space="preserve"> LGE J260-0100-0119 Move transmission line charges</t>
  </si>
  <si>
    <t xml:space="preserve"> LGE J260-0100-0719 Move transmission line charges</t>
  </si>
  <si>
    <t xml:space="preserve">Resulted in Increase (Decrease) to 2019 Revenue Requirement </t>
  </si>
  <si>
    <t>2019 Net Revenue Requirement</t>
  </si>
  <si>
    <t>2019 Rates</t>
  </si>
  <si>
    <t xml:space="preserve"> LGE J260-0100-0819 Undo Write-Off Due to Credit From Contractor</t>
  </si>
  <si>
    <t xml:space="preserve"> LGE J260-0100-0419 Write-Off Balance Due To Project Delay</t>
  </si>
  <si>
    <t>line 16 / 365</t>
  </si>
  <si>
    <t>line 16 / 8,760</t>
  </si>
  <si>
    <t>Daily Firm and Non-Firm Rate ((line 16) / 365)</t>
  </si>
  <si>
    <t>Hourly Non-Firm Rate ((line 16) / 8,760)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</si>
</sst>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quot;$&quot;* #,##0_);_(&quot;$&quot;* \(#,##0\);_(&quot;$&quot;* &quot;-&quot;??_);_(@_)"/>
    <numFmt numFmtId="171" formatCode="0.000%"/>
    <numFmt numFmtId="172" formatCode="&quot;$&quot;#,##0"/>
    <numFmt numFmtId="173" formatCode="#,##0.0"/>
    <numFmt numFmtId="174" formatCode="#,##0.0000"/>
    <numFmt numFmtId="175" formatCode="_(* #,##0_);_(* \(#,##0\);_(* &quot;-&quot;??_);_(@_)"/>
    <numFmt numFmtId="176" formatCode="_-* #,##0.00\ [$€]_-;\-* #,##0.00\ [$€]_-;_-* &quot;-&quot;??\ [$€]_-;_-@_-"/>
    <numFmt numFmtId="177" formatCode="0\ 00\ 000\ 000"/>
    <numFmt numFmtId="178" formatCode="[$-409]d\-mmm\-yy;@"/>
    <numFmt numFmtId="179" formatCode="&quot;$&quot;#,##0\ ;\(&quot;$&quot;#,##0\)"/>
    <numFmt numFmtId="180" formatCode="#,##0.00;[Red]\(#,##0.00\)"/>
    <numFmt numFmtId="181" formatCode="0_);\(0\)"/>
    <numFmt numFmtId="182" formatCode="_(* #,##0.00000_);_(* \(#,##0.00000\);_(* &quot;-&quot;??_);_(@_)"/>
    <numFmt numFmtId="183" formatCode="0.000"/>
    <numFmt numFmtId="184" formatCode="_(* #,##0.000_);_(* \(#,##0.000\);_(* &quot;-&quot;??_);_(@_)"/>
    <numFmt numFmtId="185" formatCode="_(&quot;$&quot;* #,##0.000_);_(&quot;$&quot;* \(#,##0.000\);_(&quot;$&quot;* &quot;-&quot;??_);_(@_)"/>
    <numFmt numFmtId="186" formatCode="_(* #,##0.0000_);_(* \(#,##0.0000\);_(* &quot;-&quot;??_);_(@_)"/>
    <numFmt numFmtId="187" formatCode="_(* #,##0.00000000_);_(* \(#,##0.00000000\);_(* &quot;-&quot;??_);_(@_)"/>
    <numFmt numFmtId="188" formatCode="0.00000%"/>
    <numFmt numFmtId="189" formatCode="#,##0.0000_);\(#,##0.0000\)"/>
    <numFmt numFmtId="190" formatCode="mmmm\ d\,\ yyyy\ &quot;Rate&quot;"/>
    <numFmt numFmtId="191" formatCode="&quot;$&quot;#,##0.000_);[Red]\(&quot;$&quot;#,##0.000\)"/>
    <numFmt numFmtId="192" formatCode="_(&quot;$&quot;* #,##0_)"/>
    <numFmt numFmtId="193" formatCode="_(* #,##0_)"/>
    <numFmt numFmtId="194" formatCode="_(&quot;$&quot;* #,##0.000_)"/>
    <numFmt numFmtId="195" formatCode="_(&quot;$&quot;* #,##0_);_(&quot;$&quot;* \(#,##0\)_)"/>
    <numFmt numFmtId="196" formatCode="_(* #,##0_);_(* \(#,##0\)_)"/>
    <numFmt numFmtId="197" formatCode="0.000000000"/>
    <numFmt numFmtId="198" formatCode="_(&quot;$&quot;* #,##0.000_);_(&quot;$&quot;* \(#,##0.000\);_(&quot;$&quot;* &quot;-&quot;???_);_(@_)"/>
    <numFmt numFmtId="199" formatCode="#,##0.000_);\(#,##0.000\)"/>
    <numFmt numFmtId="200" formatCode="_(* #,##0.0000000_);_(* \(#,##0.0000000\);_(* &quot;-&quot;??_);_(@_)"/>
  </numFmts>
  <fonts count="111"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sz val="10"/>
      <name val="Times New Roman"/>
      <family val="1"/>
    </font>
    <font>
      <sz val="12"/>
      <name val="Times New Roman"/>
      <family val="1"/>
    </font>
    <font>
      <sz val="10"/>
      <name val="Arial"/>
      <family val="2"/>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theme="1"/>
      <name val="Calibri"/>
      <family val="2"/>
      <scheme val="minor"/>
    </font>
    <font>
      <sz val="11"/>
      <color theme="1"/>
      <name val="Times New Roman"/>
      <family val="2"/>
    </font>
    <font>
      <sz val="9"/>
      <color theme="1"/>
      <name val="Times New Roman"/>
      <family val="2"/>
    </font>
    <font>
      <i/>
      <sz val="11"/>
      <color indexed="23"/>
      <name val="Calibri"/>
      <family val="2"/>
    </font>
    <font>
      <b/>
      <sz val="10"/>
      <name val="Arial"/>
      <family val="2"/>
    </font>
    <font>
      <b/>
      <sz val="14"/>
      <name val="Arial"/>
      <family val="2"/>
    </font>
    <font>
      <sz val="8"/>
      <name val="Arial"/>
      <family val="2"/>
    </font>
    <font>
      <sz val="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0"/>
      <color indexed="8"/>
      <name val="Arial"/>
      <family val="2"/>
    </font>
    <font>
      <sz val="11"/>
      <color indexed="10"/>
      <name val="Calibri"/>
      <family val="2"/>
    </font>
    <font>
      <sz val="11"/>
      <color indexed="19"/>
      <name val="Calibri"/>
      <family val="2"/>
    </font>
    <font>
      <sz val="10"/>
      <name val="Courier"/>
      <family val="3"/>
    </font>
    <font>
      <b/>
      <sz val="11"/>
      <color indexed="63"/>
      <name val="Calibri"/>
      <family val="2"/>
    </font>
    <font>
      <sz val="10"/>
      <color indexed="8"/>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sz val="10"/>
      <name val="MS Sans Serif"/>
      <family val="2"/>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b/>
      <sz val="18"/>
      <color indexed="62"/>
      <name val="Cambria"/>
      <family val="2"/>
    </font>
    <font>
      <b/>
      <sz val="11"/>
      <color indexed="8"/>
      <name val="Calibri"/>
      <family val="2"/>
    </font>
    <font>
      <sz val="8"/>
      <color indexed="8"/>
      <name val="Wingdings"/>
      <charset val="2"/>
    </font>
    <font>
      <sz val="12"/>
      <name val="Calibri"/>
      <family val="2"/>
      <scheme val="minor"/>
    </font>
    <font>
      <b/>
      <sz val="12"/>
      <name val="Calibri"/>
      <family val="2"/>
      <scheme val="minor"/>
    </font>
    <font>
      <sz val="12"/>
      <color indexed="17"/>
      <name val="Calibri"/>
      <family val="2"/>
      <scheme val="minor"/>
    </font>
    <font>
      <u val="singleAccounting"/>
      <sz val="12"/>
      <name val="Calibri"/>
      <family val="2"/>
      <scheme val="minor"/>
    </font>
    <font>
      <sz val="10"/>
      <name val="Calibri"/>
      <family val="2"/>
      <scheme val="minor"/>
    </font>
    <font>
      <sz val="16"/>
      <name val="Calibri"/>
      <family val="2"/>
      <scheme val="minor"/>
    </font>
    <font>
      <sz val="11"/>
      <color rgb="FF0000FF"/>
      <name val="Calibri"/>
      <family val="2"/>
      <scheme val="minor"/>
    </font>
    <font>
      <sz val="11"/>
      <name val="Calibri"/>
      <family val="2"/>
      <scheme val="minor"/>
    </font>
    <font>
      <sz val="12"/>
      <color rgb="FF0000FF"/>
      <name val="Calibri"/>
      <family val="2"/>
      <scheme val="minor"/>
    </font>
    <font>
      <sz val="12"/>
      <color indexed="10"/>
      <name val="Calibri"/>
      <family val="2"/>
      <scheme val="minor"/>
    </font>
    <font>
      <sz val="14"/>
      <name val="Calibri"/>
      <family val="2"/>
      <scheme val="minor"/>
    </font>
    <font>
      <u/>
      <sz val="12"/>
      <name val="Calibri"/>
      <family val="2"/>
      <scheme val="minor"/>
    </font>
    <font>
      <sz val="12"/>
      <color rgb="FFFF0000"/>
      <name val="Calibri"/>
      <family val="2"/>
      <scheme val="minor"/>
    </font>
    <font>
      <b/>
      <sz val="12"/>
      <color indexed="17"/>
      <name val="Calibri"/>
      <family val="2"/>
      <scheme val="minor"/>
    </font>
    <font>
      <b/>
      <u/>
      <sz val="12"/>
      <name val="Calibri"/>
      <family val="2"/>
      <scheme val="minor"/>
    </font>
    <font>
      <u val="doubleAccounting"/>
      <sz val="12"/>
      <name val="Calibri"/>
      <family val="2"/>
      <scheme val="minor"/>
    </font>
    <font>
      <sz val="10"/>
      <name val="Calibri"/>
      <family val="2"/>
    </font>
    <font>
      <sz val="12"/>
      <name val="Calibri"/>
      <family val="2"/>
    </font>
    <font>
      <sz val="10"/>
      <color rgb="FF0000FF"/>
      <name val="Calibri"/>
      <family val="2"/>
      <scheme val="minor"/>
    </font>
    <font>
      <sz val="14"/>
      <name val="Calibri"/>
      <family val="2"/>
    </font>
    <font>
      <b/>
      <sz val="11"/>
      <name val="Calibri"/>
      <family val="2"/>
      <scheme val="minor"/>
    </font>
    <font>
      <b/>
      <sz val="16"/>
      <color rgb="FF000000"/>
      <name val="Polo"/>
    </font>
    <font>
      <b/>
      <sz val="16"/>
      <name val="Polo"/>
    </font>
    <font>
      <sz val="16"/>
      <color rgb="FF000000"/>
      <name val="Polo"/>
    </font>
    <font>
      <sz val="16"/>
      <name val="Polo"/>
    </font>
    <font>
      <sz val="10"/>
      <color theme="1"/>
      <name val="Calibri"/>
      <family val="2"/>
      <scheme val="minor"/>
    </font>
    <font>
      <b/>
      <sz val="10"/>
      <name val="Calibri"/>
      <family val="2"/>
      <scheme val="minor"/>
    </font>
    <font>
      <b/>
      <u/>
      <sz val="10"/>
      <name val="Calibri"/>
      <family val="2"/>
      <scheme val="minor"/>
    </font>
    <font>
      <u/>
      <sz val="11"/>
      <name val="Calibri"/>
      <family val="2"/>
      <scheme val="minor"/>
    </font>
    <font>
      <u val="singleAccounting"/>
      <sz val="11"/>
      <name val="Calibri"/>
      <family val="2"/>
      <scheme val="minor"/>
    </font>
    <font>
      <u val="double"/>
      <sz val="11"/>
      <name val="Calibri"/>
      <family val="2"/>
      <scheme val="minor"/>
    </font>
    <font>
      <sz val="10"/>
      <color rgb="FF0070C0"/>
      <name val="Calibri"/>
      <family val="2"/>
      <scheme val="minor"/>
    </font>
    <font>
      <b/>
      <sz val="14"/>
      <name val="Calibri"/>
      <family val="2"/>
      <scheme val="minor"/>
    </font>
    <font>
      <b/>
      <u val="singleAccounting"/>
      <sz val="10"/>
      <name val="Calibri"/>
      <family val="2"/>
      <scheme val="minor"/>
    </font>
    <font>
      <b/>
      <u/>
      <sz val="12"/>
      <color theme="1"/>
      <name val="Calibri"/>
      <family val="2"/>
      <scheme val="minor"/>
    </font>
    <font>
      <sz val="10"/>
      <color rgb="FFFF0000"/>
      <name val="Calibri"/>
      <family val="2"/>
      <scheme val="minor"/>
    </font>
    <font>
      <b/>
      <sz val="14"/>
      <color rgb="FFFF0000"/>
      <name val="Calibri"/>
      <family val="2"/>
      <scheme val="minor"/>
    </font>
    <font>
      <sz val="12"/>
      <color theme="1"/>
      <name val="Calibri"/>
      <family val="2"/>
      <scheme val="minor"/>
    </font>
    <font>
      <sz val="10"/>
      <color theme="1"/>
      <name val="Arial Narrow"/>
      <family val="2"/>
    </font>
    <font>
      <sz val="10"/>
      <color rgb="FFFF0000"/>
      <name val="Arial Narrow"/>
      <family val="2"/>
    </font>
    <font>
      <b/>
      <sz val="10"/>
      <color indexed="9"/>
      <name val="Arial Narrow"/>
      <family val="2"/>
    </font>
    <font>
      <b/>
      <u val="singleAccounting"/>
      <sz val="10"/>
      <color theme="1"/>
      <name val="Arial Narrow"/>
      <family val="2"/>
    </font>
    <font>
      <b/>
      <u/>
      <sz val="10"/>
      <color theme="1"/>
      <name val="Arial Narrow"/>
      <family val="2"/>
    </font>
    <font>
      <i/>
      <sz val="10"/>
      <color rgb="FF000099"/>
      <name val="Arial Narrow"/>
      <family val="2"/>
    </font>
    <font>
      <i/>
      <sz val="10"/>
      <name val="Arial Narrow"/>
      <family val="2"/>
    </font>
    <font>
      <sz val="10"/>
      <name val="Arial Narrow"/>
      <family val="2"/>
    </font>
    <font>
      <u val="singleAccounting"/>
      <sz val="10"/>
      <name val="Arial Narrow"/>
      <family val="2"/>
    </font>
    <font>
      <u val="doubleAccounting"/>
      <sz val="10"/>
      <name val="Arial Narrow"/>
      <family val="2"/>
    </font>
    <font>
      <b/>
      <sz val="14"/>
      <color rgb="FF0070C0"/>
      <name val="Calibri"/>
      <family val="2"/>
      <scheme val="minor"/>
    </font>
    <font>
      <sz val="10"/>
      <color rgb="FF000099"/>
      <name val="Arial Narrow"/>
      <family val="2"/>
    </font>
    <font>
      <sz val="10"/>
      <color theme="1"/>
      <name val="Times New Roman"/>
      <family val="1"/>
    </font>
    <font>
      <b/>
      <sz val="10"/>
      <color theme="1"/>
      <name val="Times New Roman"/>
      <family val="1"/>
    </font>
    <font>
      <u val="singleAccounting"/>
      <sz val="10"/>
      <color theme="1"/>
      <name val="Times New Roman"/>
      <family val="1"/>
    </font>
    <font>
      <b/>
      <sz val="10"/>
      <name val="Times New Roman"/>
      <family val="1"/>
    </font>
    <font>
      <b/>
      <sz val="11"/>
      <name val="Times New Roman"/>
      <family val="1"/>
    </font>
    <font>
      <b/>
      <u val="singleAccounting"/>
      <sz val="10"/>
      <name val="Times New Roman"/>
      <family val="1"/>
    </font>
    <font>
      <sz val="16"/>
      <color theme="1"/>
      <name val="Polo"/>
    </font>
  </fonts>
  <fills count="44">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12"/>
      </patternFill>
    </fill>
    <fill>
      <patternFill patternType="solid">
        <fgColor indexed="11"/>
      </patternFill>
    </fill>
    <fill>
      <patternFill patternType="solid">
        <fgColor indexed="9"/>
        <bgColor indexed="64"/>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solid">
        <fgColor indexed="52"/>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8D8D8"/>
        <bgColor indexed="64"/>
      </patternFill>
    </fill>
    <fill>
      <patternFill patternType="solid">
        <fgColor theme="9" tint="0.79998168889431442"/>
        <bgColor indexed="64"/>
      </patternFill>
    </fill>
    <fill>
      <patternFill patternType="solid">
        <fgColor rgb="FFB2B2B2"/>
        <bgColor indexed="64"/>
      </patternFill>
    </fill>
    <fill>
      <patternFill patternType="solid">
        <fgColor rgb="FFDDDDDD"/>
        <bgColor indexed="64"/>
      </patternFill>
    </fill>
    <fill>
      <patternFill patternType="solid">
        <fgColor rgb="FF0070C0"/>
        <bgColor indexed="64"/>
      </patternFill>
    </fill>
    <fill>
      <patternFill patternType="solid">
        <fgColor rgb="FF99FF99"/>
        <bgColor indexed="64"/>
      </patternFill>
    </fill>
    <fill>
      <patternFill patternType="solid">
        <fgColor theme="8" tint="0.39997558519241921"/>
        <bgColor indexed="64"/>
      </patternFill>
    </fill>
    <fill>
      <patternFill patternType="solid">
        <fgColor theme="3" tint="0.59999389629810485"/>
        <bgColor indexed="64"/>
      </patternFill>
    </fill>
    <fill>
      <patternFill patternType="darkTrellis"/>
    </fill>
  </fills>
  <borders count="40">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right/>
      <top style="thin">
        <color indexed="8"/>
      </top>
      <bottom/>
      <diagonal/>
    </border>
    <border>
      <left/>
      <right/>
      <top style="thin">
        <color indexed="56"/>
      </top>
      <bottom style="double">
        <color indexed="5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double">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thin">
        <color indexed="23"/>
      </left>
      <right style="medium">
        <color indexed="9"/>
      </right>
      <top style="thin">
        <color indexed="23"/>
      </top>
      <bottom style="medium">
        <color indexed="9"/>
      </bottom>
      <diagonal/>
    </border>
    <border>
      <left style="medium">
        <color indexed="62"/>
      </left>
      <right/>
      <top/>
      <bottom style="medium">
        <color indexed="62"/>
      </bottom>
      <diagonal/>
    </border>
    <border>
      <left/>
      <right/>
      <top/>
      <bottom style="medium">
        <color indexed="62"/>
      </bottom>
      <diagonal/>
    </border>
    <border>
      <left/>
      <right style="medium">
        <color indexed="62"/>
      </right>
      <top/>
      <bottom style="medium">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0">
    <xf numFmtId="37"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176" fontId="7" fillId="2"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4" applyNumberFormat="0" applyAlignment="0" applyProtection="0"/>
    <xf numFmtId="0" fontId="13" fillId="18" borderId="5" applyNumberFormat="0" applyAlignment="0" applyProtection="0"/>
    <xf numFmtId="177" fontId="14" fillId="0" borderId="2" applyBorder="0">
      <alignment horizontal="center" vertical="center"/>
    </xf>
    <xf numFmtId="178" fontId="15" fillId="19" borderId="0">
      <alignment horizontal="left"/>
    </xf>
    <xf numFmtId="178" fontId="16" fillId="19" borderId="0">
      <alignment horizontal="right"/>
    </xf>
    <xf numFmtId="178" fontId="17" fillId="17" borderId="0">
      <alignment horizontal="center"/>
    </xf>
    <xf numFmtId="178" fontId="16" fillId="19" borderId="0">
      <alignment horizontal="right"/>
    </xf>
    <xf numFmtId="178" fontId="18" fillId="17" borderId="0">
      <alignment horizontal="left"/>
    </xf>
    <xf numFmtId="43" fontId="19"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3"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6" fontId="7" fillId="20" borderId="6" applyNumberFormat="0" applyFont="0" applyAlignment="0">
      <protection locked="0"/>
    </xf>
    <xf numFmtId="176" fontId="7" fillId="0" borderId="0" applyFont="0" applyFill="0" applyBorder="0" applyAlignment="0" applyProtection="0"/>
    <xf numFmtId="0" fontId="22" fillId="0" borderId="0" applyNumberFormat="0" applyFill="0" applyBorder="0" applyAlignment="0" applyProtection="0"/>
    <xf numFmtId="176" fontId="23" fillId="0" borderId="0" applyProtection="0"/>
    <xf numFmtId="176" fontId="5" fillId="0" borderId="0" applyProtection="0"/>
    <xf numFmtId="176" fontId="24" fillId="0" borderId="0" applyProtection="0"/>
    <xf numFmtId="176" fontId="25" fillId="0" borderId="0" applyProtection="0"/>
    <xf numFmtId="176" fontId="7" fillId="0" borderId="0" applyProtection="0"/>
    <xf numFmtId="176" fontId="23" fillId="0" borderId="0" applyProtection="0"/>
    <xf numFmtId="176" fontId="26" fillId="0" borderId="0" applyProtection="0"/>
    <xf numFmtId="2" fontId="7" fillId="0" borderId="0" applyFont="0" applyFill="0" applyBorder="0" applyAlignment="0" applyProtection="0"/>
    <xf numFmtId="0" fontId="27" fillId="7"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8" borderId="4" applyNumberFormat="0" applyAlignment="0" applyProtection="0"/>
    <xf numFmtId="178" fontId="15" fillId="19" borderId="0">
      <alignment horizontal="left"/>
    </xf>
    <xf numFmtId="178" fontId="32" fillId="17" borderId="0">
      <alignment horizontal="left"/>
    </xf>
    <xf numFmtId="0" fontId="33" fillId="0" borderId="10" applyNumberFormat="0" applyFill="0" applyAlignment="0" applyProtection="0"/>
    <xf numFmtId="0" fontId="34" fillId="8" borderId="0" applyNumberFormat="0" applyBorder="0" applyAlignment="0" applyProtection="0"/>
    <xf numFmtId="0" fontId="19" fillId="0" borderId="0"/>
    <xf numFmtId="0" fontId="19" fillId="0" borderId="0"/>
    <xf numFmtId="0" fontId="7" fillId="0" borderId="0"/>
    <xf numFmtId="0" fontId="7" fillId="0" borderId="0"/>
    <xf numFmtId="0" fontId="7" fillId="0" borderId="0"/>
    <xf numFmtId="0" fontId="21" fillId="0" borderId="0"/>
    <xf numFmtId="0" fontId="5" fillId="5" borderId="11" applyNumberFormat="0" applyFont="0" applyAlignment="0" applyProtection="0"/>
    <xf numFmtId="0" fontId="36" fillId="17" borderId="12" applyNumberFormat="0" applyAlignment="0" applyProtection="0"/>
    <xf numFmtId="180" fontId="37" fillId="17" borderId="0">
      <alignment horizontal="right"/>
    </xf>
    <xf numFmtId="40" fontId="38" fillId="21" borderId="0">
      <alignment horizontal="right"/>
    </xf>
    <xf numFmtId="178" fontId="39" fillId="22" borderId="0">
      <alignment horizontal="center"/>
    </xf>
    <xf numFmtId="178" fontId="15" fillId="23" borderId="0"/>
    <xf numFmtId="178" fontId="40" fillId="17" borderId="0" applyBorder="0">
      <alignment horizontal="centerContinuous"/>
    </xf>
    <xf numFmtId="178" fontId="41" fillId="23" borderId="0" applyBorder="0">
      <alignment horizontal="centerContinuous"/>
    </xf>
    <xf numFmtId="9" fontId="21" fillId="0" borderId="0" applyFont="0" applyFill="0" applyBorder="0" applyAlignment="0" applyProtection="0"/>
    <xf numFmtId="9" fontId="7" fillId="0" borderId="0" applyFont="0" applyFill="0" applyBorder="0" applyAlignment="0" applyProtection="0"/>
    <xf numFmtId="181" fontId="8" fillId="24" borderId="13">
      <alignment horizontal="left"/>
    </xf>
    <xf numFmtId="176"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176" fontId="43" fillId="0" borderId="1">
      <alignment horizontal="center"/>
    </xf>
    <xf numFmtId="3" fontId="42" fillId="0" borderId="0" applyFont="0" applyFill="0" applyBorder="0" applyAlignment="0" applyProtection="0"/>
    <xf numFmtId="176" fontId="42" fillId="25" borderId="0" applyNumberFormat="0" applyFont="0" applyBorder="0" applyAlignment="0" applyProtection="0"/>
    <xf numFmtId="178" fontId="32" fillId="8" borderId="0">
      <alignment horizontal="center"/>
    </xf>
    <xf numFmtId="49" fontId="44" fillId="17" borderId="0">
      <alignment horizontal="center"/>
    </xf>
    <xf numFmtId="178" fontId="16" fillId="19" borderId="0">
      <alignment horizontal="center"/>
    </xf>
    <xf numFmtId="178" fontId="16" fillId="19" borderId="0">
      <alignment horizontal="centerContinuous"/>
    </xf>
    <xf numFmtId="178" fontId="45" fillId="17" borderId="0">
      <alignment horizontal="left"/>
    </xf>
    <xf numFmtId="49" fontId="45" fillId="17" borderId="0">
      <alignment horizontal="center"/>
    </xf>
    <xf numFmtId="178" fontId="15" fillId="19" borderId="0">
      <alignment horizontal="left"/>
    </xf>
    <xf numFmtId="49" fontId="45" fillId="17" borderId="0">
      <alignment horizontal="left"/>
    </xf>
    <xf numFmtId="178" fontId="15" fillId="19" borderId="0">
      <alignment horizontal="centerContinuous"/>
    </xf>
    <xf numFmtId="178" fontId="15" fillId="19" borderId="0">
      <alignment horizontal="right"/>
    </xf>
    <xf numFmtId="49" fontId="32" fillId="17" borderId="0">
      <alignment horizontal="left"/>
    </xf>
    <xf numFmtId="178" fontId="16" fillId="19" borderId="0">
      <alignment horizontal="right"/>
    </xf>
    <xf numFmtId="178" fontId="45" fillId="6" borderId="0">
      <alignment horizontal="center"/>
    </xf>
    <xf numFmtId="178" fontId="46" fillId="6" borderId="0">
      <alignment horizontal="center"/>
    </xf>
    <xf numFmtId="4" fontId="23" fillId="26" borderId="14" applyNumberFormat="0" applyProtection="0">
      <alignment vertical="center"/>
    </xf>
    <xf numFmtId="4" fontId="47" fillId="26" borderId="15" applyNumberFormat="0" applyProtection="0">
      <alignment vertical="center"/>
    </xf>
    <xf numFmtId="4" fontId="23" fillId="26" borderId="14" applyNumberFormat="0" applyProtection="0">
      <alignment horizontal="left" vertical="center" indent="1"/>
    </xf>
    <xf numFmtId="176" fontId="23" fillId="27" borderId="15" applyNumberFormat="0" applyProtection="0">
      <alignment horizontal="left" vertical="top" indent="1"/>
    </xf>
    <xf numFmtId="4" fontId="23" fillId="23" borderId="0" applyNumberFormat="0" applyProtection="0">
      <alignment horizontal="left" vertical="center" indent="1"/>
    </xf>
    <xf numFmtId="4" fontId="7" fillId="26" borderId="15" applyNumberFormat="0" applyProtection="0">
      <alignment horizontal="right" vertical="center"/>
    </xf>
    <xf numFmtId="4" fontId="48" fillId="28" borderId="15" applyNumberFormat="0" applyProtection="0">
      <alignment horizontal="right" vertical="center"/>
    </xf>
    <xf numFmtId="4" fontId="48" fillId="29" borderId="15" applyNumberFormat="0" applyProtection="0">
      <alignment horizontal="right" vertical="center"/>
    </xf>
    <xf numFmtId="4" fontId="7" fillId="8" borderId="15" applyNumberFormat="0" applyProtection="0">
      <alignment horizontal="right" vertical="center"/>
    </xf>
    <xf numFmtId="4" fontId="7" fillId="3" borderId="15" applyNumberFormat="0" applyProtection="0">
      <alignment horizontal="right" vertical="center"/>
    </xf>
    <xf numFmtId="4" fontId="7" fillId="9" borderId="15" applyNumberFormat="0" applyProtection="0">
      <alignment horizontal="right" vertical="center"/>
    </xf>
    <xf numFmtId="4" fontId="48" fillId="15" borderId="15" applyNumberFormat="0" applyProtection="0">
      <alignment horizontal="right" vertical="center"/>
    </xf>
    <xf numFmtId="4" fontId="48" fillId="30" borderId="15" applyNumberFormat="0" applyProtection="0">
      <alignment horizontal="right" vertical="center"/>
    </xf>
    <xf numFmtId="4" fontId="7" fillId="14" borderId="15" applyNumberFormat="0" applyProtection="0">
      <alignment horizontal="right" vertical="center"/>
    </xf>
    <xf numFmtId="4" fontId="23" fillId="31" borderId="0" applyNumberFormat="0" applyProtection="0">
      <alignment horizontal="left" vertical="center" indent="1"/>
    </xf>
    <xf numFmtId="4" fontId="7" fillId="10" borderId="0" applyNumberFormat="0" applyProtection="0">
      <alignment horizontal="left" vertical="center" indent="1"/>
    </xf>
    <xf numFmtId="4" fontId="44" fillId="32" borderId="0" applyNumberFormat="0" applyProtection="0">
      <alignment horizontal="left" vertical="center" indent="1"/>
    </xf>
    <xf numFmtId="4" fontId="7" fillId="10" borderId="14" applyNumberFormat="0" applyProtection="0">
      <alignment horizontal="right" vertical="center"/>
    </xf>
    <xf numFmtId="4" fontId="7" fillId="10" borderId="0" applyNumberFormat="0" applyProtection="0">
      <alignment horizontal="left" vertical="center" indent="1"/>
    </xf>
    <xf numFmtId="4" fontId="7" fillId="27" borderId="0" applyNumberFormat="0" applyProtection="0">
      <alignment horizontal="left" vertical="center"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4" fontId="37" fillId="33" borderId="15" applyNumberFormat="0" applyProtection="0">
      <alignment vertical="center"/>
    </xf>
    <xf numFmtId="4" fontId="49" fillId="33" borderId="15" applyNumberFormat="0" applyProtection="0">
      <alignment vertical="center"/>
    </xf>
    <xf numFmtId="4" fontId="7" fillId="10" borderId="15" applyNumberFormat="0" applyProtection="0">
      <alignment horizontal="left" vertical="center" indent="1"/>
    </xf>
    <xf numFmtId="176" fontId="7" fillId="10" borderId="15" applyNumberFormat="0" applyProtection="0">
      <alignment horizontal="left" vertical="top" indent="1"/>
    </xf>
    <xf numFmtId="4" fontId="7" fillId="34" borderId="14" applyNumberFormat="0" applyProtection="0">
      <alignment horizontal="right" vertical="center"/>
    </xf>
    <xf numFmtId="4" fontId="23" fillId="34" borderId="14" applyNumberFormat="0" applyProtection="0">
      <alignment horizontal="right" vertical="center"/>
    </xf>
    <xf numFmtId="4" fontId="7" fillId="10" borderId="14" applyNumberFormat="0" applyProtection="0">
      <alignment horizontal="left" vertical="center" indent="1"/>
    </xf>
    <xf numFmtId="176" fontId="7" fillId="10" borderId="14" applyNumberFormat="0" applyProtection="0">
      <alignment horizontal="left" vertical="top" indent="1"/>
    </xf>
    <xf numFmtId="4" fontId="50" fillId="0" borderId="0" applyNumberFormat="0" applyProtection="0">
      <alignment horizontal="left" vertical="center" indent="1"/>
    </xf>
    <xf numFmtId="4" fontId="7" fillId="0" borderId="15" applyNumberFormat="0" applyProtection="0">
      <alignment horizontal="right" vertical="center"/>
    </xf>
    <xf numFmtId="176" fontId="7" fillId="0" borderId="16" applyNumberFormat="0" applyFont="0" applyFill="0" applyBorder="0" applyAlignment="0" applyProtection="0"/>
    <xf numFmtId="176" fontId="7" fillId="0" borderId="0"/>
    <xf numFmtId="0" fontId="51" fillId="0" borderId="0" applyNumberFormat="0" applyFill="0" applyBorder="0" applyAlignment="0" applyProtection="0"/>
    <xf numFmtId="0" fontId="52" fillId="0" borderId="17" applyNumberFormat="0" applyFill="0" applyAlignment="0" applyProtection="0"/>
    <xf numFmtId="176" fontId="35" fillId="0" borderId="0"/>
    <xf numFmtId="178" fontId="53" fillId="17" borderId="0">
      <alignment horizontal="center"/>
    </xf>
    <xf numFmtId="0" fontId="33" fillId="0" borderId="0" applyNumberFormat="0" applyFill="0" applyBorder="0" applyAlignment="0" applyProtection="0"/>
    <xf numFmtId="0" fontId="4" fillId="0" borderId="0"/>
    <xf numFmtId="43" fontId="4" fillId="0" borderId="0" applyFont="0" applyFill="0" applyBorder="0" applyAlignment="0" applyProtection="0"/>
    <xf numFmtId="0" fontId="7" fillId="0" borderId="0"/>
    <xf numFmtId="37" fontId="5" fillId="0" borderId="0"/>
    <xf numFmtId="0" fontId="3" fillId="0" borderId="0"/>
    <xf numFmtId="0" fontId="2" fillId="0" borderId="0"/>
    <xf numFmtId="0" fontId="1" fillId="0" borderId="0"/>
  </cellStyleXfs>
  <cellXfs count="649">
    <xf numFmtId="37" fontId="0" fillId="0" borderId="0" xfId="0"/>
    <xf numFmtId="164" fontId="54" fillId="0" borderId="0" xfId="0" applyNumberFormat="1" applyFont="1" applyFill="1" applyAlignment="1" applyProtection="1"/>
    <xf numFmtId="0" fontId="54" fillId="0" borderId="0" xfId="0" applyNumberFormat="1" applyFont="1" applyFill="1" applyAlignment="1" applyProtection="1"/>
    <xf numFmtId="0" fontId="54" fillId="0" borderId="0" xfId="0" applyNumberFormat="1" applyFont="1" applyFill="1" applyAlignment="1" applyProtection="1">
      <alignment horizontal="left"/>
    </xf>
    <xf numFmtId="0" fontId="54" fillId="0" borderId="0" xfId="0" applyNumberFormat="1" applyFont="1" applyFill="1" applyProtection="1"/>
    <xf numFmtId="0" fontId="54" fillId="0" borderId="0" xfId="0" applyNumberFormat="1" applyFont="1" applyFill="1" applyAlignment="1" applyProtection="1">
      <alignment horizontal="center"/>
    </xf>
    <xf numFmtId="0" fontId="55"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left"/>
    </xf>
    <xf numFmtId="3" fontId="54" fillId="0" borderId="0" xfId="0" applyNumberFormat="1" applyFont="1" applyFill="1" applyAlignment="1" applyProtection="1"/>
    <xf numFmtId="49" fontId="54" fillId="0" borderId="0" xfId="0" applyNumberFormat="1" applyFont="1" applyFill="1" applyProtection="1"/>
    <xf numFmtId="0" fontId="54" fillId="0" borderId="1" xfId="0" applyNumberFormat="1" applyFont="1" applyFill="1" applyBorder="1" applyAlignment="1" applyProtection="1">
      <alignment horizontal="center"/>
    </xf>
    <xf numFmtId="3" fontId="54" fillId="0" borderId="0" xfId="0" applyNumberFormat="1" applyFont="1" applyFill="1" applyProtection="1"/>
    <xf numFmtId="0" fontId="54" fillId="0" borderId="1" xfId="0" applyNumberFormat="1" applyFont="1" applyFill="1" applyBorder="1" applyAlignment="1" applyProtection="1">
      <alignment horizontal="centerContinuous"/>
    </xf>
    <xf numFmtId="165" fontId="54" fillId="0" borderId="0" xfId="0" applyNumberFormat="1" applyFont="1" applyFill="1" applyAlignment="1" applyProtection="1"/>
    <xf numFmtId="3" fontId="54" fillId="0" borderId="0" xfId="0" applyNumberFormat="1" applyFont="1" applyFill="1" applyBorder="1" applyProtection="1"/>
    <xf numFmtId="0" fontId="56" fillId="0" borderId="0" xfId="0" applyNumberFormat="1" applyFont="1" applyFill="1" applyProtection="1"/>
    <xf numFmtId="37" fontId="58" fillId="0" borderId="0" xfId="0" applyFont="1" applyProtection="1"/>
    <xf numFmtId="3" fontId="54" fillId="0" borderId="0" xfId="0" applyNumberFormat="1" applyFont="1" applyFill="1" applyAlignment="1" applyProtection="1">
      <alignment horizontal="fill"/>
    </xf>
    <xf numFmtId="164" fontId="56" fillId="0" borderId="0" xfId="0" applyNumberFormat="1" applyFont="1" applyFill="1" applyAlignment="1" applyProtection="1"/>
    <xf numFmtId="0" fontId="54" fillId="0" borderId="0" xfId="0" applyNumberFormat="1" applyFont="1" applyFill="1" applyBorder="1" applyAlignment="1" applyProtection="1"/>
    <xf numFmtId="0" fontId="54" fillId="0" borderId="0" xfId="0" applyNumberFormat="1" applyFont="1" applyFill="1" applyBorder="1" applyProtection="1"/>
    <xf numFmtId="166" fontId="54" fillId="0" borderId="0" xfId="0" applyNumberFormat="1" applyFont="1" applyFill="1" applyBorder="1" applyProtection="1"/>
    <xf numFmtId="166" fontId="59" fillId="0" borderId="0" xfId="0" applyNumberFormat="1" applyFont="1" applyFill="1" applyProtection="1"/>
    <xf numFmtId="10" fontId="54" fillId="0" borderId="0" xfId="0" applyNumberFormat="1" applyFont="1" applyFill="1" applyProtection="1"/>
    <xf numFmtId="166" fontId="54" fillId="0" borderId="0" xfId="0" applyNumberFormat="1" applyFont="1" applyFill="1" applyProtection="1"/>
    <xf numFmtId="166" fontId="54" fillId="0" borderId="0" xfId="0" applyNumberFormat="1" applyFont="1" applyFill="1" applyBorder="1" applyAlignment="1" applyProtection="1">
      <alignment horizontal="center"/>
    </xf>
    <xf numFmtId="164" fontId="54" fillId="0" borderId="0" xfId="0" applyNumberFormat="1" applyFont="1" applyFill="1" applyAlignment="1" applyProtection="1">
      <alignment horizontal="center"/>
    </xf>
    <xf numFmtId="0" fontId="54" fillId="0" borderId="0" xfId="0" applyNumberFormat="1" applyFont="1" applyFill="1" applyBorder="1" applyAlignment="1" applyProtection="1">
      <alignment horizontal="left"/>
    </xf>
    <xf numFmtId="184" fontId="54" fillId="0" borderId="0" xfId="1" applyNumberFormat="1" applyFont="1" applyFill="1" applyAlignment="1" applyProtection="1"/>
    <xf numFmtId="0" fontId="54" fillId="0" borderId="0" xfId="0" applyNumberFormat="1" applyFont="1" applyFill="1" applyBorder="1" applyAlignment="1" applyProtection="1">
      <alignment horizontal="center"/>
    </xf>
    <xf numFmtId="164" fontId="54" fillId="0" borderId="0" xfId="0" applyNumberFormat="1" applyFont="1" applyFill="1" applyBorder="1" applyAlignment="1" applyProtection="1"/>
    <xf numFmtId="0" fontId="54" fillId="0" borderId="0" xfId="0" quotePrefix="1" applyNumberFormat="1" applyFont="1" applyFill="1" applyBorder="1" applyAlignment="1" applyProtection="1">
      <alignment horizontal="left"/>
    </xf>
    <xf numFmtId="170" fontId="54" fillId="0" borderId="0" xfId="2" applyNumberFormat="1" applyFont="1" applyFill="1" applyBorder="1" applyProtection="1"/>
    <xf numFmtId="175" fontId="54" fillId="0" borderId="0" xfId="1" applyNumberFormat="1" applyFont="1" applyFill="1" applyBorder="1" applyProtection="1"/>
    <xf numFmtId="3" fontId="60" fillId="0" borderId="0" xfId="0" applyNumberFormat="1" applyFont="1" applyFill="1" applyProtection="1"/>
    <xf numFmtId="0" fontId="54" fillId="0" borderId="0" xfId="0" quotePrefix="1" applyNumberFormat="1" applyFont="1" applyFill="1" applyBorder="1" applyProtection="1"/>
    <xf numFmtId="3" fontId="60" fillId="0" borderId="0" xfId="0" applyNumberFormat="1" applyFont="1" applyFill="1" applyBorder="1" applyProtection="1"/>
    <xf numFmtId="3" fontId="61" fillId="0" borderId="0" xfId="0" applyNumberFormat="1" applyFont="1" applyFill="1" applyBorder="1" applyProtection="1"/>
    <xf numFmtId="175" fontId="54" fillId="0" borderId="0" xfId="0" applyNumberFormat="1" applyFont="1" applyFill="1" applyBorder="1" applyProtection="1"/>
    <xf numFmtId="10" fontId="54" fillId="0" borderId="0" xfId="3" applyNumberFormat="1" applyFont="1" applyFill="1" applyBorder="1" applyProtection="1"/>
    <xf numFmtId="170" fontId="54" fillId="0" borderId="0" xfId="0" applyNumberFormat="1" applyFont="1" applyFill="1" applyBorder="1" applyProtection="1"/>
    <xf numFmtId="166" fontId="59" fillId="0" borderId="0" xfId="0" applyNumberFormat="1" applyFont="1" applyFill="1" applyBorder="1" applyProtection="1"/>
    <xf numFmtId="10" fontId="54" fillId="0" borderId="0" xfId="0" applyNumberFormat="1" applyFont="1" applyFill="1" applyBorder="1" applyProtection="1"/>
    <xf numFmtId="3" fontId="54" fillId="0" borderId="0" xfId="0" quotePrefix="1" applyNumberFormat="1" applyFont="1" applyFill="1" applyBorder="1" applyAlignment="1" applyProtection="1"/>
    <xf numFmtId="3" fontId="54" fillId="0" borderId="0" xfId="0" applyNumberFormat="1" applyFont="1" applyFill="1" applyBorder="1" applyAlignment="1" applyProtection="1"/>
    <xf numFmtId="164" fontId="54" fillId="0" borderId="0" xfId="0" applyNumberFormat="1" applyFont="1" applyFill="1" applyBorder="1" applyAlignment="1" applyProtection="1">
      <alignment horizontal="center"/>
    </xf>
    <xf numFmtId="175" fontId="54" fillId="0" borderId="0" xfId="1" applyNumberFormat="1" applyFont="1" applyFill="1" applyBorder="1" applyAlignment="1" applyProtection="1"/>
    <xf numFmtId="3" fontId="62" fillId="0" borderId="0" xfId="0" applyNumberFormat="1" applyFont="1" applyFill="1" applyBorder="1" applyAlignment="1" applyProtection="1"/>
    <xf numFmtId="167" fontId="54" fillId="0" borderId="0" xfId="0" applyNumberFormat="1" applyFont="1" applyFill="1" applyBorder="1" applyAlignment="1" applyProtection="1"/>
    <xf numFmtId="175" fontId="62" fillId="0" borderId="0" xfId="1" applyNumberFormat="1" applyFont="1" applyFill="1" applyBorder="1" applyAlignment="1" applyProtection="1"/>
    <xf numFmtId="3" fontId="54" fillId="0" borderId="0" xfId="0" applyNumberFormat="1" applyFont="1" applyFill="1" applyBorder="1" applyAlignment="1" applyProtection="1">
      <alignment horizontal="center"/>
    </xf>
    <xf numFmtId="172" fontId="62" fillId="0" borderId="0" xfId="0" applyNumberFormat="1" applyFont="1" applyFill="1" applyBorder="1" applyAlignment="1" applyProtection="1"/>
    <xf numFmtId="0" fontId="63" fillId="0" borderId="0" xfId="0" applyNumberFormat="1" applyFont="1" applyFill="1" applyBorder="1" applyProtection="1"/>
    <xf numFmtId="164" fontId="63" fillId="0" borderId="0" xfId="0" applyNumberFormat="1" applyFont="1" applyFill="1" applyBorder="1" applyAlignment="1" applyProtection="1"/>
    <xf numFmtId="3" fontId="55" fillId="0" borderId="0" xfId="0" applyNumberFormat="1" applyFont="1" applyFill="1" applyBorder="1" applyAlignment="1" applyProtection="1">
      <alignment horizontal="center"/>
    </xf>
    <xf numFmtId="38" fontId="54" fillId="0" borderId="0" xfId="0" applyNumberFormat="1" applyFont="1" applyFill="1" applyBorder="1" applyProtection="1"/>
    <xf numFmtId="38" fontId="54" fillId="0" borderId="0" xfId="0" applyNumberFormat="1" applyFont="1" applyFill="1" applyBorder="1" applyAlignment="1" applyProtection="1"/>
    <xf numFmtId="167" fontId="54" fillId="0" borderId="0" xfId="0" applyNumberFormat="1" applyFont="1" applyFill="1" applyBorder="1" applyProtection="1"/>
    <xf numFmtId="172" fontId="54" fillId="0" borderId="0" xfId="0" applyNumberFormat="1" applyFont="1" applyFill="1" applyBorder="1" applyProtection="1"/>
    <xf numFmtId="1" fontId="54" fillId="0" borderId="0" xfId="0" applyNumberFormat="1" applyFont="1" applyFill="1" applyBorder="1" applyProtection="1"/>
    <xf numFmtId="3" fontId="56" fillId="0" borderId="0" xfId="0" applyNumberFormat="1" applyFont="1" applyFill="1" applyBorder="1" applyAlignment="1" applyProtection="1">
      <alignment horizontal="left"/>
    </xf>
    <xf numFmtId="1" fontId="54" fillId="0" borderId="0" xfId="0" applyNumberFormat="1" applyFont="1" applyFill="1" applyBorder="1" applyAlignment="1" applyProtection="1"/>
    <xf numFmtId="172" fontId="54" fillId="0" borderId="0" xfId="0" applyNumberFormat="1" applyFont="1" applyFill="1" applyBorder="1" applyAlignment="1" applyProtection="1"/>
    <xf numFmtId="164" fontId="62" fillId="0" borderId="0" xfId="0" applyNumberFormat="1" applyFont="1" applyFill="1" applyBorder="1" applyAlignment="1" applyProtection="1"/>
    <xf numFmtId="3" fontId="54" fillId="0" borderId="0" xfId="0" applyNumberFormat="1" applyFont="1" applyFill="1" applyBorder="1" applyAlignment="1" applyProtection="1">
      <alignment horizontal="right"/>
    </xf>
    <xf numFmtId="0" fontId="64" fillId="0" borderId="0" xfId="0" applyNumberFormat="1" applyFont="1" applyFill="1" applyBorder="1" applyAlignment="1" applyProtection="1">
      <alignment horizontal="center"/>
    </xf>
    <xf numFmtId="0" fontId="64" fillId="0" borderId="0" xfId="0" applyNumberFormat="1" applyFont="1" applyFill="1" applyBorder="1" applyProtection="1"/>
    <xf numFmtId="0" fontId="64" fillId="0" borderId="0" xfId="0" applyNumberFormat="1" applyFont="1" applyFill="1" applyBorder="1" applyAlignment="1" applyProtection="1"/>
    <xf numFmtId="3" fontId="64" fillId="0" borderId="0" xfId="0" applyNumberFormat="1" applyFont="1" applyFill="1" applyBorder="1" applyAlignment="1" applyProtection="1"/>
    <xf numFmtId="0" fontId="59" fillId="0" borderId="0" xfId="0" applyNumberFormat="1" applyFont="1" applyFill="1" applyBorder="1" applyProtection="1"/>
    <xf numFmtId="3" fontId="59" fillId="0" borderId="0" xfId="0" applyNumberFormat="1" applyFont="1" applyFill="1" applyBorder="1" applyAlignment="1" applyProtection="1"/>
    <xf numFmtId="3" fontId="64" fillId="0" borderId="0" xfId="0" applyNumberFormat="1" applyFont="1" applyFill="1" applyBorder="1" applyAlignment="1" applyProtection="1">
      <alignment horizontal="center"/>
    </xf>
    <xf numFmtId="164" fontId="64" fillId="0" borderId="0" xfId="0" applyNumberFormat="1" applyFont="1" applyFill="1" applyBorder="1" applyAlignment="1" applyProtection="1"/>
    <xf numFmtId="0" fontId="56" fillId="0" borderId="0" xfId="0" applyNumberFormat="1" applyFont="1" applyFill="1" applyBorder="1" applyProtection="1"/>
    <xf numFmtId="10" fontId="64" fillId="0" borderId="0" xfId="0" applyNumberFormat="1" applyFont="1" applyFill="1" applyBorder="1" applyProtection="1"/>
    <xf numFmtId="0" fontId="56" fillId="0" borderId="0" xfId="0" applyNumberFormat="1" applyFont="1" applyFill="1" applyBorder="1" applyAlignment="1" applyProtection="1">
      <alignment horizontal="left"/>
    </xf>
    <xf numFmtId="164" fontId="64" fillId="0" borderId="0" xfId="0" applyNumberFormat="1" applyFont="1" applyFill="1" applyBorder="1" applyAlignment="1" applyProtection="1">
      <alignment horizontal="center"/>
    </xf>
    <xf numFmtId="0" fontId="58" fillId="0" borderId="0" xfId="0" applyNumberFormat="1" applyFont="1" applyFill="1" applyBorder="1" applyProtection="1"/>
    <xf numFmtId="10" fontId="58" fillId="0" borderId="0" xfId="0" applyNumberFormat="1" applyFont="1" applyFill="1" applyBorder="1" applyProtection="1"/>
    <xf numFmtId="164" fontId="58" fillId="0" borderId="0" xfId="0" applyNumberFormat="1" applyFont="1" applyFill="1" applyBorder="1" applyAlignment="1" applyProtection="1"/>
    <xf numFmtId="164" fontId="58" fillId="0" borderId="0" xfId="0" applyNumberFormat="1" applyFont="1" applyFill="1" applyAlignment="1" applyProtection="1"/>
    <xf numFmtId="3" fontId="54" fillId="0" borderId="0" xfId="0" quotePrefix="1" applyNumberFormat="1" applyFont="1" applyFill="1" applyBorder="1" applyAlignment="1" applyProtection="1">
      <alignment horizontal="left"/>
    </xf>
    <xf numFmtId="0" fontId="54" fillId="0" borderId="0" xfId="0" applyNumberFormat="1" applyFont="1" applyFill="1" applyAlignment="1" applyProtection="1">
      <alignment horizontal="center"/>
      <protection locked="0"/>
    </xf>
    <xf numFmtId="164" fontId="54" fillId="0" borderId="0" xfId="0" applyNumberFormat="1" applyFont="1" applyFill="1" applyAlignment="1"/>
    <xf numFmtId="0" fontId="64" fillId="0" borderId="0" xfId="0" quotePrefix="1" applyNumberFormat="1" applyFont="1" applyFill="1" applyAlignment="1" applyProtection="1">
      <alignment horizontal="left"/>
      <protection locked="0"/>
    </xf>
    <xf numFmtId="0" fontId="64" fillId="0" borderId="0" xfId="0" applyNumberFormat="1" applyFont="1" applyFill="1" applyProtection="1">
      <protection locked="0"/>
    </xf>
    <xf numFmtId="3" fontId="64" fillId="0" borderId="0" xfId="0" applyNumberFormat="1" applyFont="1" applyFill="1" applyAlignment="1"/>
    <xf numFmtId="0" fontId="59" fillId="0" borderId="0" xfId="0" applyNumberFormat="1" applyFont="1" applyFill="1" applyProtection="1">
      <protection locked="0"/>
    </xf>
    <xf numFmtId="3" fontId="59" fillId="0" borderId="0" xfId="0" applyNumberFormat="1" applyFont="1" applyFill="1" applyAlignment="1"/>
    <xf numFmtId="0" fontId="64" fillId="0" borderId="0" xfId="0" applyNumberFormat="1" applyFont="1" applyFill="1" applyAlignment="1" applyProtection="1">
      <alignment horizontal="center"/>
      <protection locked="0"/>
    </xf>
    <xf numFmtId="0" fontId="54" fillId="0" borderId="0" xfId="0" applyNumberFormat="1" applyFont="1" applyFill="1"/>
    <xf numFmtId="3" fontId="64" fillId="0" borderId="0" xfId="0" applyNumberFormat="1" applyFont="1" applyFill="1" applyAlignment="1">
      <alignment horizontal="center"/>
    </xf>
    <xf numFmtId="164" fontId="64" fillId="0" borderId="0" xfId="0" applyNumberFormat="1" applyFont="1" applyFill="1" applyAlignment="1"/>
    <xf numFmtId="0" fontId="54" fillId="0" borderId="0" xfId="0" applyNumberFormat="1" applyFont="1" applyFill="1" applyProtection="1">
      <protection locked="0"/>
    </xf>
    <xf numFmtId="0" fontId="64" fillId="0" borderId="0" xfId="0" quotePrefix="1" applyNumberFormat="1" applyFont="1" applyFill="1" applyAlignment="1">
      <alignment horizontal="left"/>
    </xf>
    <xf numFmtId="10" fontId="54" fillId="0" borderId="0" xfId="0" applyNumberFormat="1" applyFont="1" applyFill="1"/>
    <xf numFmtId="0" fontId="64" fillId="0" borderId="0" xfId="0" applyNumberFormat="1" applyFont="1" applyFill="1"/>
    <xf numFmtId="0" fontId="58" fillId="0" borderId="0" xfId="0" applyNumberFormat="1" applyFont="1" applyFill="1"/>
    <xf numFmtId="10" fontId="58" fillId="0" borderId="0" xfId="0" applyNumberFormat="1" applyFont="1" applyFill="1"/>
    <xf numFmtId="164" fontId="64" fillId="0" borderId="0" xfId="0" applyNumberFormat="1" applyFont="1" applyFill="1" applyAlignment="1">
      <alignment horizontal="center"/>
    </xf>
    <xf numFmtId="164" fontId="58" fillId="0" borderId="0" xfId="0" applyNumberFormat="1" applyFont="1" applyFill="1" applyAlignment="1"/>
    <xf numFmtId="37" fontId="58" fillId="0" borderId="0" xfId="0" applyFont="1"/>
    <xf numFmtId="164" fontId="54" fillId="0" borderId="0" xfId="0" applyNumberFormat="1" applyFont="1" applyFill="1" applyBorder="1" applyAlignment="1" applyProtection="1">
      <alignment horizontal="centerContinuous"/>
    </xf>
    <xf numFmtId="164" fontId="54" fillId="0" borderId="0" xfId="0" applyNumberFormat="1" applyFont="1" applyFill="1" applyBorder="1" applyAlignment="1" applyProtection="1">
      <alignment wrapText="1"/>
    </xf>
    <xf numFmtId="164" fontId="54" fillId="0" borderId="0" xfId="0" quotePrefix="1" applyNumberFormat="1" applyFont="1" applyFill="1" applyBorder="1" applyAlignment="1" applyProtection="1">
      <alignment horizontal="left" wrapText="1"/>
    </xf>
    <xf numFmtId="164" fontId="54" fillId="0" borderId="0" xfId="0" quotePrefix="1" applyNumberFormat="1" applyFont="1" applyFill="1" applyBorder="1" applyAlignment="1" applyProtection="1">
      <alignment horizontal="left"/>
    </xf>
    <xf numFmtId="170" fontId="62" fillId="0" borderId="0" xfId="2" applyNumberFormat="1" applyFont="1" applyFill="1" applyBorder="1" applyAlignment="1" applyProtection="1"/>
    <xf numFmtId="170" fontId="54" fillId="0" borderId="0" xfId="2" applyNumberFormat="1" applyFont="1" applyFill="1" applyBorder="1" applyAlignment="1" applyProtection="1"/>
    <xf numFmtId="0" fontId="56"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center"/>
    </xf>
    <xf numFmtId="0" fontId="54" fillId="0" borderId="0" xfId="0" quotePrefix="1" applyNumberFormat="1" applyFont="1" applyFill="1" applyBorder="1" applyAlignment="1" applyProtection="1">
      <alignment horizontal="center"/>
    </xf>
    <xf numFmtId="0" fontId="54" fillId="0" borderId="0" xfId="0" applyNumberFormat="1" applyFont="1" applyFill="1" applyBorder="1" applyAlignment="1" applyProtection="1">
      <alignment horizontal="fill"/>
    </xf>
    <xf numFmtId="9" fontId="54" fillId="0" borderId="0" xfId="3" applyFont="1" applyFill="1" applyBorder="1" applyAlignment="1" applyProtection="1"/>
    <xf numFmtId="3" fontId="54" fillId="0" borderId="0" xfId="0" applyNumberFormat="1" applyFont="1" applyFill="1" applyBorder="1" applyAlignment="1" applyProtection="1">
      <alignment horizontal="fill"/>
    </xf>
    <xf numFmtId="171" fontId="54" fillId="0" borderId="0" xfId="0" applyNumberFormat="1" applyFont="1" applyFill="1" applyBorder="1" applyAlignment="1" applyProtection="1">
      <alignment horizontal="center"/>
    </xf>
    <xf numFmtId="171" fontId="54" fillId="0" borderId="0" xfId="0" applyNumberFormat="1" applyFont="1" applyFill="1" applyBorder="1" applyAlignment="1" applyProtection="1">
      <alignment horizontal="left"/>
    </xf>
    <xf numFmtId="172" fontId="62" fillId="0" borderId="0" xfId="0" applyNumberFormat="1" applyFont="1" applyFill="1" applyBorder="1" applyAlignment="1" applyProtection="1">
      <alignment horizontal="right"/>
    </xf>
    <xf numFmtId="3"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3" fontId="54" fillId="0" borderId="0" xfId="0" applyNumberFormat="1" applyFont="1" applyFill="1" applyBorder="1" applyAlignment="1" applyProtection="1">
      <alignment horizontal="left"/>
    </xf>
    <xf numFmtId="164" fontId="64" fillId="0" borderId="0" xfId="0" quotePrefix="1" applyNumberFormat="1" applyFont="1" applyFill="1" applyAlignment="1">
      <alignment horizontal="left"/>
    </xf>
    <xf numFmtId="0" fontId="54" fillId="0" borderId="0" xfId="0" quotePrefix="1" applyNumberFormat="1" applyFont="1" applyFill="1" applyAlignment="1" applyProtection="1">
      <alignment horizontal="fill"/>
    </xf>
    <xf numFmtId="183" fontId="54" fillId="0" borderId="0" xfId="0" applyNumberFormat="1" applyFont="1" applyFill="1" applyProtection="1"/>
    <xf numFmtId="169" fontId="54" fillId="0" borderId="0" xfId="0" quotePrefix="1" applyNumberFormat="1" applyFont="1" applyFill="1" applyAlignment="1" applyProtection="1">
      <alignment horizontal="right"/>
    </xf>
    <xf numFmtId="0" fontId="54" fillId="0" borderId="0" xfId="0" quotePrefix="1" applyNumberFormat="1" applyFont="1" applyFill="1" applyAlignment="1" applyProtection="1">
      <alignment horizontal="left"/>
      <protection locked="0"/>
    </xf>
    <xf numFmtId="3" fontId="54" fillId="0" borderId="0" xfId="0" applyNumberFormat="1" applyFont="1" applyFill="1" applyAlignment="1"/>
    <xf numFmtId="175" fontId="54" fillId="0" borderId="0" xfId="1" applyNumberFormat="1" applyFont="1" applyFill="1" applyBorder="1" applyAlignment="1"/>
    <xf numFmtId="0" fontId="54" fillId="0" borderId="1" xfId="0" applyNumberFormat="1" applyFont="1" applyFill="1" applyBorder="1"/>
    <xf numFmtId="3" fontId="54" fillId="0" borderId="1" xfId="0" applyNumberFormat="1" applyFont="1" applyFill="1" applyBorder="1" applyAlignment="1"/>
    <xf numFmtId="3" fontId="54" fillId="0" borderId="0" xfId="0" applyNumberFormat="1" applyFont="1" applyFill="1" applyAlignment="1">
      <alignment horizontal="center"/>
    </xf>
    <xf numFmtId="49" fontId="54" fillId="0" borderId="0" xfId="0" applyNumberFormat="1" applyFont="1" applyFill="1"/>
    <xf numFmtId="49" fontId="54" fillId="0" borderId="0" xfId="0" applyNumberFormat="1" applyFont="1" applyFill="1" applyAlignment="1"/>
    <xf numFmtId="49" fontId="54" fillId="0" borderId="0" xfId="0" applyNumberFormat="1" applyFont="1" applyFill="1" applyAlignment="1">
      <alignment horizontal="center"/>
    </xf>
    <xf numFmtId="164" fontId="54" fillId="0" borderId="0" xfId="0" applyNumberFormat="1" applyFont="1" applyFill="1" applyBorder="1" applyAlignment="1"/>
    <xf numFmtId="0" fontId="54" fillId="0" borderId="0" xfId="0" applyNumberFormat="1" applyFont="1" applyFill="1" applyAlignment="1"/>
    <xf numFmtId="0" fontId="54" fillId="0" borderId="0" xfId="0" applyNumberFormat="1" applyFont="1" applyFill="1" applyAlignment="1">
      <alignment horizontal="center"/>
    </xf>
    <xf numFmtId="3" fontId="54" fillId="0" borderId="0" xfId="0" applyNumberFormat="1" applyFont="1" applyFill="1" applyBorder="1" applyAlignment="1"/>
    <xf numFmtId="0" fontId="54" fillId="0" borderId="0" xfId="0" applyNumberFormat="1" applyFont="1" applyFill="1" applyBorder="1" applyAlignment="1"/>
    <xf numFmtId="164" fontId="56" fillId="0" borderId="0" xfId="0" applyNumberFormat="1" applyFont="1" applyFill="1" applyBorder="1"/>
    <xf numFmtId="164" fontId="56" fillId="0" borderId="0" xfId="0" applyNumberFormat="1" applyFont="1" applyFill="1" applyBorder="1" applyAlignment="1">
      <alignment horizontal="left" wrapText="1"/>
    </xf>
    <xf numFmtId="175" fontId="54" fillId="0" borderId="0" xfId="1" applyNumberFormat="1" applyFont="1" applyFill="1" applyAlignment="1"/>
    <xf numFmtId="3" fontId="56" fillId="0" borderId="0" xfId="0" applyNumberFormat="1" applyFont="1" applyFill="1" applyBorder="1" applyAlignment="1"/>
    <xf numFmtId="175" fontId="62" fillId="0" borderId="0" xfId="1" applyNumberFormat="1" applyFont="1" applyFill="1" applyAlignment="1"/>
    <xf numFmtId="164" fontId="54" fillId="0" borderId="0" xfId="0" applyNumberFormat="1" applyFont="1" applyFill="1" applyAlignment="1">
      <alignment horizontal="center"/>
    </xf>
    <xf numFmtId="3" fontId="54" fillId="0" borderId="0" xfId="0" quotePrefix="1" applyNumberFormat="1" applyFont="1" applyFill="1" applyAlignment="1"/>
    <xf numFmtId="3" fontId="62" fillId="0" borderId="0" xfId="0" applyNumberFormat="1" applyFont="1" applyFill="1" applyAlignment="1"/>
    <xf numFmtId="164" fontId="54" fillId="0" borderId="0" xfId="0" quotePrefix="1" applyNumberFormat="1" applyFont="1" applyFill="1" applyAlignment="1">
      <alignment horizontal="left"/>
    </xf>
    <xf numFmtId="3" fontId="55" fillId="0" borderId="0" xfId="0" applyNumberFormat="1" applyFont="1" applyFill="1" applyAlignment="1">
      <alignment horizontal="center"/>
    </xf>
    <xf numFmtId="172" fontId="62" fillId="0" borderId="0" xfId="0" applyNumberFormat="1" applyFont="1" applyFill="1" applyAlignment="1"/>
    <xf numFmtId="1" fontId="54" fillId="0" borderId="0" xfId="0" applyNumberFormat="1" applyFont="1" applyFill="1" applyProtection="1"/>
    <xf numFmtId="1" fontId="54" fillId="0" borderId="0" xfId="0" applyNumberFormat="1" applyFont="1" applyFill="1" applyAlignment="1" applyProtection="1"/>
    <xf numFmtId="3" fontId="54" fillId="0" borderId="0" xfId="0" applyNumberFormat="1" applyFont="1" applyFill="1" applyAlignment="1" applyProtection="1">
      <alignment horizontal="right"/>
      <protection locked="0"/>
    </xf>
    <xf numFmtId="8" fontId="54" fillId="0" borderId="0" xfId="0" applyNumberFormat="1" applyFont="1" applyFill="1" applyAlignment="1"/>
    <xf numFmtId="164" fontId="54" fillId="0" borderId="0" xfId="0" applyNumberFormat="1" applyFont="1" applyFill="1" applyAlignment="1">
      <alignment horizontal="left"/>
    </xf>
    <xf numFmtId="3" fontId="58" fillId="0" borderId="0" xfId="0" quotePrefix="1" applyNumberFormat="1" applyFont="1" applyAlignment="1" applyProtection="1">
      <alignment horizontal="left"/>
    </xf>
    <xf numFmtId="173" fontId="54" fillId="0" borderId="0" xfId="0" applyNumberFormat="1" applyFont="1" applyFill="1" applyAlignment="1">
      <alignment horizontal="left"/>
    </xf>
    <xf numFmtId="3" fontId="54" fillId="0" borderId="0" xfId="0" applyNumberFormat="1" applyFont="1" applyFill="1" applyAlignment="1">
      <alignment horizontal="right"/>
    </xf>
    <xf numFmtId="0" fontId="66"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right"/>
    </xf>
    <xf numFmtId="3" fontId="58" fillId="0" borderId="0" xfId="0" applyNumberFormat="1" applyFont="1" applyAlignment="1" applyProtection="1"/>
    <xf numFmtId="164" fontId="58" fillId="0" borderId="0" xfId="0" quotePrefix="1" applyNumberFormat="1" applyFont="1" applyAlignment="1" applyProtection="1">
      <alignment horizontal="left"/>
    </xf>
    <xf numFmtId="164" fontId="58" fillId="0" borderId="0" xfId="0" applyNumberFormat="1" applyFont="1" applyAlignment="1" applyProtection="1"/>
    <xf numFmtId="3" fontId="58" fillId="0" borderId="0" xfId="0" quotePrefix="1" applyNumberFormat="1" applyFont="1" applyFill="1" applyAlignment="1" applyProtection="1">
      <alignment horizontal="left"/>
    </xf>
    <xf numFmtId="0" fontId="58" fillId="0" borderId="0" xfId="0" applyNumberFormat="1" applyFont="1" applyFill="1" applyProtection="1"/>
    <xf numFmtId="0" fontId="58" fillId="0" borderId="0" xfId="0" quotePrefix="1" applyNumberFormat="1" applyFont="1" applyFill="1" applyAlignment="1" applyProtection="1">
      <alignment horizontal="left"/>
    </xf>
    <xf numFmtId="3" fontId="58" fillId="0" borderId="0" xfId="0" applyNumberFormat="1" applyFont="1" applyFill="1" applyAlignment="1" applyProtection="1"/>
    <xf numFmtId="0" fontId="54" fillId="0" borderId="0" xfId="0" applyNumberFormat="1" applyFont="1" applyFill="1" applyAlignment="1" applyProtection="1">
      <alignment horizontal="right"/>
    </xf>
    <xf numFmtId="164" fontId="55" fillId="0" borderId="0" xfId="0" applyNumberFormat="1" applyFont="1" applyFill="1" applyAlignment="1" applyProtection="1">
      <alignment horizontal="centerContinuous"/>
    </xf>
    <xf numFmtId="164" fontId="54" fillId="0" borderId="0" xfId="0" applyNumberFormat="1" applyFont="1" applyFill="1" applyAlignment="1" applyProtection="1">
      <alignment horizontal="centerContinuous"/>
    </xf>
    <xf numFmtId="0" fontId="54" fillId="0" borderId="0" xfId="0" applyNumberFormat="1" applyFont="1" applyFill="1" applyAlignment="1" applyProtection="1">
      <alignment horizontal="centerContinuous"/>
    </xf>
    <xf numFmtId="3" fontId="54" fillId="0" borderId="0" xfId="0" applyNumberFormat="1" applyFont="1" applyFill="1" applyAlignment="1" applyProtection="1">
      <alignment horizontal="centerContinuous"/>
    </xf>
    <xf numFmtId="0" fontId="54" fillId="0" borderId="0" xfId="0" quotePrefix="1" applyNumberFormat="1" applyFont="1" applyFill="1" applyAlignment="1">
      <alignment horizontal="left"/>
    </xf>
    <xf numFmtId="0" fontId="54" fillId="0" borderId="1" xfId="0" quotePrefix="1" applyNumberFormat="1" applyFont="1" applyFill="1" applyBorder="1" applyAlignment="1" applyProtection="1">
      <alignment horizontal="left"/>
      <protection locked="0"/>
    </xf>
    <xf numFmtId="0" fontId="54" fillId="0" borderId="0" xfId="0" applyNumberFormat="1" applyFont="1" applyFill="1" applyAlignment="1" applyProtection="1">
      <alignment horizontal="left"/>
      <protection locked="0"/>
    </xf>
    <xf numFmtId="3" fontId="61" fillId="0" borderId="0" xfId="0" applyNumberFormat="1" applyFont="1" applyFill="1" applyProtection="1"/>
    <xf numFmtId="0" fontId="54" fillId="0" borderId="0" xfId="0" quotePrefix="1" applyNumberFormat="1" applyFont="1" applyFill="1" applyAlignment="1">
      <alignment horizontal="left" wrapText="1"/>
    </xf>
    <xf numFmtId="10" fontId="72" fillId="0" borderId="0" xfId="3" applyNumberFormat="1" applyFont="1" applyFill="1" applyBorder="1"/>
    <xf numFmtId="10" fontId="72" fillId="0" borderId="0" xfId="3" applyNumberFormat="1" applyFont="1" applyFill="1" applyBorder="1" applyAlignment="1">
      <alignment horizontal="right"/>
    </xf>
    <xf numFmtId="10" fontId="60" fillId="0" borderId="0" xfId="3" applyNumberFormat="1" applyFont="1"/>
    <xf numFmtId="0" fontId="58" fillId="0" borderId="0" xfId="0" quotePrefix="1" applyNumberFormat="1" applyFont="1" applyFill="1" applyBorder="1" applyAlignment="1" applyProtection="1">
      <alignment horizontal="left"/>
    </xf>
    <xf numFmtId="185" fontId="54" fillId="0" borderId="0" xfId="2" applyNumberFormat="1" applyFont="1" applyFill="1" applyBorder="1" applyProtection="1"/>
    <xf numFmtId="0" fontId="54" fillId="0" borderId="0" xfId="0" quotePrefix="1" applyNumberFormat="1" applyFont="1" applyFill="1" applyAlignment="1" applyProtection="1">
      <alignment horizontal="right"/>
      <protection locked="0"/>
    </xf>
    <xf numFmtId="3" fontId="54" fillId="0" borderId="0" xfId="0" quotePrefix="1" applyNumberFormat="1" applyFont="1" applyFill="1" applyAlignment="1" applyProtection="1"/>
    <xf numFmtId="167" fontId="54" fillId="0" borderId="0" xfId="0" applyNumberFormat="1" applyFont="1" applyFill="1" applyAlignment="1" applyProtection="1">
      <alignment horizontal="centerContinuous"/>
    </xf>
    <xf numFmtId="49" fontId="55" fillId="0" borderId="0" xfId="0" quotePrefix="1" applyNumberFormat="1" applyFont="1" applyFill="1" applyAlignment="1" applyProtection="1">
      <alignment horizontal="centerContinuous"/>
    </xf>
    <xf numFmtId="0" fontId="55" fillId="0" borderId="0" xfId="0" applyNumberFormat="1" applyFont="1" applyFill="1" applyAlignment="1" applyProtection="1">
      <alignment horizontal="centerContinuous"/>
    </xf>
    <xf numFmtId="43" fontId="54" fillId="0" borderId="0" xfId="1" applyFont="1" applyFill="1" applyAlignment="1"/>
    <xf numFmtId="37" fontId="68" fillId="0" borderId="0" xfId="0" applyFont="1"/>
    <xf numFmtId="37" fontId="54" fillId="0" borderId="0" xfId="0" applyFont="1"/>
    <xf numFmtId="37" fontId="54" fillId="0" borderId="0" xfId="0" applyFont="1" applyFill="1"/>
    <xf numFmtId="37" fontId="55" fillId="0" borderId="0" xfId="0" applyFont="1" applyFill="1" applyAlignment="1">
      <alignment horizontal="center"/>
    </xf>
    <xf numFmtId="15" fontId="55" fillId="0" borderId="3" xfId="3" applyNumberFormat="1" applyFont="1" applyFill="1" applyBorder="1" applyAlignment="1">
      <alignment horizontal="center"/>
    </xf>
    <xf numFmtId="37" fontId="54" fillId="0" borderId="0" xfId="0" quotePrefix="1" applyFont="1" applyFill="1" applyBorder="1" applyAlignment="1">
      <alignment horizontal="center"/>
    </xf>
    <xf numFmtId="15" fontId="55" fillId="0" borderId="0" xfId="3" applyNumberFormat="1" applyFont="1" applyFill="1" applyBorder="1" applyAlignment="1">
      <alignment horizontal="center"/>
    </xf>
    <xf numFmtId="37" fontId="55" fillId="0" borderId="0" xfId="0" applyFont="1" applyFill="1"/>
    <xf numFmtId="10" fontId="54" fillId="0" borderId="0" xfId="3" applyNumberFormat="1" applyFont="1" applyFill="1"/>
    <xf numFmtId="37" fontId="54" fillId="0" borderId="0" xfId="0" quotePrefix="1" applyFont="1" applyFill="1" applyAlignment="1">
      <alignment horizontal="left"/>
    </xf>
    <xf numFmtId="10" fontId="54" fillId="0" borderId="0" xfId="3" applyNumberFormat="1" applyFont="1" applyFill="1" applyBorder="1"/>
    <xf numFmtId="43" fontId="54" fillId="0" borderId="0" xfId="1" applyFont="1" applyFill="1" applyAlignment="1">
      <alignment horizontal="left" indent="2"/>
    </xf>
    <xf numFmtId="43" fontId="55" fillId="0" borderId="0" xfId="1" quotePrefix="1" applyFont="1" applyFill="1" applyBorder="1" applyAlignment="1">
      <alignment horizontal="left"/>
    </xf>
    <xf numFmtId="37" fontId="55" fillId="0" borderId="0" xfId="0" applyFont="1" applyFill="1" applyBorder="1" applyAlignment="1">
      <alignment horizontal="center"/>
    </xf>
    <xf numFmtId="37" fontId="55" fillId="0" borderId="0" xfId="0" quotePrefix="1" applyFont="1" applyFill="1" applyAlignment="1">
      <alignment horizontal="left"/>
    </xf>
    <xf numFmtId="43" fontId="55" fillId="0" borderId="0" xfId="1" applyFont="1" applyFill="1" applyAlignment="1">
      <alignment horizontal="left" indent="2"/>
    </xf>
    <xf numFmtId="10" fontId="54" fillId="0" borderId="0" xfId="1" applyNumberFormat="1" applyFont="1" applyFill="1" applyAlignment="1" applyProtection="1">
      <alignment horizontal="left" indent="2"/>
    </xf>
    <xf numFmtId="43" fontId="54" fillId="0" borderId="0" xfId="1" quotePrefix="1" applyFont="1" applyFill="1" applyAlignment="1">
      <alignment horizontal="left"/>
    </xf>
    <xf numFmtId="10" fontId="54" fillId="0" borderId="0" xfId="1" applyNumberFormat="1" applyFont="1" applyFill="1" applyAlignment="1">
      <alignment horizontal="center"/>
    </xf>
    <xf numFmtId="10" fontId="54" fillId="0" borderId="0" xfId="1" applyNumberFormat="1" applyFont="1" applyFill="1" applyAlignment="1" applyProtection="1">
      <alignment horizontal="center"/>
    </xf>
    <xf numFmtId="37" fontId="58" fillId="0" borderId="0" xfId="0" quotePrefix="1" applyFont="1" applyAlignment="1">
      <alignment horizontal="left"/>
    </xf>
    <xf numFmtId="37" fontId="58" fillId="0" borderId="0" xfId="0" quotePrefix="1" applyFont="1" applyAlignment="1" applyProtection="1">
      <alignment horizontal="left" wrapText="1"/>
    </xf>
    <xf numFmtId="37" fontId="58" fillId="0" borderId="0" xfId="0" quotePrefix="1" applyFont="1" applyAlignment="1" applyProtection="1">
      <alignment horizontal="left"/>
    </xf>
    <xf numFmtId="37" fontId="58" fillId="0" borderId="0" xfId="0" applyFont="1" applyFill="1" applyProtection="1">
      <protection locked="0"/>
    </xf>
    <xf numFmtId="37" fontId="58" fillId="0" borderId="0" xfId="0" applyFont="1" applyAlignment="1" applyProtection="1">
      <alignment horizontal="left"/>
    </xf>
    <xf numFmtId="37" fontId="58" fillId="0" borderId="0" xfId="0" quotePrefix="1" applyFont="1" applyFill="1" applyAlignment="1" applyProtection="1">
      <alignment horizontal="left"/>
    </xf>
    <xf numFmtId="37" fontId="58" fillId="0" borderId="0" xfId="0" applyFont="1" applyFill="1" applyProtection="1"/>
    <xf numFmtId="37" fontId="74" fillId="0" borderId="0" xfId="0" applyFont="1" applyProtection="1"/>
    <xf numFmtId="0" fontId="58" fillId="0" borderId="0" xfId="0" applyNumberFormat="1" applyFont="1" applyAlignment="1" applyProtection="1"/>
    <xf numFmtId="0"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1"/>
    </xf>
    <xf numFmtId="9" fontId="58" fillId="0" borderId="0" xfId="3" applyFont="1" applyProtection="1"/>
    <xf numFmtId="3" fontId="58" fillId="0" borderId="0" xfId="0" applyNumberFormat="1" applyFont="1" applyAlignment="1" applyProtection="1">
      <alignment horizontal="left"/>
    </xf>
    <xf numFmtId="0" fontId="58" fillId="0" borderId="0" xfId="0" quotePrefix="1" applyNumberFormat="1" applyFont="1" applyAlignment="1" applyProtection="1">
      <alignment horizontal="left"/>
    </xf>
    <xf numFmtId="37" fontId="58" fillId="0" borderId="0" xfId="0" applyFont="1" applyAlignment="1" applyProtection="1">
      <alignment horizontal="left" indent="1"/>
    </xf>
    <xf numFmtId="171" fontId="58" fillId="0" borderId="0" xfId="3" applyNumberFormat="1" applyFont="1" applyProtection="1"/>
    <xf numFmtId="188" fontId="58" fillId="0" borderId="0" xfId="3" applyNumberFormat="1" applyFont="1" applyProtection="1"/>
    <xf numFmtId="37" fontId="58" fillId="0" borderId="0" xfId="0" quotePrefix="1" applyFont="1" applyAlignment="1" applyProtection="1">
      <alignment horizontal="left" indent="1"/>
    </xf>
    <xf numFmtId="37" fontId="58" fillId="0" borderId="0" xfId="0" quotePrefix="1" applyFont="1" applyAlignment="1" applyProtection="1">
      <alignment horizontal="right"/>
    </xf>
    <xf numFmtId="37" fontId="74" fillId="0" borderId="0" xfId="0" quotePrefix="1" applyFont="1" applyAlignment="1" applyProtection="1">
      <alignment horizontal="left"/>
    </xf>
    <xf numFmtId="0" fontId="58" fillId="0" borderId="0" xfId="0" quotePrefix="1" applyNumberFormat="1" applyFont="1" applyFill="1" applyAlignment="1" applyProtection="1">
      <alignment horizontal="left" wrapText="1"/>
    </xf>
    <xf numFmtId="164" fontId="58" fillId="0" borderId="0" xfId="0" quotePrefix="1" applyNumberFormat="1" applyFont="1" applyFill="1" applyAlignment="1" applyProtection="1">
      <alignment horizontal="left"/>
    </xf>
    <xf numFmtId="0" fontId="58" fillId="0" borderId="0" xfId="0" quotePrefix="1" applyNumberFormat="1" applyFont="1" applyFill="1" applyAlignment="1" applyProtection="1">
      <alignment horizontal="left" wrapText="1" indent="1"/>
    </xf>
    <xf numFmtId="3" fontId="58" fillId="0" borderId="0" xfId="0" quotePrefix="1" applyNumberFormat="1" applyFont="1" applyFill="1" applyAlignment="1" applyProtection="1">
      <alignment horizontal="left" wrapText="1"/>
    </xf>
    <xf numFmtId="3" fontId="58" fillId="0" borderId="0" xfId="0" applyNumberFormat="1" applyFont="1" applyAlignment="1" applyProtection="1">
      <alignment horizontal="left" indent="2"/>
    </xf>
    <xf numFmtId="3"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2"/>
    </xf>
    <xf numFmtId="0" fontId="58" fillId="0" borderId="0" xfId="0" applyNumberFormat="1" applyFont="1" applyAlignment="1" applyProtection="1">
      <alignment horizontal="left" indent="3"/>
    </xf>
    <xf numFmtId="37" fontId="58" fillId="0" borderId="0" xfId="0" applyFont="1" applyAlignment="1" applyProtection="1">
      <alignment horizontal="left" indent="3"/>
    </xf>
    <xf numFmtId="37" fontId="58" fillId="0" borderId="0" xfId="0" quotePrefix="1" applyFont="1" applyAlignment="1" applyProtection="1">
      <alignment horizontal="left" indent="2"/>
    </xf>
    <xf numFmtId="164" fontId="58" fillId="0" borderId="0" xfId="0" applyNumberFormat="1" applyFont="1" applyAlignment="1" applyProtection="1">
      <alignment horizontal="left"/>
    </xf>
    <xf numFmtId="3" fontId="56" fillId="0" borderId="0" xfId="0" applyNumberFormat="1" applyFont="1" applyAlignment="1" applyProtection="1">
      <alignment horizontal="center"/>
    </xf>
    <xf numFmtId="3" fontId="58" fillId="0" borderId="0" xfId="0" quotePrefix="1" applyNumberFormat="1" applyFont="1" applyFill="1" applyBorder="1" applyAlignment="1" applyProtection="1">
      <alignment horizontal="left"/>
    </xf>
    <xf numFmtId="0" fontId="58" fillId="0" borderId="0" xfId="0" applyNumberFormat="1" applyFont="1" applyBorder="1" applyAlignment="1" applyProtection="1"/>
    <xf numFmtId="3" fontId="58" fillId="0" borderId="0" xfId="0" quotePrefix="1" applyNumberFormat="1" applyFont="1" applyBorder="1" applyAlignment="1" applyProtection="1">
      <alignment horizontal="left"/>
    </xf>
    <xf numFmtId="3" fontId="58" fillId="0" borderId="0" xfId="0" quotePrefix="1" applyNumberFormat="1" applyFont="1" applyAlignment="1" applyProtection="1">
      <alignment horizontal="left" indent="1"/>
    </xf>
    <xf numFmtId="37" fontId="58" fillId="0" borderId="0" xfId="0" applyFont="1" applyAlignment="1" applyProtection="1">
      <alignment horizontal="left" wrapText="1" indent="1"/>
    </xf>
    <xf numFmtId="175" fontId="58" fillId="0" borderId="0" xfId="1" applyNumberFormat="1" applyFont="1" applyFill="1" applyProtection="1"/>
    <xf numFmtId="37" fontId="75" fillId="35" borderId="23" xfId="0" applyFont="1" applyFill="1" applyBorder="1" applyAlignment="1">
      <alignment horizontal="left" vertical="center" readingOrder="1"/>
    </xf>
    <xf numFmtId="37" fontId="75" fillId="35" borderId="23" xfId="0" applyFont="1" applyFill="1" applyBorder="1" applyAlignment="1">
      <alignment horizontal="center" vertical="center" readingOrder="1"/>
    </xf>
    <xf numFmtId="37" fontId="77" fillId="0" borderId="23" xfId="0" applyFont="1" applyBorder="1" applyAlignment="1">
      <alignment horizontal="left" vertical="top" readingOrder="1"/>
    </xf>
    <xf numFmtId="37" fontId="77" fillId="0" borderId="23" xfId="0" applyFont="1" applyBorder="1" applyAlignment="1">
      <alignment horizontal="center" vertical="center" readingOrder="1"/>
    </xf>
    <xf numFmtId="8" fontId="78" fillId="0" borderId="23" xfId="0" applyNumberFormat="1" applyFont="1" applyBorder="1" applyAlignment="1">
      <alignment horizontal="center" vertical="center" readingOrder="1"/>
    </xf>
    <xf numFmtId="6" fontId="78" fillId="0" borderId="23" xfId="0" applyNumberFormat="1" applyFont="1" applyBorder="1" applyAlignment="1">
      <alignment horizontal="center" vertical="center" readingOrder="1"/>
    </xf>
    <xf numFmtId="191" fontId="78" fillId="0" borderId="23" xfId="0" applyNumberFormat="1" applyFont="1" applyBorder="1" applyAlignment="1">
      <alignment horizontal="center" vertical="center" readingOrder="1"/>
    </xf>
    <xf numFmtId="43" fontId="58" fillId="0" borderId="0" xfId="154" applyFont="1" applyProtection="1"/>
    <xf numFmtId="0" fontId="79" fillId="0" borderId="0" xfId="153" applyFont="1" applyProtection="1"/>
    <xf numFmtId="43" fontId="80" fillId="0" borderId="0" xfId="154" applyFont="1" applyAlignment="1" applyProtection="1">
      <alignment horizontal="center"/>
    </xf>
    <xf numFmtId="43" fontId="79" fillId="0" borderId="0" xfId="154" applyFont="1" applyProtection="1"/>
    <xf numFmtId="0" fontId="79" fillId="0" borderId="0" xfId="153" applyFont="1" applyFill="1" applyProtection="1"/>
    <xf numFmtId="43" fontId="80" fillId="0" borderId="0" xfId="154" applyFont="1" applyBorder="1" applyAlignment="1" applyProtection="1">
      <alignment horizontal="center"/>
    </xf>
    <xf numFmtId="43" fontId="58" fillId="0" borderId="0" xfId="154" applyFont="1" applyAlignment="1" applyProtection="1">
      <alignment horizontal="center"/>
    </xf>
    <xf numFmtId="43" fontId="58" fillId="0" borderId="0" xfId="154" quotePrefix="1" applyFont="1" applyAlignment="1" applyProtection="1">
      <alignment horizontal="left"/>
    </xf>
    <xf numFmtId="0" fontId="58" fillId="0" borderId="0" xfId="155" quotePrefix="1" applyFont="1" applyBorder="1" applyAlignment="1" applyProtection="1">
      <alignment horizontal="left"/>
    </xf>
    <xf numFmtId="0" fontId="80" fillId="0" borderId="0" xfId="155" applyFont="1" applyBorder="1" applyAlignment="1" applyProtection="1">
      <alignment horizontal="center"/>
    </xf>
    <xf numFmtId="0" fontId="79" fillId="0" borderId="0" xfId="153" applyFont="1" applyBorder="1" applyProtection="1"/>
    <xf numFmtId="0" fontId="80" fillId="0" borderId="0" xfId="155" quotePrefix="1" applyFont="1" applyBorder="1" applyAlignment="1" applyProtection="1">
      <alignment horizontal="center"/>
    </xf>
    <xf numFmtId="0" fontId="58" fillId="0" borderId="0" xfId="155" applyFont="1" applyBorder="1" applyAlignment="1" applyProtection="1">
      <alignment horizontal="left"/>
    </xf>
    <xf numFmtId="0" fontId="58" fillId="0" borderId="0" xfId="155" applyFont="1" applyBorder="1" applyProtection="1"/>
    <xf numFmtId="43" fontId="58" fillId="0" borderId="0" xfId="155" applyNumberFormat="1" applyFont="1" applyBorder="1" applyProtection="1"/>
    <xf numFmtId="43" fontId="81" fillId="0" borderId="0" xfId="155" applyNumberFormat="1" applyFont="1" applyBorder="1" applyAlignment="1" applyProtection="1">
      <alignment horizontal="center"/>
    </xf>
    <xf numFmtId="43" fontId="79" fillId="0" borderId="0" xfId="154" applyFont="1" applyBorder="1" applyProtection="1"/>
    <xf numFmtId="0" fontId="80" fillId="0" borderId="0" xfId="155" applyFont="1" applyBorder="1" applyProtection="1"/>
    <xf numFmtId="184" fontId="54" fillId="0" borderId="0" xfId="1" applyNumberFormat="1" applyFont="1" applyFill="1" applyBorder="1" applyAlignment="1" applyProtection="1">
      <alignment horizontal="center"/>
    </xf>
    <xf numFmtId="184" fontId="54" fillId="0" borderId="0" xfId="1" applyNumberFormat="1" applyFont="1" applyFill="1" applyBorder="1" applyAlignment="1" applyProtection="1">
      <alignment horizontal="left"/>
    </xf>
    <xf numFmtId="184" fontId="62" fillId="0" borderId="0" xfId="1" applyNumberFormat="1" applyFont="1" applyFill="1" applyBorder="1" applyAlignment="1" applyProtection="1">
      <alignment horizontal="right"/>
    </xf>
    <xf numFmtId="190" fontId="76" fillId="35" borderId="23" xfId="0" applyNumberFormat="1" applyFont="1" applyFill="1" applyBorder="1" applyAlignment="1">
      <alignment horizontal="center" vertical="center" wrapText="1" readingOrder="1"/>
    </xf>
    <xf numFmtId="37" fontId="61" fillId="0" borderId="0" xfId="156" applyFont="1"/>
    <xf numFmtId="37" fontId="61" fillId="0" borderId="0" xfId="0" applyFont="1" applyAlignment="1">
      <alignment horizontal="center" wrapText="1"/>
    </xf>
    <xf numFmtId="37" fontId="61" fillId="0" borderId="0" xfId="0" applyFont="1" applyAlignment="1">
      <alignment horizontal="center"/>
    </xf>
    <xf numFmtId="37" fontId="61" fillId="0" borderId="0" xfId="0" applyFont="1"/>
    <xf numFmtId="37" fontId="61" fillId="0" borderId="0" xfId="156" quotePrefix="1" applyFont="1" applyAlignment="1">
      <alignment horizontal="left"/>
    </xf>
    <xf numFmtId="37" fontId="61" fillId="0" borderId="0" xfId="0" applyFont="1" applyFill="1" applyAlignment="1">
      <alignment horizontal="center"/>
    </xf>
    <xf numFmtId="37" fontId="82" fillId="0" borderId="0" xfId="0" applyFont="1" applyAlignment="1">
      <alignment horizontal="center" wrapText="1"/>
    </xf>
    <xf numFmtId="37" fontId="82" fillId="0" borderId="0" xfId="0" applyFont="1" applyAlignment="1">
      <alignment horizontal="center"/>
    </xf>
    <xf numFmtId="37" fontId="61" fillId="0" borderId="0" xfId="0" applyFont="1" applyFill="1"/>
    <xf numFmtId="37" fontId="61" fillId="0" borderId="0" xfId="0" applyFont="1" applyAlignment="1">
      <alignment wrapText="1"/>
    </xf>
    <xf numFmtId="37" fontId="61" fillId="0" borderId="0" xfId="156" quotePrefix="1" applyFont="1"/>
    <xf numFmtId="37" fontId="61" fillId="0" borderId="0" xfId="0" quotePrefix="1" applyFont="1" applyAlignment="1">
      <alignment horizontal="center"/>
    </xf>
    <xf numFmtId="37" fontId="61" fillId="0" borderId="0" xfId="0" applyFont="1" applyAlignment="1">
      <alignment horizontal="left" wrapText="1" indent="1"/>
    </xf>
    <xf numFmtId="37" fontId="61" fillId="0" borderId="0" xfId="0" applyFont="1" applyFill="1" applyAlignment="1">
      <alignment horizontal="left" wrapText="1" indent="1"/>
    </xf>
    <xf numFmtId="175" fontId="61" fillId="0" borderId="0" xfId="1" applyNumberFormat="1" applyFont="1" applyFill="1"/>
    <xf numFmtId="175" fontId="61" fillId="0" borderId="0" xfId="0" applyNumberFormat="1" applyFont="1"/>
    <xf numFmtId="37" fontId="61" fillId="0" borderId="0" xfId="0" quotePrefix="1" applyFont="1" applyFill="1" applyAlignment="1">
      <alignment horizontal="left" wrapText="1" indent="1"/>
    </xf>
    <xf numFmtId="37" fontId="61" fillId="0" borderId="0" xfId="0" quotePrefix="1" applyFont="1" applyFill="1" applyAlignment="1">
      <alignment horizontal="center"/>
    </xf>
    <xf numFmtId="37" fontId="61" fillId="0" borderId="0" xfId="0" applyFont="1" applyFill="1" applyAlignment="1">
      <alignment horizontal="left"/>
    </xf>
    <xf numFmtId="37" fontId="61" fillId="0" borderId="0" xfId="0" applyFont="1" applyFill="1" applyBorder="1" applyAlignment="1">
      <alignment horizontal="left" wrapText="1" indent="1"/>
    </xf>
    <xf numFmtId="37" fontId="61" fillId="0" borderId="0" xfId="0" quotePrefix="1" applyFont="1" applyFill="1" applyBorder="1" applyAlignment="1">
      <alignment horizontal="center"/>
    </xf>
    <xf numFmtId="37" fontId="61" fillId="0" borderId="0" xfId="0" applyFont="1" applyFill="1" applyBorder="1"/>
    <xf numFmtId="175" fontId="61" fillId="0" borderId="0" xfId="1" applyNumberFormat="1" applyFont="1" applyFill="1" applyBorder="1"/>
    <xf numFmtId="37" fontId="61" fillId="0" borderId="0" xfId="0" quotePrefix="1" applyFont="1" applyFill="1" applyBorder="1" applyAlignment="1">
      <alignment horizontal="left" wrapText="1" indent="1"/>
    </xf>
    <xf numFmtId="37" fontId="61" fillId="0" borderId="0" xfId="0" applyFont="1" applyFill="1" applyBorder="1" applyAlignment="1">
      <alignment horizontal="left"/>
    </xf>
    <xf numFmtId="175" fontId="82" fillId="0" borderId="0" xfId="1" applyNumberFormat="1" applyFont="1" applyFill="1"/>
    <xf numFmtId="3" fontId="61" fillId="0" borderId="0" xfId="0" applyNumberFormat="1" applyFont="1" applyFill="1"/>
    <xf numFmtId="175" fontId="83" fillId="0" borderId="0" xfId="1" applyNumberFormat="1" applyFont="1" applyFill="1"/>
    <xf numFmtId="37" fontId="61" fillId="0" borderId="1" xfId="0" applyFont="1" applyFill="1" applyBorder="1" applyAlignment="1">
      <alignment wrapText="1"/>
    </xf>
    <xf numFmtId="37" fontId="61" fillId="0" borderId="1" xfId="0" applyFont="1" applyFill="1" applyBorder="1"/>
    <xf numFmtId="3" fontId="84" fillId="0" borderId="1" xfId="0" applyNumberFormat="1" applyFont="1" applyFill="1" applyBorder="1"/>
    <xf numFmtId="37" fontId="61" fillId="0" borderId="0" xfId="0" applyFont="1" applyFill="1" applyAlignment="1">
      <alignment wrapText="1"/>
    </xf>
    <xf numFmtId="3" fontId="82" fillId="0" borderId="0" xfId="0" applyNumberFormat="1" applyFont="1" applyFill="1"/>
    <xf numFmtId="37" fontId="61" fillId="0" borderId="0" xfId="0" quotePrefix="1" applyFont="1" applyFill="1" applyAlignment="1">
      <alignment horizontal="left"/>
    </xf>
    <xf numFmtId="195" fontId="54" fillId="0" borderId="0" xfId="2" applyNumberFormat="1" applyFont="1" applyFill="1" applyBorder="1" applyAlignment="1" applyProtection="1"/>
    <xf numFmtId="196" fontId="54" fillId="0" borderId="0" xfId="1" applyNumberFormat="1" applyFont="1" applyFill="1" applyBorder="1" applyAlignment="1"/>
    <xf numFmtId="37" fontId="58" fillId="36" borderId="0" xfId="0" quotePrefix="1" applyFont="1" applyFill="1" applyAlignment="1" applyProtection="1">
      <alignment horizontal="left"/>
    </xf>
    <xf numFmtId="37" fontId="58" fillId="36" borderId="0" xfId="0" applyFont="1" applyFill="1" applyProtection="1"/>
    <xf numFmtId="3" fontId="58" fillId="36" borderId="0" xfId="0" applyNumberFormat="1" applyFont="1" applyFill="1" applyAlignment="1" applyProtection="1"/>
    <xf numFmtId="37" fontId="85" fillId="0" borderId="0" xfId="0" applyFont="1" applyProtection="1"/>
    <xf numFmtId="37" fontId="85" fillId="0" borderId="0" xfId="0" quotePrefix="1" applyFont="1" applyAlignment="1" applyProtection="1">
      <alignment horizontal="left"/>
    </xf>
    <xf numFmtId="37" fontId="85" fillId="0" borderId="0" xfId="0" quotePrefix="1" applyFont="1" applyFill="1" applyAlignment="1" applyProtection="1">
      <alignment horizontal="left"/>
    </xf>
    <xf numFmtId="164" fontId="85" fillId="0" borderId="0" xfId="0" quotePrefix="1" applyNumberFormat="1" applyFont="1" applyAlignment="1" applyProtection="1">
      <alignment horizontal="left"/>
    </xf>
    <xf numFmtId="0" fontId="85" fillId="0" borderId="0" xfId="0" applyNumberFormat="1" applyFont="1" applyFill="1" applyProtection="1"/>
    <xf numFmtId="164" fontId="85" fillId="0" borderId="0" xfId="0" quotePrefix="1" applyNumberFormat="1" applyFont="1" applyFill="1" applyAlignment="1" applyProtection="1">
      <alignment horizontal="left"/>
    </xf>
    <xf numFmtId="0" fontId="85" fillId="0" borderId="0" xfId="0" quotePrefix="1" applyNumberFormat="1" applyFont="1" applyFill="1" applyAlignment="1" applyProtection="1">
      <alignment horizontal="left"/>
    </xf>
    <xf numFmtId="0" fontId="85" fillId="0" borderId="0" xfId="0" quotePrefix="1" applyNumberFormat="1" applyFont="1" applyFill="1" applyAlignment="1" applyProtection="1">
      <alignment horizontal="left" indent="1"/>
    </xf>
    <xf numFmtId="164" fontId="58" fillId="0" borderId="0" xfId="0" quotePrefix="1" applyNumberFormat="1" applyFont="1" applyAlignment="1" applyProtection="1">
      <alignment horizontal="left" indent="1"/>
    </xf>
    <xf numFmtId="3" fontId="58" fillId="0" borderId="0" xfId="0" applyNumberFormat="1" applyFont="1" applyFill="1" applyBorder="1" applyAlignment="1" applyProtection="1">
      <alignment horizontal="left" indent="1"/>
    </xf>
    <xf numFmtId="37" fontId="86" fillId="0" borderId="0" xfId="0" applyFont="1" applyProtection="1"/>
    <xf numFmtId="37" fontId="87" fillId="0" borderId="0" xfId="0" applyFont="1" applyAlignment="1" applyProtection="1">
      <alignment horizontal="center"/>
    </xf>
    <xf numFmtId="0" fontId="85" fillId="0" borderId="0" xfId="153" quotePrefix="1" applyFont="1" applyAlignment="1" applyProtection="1">
      <alignment horizontal="left"/>
    </xf>
    <xf numFmtId="0" fontId="85" fillId="0" borderId="0" xfId="154" quotePrefix="1" applyNumberFormat="1" applyFont="1" applyAlignment="1" applyProtection="1">
      <alignment horizontal="left"/>
    </xf>
    <xf numFmtId="43" fontId="87" fillId="0" borderId="0" xfId="154" applyFont="1" applyBorder="1" applyAlignment="1" applyProtection="1">
      <alignment horizontal="center"/>
    </xf>
    <xf numFmtId="0" fontId="88" fillId="0" borderId="0" xfId="153" quotePrefix="1" applyFont="1" applyAlignment="1" applyProtection="1">
      <alignment horizontal="left"/>
    </xf>
    <xf numFmtId="0" fontId="55" fillId="0" borderId="0" xfId="153" applyFont="1" applyFill="1" applyProtection="1"/>
    <xf numFmtId="0" fontId="55" fillId="0" borderId="0" xfId="153" applyFont="1" applyProtection="1"/>
    <xf numFmtId="43" fontId="58" fillId="0" borderId="24" xfId="154" quotePrefix="1" applyFont="1" applyBorder="1" applyAlignment="1" applyProtection="1">
      <alignment horizontal="left"/>
    </xf>
    <xf numFmtId="43" fontId="58" fillId="0" borderId="24" xfId="154" applyFont="1" applyBorder="1" applyProtection="1"/>
    <xf numFmtId="43" fontId="80" fillId="0" borderId="0" xfId="154" applyFont="1" applyAlignment="1" applyProtection="1">
      <alignment horizontal="center" wrapText="1"/>
    </xf>
    <xf numFmtId="0" fontId="85" fillId="0" borderId="0" xfId="153" quotePrefix="1" applyFont="1" applyFill="1" applyAlignment="1" applyProtection="1">
      <alignment horizontal="left"/>
    </xf>
    <xf numFmtId="43" fontId="58" fillId="0" borderId="0" xfId="154" applyFont="1" applyFill="1" applyProtection="1"/>
    <xf numFmtId="0" fontId="85" fillId="0" borderId="0" xfId="153" applyFont="1" applyFill="1" applyProtection="1"/>
    <xf numFmtId="43" fontId="58" fillId="0" borderId="0" xfId="154" quotePrefix="1" applyFont="1" applyFill="1" applyAlignment="1" applyProtection="1">
      <alignment horizontal="left"/>
    </xf>
    <xf numFmtId="43" fontId="58" fillId="0" borderId="24" xfId="154" applyFont="1" applyFill="1" applyBorder="1" applyAlignment="1" applyProtection="1">
      <alignment horizontal="center"/>
      <protection locked="0"/>
    </xf>
    <xf numFmtId="0" fontId="85" fillId="0" borderId="0" xfId="154" quotePrefix="1" applyNumberFormat="1" applyFont="1" applyAlignment="1" applyProtection="1">
      <alignment horizontal="left" indent="3"/>
    </xf>
    <xf numFmtId="0" fontId="85" fillId="0" borderId="0" xfId="154" applyNumberFormat="1" applyFont="1" applyAlignment="1" applyProtection="1">
      <alignment horizontal="left" indent="3"/>
    </xf>
    <xf numFmtId="0" fontId="85" fillId="0" borderId="0" xfId="155" quotePrefix="1" applyFont="1" applyBorder="1" applyAlignment="1" applyProtection="1">
      <alignment horizontal="left" indent="3"/>
    </xf>
    <xf numFmtId="0" fontId="79" fillId="0" borderId="0" xfId="153" applyFont="1" applyAlignment="1" applyProtection="1">
      <alignment horizontal="left" indent="2"/>
    </xf>
    <xf numFmtId="14" fontId="55" fillId="0" borderId="0" xfId="153" applyNumberFormat="1" applyFont="1" applyAlignment="1" applyProtection="1">
      <alignment horizontal="left"/>
    </xf>
    <xf numFmtId="37" fontId="89" fillId="0" borderId="0" xfId="0" applyFont="1" applyProtection="1"/>
    <xf numFmtId="49" fontId="54" fillId="0" borderId="0" xfId="0" applyNumberFormat="1" applyFont="1" applyFill="1" applyAlignment="1" applyProtection="1">
      <alignment horizontal="left"/>
    </xf>
    <xf numFmtId="49" fontId="54" fillId="0" borderId="0" xfId="0" applyNumberFormat="1" applyFont="1" applyFill="1" applyAlignment="1" applyProtection="1">
      <alignment horizontal="center"/>
    </xf>
    <xf numFmtId="3" fontId="55" fillId="0" borderId="0" xfId="0" applyNumberFormat="1" applyFont="1" applyFill="1" applyAlignment="1" applyProtection="1">
      <alignment horizontal="center"/>
    </xf>
    <xf numFmtId="0" fontId="55" fillId="0" borderId="0" xfId="0" applyNumberFormat="1" applyFont="1" applyFill="1" applyAlignment="1" applyProtection="1">
      <alignment horizontal="center"/>
    </xf>
    <xf numFmtId="164" fontId="55" fillId="0" borderId="0" xfId="0" applyNumberFormat="1" applyFont="1" applyFill="1" applyAlignment="1" applyProtection="1">
      <alignment horizontal="center"/>
    </xf>
    <xf numFmtId="3" fontId="55" fillId="0" borderId="0" xfId="0" applyNumberFormat="1" applyFont="1" applyFill="1" applyAlignment="1" applyProtection="1"/>
    <xf numFmtId="0" fontId="61" fillId="0" borderId="0" xfId="0" applyNumberFormat="1" applyFont="1" applyFill="1" applyAlignment="1" applyProtection="1">
      <alignment horizontal="center"/>
    </xf>
    <xf numFmtId="0" fontId="55" fillId="0" borderId="0" xfId="0" applyNumberFormat="1" applyFont="1" applyFill="1" applyAlignment="1" applyProtection="1"/>
    <xf numFmtId="169" fontId="54" fillId="0" borderId="0" xfId="0" applyNumberFormat="1" applyFont="1" applyFill="1" applyAlignment="1" applyProtection="1"/>
    <xf numFmtId="175" fontId="57" fillId="0" borderId="0" xfId="1" applyNumberFormat="1" applyFont="1" applyFill="1" applyBorder="1" applyAlignment="1" applyProtection="1"/>
    <xf numFmtId="165" fontId="54" fillId="0" borderId="0" xfId="0" applyNumberFormat="1" applyFont="1" applyFill="1" applyAlignment="1" applyProtection="1">
      <alignment horizontal="right"/>
    </xf>
    <xf numFmtId="171" fontId="54" fillId="0" borderId="0" xfId="0" applyNumberFormat="1" applyFont="1" applyFill="1" applyAlignment="1" applyProtection="1">
      <alignment horizontal="center"/>
    </xf>
    <xf numFmtId="196" fontId="54" fillId="0" borderId="0" xfId="1" applyNumberFormat="1" applyFont="1" applyFill="1" applyBorder="1" applyAlignment="1" applyProtection="1"/>
    <xf numFmtId="0" fontId="54" fillId="0" borderId="0" xfId="0" applyNumberFormat="1" applyFont="1" applyFill="1" applyAlignment="1" applyProtection="1">
      <alignment horizontal="left" indent="1"/>
    </xf>
    <xf numFmtId="169" fontId="54" fillId="0" borderId="0" xfId="0" applyNumberFormat="1" applyFont="1" applyFill="1" applyBorder="1" applyAlignment="1" applyProtection="1"/>
    <xf numFmtId="0" fontId="54" fillId="0" borderId="0" xfId="0" quotePrefix="1" applyNumberFormat="1" applyFont="1" applyFill="1" applyAlignment="1" applyProtection="1">
      <alignment horizontal="left" indent="1"/>
    </xf>
    <xf numFmtId="196" fontId="57" fillId="0" borderId="0" xfId="1" applyNumberFormat="1" applyFont="1" applyFill="1" applyBorder="1" applyAlignment="1" applyProtection="1"/>
    <xf numFmtId="170" fontId="65" fillId="0" borderId="0" xfId="2" applyNumberFormat="1" applyFont="1" applyFill="1" applyBorder="1" applyAlignment="1" applyProtection="1"/>
    <xf numFmtId="0" fontId="55" fillId="0" borderId="0" xfId="0" applyNumberFormat="1" applyFont="1" applyFill="1" applyAlignment="1">
      <alignment horizontal="centerContinuous"/>
    </xf>
    <xf numFmtId="164" fontId="54" fillId="0" borderId="0" xfId="0" applyNumberFormat="1" applyFont="1" applyFill="1" applyAlignment="1">
      <alignment horizontal="centerContinuous"/>
    </xf>
    <xf numFmtId="0" fontId="54" fillId="0" borderId="0" xfId="0" applyNumberFormat="1" applyFont="1" applyFill="1" applyAlignment="1">
      <alignment horizontal="centerContinuous"/>
    </xf>
    <xf numFmtId="3" fontId="54" fillId="0" borderId="0" xfId="0" applyNumberFormat="1" applyFont="1" applyFill="1" applyAlignment="1">
      <alignment horizontal="centerContinuous"/>
    </xf>
    <xf numFmtId="0" fontId="55" fillId="0" borderId="0" xfId="0" applyNumberFormat="1" applyFont="1" applyFill="1" applyAlignment="1"/>
    <xf numFmtId="0" fontId="54" fillId="0" borderId="1" xfId="0" applyNumberFormat="1" applyFont="1" applyFill="1" applyBorder="1" applyAlignment="1" applyProtection="1">
      <alignment horizontal="center"/>
      <protection locked="0"/>
    </xf>
    <xf numFmtId="3" fontId="58" fillId="0" borderId="0" xfId="0" quotePrefix="1" applyNumberFormat="1" applyFont="1" applyFill="1" applyAlignment="1">
      <alignment horizontal="left"/>
    </xf>
    <xf numFmtId="170" fontId="54" fillId="0" borderId="0" xfId="2" applyNumberFormat="1" applyFont="1" applyFill="1" applyBorder="1" applyAlignment="1"/>
    <xf numFmtId="0" fontId="67" fillId="0" borderId="0" xfId="0" applyNumberFormat="1" applyFont="1" applyFill="1"/>
    <xf numFmtId="164" fontId="58" fillId="0" borderId="0" xfId="0" quotePrefix="1" applyNumberFormat="1" applyFont="1" applyFill="1" applyAlignment="1">
      <alignment horizontal="left"/>
    </xf>
    <xf numFmtId="196" fontId="57" fillId="0" borderId="0" xfId="1" applyNumberFormat="1" applyFont="1" applyFill="1" applyBorder="1" applyAlignment="1"/>
    <xf numFmtId="3" fontId="58" fillId="0" borderId="0" xfId="0" applyNumberFormat="1" applyFont="1" applyFill="1" applyAlignment="1"/>
    <xf numFmtId="49" fontId="58" fillId="0" borderId="0" xfId="0" applyNumberFormat="1" applyFont="1" applyFill="1" applyAlignment="1"/>
    <xf numFmtId="182" fontId="54" fillId="0" borderId="0" xfId="1" applyNumberFormat="1" applyFont="1" applyFill="1" applyBorder="1" applyAlignment="1">
      <alignment horizontal="right"/>
    </xf>
    <xf numFmtId="49" fontId="58" fillId="0" borderId="0" xfId="0" quotePrefix="1" applyNumberFormat="1" applyFont="1" applyFill="1" applyAlignment="1">
      <alignment horizontal="left"/>
    </xf>
    <xf numFmtId="169" fontId="54" fillId="0" borderId="0" xfId="0" applyNumberFormat="1" applyFont="1" applyFill="1" applyAlignment="1"/>
    <xf numFmtId="169" fontId="54" fillId="0" borderId="0" xfId="0" applyNumberFormat="1" applyFont="1" applyFill="1"/>
    <xf numFmtId="165" fontId="54" fillId="0" borderId="0" xfId="0" applyNumberFormat="1" applyFont="1" applyFill="1"/>
    <xf numFmtId="3" fontId="54" fillId="0" borderId="3" xfId="0" applyNumberFormat="1" applyFont="1" applyFill="1" applyBorder="1" applyAlignment="1"/>
    <xf numFmtId="3" fontId="54" fillId="0" borderId="3" xfId="0" applyNumberFormat="1" applyFont="1" applyFill="1" applyBorder="1" applyAlignment="1">
      <alignment horizontal="center"/>
    </xf>
    <xf numFmtId="170" fontId="54" fillId="0" borderId="0" xfId="2" applyNumberFormat="1" applyFont="1" applyFill="1" applyAlignment="1"/>
    <xf numFmtId="4" fontId="54" fillId="0" borderId="0" xfId="0" applyNumberFormat="1" applyFont="1" applyFill="1" applyAlignment="1"/>
    <xf numFmtId="195" fontId="54" fillId="0" borderId="0" xfId="2" applyNumberFormat="1" applyFont="1" applyFill="1" applyAlignment="1"/>
    <xf numFmtId="3" fontId="56" fillId="0" borderId="0" xfId="0" applyNumberFormat="1" applyFont="1" applyFill="1" applyAlignment="1"/>
    <xf numFmtId="196" fontId="54" fillId="0" borderId="0" xfId="1" applyNumberFormat="1" applyFont="1" applyFill="1" applyAlignment="1"/>
    <xf numFmtId="3" fontId="54" fillId="0" borderId="0" xfId="0" applyNumberFormat="1" applyFont="1" applyFill="1" applyBorder="1" applyAlignment="1">
      <alignment horizontal="center"/>
    </xf>
    <xf numFmtId="175" fontId="65" fillId="0" borderId="0" xfId="1" applyNumberFormat="1" applyFont="1" applyFill="1" applyBorder="1" applyAlignment="1"/>
    <xf numFmtId="0" fontId="54" fillId="0" borderId="0" xfId="0" quotePrefix="1" applyNumberFormat="1" applyFont="1" applyFill="1" applyBorder="1" applyAlignment="1" applyProtection="1">
      <alignment horizontal="center"/>
      <protection locked="0"/>
    </xf>
    <xf numFmtId="175" fontId="54" fillId="0" borderId="0" xfId="1" applyNumberFormat="1" applyFont="1" applyFill="1" applyAlignment="1">
      <alignment horizontal="center"/>
    </xf>
    <xf numFmtId="165" fontId="54" fillId="0" borderId="0" xfId="0" applyNumberFormat="1" applyFont="1" applyFill="1" applyAlignment="1">
      <alignment horizontal="center"/>
    </xf>
    <xf numFmtId="171" fontId="54" fillId="0" borderId="0" xfId="0" applyNumberFormat="1" applyFont="1" applyFill="1" applyAlignment="1">
      <alignment horizontal="center"/>
    </xf>
    <xf numFmtId="0" fontId="58" fillId="0" borderId="0" xfId="0" quotePrefix="1" applyNumberFormat="1" applyFont="1" applyFill="1" applyAlignment="1" applyProtection="1">
      <alignment horizontal="center"/>
      <protection locked="0"/>
    </xf>
    <xf numFmtId="165" fontId="54" fillId="0" borderId="0" xfId="0" applyNumberFormat="1" applyFont="1" applyFill="1" applyAlignment="1" applyProtection="1">
      <alignment horizontal="center"/>
      <protection locked="0"/>
    </xf>
    <xf numFmtId="3" fontId="58" fillId="0" borderId="0" xfId="0" applyNumberFormat="1" applyFont="1" applyFill="1" applyBorder="1" applyAlignment="1"/>
    <xf numFmtId="0" fontId="54" fillId="0" borderId="0" xfId="0" quotePrefix="1" applyNumberFormat="1" applyFont="1" applyFill="1" applyAlignment="1">
      <alignment horizontal="left" indent="3"/>
    </xf>
    <xf numFmtId="165" fontId="54" fillId="0" borderId="0" xfId="0" applyNumberFormat="1" applyFont="1" applyFill="1" applyAlignment="1"/>
    <xf numFmtId="3" fontId="58" fillId="0" borderId="0" xfId="0" quotePrefix="1" applyNumberFormat="1" applyFont="1" applyFill="1" applyAlignment="1">
      <alignment horizontal="center"/>
    </xf>
    <xf numFmtId="165" fontId="54" fillId="0" borderId="0" xfId="0" quotePrefix="1" applyNumberFormat="1" applyFont="1" applyFill="1" applyAlignment="1">
      <alignment horizontal="center"/>
    </xf>
    <xf numFmtId="3" fontId="58" fillId="0" borderId="0" xfId="0" applyNumberFormat="1" applyFont="1" applyFill="1" applyAlignment="1">
      <alignment horizontal="center"/>
    </xf>
    <xf numFmtId="3" fontId="54" fillId="0" borderId="3" xfId="0" quotePrefix="1" applyNumberFormat="1" applyFont="1" applyFill="1" applyBorder="1" applyAlignment="1">
      <alignment horizontal="center"/>
    </xf>
    <xf numFmtId="3" fontId="54" fillId="0" borderId="0" xfId="0" quotePrefix="1" applyNumberFormat="1" applyFont="1" applyFill="1" applyAlignment="1">
      <alignment horizontal="left" indent="2"/>
    </xf>
    <xf numFmtId="3" fontId="54" fillId="0" borderId="0" xfId="0" quotePrefix="1" applyNumberFormat="1" applyFont="1" applyFill="1" applyAlignment="1">
      <alignment horizontal="left" indent="1"/>
    </xf>
    <xf numFmtId="0" fontId="58" fillId="0" borderId="0" xfId="0" quotePrefix="1" applyNumberFormat="1" applyFont="1" applyFill="1" applyAlignment="1" applyProtection="1">
      <alignment horizontal="left"/>
      <protection locked="0"/>
    </xf>
    <xf numFmtId="0" fontId="66" fillId="0" borderId="0" xfId="0" applyNumberFormat="1" applyFont="1" applyFill="1" applyAlignment="1" applyProtection="1">
      <alignment horizontal="center"/>
      <protection locked="0"/>
    </xf>
    <xf numFmtId="0" fontId="58" fillId="0" borderId="0" xfId="0" applyNumberFormat="1" applyFont="1" applyFill="1" applyProtection="1">
      <protection locked="0"/>
    </xf>
    <xf numFmtId="0" fontId="54" fillId="0" borderId="3" xfId="0" quotePrefix="1" applyNumberFormat="1" applyFont="1" applyFill="1" applyBorder="1" applyAlignment="1" applyProtection="1">
      <alignment horizontal="center"/>
      <protection locked="0"/>
    </xf>
    <xf numFmtId="0" fontId="54" fillId="0" borderId="3" xfId="0" applyNumberFormat="1" applyFont="1" applyFill="1" applyBorder="1" applyAlignment="1" applyProtection="1">
      <alignment horizontal="center"/>
      <protection locked="0"/>
    </xf>
    <xf numFmtId="10" fontId="54" fillId="0" borderId="0" xfId="0" applyNumberFormat="1" applyFont="1" applyFill="1" applyAlignment="1"/>
    <xf numFmtId="168" fontId="54" fillId="0" borderId="0" xfId="0" applyNumberFormat="1" applyFont="1" applyFill="1" applyAlignment="1"/>
    <xf numFmtId="186" fontId="54" fillId="0" borderId="0" xfId="1" applyNumberFormat="1" applyFont="1" applyFill="1" applyAlignment="1"/>
    <xf numFmtId="175" fontId="54" fillId="0" borderId="3" xfId="1" applyNumberFormat="1" applyFont="1" applyFill="1" applyBorder="1" applyAlignment="1"/>
    <xf numFmtId="186" fontId="54" fillId="0" borderId="3" xfId="0" applyNumberFormat="1" applyFont="1" applyFill="1" applyBorder="1" applyAlignment="1"/>
    <xf numFmtId="0" fontId="54" fillId="0" borderId="0" xfId="0" applyNumberFormat="1" applyFont="1" applyFill="1" applyAlignment="1" applyProtection="1">
      <protection locked="0"/>
    </xf>
    <xf numFmtId="164" fontId="54" fillId="0" borderId="3" xfId="0" quotePrefix="1" applyNumberFormat="1" applyFont="1" applyFill="1" applyBorder="1" applyAlignment="1">
      <alignment horizontal="left"/>
    </xf>
    <xf numFmtId="0" fontId="54" fillId="0" borderId="3" xfId="0" applyNumberFormat="1" applyFont="1" applyFill="1" applyBorder="1"/>
    <xf numFmtId="164" fontId="54" fillId="0" borderId="3" xfId="0" applyNumberFormat="1" applyFont="1" applyFill="1" applyBorder="1" applyAlignment="1"/>
    <xf numFmtId="0" fontId="54" fillId="0" borderId="0" xfId="0" applyNumberFormat="1" applyFont="1" applyFill="1" applyBorder="1" applyProtection="1">
      <protection locked="0"/>
    </xf>
    <xf numFmtId="0" fontId="58" fillId="0" borderId="0" xfId="0" quotePrefix="1" applyNumberFormat="1" applyFont="1" applyFill="1" applyBorder="1" applyAlignment="1" applyProtection="1">
      <alignment horizontal="left"/>
      <protection locked="0"/>
    </xf>
    <xf numFmtId="196" fontId="54" fillId="0" borderId="0" xfId="0" applyNumberFormat="1" applyFont="1" applyFill="1" applyBorder="1" applyProtection="1"/>
    <xf numFmtId="167" fontId="54" fillId="0" borderId="0" xfId="0" applyNumberFormat="1" applyFont="1" applyFill="1" applyProtection="1">
      <protection locked="0"/>
    </xf>
    <xf numFmtId="166" fontId="54" fillId="0" borderId="0" xfId="0" applyNumberFormat="1" applyFont="1" applyFill="1" applyProtection="1">
      <protection locked="0"/>
    </xf>
    <xf numFmtId="170" fontId="54" fillId="0" borderId="0" xfId="2" applyNumberFormat="1" applyFont="1" applyFill="1" applyBorder="1" applyAlignment="1" applyProtection="1">
      <protection locked="0"/>
    </xf>
    <xf numFmtId="164" fontId="62" fillId="0" borderId="0" xfId="0" applyNumberFormat="1" applyFont="1" applyFill="1" applyAlignment="1"/>
    <xf numFmtId="0" fontId="54" fillId="0" borderId="3" xfId="0" applyNumberFormat="1" applyFont="1" applyFill="1" applyBorder="1" applyAlignment="1" applyProtection="1">
      <protection locked="0"/>
    </xf>
    <xf numFmtId="0" fontId="54" fillId="0" borderId="3" xfId="0" applyNumberFormat="1" applyFont="1" applyFill="1" applyBorder="1" applyProtection="1">
      <protection locked="0"/>
    </xf>
    <xf numFmtId="175" fontId="57" fillId="0" borderId="0" xfId="1" applyNumberFormat="1" applyFont="1" applyFill="1" applyBorder="1" applyAlignment="1" applyProtection="1">
      <protection locked="0"/>
    </xf>
    <xf numFmtId="3" fontId="56" fillId="0" borderId="0" xfId="0" applyNumberFormat="1" applyFont="1" applyFill="1" applyAlignment="1">
      <alignment horizontal="left"/>
    </xf>
    <xf numFmtId="3" fontId="85" fillId="0" borderId="0" xfId="0" applyNumberFormat="1" applyFont="1" applyAlignment="1" applyProtection="1"/>
    <xf numFmtId="37" fontId="85" fillId="0" borderId="0" xfId="0" applyFont="1" applyFill="1" applyProtection="1"/>
    <xf numFmtId="164" fontId="85" fillId="0" borderId="0" xfId="0" applyNumberFormat="1" applyFont="1" applyFill="1" applyAlignment="1" applyProtection="1"/>
    <xf numFmtId="42" fontId="54" fillId="0" borderId="0" xfId="0" applyNumberFormat="1" applyFont="1" applyFill="1" applyProtection="1"/>
    <xf numFmtId="170" fontId="54" fillId="0" borderId="0" xfId="2" applyNumberFormat="1" applyFont="1" applyFill="1" applyAlignment="1" applyProtection="1">
      <alignment horizontal="right"/>
    </xf>
    <xf numFmtId="192" fontId="54" fillId="0" borderId="0" xfId="2" applyNumberFormat="1" applyFont="1" applyFill="1" applyAlignment="1" applyProtection="1">
      <alignment horizontal="right"/>
    </xf>
    <xf numFmtId="193" fontId="54" fillId="0" borderId="0" xfId="1" applyNumberFormat="1" applyFont="1" applyFill="1" applyAlignment="1" applyProtection="1"/>
    <xf numFmtId="175" fontId="54" fillId="0" borderId="0" xfId="1" applyNumberFormat="1" applyFont="1" applyFill="1" applyAlignment="1" applyProtection="1"/>
    <xf numFmtId="193" fontId="57" fillId="0" borderId="0" xfId="1" applyNumberFormat="1" applyFont="1" applyFill="1" applyAlignment="1" applyProtection="1"/>
    <xf numFmtId="170" fontId="54" fillId="0" borderId="0" xfId="2" applyNumberFormat="1" applyFont="1" applyFill="1" applyAlignment="1" applyProtection="1"/>
    <xf numFmtId="175" fontId="54" fillId="0" borderId="0" xfId="1" applyNumberFormat="1" applyFont="1" applyFill="1" applyProtection="1"/>
    <xf numFmtId="194" fontId="54" fillId="0" borderId="0" xfId="2" applyNumberFormat="1" applyFont="1" applyFill="1" applyAlignment="1" applyProtection="1">
      <alignment horizontal="right"/>
    </xf>
    <xf numFmtId="3" fontId="58" fillId="0" borderId="0" xfId="0" applyNumberFormat="1" applyFont="1" applyFill="1" applyAlignment="1">
      <alignment vertical="center"/>
    </xf>
    <xf numFmtId="3" fontId="54" fillId="0" borderId="0" xfId="0" applyNumberFormat="1" applyFont="1" applyFill="1" applyAlignment="1">
      <alignment vertical="center"/>
    </xf>
    <xf numFmtId="169" fontId="54" fillId="0" borderId="0" xfId="0" applyNumberFormat="1" applyFont="1" applyFill="1" applyAlignment="1">
      <alignment vertical="center"/>
    </xf>
    <xf numFmtId="196" fontId="65" fillId="0" borderId="0" xfId="1" applyNumberFormat="1" applyFont="1" applyFill="1" applyBorder="1" applyAlignment="1"/>
    <xf numFmtId="10" fontId="54" fillId="0" borderId="0" xfId="3" applyNumberFormat="1" applyFont="1" applyFill="1" applyBorder="1" applyAlignment="1">
      <alignment horizontal="right"/>
    </xf>
    <xf numFmtId="10" fontId="54" fillId="0" borderId="0" xfId="3" applyNumberFormat="1" applyFont="1" applyFill="1" applyBorder="1" applyAlignment="1"/>
    <xf numFmtId="187" fontId="54" fillId="0" borderId="0" xfId="1" applyNumberFormat="1" applyFont="1" applyFill="1" applyBorder="1" applyAlignment="1">
      <alignment horizontal="right"/>
    </xf>
    <xf numFmtId="10" fontId="58" fillId="0" borderId="0" xfId="0" quotePrefix="1" applyNumberFormat="1" applyFont="1" applyFill="1" applyAlignment="1">
      <alignment horizontal="left"/>
    </xf>
    <xf numFmtId="174" fontId="54" fillId="0" borderId="0" xfId="0" applyNumberFormat="1" applyFont="1" applyFill="1" applyAlignment="1"/>
    <xf numFmtId="170" fontId="57" fillId="0" borderId="0" xfId="2" applyNumberFormat="1" applyFont="1" applyFill="1" applyBorder="1" applyAlignment="1"/>
    <xf numFmtId="170" fontId="69" fillId="0" borderId="0" xfId="2" applyNumberFormat="1" applyFont="1" applyFill="1" applyBorder="1" applyAlignment="1"/>
    <xf numFmtId="195" fontId="54" fillId="0" borderId="0" xfId="2" applyNumberFormat="1" applyFont="1" applyFill="1" applyAlignment="1" applyProtection="1">
      <alignment horizontal="right"/>
    </xf>
    <xf numFmtId="196" fontId="54" fillId="0" borderId="0" xfId="1" applyNumberFormat="1" applyFont="1" applyFill="1" applyAlignment="1" applyProtection="1"/>
    <xf numFmtId="196" fontId="57" fillId="0" borderId="0" xfId="1" applyNumberFormat="1" applyFont="1" applyFill="1" applyAlignment="1" applyProtection="1"/>
    <xf numFmtId="195" fontId="54" fillId="0" borderId="0" xfId="2" applyNumberFormat="1" applyFont="1" applyFill="1" applyAlignment="1" applyProtection="1"/>
    <xf numFmtId="196" fontId="54" fillId="0" borderId="0" xfId="1" applyNumberFormat="1" applyFont="1" applyFill="1" applyProtection="1"/>
    <xf numFmtId="0" fontId="58" fillId="0" borderId="0" xfId="0" applyNumberFormat="1" applyFont="1" applyFill="1" applyAlignment="1" applyProtection="1">
      <alignment horizontal="left"/>
    </xf>
    <xf numFmtId="194" fontId="54" fillId="0" borderId="0" xfId="2" applyNumberFormat="1" applyFont="1" applyFill="1" applyProtection="1"/>
    <xf numFmtId="10" fontId="54" fillId="0" borderId="0" xfId="3" applyNumberFormat="1" applyFont="1" applyFill="1" applyAlignment="1">
      <alignment horizontal="right"/>
    </xf>
    <xf numFmtId="10" fontId="54" fillId="0" borderId="0" xfId="1" quotePrefix="1" applyNumberFormat="1" applyFont="1" applyFill="1" applyAlignment="1" applyProtection="1">
      <alignment horizontal="center"/>
    </xf>
    <xf numFmtId="37" fontId="61" fillId="0" borderId="0" xfId="0" applyFont="1" applyFill="1" applyAlignment="1">
      <alignment horizontal="center" wrapText="1"/>
    </xf>
    <xf numFmtId="175" fontId="61" fillId="0" borderId="0" xfId="0" applyNumberFormat="1" applyFont="1" applyFill="1"/>
    <xf numFmtId="168" fontId="61" fillId="0" borderId="0" xfId="0" applyNumberFormat="1" applyFont="1" applyFill="1"/>
    <xf numFmtId="42" fontId="57" fillId="0" borderId="0" xfId="0" applyNumberFormat="1" applyFont="1" applyFill="1" applyBorder="1" applyAlignment="1" applyProtection="1">
      <alignment horizontal="right"/>
    </xf>
    <xf numFmtId="195" fontId="57" fillId="0" borderId="0" xfId="0" applyNumberFormat="1" applyFont="1" applyFill="1" applyBorder="1" applyAlignment="1" applyProtection="1">
      <alignment horizontal="right"/>
    </xf>
    <xf numFmtId="3" fontId="58" fillId="0" borderId="0" xfId="0" applyNumberFormat="1" applyFont="1" applyFill="1" applyAlignment="1" applyProtection="1">
      <alignment horizontal="left"/>
    </xf>
    <xf numFmtId="37" fontId="58" fillId="0" borderId="0" xfId="0" applyFont="1" applyFill="1" applyAlignment="1" applyProtection="1">
      <alignment horizontal="left"/>
    </xf>
    <xf numFmtId="167" fontId="54" fillId="0" borderId="0" xfId="0" applyNumberFormat="1" applyFont="1" applyFill="1" applyProtection="1"/>
    <xf numFmtId="3" fontId="54" fillId="0" borderId="0" xfId="0" quotePrefix="1" applyNumberFormat="1" applyFont="1" applyFill="1" applyAlignment="1">
      <alignment horizontal="center"/>
    </xf>
    <xf numFmtId="38" fontId="54" fillId="0" borderId="0" xfId="0" applyNumberFormat="1" applyFont="1" applyFill="1" applyAlignment="1" applyProtection="1"/>
    <xf numFmtId="38" fontId="54" fillId="0" borderId="0" xfId="0" applyNumberFormat="1" applyFont="1" applyFill="1" applyAlignment="1"/>
    <xf numFmtId="0" fontId="66" fillId="0" borderId="0" xfId="0" applyNumberFormat="1" applyFont="1" applyFill="1" applyAlignment="1" applyProtection="1"/>
    <xf numFmtId="0" fontId="58" fillId="0" borderId="0" xfId="0" applyNumberFormat="1" applyFont="1" applyFill="1" applyAlignment="1" applyProtection="1">
      <alignment horizontal="left" indent="1"/>
    </xf>
    <xf numFmtId="37" fontId="89" fillId="0" borderId="0" xfId="0" applyFont="1" applyFill="1" applyProtection="1"/>
    <xf numFmtId="37" fontId="58" fillId="0" borderId="0" xfId="0" quotePrefix="1" applyFont="1" applyFill="1" applyAlignment="1" applyProtection="1">
      <alignment horizontal="right"/>
    </xf>
    <xf numFmtId="175" fontId="58" fillId="0" borderId="0" xfId="1" quotePrefix="1" applyNumberFormat="1" applyFont="1" applyFill="1" applyAlignment="1" applyProtection="1">
      <alignment horizontal="left"/>
    </xf>
    <xf numFmtId="9" fontId="58" fillId="0" borderId="0" xfId="3" quotePrefix="1" applyFont="1" applyFill="1" applyAlignment="1" applyProtection="1">
      <alignment horizontal="right"/>
    </xf>
    <xf numFmtId="10" fontId="58" fillId="0" borderId="0" xfId="0" applyNumberFormat="1" applyFont="1" applyFill="1" applyProtection="1">
      <protection locked="0"/>
    </xf>
    <xf numFmtId="3" fontId="58" fillId="0" borderId="0" xfId="0" applyNumberFormat="1" applyFont="1" applyFill="1" applyAlignment="1" applyProtection="1">
      <alignment horizontal="right"/>
    </xf>
    <xf numFmtId="175" fontId="58" fillId="0" borderId="0" xfId="1" applyNumberFormat="1" applyFont="1" applyFill="1" applyAlignment="1" applyProtection="1"/>
    <xf numFmtId="43" fontId="58" fillId="0" borderId="0" xfId="154" applyFont="1" applyFill="1" applyAlignment="1" applyProtection="1">
      <alignment horizontal="center"/>
      <protection locked="0"/>
    </xf>
    <xf numFmtId="170" fontId="99" fillId="38" borderId="33" xfId="2" applyNumberFormat="1" applyFont="1" applyFill="1" applyBorder="1" applyAlignment="1" applyProtection="1">
      <alignment vertical="center"/>
    </xf>
    <xf numFmtId="185" fontId="99" fillId="38" borderId="33" xfId="2" applyNumberFormat="1" applyFont="1" applyFill="1" applyBorder="1" applyAlignment="1" applyProtection="1">
      <alignment vertical="center"/>
    </xf>
    <xf numFmtId="170" fontId="100" fillId="38" borderId="33" xfId="2" applyNumberFormat="1" applyFont="1" applyFill="1" applyBorder="1" applyAlignment="1" applyProtection="1">
      <alignment vertical="center"/>
    </xf>
    <xf numFmtId="185" fontId="100" fillId="38" borderId="33" xfId="2" applyNumberFormat="1" applyFont="1" applyFill="1" applyBorder="1" applyAlignment="1" applyProtection="1">
      <alignment vertical="center"/>
    </xf>
    <xf numFmtId="170" fontId="101" fillId="38" borderId="33" xfId="2" applyNumberFormat="1" applyFont="1" applyFill="1" applyBorder="1" applyAlignment="1" applyProtection="1">
      <alignment vertical="center"/>
    </xf>
    <xf numFmtId="183" fontId="61" fillId="0" borderId="0" xfId="0" applyNumberFormat="1" applyFont="1" applyFill="1"/>
    <xf numFmtId="197" fontId="61" fillId="0" borderId="0" xfId="0" applyNumberFormat="1" applyFont="1" applyFill="1"/>
    <xf numFmtId="37" fontId="87" fillId="0" borderId="0" xfId="0" applyFont="1" applyFill="1" applyAlignment="1" applyProtection="1">
      <alignment horizontal="center"/>
    </xf>
    <xf numFmtId="37" fontId="85" fillId="0" borderId="0" xfId="0" applyFont="1" applyAlignment="1" applyProtection="1">
      <alignment wrapText="1"/>
    </xf>
    <xf numFmtId="37" fontId="58" fillId="0" borderId="0" xfId="0" applyFont="1" applyAlignment="1" applyProtection="1">
      <alignment wrapText="1"/>
    </xf>
    <xf numFmtId="37" fontId="79" fillId="0" borderId="0" xfId="0" applyFont="1" applyFill="1" applyProtection="1">
      <protection locked="0"/>
    </xf>
    <xf numFmtId="170" fontId="103" fillId="38" borderId="33" xfId="2" applyNumberFormat="1" applyFont="1" applyFill="1" applyBorder="1" applyAlignment="1" applyProtection="1">
      <alignment vertical="center"/>
    </xf>
    <xf numFmtId="185" fontId="103" fillId="38" borderId="33" xfId="2" applyNumberFormat="1" applyFont="1" applyFill="1" applyBorder="1" applyAlignment="1" applyProtection="1">
      <alignment vertical="center"/>
    </xf>
    <xf numFmtId="0" fontId="79" fillId="0" borderId="0" xfId="159" applyFont="1"/>
    <xf numFmtId="0" fontId="92" fillId="0" borderId="0" xfId="159" applyFont="1" applyFill="1" applyProtection="1"/>
    <xf numFmtId="0" fontId="92" fillId="0" borderId="0" xfId="159" applyFont="1" applyProtection="1"/>
    <xf numFmtId="0" fontId="92" fillId="37" borderId="36" xfId="159" applyFont="1" applyFill="1" applyBorder="1" applyProtection="1"/>
    <xf numFmtId="0" fontId="92" fillId="37" borderId="35" xfId="159" applyFont="1" applyFill="1" applyBorder="1" applyAlignment="1" applyProtection="1">
      <alignment vertical="top"/>
    </xf>
    <xf numFmtId="0" fontId="92" fillId="37" borderId="34" xfId="159" applyFont="1" applyFill="1" applyBorder="1" applyProtection="1"/>
    <xf numFmtId="0" fontId="92" fillId="37" borderId="32" xfId="159" applyFont="1" applyFill="1" applyBorder="1" applyProtection="1"/>
    <xf numFmtId="0" fontId="97" fillId="37" borderId="0" xfId="159" applyFont="1" applyFill="1" applyBorder="1" applyAlignment="1" applyProtection="1">
      <alignment horizontal="left" vertical="center"/>
    </xf>
    <xf numFmtId="0" fontId="98" fillId="37" borderId="0" xfId="159" applyFont="1" applyFill="1" applyBorder="1" applyAlignment="1" applyProtection="1">
      <alignment horizontal="left" vertical="center"/>
    </xf>
    <xf numFmtId="0" fontId="92" fillId="37" borderId="0" xfId="159" applyFont="1" applyFill="1" applyBorder="1" applyAlignment="1" applyProtection="1">
      <alignment vertical="top" wrapText="1"/>
    </xf>
    <xf numFmtId="0" fontId="92" fillId="37" borderId="0" xfId="159" applyFont="1" applyFill="1" applyBorder="1" applyAlignment="1" applyProtection="1">
      <alignment vertical="top"/>
    </xf>
    <xf numFmtId="0" fontId="92" fillId="37" borderId="31" xfId="159" applyFont="1" applyFill="1" applyBorder="1" applyProtection="1"/>
    <xf numFmtId="0" fontId="79" fillId="0" borderId="0" xfId="159" applyFont="1" applyFill="1"/>
    <xf numFmtId="0" fontId="93" fillId="0" borderId="0" xfId="159" applyFont="1" applyFill="1" applyAlignment="1" applyProtection="1">
      <alignment horizontal="center"/>
    </xf>
    <xf numFmtId="0" fontId="96" fillId="37" borderId="0" xfId="159" applyFont="1" applyFill="1" applyBorder="1" applyProtection="1"/>
    <xf numFmtId="0" fontId="98" fillId="0" borderId="0" xfId="159" applyFont="1" applyFill="1" applyAlignment="1" applyProtection="1">
      <alignment horizontal="left"/>
    </xf>
    <xf numFmtId="0" fontId="95" fillId="37" borderId="0" xfId="159" applyFont="1" applyFill="1" applyBorder="1" applyAlignment="1" applyProtection="1">
      <alignment horizontal="center" wrapText="1"/>
    </xf>
    <xf numFmtId="0" fontId="79" fillId="37" borderId="0" xfId="159" applyFont="1" applyFill="1"/>
    <xf numFmtId="0" fontId="92" fillId="37" borderId="0" xfId="159" applyFont="1" applyFill="1" applyBorder="1" applyAlignment="1" applyProtection="1">
      <alignment horizontal="right" vertical="top"/>
    </xf>
    <xf numFmtId="0" fontId="92" fillId="37" borderId="0" xfId="159" applyFont="1" applyFill="1" applyBorder="1" applyProtection="1"/>
    <xf numFmtId="0" fontId="96" fillId="37" borderId="0" xfId="159" applyFont="1" applyFill="1" applyBorder="1" applyAlignment="1" applyProtection="1">
      <alignment horizontal="center"/>
    </xf>
    <xf numFmtId="0" fontId="95" fillId="37" borderId="0" xfId="159" applyFont="1" applyFill="1" applyBorder="1" applyAlignment="1" applyProtection="1">
      <alignment horizontal="center"/>
    </xf>
    <xf numFmtId="0" fontId="92" fillId="37" borderId="0" xfId="159" applyFont="1" applyFill="1" applyProtection="1"/>
    <xf numFmtId="0" fontId="92" fillId="37" borderId="30" xfId="159" applyFont="1" applyFill="1" applyBorder="1" applyProtection="1"/>
    <xf numFmtId="0" fontId="92" fillId="37" borderId="29" xfId="159" applyFont="1" applyFill="1" applyBorder="1" applyProtection="1"/>
    <xf numFmtId="0" fontId="92" fillId="37" borderId="28" xfId="159" applyFont="1" applyFill="1" applyBorder="1" applyProtection="1"/>
    <xf numFmtId="0" fontId="92" fillId="39" borderId="27" xfId="159" applyFont="1" applyFill="1" applyBorder="1" applyAlignment="1" applyProtection="1">
      <alignment vertical="center"/>
    </xf>
    <xf numFmtId="0" fontId="92" fillId="39" borderId="26" xfId="159" applyFont="1" applyFill="1" applyBorder="1" applyAlignment="1" applyProtection="1">
      <alignment vertical="center"/>
    </xf>
    <xf numFmtId="0" fontId="94" fillId="39" borderId="26" xfId="159" applyFont="1" applyFill="1" applyBorder="1" applyAlignment="1" applyProtection="1">
      <alignment vertical="center"/>
    </xf>
    <xf numFmtId="0" fontId="94" fillId="39" borderId="25" xfId="159" applyFont="1" applyFill="1" applyBorder="1" applyAlignment="1" applyProtection="1">
      <alignment vertical="center"/>
    </xf>
    <xf numFmtId="0" fontId="91" fillId="0" borderId="0" xfId="159" applyFont="1"/>
    <xf numFmtId="0" fontId="90" fillId="0" borderId="0" xfId="159" applyFont="1"/>
    <xf numFmtId="0" fontId="102" fillId="0" borderId="0" xfId="159" applyFont="1"/>
    <xf numFmtId="198" fontId="101" fillId="38" borderId="33" xfId="2" applyNumberFormat="1" applyFont="1" applyFill="1" applyBorder="1" applyAlignment="1" applyProtection="1">
      <alignment vertical="center"/>
    </xf>
    <xf numFmtId="0" fontId="92" fillId="0" borderId="0" xfId="159" quotePrefix="1" applyFont="1" applyProtection="1"/>
    <xf numFmtId="37" fontId="58" fillId="0" borderId="0" xfId="0" applyFont="1" applyFill="1" applyAlignment="1" applyProtection="1">
      <alignment horizontal="center"/>
    </xf>
    <xf numFmtId="37" fontId="5" fillId="0" borderId="0" xfId="0" applyFont="1" applyFill="1"/>
    <xf numFmtId="175" fontId="5" fillId="0" borderId="0" xfId="1" applyNumberFormat="1" applyFont="1" applyFill="1"/>
    <xf numFmtId="43" fontId="5" fillId="0" borderId="0" xfId="1" applyFont="1" applyFill="1" applyAlignment="1">
      <alignment horizontal="left"/>
    </xf>
    <xf numFmtId="175" fontId="5" fillId="0" borderId="0" xfId="1" applyNumberFormat="1" applyFont="1" applyFill="1" applyBorder="1" applyAlignment="1"/>
    <xf numFmtId="43" fontId="106" fillId="0" borderId="0" xfId="1" applyFont="1" applyFill="1" applyAlignment="1">
      <alignment horizontal="left" wrapText="1"/>
    </xf>
    <xf numFmtId="175" fontId="106" fillId="0" borderId="0" xfId="1" applyNumberFormat="1" applyFont="1" applyFill="1" applyAlignment="1">
      <alignment horizontal="center" wrapText="1"/>
    </xf>
    <xf numFmtId="37" fontId="5" fillId="0" borderId="0" xfId="0" applyFont="1" applyFill="1" applyAlignment="1">
      <alignment horizontal="center" vertical="center"/>
    </xf>
    <xf numFmtId="43" fontId="107" fillId="0" borderId="0" xfId="1" applyFont="1" applyFill="1" applyAlignment="1">
      <alignment horizontal="center"/>
    </xf>
    <xf numFmtId="37" fontId="107" fillId="0" borderId="0" xfId="0" applyFont="1" applyFill="1" applyAlignment="1">
      <alignment horizontal="center" vertical="center"/>
    </xf>
    <xf numFmtId="175" fontId="107" fillId="0" borderId="0" xfId="1" applyNumberFormat="1" applyFont="1" applyFill="1" applyAlignment="1">
      <alignment horizontal="center"/>
    </xf>
    <xf numFmtId="37" fontId="107" fillId="0" borderId="0" xfId="0" applyFont="1" applyFill="1" applyAlignment="1">
      <alignment horizontal="center"/>
    </xf>
    <xf numFmtId="43" fontId="108" fillId="0" borderId="0" xfId="1" applyFont="1" applyFill="1" applyAlignment="1">
      <alignment horizontal="center" vertical="center"/>
    </xf>
    <xf numFmtId="43" fontId="104" fillId="0" borderId="0" xfId="1" applyFont="1" applyFill="1" applyAlignment="1">
      <alignment horizontal="center" vertical="center" wrapText="1"/>
    </xf>
    <xf numFmtId="43" fontId="109" fillId="0" borderId="0" xfId="1" applyFont="1" applyFill="1" applyAlignment="1">
      <alignment horizontal="center" vertical="center"/>
    </xf>
    <xf numFmtId="43" fontId="106" fillId="0" borderId="0" xfId="1" applyFont="1" applyFill="1" applyAlignment="1">
      <alignment horizontal="center" wrapText="1"/>
    </xf>
    <xf numFmtId="196" fontId="54" fillId="0" borderId="0" xfId="1" applyNumberFormat="1" applyFont="1" applyFill="1"/>
    <xf numFmtId="3" fontId="54" fillId="0" borderId="0" xfId="0" applyNumberFormat="1" applyFont="1" applyFill="1" applyAlignment="1">
      <alignment horizontal="left"/>
    </xf>
    <xf numFmtId="196" fontId="57" fillId="0" borderId="0" xfId="1" applyNumberFormat="1" applyFont="1" applyFill="1"/>
    <xf numFmtId="171" fontId="54" fillId="0" borderId="0" xfId="0" applyNumberFormat="1" applyFont="1" applyFill="1" applyAlignment="1" applyProtection="1">
      <alignment horizontal="left"/>
      <protection locked="0"/>
    </xf>
    <xf numFmtId="170" fontId="54" fillId="0" borderId="0" xfId="2" applyNumberFormat="1" applyFont="1" applyFill="1" applyBorder="1" applyAlignment="1">
      <alignment horizontal="right"/>
    </xf>
    <xf numFmtId="164" fontId="64" fillId="0" borderId="0" xfId="0" applyNumberFormat="1" applyFont="1" applyFill="1"/>
    <xf numFmtId="0" fontId="54" fillId="0" borderId="0" xfId="0" applyNumberFormat="1" applyFont="1" applyFill="1" applyBorder="1" applyAlignment="1" applyProtection="1">
      <alignment horizontal="right"/>
    </xf>
    <xf numFmtId="196" fontId="54" fillId="0" borderId="0" xfId="1" applyNumberFormat="1" applyFont="1" applyFill="1" applyAlignment="1" applyProtection="1">
      <protection locked="0"/>
    </xf>
    <xf numFmtId="37" fontId="89" fillId="40" borderId="0" xfId="0" applyFont="1" applyFill="1" applyProtection="1">
      <protection locked="0"/>
    </xf>
    <xf numFmtId="14" fontId="89" fillId="40" borderId="0" xfId="0" applyNumberFormat="1" applyFont="1" applyFill="1" applyProtection="1">
      <protection locked="0"/>
    </xf>
    <xf numFmtId="37" fontId="89" fillId="40" borderId="0" xfId="0" applyFont="1" applyFill="1" applyProtection="1"/>
    <xf numFmtId="9" fontId="89" fillId="40" borderId="0" xfId="3" applyFont="1" applyFill="1" applyProtection="1">
      <protection locked="0"/>
    </xf>
    <xf numFmtId="3" fontId="89" fillId="40" borderId="0" xfId="0" applyNumberFormat="1" applyFont="1" applyFill="1" applyAlignment="1" applyProtection="1">
      <protection locked="0"/>
    </xf>
    <xf numFmtId="189" fontId="89" fillId="40" borderId="0" xfId="0" applyNumberFormat="1" applyFont="1" applyFill="1" applyProtection="1">
      <protection locked="0"/>
    </xf>
    <xf numFmtId="37" fontId="89" fillId="40" borderId="20" xfId="0" applyFont="1" applyFill="1" applyBorder="1" applyProtection="1"/>
    <xf numFmtId="37" fontId="85" fillId="40" borderId="2" xfId="0" applyFont="1" applyFill="1" applyBorder="1" applyProtection="1"/>
    <xf numFmtId="37" fontId="89" fillId="40" borderId="21" xfId="0" applyFont="1" applyFill="1" applyBorder="1" applyProtection="1"/>
    <xf numFmtId="37" fontId="85" fillId="40" borderId="22" xfId="0" applyFont="1" applyFill="1" applyBorder="1" applyProtection="1"/>
    <xf numFmtId="37" fontId="89" fillId="40" borderId="2" xfId="0" applyFont="1" applyFill="1" applyBorder="1" applyProtection="1"/>
    <xf numFmtId="37" fontId="89" fillId="40" borderId="22" xfId="0" applyFont="1" applyFill="1" applyBorder="1" applyProtection="1"/>
    <xf numFmtId="37" fontId="89" fillId="41" borderId="0" xfId="0" applyFont="1" applyFill="1" applyProtection="1">
      <protection locked="0"/>
    </xf>
    <xf numFmtId="37" fontId="85" fillId="41" borderId="0" xfId="0" quotePrefix="1" applyFont="1" applyFill="1" applyAlignment="1" applyProtection="1">
      <alignment horizontal="left"/>
    </xf>
    <xf numFmtId="37" fontId="58" fillId="42" borderId="0" xfId="0" applyFont="1" applyFill="1" applyProtection="1"/>
    <xf numFmtId="43" fontId="89" fillId="41" borderId="0" xfId="154" applyFont="1" applyFill="1" applyAlignment="1" applyProtection="1">
      <alignment horizontal="center"/>
      <protection locked="0"/>
    </xf>
    <xf numFmtId="43" fontId="89" fillId="41" borderId="0" xfId="154" quotePrefix="1" applyFont="1" applyFill="1" applyAlignment="1" applyProtection="1">
      <alignment horizontal="center"/>
      <protection locked="0"/>
    </xf>
    <xf numFmtId="43" fontId="89" fillId="41" borderId="0" xfId="154" applyFont="1" applyFill="1" applyProtection="1">
      <protection locked="0"/>
    </xf>
    <xf numFmtId="43" fontId="89" fillId="41" borderId="24" xfId="154" applyFont="1" applyFill="1" applyBorder="1" applyProtection="1">
      <protection locked="0"/>
    </xf>
    <xf numFmtId="43" fontId="89" fillId="41" borderId="0" xfId="154" quotePrefix="1" applyFont="1" applyFill="1" applyAlignment="1" applyProtection="1">
      <alignment horizontal="left"/>
      <protection locked="0"/>
    </xf>
    <xf numFmtId="37" fontId="89" fillId="41" borderId="0" xfId="0" applyFont="1" applyFill="1" applyProtection="1"/>
    <xf numFmtId="175" fontId="89" fillId="41" borderId="0" xfId="1" applyNumberFormat="1" applyFont="1" applyFill="1" applyProtection="1">
      <protection locked="0"/>
    </xf>
    <xf numFmtId="175" fontId="57" fillId="0" borderId="0" xfId="1" applyNumberFormat="1" applyFont="1" applyFill="1" applyProtection="1"/>
    <xf numFmtId="43" fontId="105" fillId="0" borderId="0" xfId="1" applyFont="1" applyFill="1" applyAlignment="1">
      <alignment horizontal="left"/>
    </xf>
    <xf numFmtId="43" fontId="5" fillId="0" borderId="0" xfId="1" applyFont="1" applyFill="1"/>
    <xf numFmtId="175" fontId="5" fillId="0" borderId="3" xfId="1" applyNumberFormat="1" applyFont="1" applyFill="1" applyBorder="1"/>
    <xf numFmtId="175" fontId="104" fillId="0" borderId="0" xfId="1" applyNumberFormat="1" applyFont="1" applyFill="1"/>
    <xf numFmtId="43" fontId="105" fillId="0" borderId="0" xfId="1" applyFont="1" applyFill="1"/>
    <xf numFmtId="175" fontId="105" fillId="0" borderId="0" xfId="1" applyNumberFormat="1" applyFont="1" applyFill="1"/>
    <xf numFmtId="37" fontId="105" fillId="0" borderId="0" xfId="0" applyFont="1" applyFill="1"/>
    <xf numFmtId="43" fontId="107" fillId="0" borderId="0" xfId="1" applyFont="1" applyFill="1" applyAlignment="1">
      <alignment horizontal="left"/>
    </xf>
    <xf numFmtId="175" fontId="107" fillId="0" borderId="0" xfId="1" applyNumberFormat="1" applyFont="1" applyFill="1"/>
    <xf numFmtId="43" fontId="104" fillId="0" borderId="0" xfId="1" applyFont="1" applyFill="1"/>
    <xf numFmtId="43" fontId="107" fillId="0" borderId="0" xfId="1" applyFont="1" applyFill="1"/>
    <xf numFmtId="175" fontId="5" fillId="0" borderId="0" xfId="1" applyNumberFormat="1" applyFont="1" applyFill="1" applyAlignment="1">
      <alignment horizontal="right"/>
    </xf>
    <xf numFmtId="43" fontId="0" fillId="0" borderId="0" xfId="1" applyFont="1" applyFill="1" applyAlignment="1">
      <alignment horizontal="left"/>
    </xf>
    <xf numFmtId="37" fontId="0" fillId="0" borderId="0" xfId="0" applyFont="1" applyFill="1" applyAlignment="1">
      <alignment vertical="center"/>
    </xf>
    <xf numFmtId="175" fontId="5" fillId="0" borderId="0" xfId="1" applyNumberFormat="1" applyFont="1" applyFill="1" applyAlignment="1">
      <alignment horizontal="left"/>
    </xf>
    <xf numFmtId="6" fontId="110" fillId="0" borderId="23" xfId="0" applyNumberFormat="1" applyFont="1" applyBorder="1" applyAlignment="1">
      <alignment horizontal="center" vertical="center" readingOrder="1"/>
    </xf>
    <xf numFmtId="175" fontId="54" fillId="0" borderId="0" xfId="1" quotePrefix="1" applyNumberFormat="1" applyFont="1" applyFill="1" applyBorder="1" applyAlignment="1" applyProtection="1">
      <alignment horizontal="left"/>
    </xf>
    <xf numFmtId="175" fontId="65" fillId="0" borderId="0" xfId="1" applyNumberFormat="1" applyFont="1" applyFill="1" applyBorder="1" applyAlignment="1" applyProtection="1"/>
    <xf numFmtId="49" fontId="54" fillId="0" borderId="0" xfId="0" applyNumberFormat="1" applyFont="1" applyFill="1" applyAlignment="1">
      <alignment horizontal="left"/>
    </xf>
    <xf numFmtId="0" fontId="55" fillId="0" borderId="0" xfId="0" applyNumberFormat="1" applyFont="1" applyFill="1" applyAlignment="1" applyProtection="1">
      <alignment horizontal="center"/>
      <protection locked="0"/>
    </xf>
    <xf numFmtId="164" fontId="55" fillId="0" borderId="0" xfId="0" applyNumberFormat="1" applyFont="1" applyFill="1" applyAlignment="1">
      <alignment horizontal="center"/>
    </xf>
    <xf numFmtId="3" fontId="55" fillId="0" borderId="0" xfId="0" applyNumberFormat="1" applyFont="1" applyFill="1" applyAlignment="1"/>
    <xf numFmtId="0" fontId="55" fillId="0" borderId="0" xfId="0" quotePrefix="1" applyNumberFormat="1" applyFont="1" applyFill="1" applyAlignment="1" applyProtection="1">
      <alignment horizontal="centerContinuous"/>
      <protection locked="0"/>
    </xf>
    <xf numFmtId="0" fontId="61" fillId="0" borderId="0" xfId="0" applyNumberFormat="1" applyFont="1" applyFill="1" applyAlignment="1" applyProtection="1">
      <alignment horizontal="center"/>
      <protection locked="0"/>
    </xf>
    <xf numFmtId="0" fontId="55" fillId="0" borderId="0" xfId="0" applyNumberFormat="1" applyFont="1" applyFill="1" applyProtection="1">
      <protection locked="0"/>
    </xf>
    <xf numFmtId="0" fontId="68" fillId="0" borderId="0" xfId="0" applyNumberFormat="1" applyFont="1" applyFill="1" applyAlignment="1">
      <alignment horizontal="center"/>
    </xf>
    <xf numFmtId="3" fontId="68" fillId="0" borderId="0" xfId="0" applyNumberFormat="1" applyFont="1" applyFill="1" applyAlignment="1"/>
    <xf numFmtId="0" fontId="55" fillId="0" borderId="0" xfId="0" applyNumberFormat="1" applyFont="1" applyFill="1" applyAlignment="1">
      <alignment horizontal="center"/>
    </xf>
    <xf numFmtId="0" fontId="54" fillId="0" borderId="0" xfId="0" applyNumberFormat="1" applyFont="1" applyFill="1" applyAlignment="1" applyProtection="1">
      <alignment horizontal="center" vertical="center"/>
      <protection locked="0"/>
    </xf>
    <xf numFmtId="0" fontId="54" fillId="0" borderId="0" xfId="0" applyNumberFormat="1" applyFont="1" applyFill="1" applyAlignment="1">
      <alignment horizontal="fill"/>
    </xf>
    <xf numFmtId="0" fontId="54" fillId="0" borderId="0" xfId="0" quotePrefix="1" applyNumberFormat="1" applyFont="1" applyFill="1" applyAlignment="1">
      <alignment horizontal="left" indent="1"/>
    </xf>
    <xf numFmtId="3" fontId="54" fillId="0" borderId="0" xfId="0" quotePrefix="1" applyNumberFormat="1" applyFont="1" applyFill="1" applyAlignment="1">
      <alignment horizontal="left"/>
    </xf>
    <xf numFmtId="9" fontId="54" fillId="0" borderId="0" xfId="3" applyFont="1" applyFill="1" applyAlignment="1"/>
    <xf numFmtId="0" fontId="54" fillId="0" borderId="0" xfId="0" quotePrefix="1" applyNumberFormat="1" applyFont="1" applyFill="1" applyAlignment="1">
      <alignment horizontal="left" indent="2"/>
    </xf>
    <xf numFmtId="171" fontId="54" fillId="0" borderId="0" xfId="0" quotePrefix="1" applyNumberFormat="1" applyFont="1" applyFill="1" applyAlignment="1">
      <alignment horizontal="left" indent="1"/>
    </xf>
    <xf numFmtId="164" fontId="54" fillId="0" borderId="0" xfId="0" quotePrefix="1" applyNumberFormat="1" applyFont="1" applyFill="1" applyAlignment="1">
      <alignment horizontal="left" indent="1"/>
    </xf>
    <xf numFmtId="171" fontId="54" fillId="0" borderId="0" xfId="0" quotePrefix="1" applyNumberFormat="1" applyFont="1" applyFill="1" applyAlignment="1">
      <alignment horizontal="left"/>
    </xf>
    <xf numFmtId="175" fontId="57" fillId="0" borderId="0" xfId="1" applyNumberFormat="1" applyFont="1" applyFill="1" applyBorder="1" applyAlignment="1"/>
    <xf numFmtId="196" fontId="54" fillId="0" borderId="0" xfId="0" applyNumberFormat="1" applyFont="1" applyFill="1" applyBorder="1" applyProtection="1">
      <protection locked="0"/>
    </xf>
    <xf numFmtId="196" fontId="57" fillId="0" borderId="0" xfId="0" applyNumberFormat="1" applyFont="1" applyFill="1" applyBorder="1" applyProtection="1">
      <protection locked="0"/>
    </xf>
    <xf numFmtId="195" fontId="54" fillId="0" borderId="0" xfId="2" applyNumberFormat="1" applyFont="1" applyFill="1" applyBorder="1" applyProtection="1"/>
    <xf numFmtId="196" fontId="57" fillId="0" borderId="0" xfId="1" applyNumberFormat="1" applyFont="1" applyFill="1" applyProtection="1"/>
    <xf numFmtId="0" fontId="54" fillId="0" borderId="0" xfId="0" applyNumberFormat="1" applyFont="1" applyFill="1" applyAlignment="1" applyProtection="1">
      <alignment horizontal="right"/>
      <protection locked="0"/>
    </xf>
    <xf numFmtId="0" fontId="54" fillId="0" borderId="0" xfId="0" applyNumberFormat="1" applyFont="1" applyFill="1" applyAlignment="1">
      <alignment horizontal="right"/>
    </xf>
    <xf numFmtId="164" fontId="54" fillId="0" borderId="0" xfId="0" applyNumberFormat="1" applyFont="1" applyFill="1" applyAlignment="1" applyProtection="1">
      <protection locked="0"/>
    </xf>
    <xf numFmtId="172" fontId="54" fillId="0" borderId="0" xfId="0" applyNumberFormat="1" applyFont="1" applyFill="1" applyProtection="1">
      <protection locked="0"/>
    </xf>
    <xf numFmtId="0" fontId="64" fillId="0" borderId="0" xfId="0" applyNumberFormat="1" applyFont="1" applyFill="1" applyAlignment="1" applyProtection="1">
      <protection locked="0"/>
    </xf>
    <xf numFmtId="0" fontId="64" fillId="0" borderId="1" xfId="0" applyNumberFormat="1" applyFont="1" applyFill="1" applyBorder="1" applyAlignment="1" applyProtection="1">
      <alignment horizontal="center"/>
      <protection locked="0"/>
    </xf>
    <xf numFmtId="10" fontId="64" fillId="0" borderId="0" xfId="0" applyNumberFormat="1" applyFont="1" applyFill="1" applyProtection="1">
      <protection locked="0"/>
    </xf>
    <xf numFmtId="37" fontId="89" fillId="43" borderId="0" xfId="0" applyFont="1" applyFill="1" applyProtection="1">
      <protection locked="0"/>
    </xf>
    <xf numFmtId="37" fontId="58" fillId="43" borderId="0" xfId="0" applyFont="1" applyFill="1" applyProtection="1">
      <protection locked="0"/>
    </xf>
    <xf numFmtId="0" fontId="58" fillId="0" borderId="0" xfId="0" quotePrefix="1" applyNumberFormat="1" applyFont="1" applyFill="1" applyAlignment="1" applyProtection="1">
      <alignment horizontal="left" indent="2"/>
    </xf>
    <xf numFmtId="0" fontId="58" fillId="0" borderId="0" xfId="0" quotePrefix="1" applyNumberFormat="1" applyFont="1" applyFill="1" applyAlignment="1" applyProtection="1">
      <alignment horizontal="left" indent="1"/>
    </xf>
    <xf numFmtId="199" fontId="0" fillId="0" borderId="0" xfId="0" applyNumberFormat="1"/>
    <xf numFmtId="200" fontId="61" fillId="0" borderId="0" xfId="1" applyNumberFormat="1" applyFont="1" applyFill="1"/>
    <xf numFmtId="37" fontId="89" fillId="0" borderId="0" xfId="0" applyFont="1" applyFill="1" applyProtection="1">
      <protection locked="0"/>
    </xf>
    <xf numFmtId="37" fontId="89" fillId="0" borderId="0" xfId="0" applyFont="1" applyFill="1" applyAlignment="1" applyProtection="1">
      <alignment horizontal="center"/>
      <protection locked="0"/>
    </xf>
    <xf numFmtId="175" fontId="54" fillId="0" borderId="0" xfId="1" applyNumberFormat="1" applyFont="1" applyFill="1" applyAlignment="1" applyProtection="1">
      <alignment horizontal="center"/>
    </xf>
    <xf numFmtId="14" fontId="91" fillId="0" borderId="0" xfId="159" applyNumberFormat="1" applyFont="1" applyAlignment="1">
      <alignment horizontal="left"/>
    </xf>
    <xf numFmtId="0" fontId="95" fillId="37" borderId="0" xfId="159" applyFont="1" applyFill="1" applyBorder="1" applyAlignment="1" applyProtection="1">
      <alignment horizontal="center" wrapText="1"/>
    </xf>
    <xf numFmtId="37" fontId="58" fillId="36" borderId="0" xfId="0" quotePrefix="1" applyFont="1" applyFill="1" applyAlignment="1" applyProtection="1">
      <alignment horizontal="center" wrapText="1"/>
    </xf>
    <xf numFmtId="37" fontId="87" fillId="0" borderId="18" xfId="0" applyFont="1" applyBorder="1" applyAlignment="1" applyProtection="1">
      <alignment horizontal="center"/>
    </xf>
    <xf numFmtId="37" fontId="87" fillId="0" borderId="19" xfId="0" applyFont="1" applyBorder="1" applyAlignment="1" applyProtection="1">
      <alignment horizontal="center"/>
    </xf>
    <xf numFmtId="37" fontId="58" fillId="0" borderId="0" xfId="0" applyFont="1" applyAlignment="1" applyProtection="1">
      <alignment horizontal="left" wrapText="1"/>
    </xf>
    <xf numFmtId="0" fontId="54"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left" wrapText="1"/>
    </xf>
    <xf numFmtId="3" fontId="54" fillId="0" borderId="0" xfId="0" applyNumberFormat="1" applyFont="1" applyFill="1" applyBorder="1" applyAlignment="1" applyProtection="1">
      <alignment wrapText="1"/>
    </xf>
    <xf numFmtId="175" fontId="5" fillId="0" borderId="37" xfId="1" applyNumberFormat="1" applyFont="1" applyFill="1" applyBorder="1" applyAlignment="1">
      <alignment horizontal="center"/>
    </xf>
    <xf numFmtId="175" fontId="5" fillId="0" borderId="38" xfId="1" applyNumberFormat="1" applyFont="1" applyFill="1" applyBorder="1" applyAlignment="1">
      <alignment horizontal="center"/>
    </xf>
    <xf numFmtId="175" fontId="5" fillId="0" borderId="39" xfId="1" applyNumberFormat="1" applyFont="1" applyFill="1" applyBorder="1" applyAlignment="1">
      <alignment horizontal="center"/>
    </xf>
    <xf numFmtId="37" fontId="55" fillId="0" borderId="3" xfId="0" quotePrefix="1" applyFont="1" applyFill="1" applyBorder="1" applyAlignment="1">
      <alignment horizontal="center"/>
    </xf>
  </cellXfs>
  <cellStyles count="160">
    <cellStyle name="_Row1" xfId="4" xr:uid="{00000000-0005-0000-0000-000000000000}"/>
    <cellStyle name="20% - Accent1 2" xfId="5" xr:uid="{00000000-0005-0000-0000-000001000000}"/>
    <cellStyle name="20% - Accent2 2" xfId="6" xr:uid="{00000000-0005-0000-0000-000002000000}"/>
    <cellStyle name="20% - Accent3 2" xfId="7" xr:uid="{00000000-0005-0000-0000-000003000000}"/>
    <cellStyle name="20% - Accent4 2" xfId="8" xr:uid="{00000000-0005-0000-0000-000004000000}"/>
    <cellStyle name="20% - Accent5 2" xfId="9" xr:uid="{00000000-0005-0000-0000-000005000000}"/>
    <cellStyle name="20% - Accent6 2" xfId="10" xr:uid="{00000000-0005-0000-0000-000006000000}"/>
    <cellStyle name="40% - Accent1 2" xfId="11" xr:uid="{00000000-0005-0000-0000-000007000000}"/>
    <cellStyle name="40% - Accent2 2" xfId="12" xr:uid="{00000000-0005-0000-0000-000008000000}"/>
    <cellStyle name="40% - Accent3 2" xfId="13" xr:uid="{00000000-0005-0000-0000-000009000000}"/>
    <cellStyle name="40% - Accent4 2" xfId="14" xr:uid="{00000000-0005-0000-0000-00000A000000}"/>
    <cellStyle name="40% - Accent5 2" xfId="15" xr:uid="{00000000-0005-0000-0000-00000B000000}"/>
    <cellStyle name="40% - Accent6 2" xfId="16" xr:uid="{00000000-0005-0000-0000-00000C000000}"/>
    <cellStyle name="60% - Accent1 2" xfId="17" xr:uid="{00000000-0005-0000-0000-00000D000000}"/>
    <cellStyle name="60% - Accent2 2" xfId="18" xr:uid="{00000000-0005-0000-0000-00000E000000}"/>
    <cellStyle name="60% - Accent3 2" xfId="19" xr:uid="{00000000-0005-0000-0000-00000F000000}"/>
    <cellStyle name="60% - Accent4 2" xfId="20" xr:uid="{00000000-0005-0000-0000-000010000000}"/>
    <cellStyle name="60% - Accent5 2" xfId="21" xr:uid="{00000000-0005-0000-0000-000011000000}"/>
    <cellStyle name="60% - Accent6 2" xfId="22" xr:uid="{00000000-0005-0000-0000-000012000000}"/>
    <cellStyle name="Accent1 2" xfId="23" xr:uid="{00000000-0005-0000-0000-000013000000}"/>
    <cellStyle name="Accent2 2" xfId="24" xr:uid="{00000000-0005-0000-0000-000014000000}"/>
    <cellStyle name="Accent3 2" xfId="25" xr:uid="{00000000-0005-0000-0000-000015000000}"/>
    <cellStyle name="Accent4 2" xfId="26" xr:uid="{00000000-0005-0000-0000-000016000000}"/>
    <cellStyle name="Accent5 2" xfId="27" xr:uid="{00000000-0005-0000-0000-000017000000}"/>
    <cellStyle name="Accent6 2" xfId="28" xr:uid="{00000000-0005-0000-0000-000018000000}"/>
    <cellStyle name="Bad 2" xfId="29" xr:uid="{00000000-0005-0000-0000-000019000000}"/>
    <cellStyle name="Calculation 2" xfId="30" xr:uid="{00000000-0005-0000-0000-00001A000000}"/>
    <cellStyle name="Check Cell 2" xfId="31" xr:uid="{00000000-0005-0000-0000-00001B000000}"/>
    <cellStyle name="CodeEingabe" xfId="32" xr:uid="{00000000-0005-0000-0000-00001C000000}"/>
    <cellStyle name="ColumnAttributeAbovePrompt" xfId="33" xr:uid="{00000000-0005-0000-0000-00001D000000}"/>
    <cellStyle name="ColumnAttributePrompt" xfId="34" xr:uid="{00000000-0005-0000-0000-00001E000000}"/>
    <cellStyle name="ColumnAttributeValue" xfId="35" xr:uid="{00000000-0005-0000-0000-00001F000000}"/>
    <cellStyle name="ColumnHeadingPrompt" xfId="36" xr:uid="{00000000-0005-0000-0000-000020000000}"/>
    <cellStyle name="ColumnHeadingValue" xfId="37" xr:uid="{00000000-0005-0000-0000-000021000000}"/>
    <cellStyle name="Comma" xfId="1" builtinId="3"/>
    <cellStyle name="Comma 12" xfId="38" xr:uid="{00000000-0005-0000-0000-000023000000}"/>
    <cellStyle name="Comma 13" xfId="39" xr:uid="{00000000-0005-0000-0000-000024000000}"/>
    <cellStyle name="Comma 2" xfId="40" xr:uid="{00000000-0005-0000-0000-000025000000}"/>
    <cellStyle name="Comma 2 2" xfId="41" xr:uid="{00000000-0005-0000-0000-000026000000}"/>
    <cellStyle name="Comma 3" xfId="42" xr:uid="{00000000-0005-0000-0000-000027000000}"/>
    <cellStyle name="Comma 4" xfId="154" xr:uid="{00000000-0005-0000-0000-000028000000}"/>
    <cellStyle name="Comma0" xfId="43" xr:uid="{00000000-0005-0000-0000-000029000000}"/>
    <cellStyle name="Currency" xfId="2" builtinId="4"/>
    <cellStyle name="Currency 2" xfId="44" xr:uid="{00000000-0005-0000-0000-00002B000000}"/>
    <cellStyle name="Currency 2 2" xfId="45" xr:uid="{00000000-0005-0000-0000-00002C000000}"/>
    <cellStyle name="Currency 3" xfId="46" xr:uid="{00000000-0005-0000-0000-00002D000000}"/>
    <cellStyle name="Currency 4" xfId="47" xr:uid="{00000000-0005-0000-0000-00002E000000}"/>
    <cellStyle name="Currency0" xfId="48" xr:uid="{00000000-0005-0000-0000-00002F000000}"/>
    <cellStyle name="Date" xfId="49" xr:uid="{00000000-0005-0000-0000-000030000000}"/>
    <cellStyle name="Eingabe" xfId="50" xr:uid="{00000000-0005-0000-0000-000031000000}"/>
    <cellStyle name="Euro" xfId="51" xr:uid="{00000000-0005-0000-0000-000032000000}"/>
    <cellStyle name="Explanatory Text 2" xfId="52" xr:uid="{00000000-0005-0000-0000-000033000000}"/>
    <cellStyle name="F2" xfId="53" xr:uid="{00000000-0005-0000-0000-000034000000}"/>
    <cellStyle name="F3" xfId="54" xr:uid="{00000000-0005-0000-0000-000035000000}"/>
    <cellStyle name="F4" xfId="55" xr:uid="{00000000-0005-0000-0000-000036000000}"/>
    <cellStyle name="F5" xfId="56" xr:uid="{00000000-0005-0000-0000-000037000000}"/>
    <cellStyle name="F6" xfId="57" xr:uid="{00000000-0005-0000-0000-000038000000}"/>
    <cellStyle name="F7" xfId="58" xr:uid="{00000000-0005-0000-0000-000039000000}"/>
    <cellStyle name="F8" xfId="59" xr:uid="{00000000-0005-0000-0000-00003A000000}"/>
    <cellStyle name="Fixed" xfId="60" xr:uid="{00000000-0005-0000-0000-00003B000000}"/>
    <cellStyle name="Good 2" xfId="61" xr:uid="{00000000-0005-0000-0000-00003C000000}"/>
    <cellStyle name="Heading 1 2" xfId="62" xr:uid="{00000000-0005-0000-0000-00003D000000}"/>
    <cellStyle name="Heading 2 2" xfId="63" xr:uid="{00000000-0005-0000-0000-00003E000000}"/>
    <cellStyle name="Heading 3 2" xfId="64" xr:uid="{00000000-0005-0000-0000-00003F000000}"/>
    <cellStyle name="Heading 4 2" xfId="65" xr:uid="{00000000-0005-0000-0000-000040000000}"/>
    <cellStyle name="Input 2" xfId="66" xr:uid="{00000000-0005-0000-0000-000041000000}"/>
    <cellStyle name="LineItemPrompt" xfId="67" xr:uid="{00000000-0005-0000-0000-000042000000}"/>
    <cellStyle name="LineItemValue"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2 2" xfId="72" xr:uid="{00000000-0005-0000-0000-000048000000}"/>
    <cellStyle name="Normal 2 3" xfId="155" xr:uid="{00000000-0005-0000-0000-000049000000}"/>
    <cellStyle name="Normal 29" xfId="157" xr:uid="{00000000-0005-0000-0000-00004A000000}"/>
    <cellStyle name="Normal 29 2" xfId="158" xr:uid="{00000000-0005-0000-0000-00004B000000}"/>
    <cellStyle name="Normal 29 3" xfId="159" xr:uid="{00000000-0005-0000-0000-00004C000000}"/>
    <cellStyle name="Normal 3" xfId="73" xr:uid="{00000000-0005-0000-0000-00004D000000}"/>
    <cellStyle name="Normal 3 2" xfId="74" xr:uid="{00000000-0005-0000-0000-00004E000000}"/>
    <cellStyle name="Normal 4" xfId="75" xr:uid="{00000000-0005-0000-0000-00004F000000}"/>
    <cellStyle name="Normal 5" xfId="76" xr:uid="{00000000-0005-0000-0000-000050000000}"/>
    <cellStyle name="Normal 6" xfId="153" xr:uid="{00000000-0005-0000-0000-000051000000}"/>
    <cellStyle name="Normal_FINAL Billing Comparison and Facilities Charges" xfId="156" xr:uid="{00000000-0005-0000-0000-000052000000}"/>
    <cellStyle name="Note 2" xfId="77" xr:uid="{00000000-0005-0000-0000-000053000000}"/>
    <cellStyle name="Output 2" xfId="78" xr:uid="{00000000-0005-0000-0000-000054000000}"/>
    <cellStyle name="OUTPUT AMOUNTS" xfId="79" xr:uid="{00000000-0005-0000-0000-000055000000}"/>
    <cellStyle name="Output Amounts 2" xfId="80" xr:uid="{00000000-0005-0000-0000-000056000000}"/>
    <cellStyle name="OUTPUT COLUMN HEADINGS" xfId="81" xr:uid="{00000000-0005-0000-0000-000057000000}"/>
    <cellStyle name="OUTPUT LINE ITEMS" xfId="82" xr:uid="{00000000-0005-0000-0000-000058000000}"/>
    <cellStyle name="OUTPUT REPORT HEADING" xfId="83" xr:uid="{00000000-0005-0000-0000-000059000000}"/>
    <cellStyle name="OUTPUT REPORT TITLE" xfId="84" xr:uid="{00000000-0005-0000-0000-00005A000000}"/>
    <cellStyle name="Percent" xfId="3" builtinId="5"/>
    <cellStyle name="Percent 2" xfId="85" xr:uid="{00000000-0005-0000-0000-00005C000000}"/>
    <cellStyle name="Percent 3" xfId="86" xr:uid="{00000000-0005-0000-0000-00005D000000}"/>
    <cellStyle name="Project Overview Data Entry" xfId="87" xr:uid="{00000000-0005-0000-0000-00005E000000}"/>
    <cellStyle name="PSChar" xfId="88" xr:uid="{00000000-0005-0000-0000-00005F000000}"/>
    <cellStyle name="PSDate" xfId="89" xr:uid="{00000000-0005-0000-0000-000060000000}"/>
    <cellStyle name="PSDec" xfId="90" xr:uid="{00000000-0005-0000-0000-000061000000}"/>
    <cellStyle name="PSHeading" xfId="91" xr:uid="{00000000-0005-0000-0000-000062000000}"/>
    <cellStyle name="PSInt" xfId="92" xr:uid="{00000000-0005-0000-0000-000063000000}"/>
    <cellStyle name="PSSpacer" xfId="93" xr:uid="{00000000-0005-0000-0000-000064000000}"/>
    <cellStyle name="ReportTitlePrompt" xfId="94" xr:uid="{00000000-0005-0000-0000-000065000000}"/>
    <cellStyle name="ReportTitleValue" xfId="95" xr:uid="{00000000-0005-0000-0000-000066000000}"/>
    <cellStyle name="RowAcctAbovePrompt" xfId="96" xr:uid="{00000000-0005-0000-0000-000067000000}"/>
    <cellStyle name="RowAcctSOBAbovePrompt" xfId="97" xr:uid="{00000000-0005-0000-0000-000068000000}"/>
    <cellStyle name="RowAcctSOBValue" xfId="98" xr:uid="{00000000-0005-0000-0000-000069000000}"/>
    <cellStyle name="RowAcctValue" xfId="99" xr:uid="{00000000-0005-0000-0000-00006A000000}"/>
    <cellStyle name="RowAttrAbovePrompt" xfId="100" xr:uid="{00000000-0005-0000-0000-00006B000000}"/>
    <cellStyle name="RowAttrValue" xfId="101" xr:uid="{00000000-0005-0000-0000-00006C000000}"/>
    <cellStyle name="RowColSetAbovePrompt" xfId="102" xr:uid="{00000000-0005-0000-0000-00006D000000}"/>
    <cellStyle name="RowColSetLeftPrompt" xfId="103" xr:uid="{00000000-0005-0000-0000-00006E000000}"/>
    <cellStyle name="RowColSetValue" xfId="104" xr:uid="{00000000-0005-0000-0000-00006F000000}"/>
    <cellStyle name="RowLeftPrompt" xfId="105" xr:uid="{00000000-0005-0000-0000-000070000000}"/>
    <cellStyle name="SampleUsingFormatMask" xfId="106" xr:uid="{00000000-0005-0000-0000-000071000000}"/>
    <cellStyle name="SampleWithNoFormatMask" xfId="107" xr:uid="{00000000-0005-0000-0000-000072000000}"/>
    <cellStyle name="SAPBEXaggData" xfId="108"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Text" xfId="127" xr:uid="{00000000-0005-0000-0000-000086000000}"/>
    <cellStyle name="SAPBEXHLevel0" xfId="128" xr:uid="{00000000-0005-0000-0000-000087000000}"/>
    <cellStyle name="SAPBEXHLevel0X" xfId="129" xr:uid="{00000000-0005-0000-0000-000088000000}"/>
    <cellStyle name="SAPBEXHLevel1" xfId="130" xr:uid="{00000000-0005-0000-0000-000089000000}"/>
    <cellStyle name="SAPBEXHLevel1X" xfId="131" xr:uid="{00000000-0005-0000-0000-00008A000000}"/>
    <cellStyle name="SAPBEXHLevel2" xfId="132" xr:uid="{00000000-0005-0000-0000-00008B000000}"/>
    <cellStyle name="SAPBEXHLevel2X" xfId="133" xr:uid="{00000000-0005-0000-0000-00008C000000}"/>
    <cellStyle name="SAPBEXHLevel3" xfId="134" xr:uid="{00000000-0005-0000-0000-00008D000000}"/>
    <cellStyle name="SAPBEXHLevel3X" xfId="135" xr:uid="{00000000-0005-0000-0000-00008E000000}"/>
    <cellStyle name="SAPBEXresData" xfId="136" xr:uid="{00000000-0005-0000-0000-00008F000000}"/>
    <cellStyle name="SAPBEXresDataEmph" xfId="137" xr:uid="{00000000-0005-0000-0000-000090000000}"/>
    <cellStyle name="SAPBEXresItem" xfId="138" xr:uid="{00000000-0005-0000-0000-000091000000}"/>
    <cellStyle name="SAPBEXresItemX" xfId="139" xr:uid="{00000000-0005-0000-0000-000092000000}"/>
    <cellStyle name="SAPBEXstdData" xfId="140" xr:uid="{00000000-0005-0000-0000-000093000000}"/>
    <cellStyle name="SAPBEXstdDataEmph" xfId="141" xr:uid="{00000000-0005-0000-0000-000094000000}"/>
    <cellStyle name="SAPBEXstdItem" xfId="142" xr:uid="{00000000-0005-0000-0000-000095000000}"/>
    <cellStyle name="SAPBEXstdItemX" xfId="143" xr:uid="{00000000-0005-0000-0000-000096000000}"/>
    <cellStyle name="SAPBEXtitle" xfId="144" xr:uid="{00000000-0005-0000-0000-000097000000}"/>
    <cellStyle name="SAPBEXundefined" xfId="145" xr:uid="{00000000-0005-0000-0000-000098000000}"/>
    <cellStyle name="SAPLocked" xfId="146" xr:uid="{00000000-0005-0000-0000-000099000000}"/>
    <cellStyle name="Standard_CORE_20040805_Movement types_Sets_V0.1_e" xfId="147" xr:uid="{00000000-0005-0000-0000-00009A000000}"/>
    <cellStyle name="Title 2" xfId="148" xr:uid="{00000000-0005-0000-0000-00009B000000}"/>
    <cellStyle name="Total 2" xfId="149" xr:uid="{00000000-0005-0000-0000-00009C000000}"/>
    <cellStyle name="Undefiniert" xfId="150" xr:uid="{00000000-0005-0000-0000-00009D000000}"/>
    <cellStyle name="UploadThisRowValue" xfId="151" xr:uid="{00000000-0005-0000-0000-00009E000000}"/>
    <cellStyle name="Warning Text 2" xfId="152" xr:uid="{00000000-0005-0000-0000-00009F000000}"/>
  </cellStyles>
  <dxfs count="18">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99FF99"/>
      <color rgb="FFFFFF99"/>
      <color rgb="FF000099"/>
      <color rgb="FF333399"/>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tyles" Target="style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y%20Documents\PUE-2011-00013%20KU%20Rate%20Case%20-%20Capital%20Structure\KU%202011%20rate%20ca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eenergy.int\Energy%20Services\Reporting\2008%20Reporting\11%20Nov%2008\Generation%20Summary%20Nov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20JOURNAL%20ENTRIES%20!\Sandra\J149%20Dividends%20Declared%20L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2\rates\Energy%20Services\Reporting\2014%20Reporting\02%20February%202014\Gen%20%20Services\Revised%20Gen%20Services%20Feb%20Accrua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geenergy.int\98UPDATE\LGE\SEP\MWHCU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in%20Modelling%20Worksho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e026946\Local%20Settings\Temporary%20Internet%20Files\Content.Outlook\1911PQE2\J019-0119-0212%20PAA%20TRANSFER%20UNAMORT%20DEBT%20EXP.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Cost%20of%20Service\2012\03-31-2012\FERC%20Spare%20Parts\J111%20-%20KU%20Spare%20Parts%20Inventory%20Deferral%2003%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004941\Downloads\Cost%20of%20Service\2012\03-31-2012\FERC%20Spare%20Parts\J111%20-%20KU%20Spare%20Parts%20Inventory%20Deferral%2003%20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geenergy.int\windows\TEMP\MWHCUSTMarch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geenergy.int\2010\00%20-%20Budgets\03%20-%20CFO%20Update%20&amp;%20Adj%20to%20Target\Audit%20Services\0264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6Plan\Utility%20Plan\Supporting%20Schedules\Gross%20Margin\Gross%20Margin%202006-2008%20Pl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Journal%20Entries\LGE\2015\JE098%20-%20Adjust%20Bad%20Debt%20Reserve\JE098%20Adj%20Bad%20Debt%20Reserve%202015.1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Monthly%20Closing\2013%20Journal%20Entries%20and%20Support\08%20-%20August\LGE\IMEA-IMPA\J130%20-%20Fuel%20for%20Disallowed%20Trimble%20County%20-%20TC2%20-%2008.13.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geenergy.int\95UPDATE\NIACGRPH.XLW"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geenergy.int\Energy%20Services\Reporting\2010%20Reporting\01%20Jan%202010\SharePoint%20Upload\Plant%20Files\BR%20CT%20Jan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geenergy.int\Energy%20Services\Reporting\2011%20Reporting\01%20Jan%202011\Fcst\GH%20Star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DIM\STEXCEL\02\Database\KUVA.XLW"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20JOURNAL%20ENTRIES%20!\Sandra\J149.0100%20Dividends%20Declared%20L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Monthly%20Reconciliations\2007\01-2007\LGEclranalysis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andra\CASH\2004\AUG%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012067\Local%20Settings\Temporary%20Internet%20Files\OLK2F4\110VA%20(5).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Fuel%20Adjustment%20Factor%20Monthly%20Filings\Support%20Documents\Weather\2015\WeatherAndCommodityReportCombined11_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Sandra\CASH\2005\SEP%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geenergy.int\2010\00%20-%20Budgets\05%20-%20Supply%20Chain%20Changes\000000%20-%202010%20MT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INVOICES\INVO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ent&amp;SUb Ratios"/>
      <sheetName val="cap structure"/>
      <sheetName val="Avg Int Rates"/>
      <sheetName val="LTD Costs"/>
      <sheetName val="LTD Costs (2)"/>
      <sheetName val="Fixed Rate Bonds YTM"/>
      <sheetName val="STD Adjustment"/>
      <sheetName val="case history"/>
      <sheetName val="Sheet2"/>
    </sheetNames>
    <sheetDataSet>
      <sheetData sheetId="0"/>
      <sheetData sheetId="1"/>
      <sheetData sheetId="2"/>
      <sheetData sheetId="3"/>
      <sheetData sheetId="4">
        <row r="46">
          <cell r="S46">
            <v>1810448.77966</v>
          </cell>
        </row>
      </sheetData>
      <sheetData sheetId="5">
        <row r="48">
          <cell r="K48">
            <v>1806362.41466</v>
          </cell>
        </row>
      </sheetData>
      <sheetData sheetId="6">
        <row r="25">
          <cell r="D25">
            <v>1.8333333333333333E-3</v>
          </cell>
        </row>
      </sheetData>
      <sheetData sheetId="7">
        <row r="25">
          <cell r="D25">
            <v>1.8333333333333333E-3</v>
          </cell>
        </row>
      </sheetData>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report"/>
      <sheetName val="Contents"/>
      <sheetName val="Summary"/>
      <sheetName val="Controllable"/>
      <sheetName val="Capital"/>
      <sheetName val="Capital Support"/>
      <sheetName val="Outage Sched (2)"/>
      <sheetName val="Outage Sched"/>
      <sheetName val="Other Variances"/>
      <sheetName val="Company Summ PY"/>
      <sheetName val="Variance Summary (2)"/>
      <sheetName val="Generation KPIs (2)"/>
      <sheetName val="Generation MWHs (2)"/>
      <sheetName val="Outage Chart"/>
      <sheetName val="Engineering"/>
      <sheetName val="Headcount"/>
      <sheetName val="Historical"/>
      <sheetName val="Total Project Sanction"/>
      <sheetName val="ARO New"/>
      <sheetName val="Prelim Eng"/>
      <sheetName val="MWH-08"/>
      <sheetName val="Generation MWHs"/>
      <sheetName val="Cover"/>
      <sheetName val="Notes"/>
      <sheetName val="ARO"/>
      <sheetName val="Outage Cost"/>
      <sheetName val="Generation"/>
      <sheetName val="RB Current MO BM Graphs"/>
      <sheetName val="YTD BM Graphs"/>
      <sheetName val="FY BM Graphs"/>
      <sheetName val="Key Metrics"/>
      <sheetName val="KPI for Gen Plan"/>
      <sheetName val="Capital Projects"/>
      <sheetName val="Cap Interest"/>
      <sheetName val="Outages by Unit"/>
      <sheetName val="Category"/>
      <sheetName val="Major Projects"/>
      <sheetName val="Summary Total"/>
      <sheetName val="Sum Cap"/>
      <sheetName val="Company Summary"/>
      <sheetName val="OFA =&gt;"/>
      <sheetName val="CAP PY Detail"/>
      <sheetName val="PY Other Gen Company"/>
      <sheetName val="OFA Import"/>
      <sheetName val="Outages"/>
      <sheetName val="Gen 12 month"/>
      <sheetName val="Other COS Gen 12 month"/>
      <sheetName val="Other COS Trans 12 month"/>
      <sheetName val="Other COS"/>
      <sheetName val="Maintenance"/>
      <sheetName val="Variables"/>
      <sheetName val="Other"/>
      <sheetName val="FH FBM 12 month"/>
      <sheetName val="Gen BTL 12 month"/>
      <sheetName val="Gen BTL Prior Year"/>
      <sheetName val="Trans BTL Pr Year"/>
      <sheetName val="Sum Cont Cost"/>
      <sheetName val="Disc ==&gt;"/>
      <sheetName val="Cap Disc"/>
      <sheetName val="No Longer Used==&gt;"/>
      <sheetName val="Sum Other COS"/>
      <sheetName val="Sum FH"/>
      <sheetName val="BTL Summary"/>
      <sheetName val="Sum O&amp;M"/>
      <sheetName val="Other COS Gen"/>
      <sheetName val="FH FBM"/>
      <sheetName val="BTL"/>
      <sheetName val="O&amp;M PY Detail"/>
      <sheetName val="Other COS PY"/>
      <sheetName val="FH Prior Year Detail"/>
      <sheetName val="Sum CWIP"/>
      <sheetName val="Sum Ret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Planned Duration 1</v>
          </cell>
        </row>
        <row r="4">
          <cell r="B4" t="str">
            <v>StartDate</v>
          </cell>
          <cell r="C4" t="str">
            <v>EndDate</v>
          </cell>
        </row>
        <row r="6">
          <cell r="B6">
            <v>38787</v>
          </cell>
          <cell r="C6">
            <v>38810</v>
          </cell>
        </row>
        <row r="7">
          <cell r="B7">
            <v>38815</v>
          </cell>
          <cell r="C7">
            <v>38845</v>
          </cell>
        </row>
        <row r="8">
          <cell r="B8">
            <v>38780</v>
          </cell>
          <cell r="C8">
            <v>38789</v>
          </cell>
        </row>
        <row r="9">
          <cell r="B9">
            <v>39025</v>
          </cell>
          <cell r="C9">
            <v>39048</v>
          </cell>
        </row>
        <row r="10">
          <cell r="B10">
            <v>38808</v>
          </cell>
          <cell r="C10">
            <v>38817</v>
          </cell>
        </row>
        <row r="11">
          <cell r="B11">
            <v>38990</v>
          </cell>
          <cell r="C11">
            <v>39020</v>
          </cell>
        </row>
        <row r="12">
          <cell r="B12">
            <v>38983</v>
          </cell>
          <cell r="C12">
            <v>39006</v>
          </cell>
        </row>
        <row r="13">
          <cell r="B13">
            <v>38997</v>
          </cell>
          <cell r="C13">
            <v>39020</v>
          </cell>
        </row>
        <row r="14">
          <cell r="B14">
            <v>38843</v>
          </cell>
          <cell r="C14">
            <v>38866</v>
          </cell>
        </row>
        <row r="15">
          <cell r="B15">
            <v>38794</v>
          </cell>
          <cell r="C15">
            <v>38810</v>
          </cell>
        </row>
        <row r="16">
          <cell r="B16">
            <v>39039</v>
          </cell>
          <cell r="C16">
            <v>39055</v>
          </cell>
        </row>
        <row r="17">
          <cell r="B17">
            <v>39053</v>
          </cell>
          <cell r="C17">
            <v>39069</v>
          </cell>
        </row>
        <row r="21">
          <cell r="B21">
            <v>39011</v>
          </cell>
          <cell r="C21">
            <v>39027</v>
          </cell>
        </row>
        <row r="22">
          <cell r="B22">
            <v>38794</v>
          </cell>
          <cell r="C22">
            <v>38803</v>
          </cell>
        </row>
        <row r="26">
          <cell r="B26">
            <v>38829</v>
          </cell>
          <cell r="C26">
            <v>38852</v>
          </cell>
        </row>
        <row r="27">
          <cell r="B27">
            <v>38976</v>
          </cell>
          <cell r="C27">
            <v>38999</v>
          </cell>
        </row>
        <row r="29">
          <cell r="B29">
            <v>38829</v>
          </cell>
          <cell r="C29">
            <v>38852</v>
          </cell>
        </row>
        <row r="30">
          <cell r="B30">
            <v>39046</v>
          </cell>
          <cell r="C30">
            <v>39069</v>
          </cell>
        </row>
        <row r="31">
          <cell r="B31">
            <v>38808</v>
          </cell>
          <cell r="C31">
            <v>38831</v>
          </cell>
        </row>
        <row r="32">
          <cell r="B32">
            <v>38836</v>
          </cell>
          <cell r="C32">
            <v>38859</v>
          </cell>
        </row>
        <row r="33">
          <cell r="B33">
            <v>38976</v>
          </cell>
          <cell r="C33">
            <v>38999</v>
          </cell>
        </row>
        <row r="34">
          <cell r="B34">
            <v>39053</v>
          </cell>
          <cell r="C34">
            <v>39062</v>
          </cell>
        </row>
        <row r="35">
          <cell r="B35">
            <v>38822</v>
          </cell>
          <cell r="C35">
            <v>38838</v>
          </cell>
        </row>
        <row r="36">
          <cell r="B36">
            <v>38752</v>
          </cell>
          <cell r="C36">
            <v>38810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CODE"/>
      <sheetName val="JUL 06"/>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E"/>
      <sheetName val="Plant Input"/>
      <sheetName val="EiS Data Dump"/>
      <sheetName val="Instructions"/>
      <sheetName val="Gen Serv Accrual Tab"/>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s>
    <sheetDataSet>
      <sheetData sheetId="0" refreshError="1">
        <row r="6">
          <cell r="B6">
            <v>593473001</v>
          </cell>
          <cell r="C6">
            <v>1015200</v>
          </cell>
        </row>
        <row r="7">
          <cell r="B7">
            <v>596953001</v>
          </cell>
          <cell r="C7">
            <v>27458391</v>
          </cell>
        </row>
        <row r="8">
          <cell r="B8">
            <v>1000000615001</v>
          </cell>
          <cell r="C8">
            <v>2080800</v>
          </cell>
        </row>
        <row r="9">
          <cell r="B9">
            <v>1000000719001</v>
          </cell>
          <cell r="C9">
            <v>1728000</v>
          </cell>
        </row>
        <row r="10">
          <cell r="B10">
            <v>1000593434001</v>
          </cell>
          <cell r="C10">
            <v>13593600</v>
          </cell>
        </row>
        <row r="11">
          <cell r="B11">
            <v>1000596121001</v>
          </cell>
          <cell r="C11">
            <v>13392000</v>
          </cell>
        </row>
        <row r="12">
          <cell r="B12">
            <v>1000596969001</v>
          </cell>
          <cell r="C12">
            <v>14191000</v>
          </cell>
        </row>
        <row r="13">
          <cell r="B13">
            <v>1000620164001</v>
          </cell>
          <cell r="C13">
            <v>3362400</v>
          </cell>
        </row>
        <row r="14">
          <cell r="B14">
            <v>2000003059001</v>
          </cell>
          <cell r="C14">
            <v>1085172</v>
          </cell>
        </row>
        <row r="15">
          <cell r="B15">
            <v>3000001502001</v>
          </cell>
          <cell r="C15">
            <v>87200</v>
          </cell>
        </row>
        <row r="16">
          <cell r="B16">
            <v>3000001518001</v>
          </cell>
          <cell r="C16">
            <v>229440</v>
          </cell>
        </row>
        <row r="17">
          <cell r="B17">
            <v>3000001564001</v>
          </cell>
          <cell r="C17">
            <v>2467200</v>
          </cell>
        </row>
        <row r="18">
          <cell r="B18">
            <v>4000596813001</v>
          </cell>
          <cell r="C18">
            <v>7200000</v>
          </cell>
        </row>
        <row r="19">
          <cell r="B19">
            <v>5000596177001</v>
          </cell>
          <cell r="C19">
            <v>734400</v>
          </cell>
        </row>
        <row r="20">
          <cell r="B20">
            <v>6000596818001</v>
          </cell>
          <cell r="C20">
            <v>3144000</v>
          </cell>
        </row>
        <row r="21">
          <cell r="B21">
            <v>7000000299001</v>
          </cell>
          <cell r="C21">
            <v>640800</v>
          </cell>
        </row>
        <row r="22">
          <cell r="B22">
            <v>7000596830001</v>
          </cell>
          <cell r="C22">
            <v>19440000</v>
          </cell>
        </row>
        <row r="23">
          <cell r="B23">
            <v>7000723656001</v>
          </cell>
          <cell r="C23">
            <v>1191600</v>
          </cell>
        </row>
        <row r="24">
          <cell r="B24">
            <v>8000001387001</v>
          </cell>
          <cell r="C24">
            <v>1243200</v>
          </cell>
        </row>
        <row r="25">
          <cell r="B25">
            <v>8000001644001</v>
          </cell>
          <cell r="C25">
            <v>1305600</v>
          </cell>
        </row>
        <row r="26">
          <cell r="B26">
            <v>8000001852001</v>
          </cell>
          <cell r="C26">
            <v>5059200</v>
          </cell>
        </row>
        <row r="27">
          <cell r="B27">
            <v>8000002112001</v>
          </cell>
          <cell r="C27">
            <v>1366351</v>
          </cell>
        </row>
        <row r="28">
          <cell r="B28">
            <v>8000002479001</v>
          </cell>
          <cell r="C28">
            <v>422400</v>
          </cell>
        </row>
        <row r="29">
          <cell r="B29">
            <v>8000002505001</v>
          </cell>
          <cell r="C29">
            <v>291840</v>
          </cell>
        </row>
        <row r="30">
          <cell r="B30">
            <v>8000002512001</v>
          </cell>
          <cell r="C30">
            <v>2016000</v>
          </cell>
        </row>
        <row r="31">
          <cell r="B31">
            <v>8000002567001</v>
          </cell>
          <cell r="C31">
            <v>1406400</v>
          </cell>
        </row>
        <row r="32">
          <cell r="B32">
            <v>8000002662001</v>
          </cell>
          <cell r="C32">
            <v>2512800</v>
          </cell>
        </row>
        <row r="33">
          <cell r="B33">
            <v>9000000087001</v>
          </cell>
          <cell r="C33">
            <v>1183200</v>
          </cell>
        </row>
        <row r="34">
          <cell r="B34">
            <v>9000000182001</v>
          </cell>
          <cell r="C34">
            <v>13147200</v>
          </cell>
        </row>
        <row r="35">
          <cell r="B35">
            <v>9000000633001</v>
          </cell>
          <cell r="C35">
            <v>14812800</v>
          </cell>
        </row>
        <row r="36">
          <cell r="B36">
            <v>9000000656001</v>
          </cell>
          <cell r="C36">
            <v>11621400</v>
          </cell>
        </row>
        <row r="37">
          <cell r="B37">
            <v>9000000663001</v>
          </cell>
          <cell r="C37">
            <v>8078400</v>
          </cell>
        </row>
        <row r="38">
          <cell r="B38">
            <v>9000000695001</v>
          </cell>
          <cell r="C38">
            <v>4771200</v>
          </cell>
        </row>
        <row r="39">
          <cell r="B39">
            <v>9000000737001</v>
          </cell>
          <cell r="C39">
            <v>6864000</v>
          </cell>
        </row>
        <row r="40">
          <cell r="B40">
            <v>9000003017001</v>
          </cell>
          <cell r="C40">
            <v>1641600</v>
          </cell>
        </row>
        <row r="41">
          <cell r="B41">
            <v>9999999999999</v>
          </cell>
          <cell r="C41">
            <v>99999999999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forma - circ ref"/>
      <sheetName val="Proforma - avoid"/>
      <sheetName val="Proforma - Macro"/>
      <sheetName val="TV "/>
      <sheetName val="JV Standalone"/>
      <sheetName val="Interest"/>
    </sheetNames>
    <sheetDataSet>
      <sheetData sheetId="0" refreshError="1">
        <row r="8">
          <cell r="D8">
            <v>0.3</v>
          </cell>
          <cell r="E8">
            <v>0.3</v>
          </cell>
          <cell r="F8">
            <v>0.3</v>
          </cell>
          <cell r="G8">
            <v>0.3</v>
          </cell>
          <cell r="H8">
            <v>0.3</v>
          </cell>
        </row>
        <row r="10">
          <cell r="D10">
            <v>0.06</v>
          </cell>
          <cell r="E10">
            <v>0.06</v>
          </cell>
          <cell r="F10">
            <v>0.06</v>
          </cell>
          <cell r="G10">
            <v>0.06</v>
          </cell>
          <cell r="H10">
            <v>0.06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20.93M"/>
      <sheetName val="$2.4M"/>
      <sheetName val="$7.4M"/>
      <sheetName val="$7.2M"/>
      <sheetName val="$96M"/>
      <sheetName val="Sheet1"/>
      <sheetName val="186004-2002"/>
      <sheetName val="186004-2003"/>
      <sheetName val="186004-2004"/>
      <sheetName val="186004-2005"/>
      <sheetName val="186004-2006 "/>
      <sheetName val="Current TB Balances"/>
      <sheetName val="186004-2007"/>
      <sheetName val="186004-2009"/>
      <sheetName val="186004-2010"/>
      <sheetName val="Loss amortization tables"/>
      <sheetName val="Loss Input"/>
      <sheetName val="J019-0119"/>
      <sheetName val="Debt Exp Input"/>
      <sheetName val="Expense Amortization Tables"/>
      <sheetName val="J136-0110-1002"/>
      <sheetName val="J159-0110-0903"/>
      <sheetName val="J131-0110-1103"/>
      <sheetName val="J123-0110-1203"/>
      <sheetName val="J131-0110-1104"/>
      <sheetName val="J142-0110-1104 "/>
      <sheetName val="J127-0110-1204"/>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4">
          <cell r="J14" t="str">
            <v>J019-0119-0212</v>
          </cell>
        </row>
      </sheetData>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rpt"/>
      <sheetName val="data import"/>
      <sheetName val="2000"/>
      <sheetName val="1999"/>
      <sheetName val="1998"/>
      <sheetName val="1997"/>
      <sheetName val="1996"/>
      <sheetName val="1995"/>
      <sheetName val="1994"/>
      <sheetName val="1993"/>
      <sheetName val="1992"/>
      <sheetName val="2000 Budget"/>
      <sheetName val="99 Budget"/>
      <sheetName val="H"/>
      <sheetName val="Module1"/>
      <sheetName val="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s"/>
      <sheetName val="ToC"/>
      <sheetName val="Changes"/>
      <sheetName val="Budget - PY"/>
      <sheetName val="Year 1"/>
      <sheetName val="Year 2"/>
      <sheetName val="Year 3"/>
      <sheetName val="Annual Trend"/>
      <sheetName val="Plan vs Plan"/>
      <sheetName val="Labor Calculations --&gt;"/>
      <sheetName val="Ex - Y1"/>
      <sheetName val="Ex - Y2"/>
      <sheetName val="Ex - Y3"/>
      <sheetName val="NE - Y1"/>
      <sheetName val="NE - Y2"/>
      <sheetName val="NE - Y3"/>
      <sheetName val="PT - Y1"/>
      <sheetName val="PT - Y2"/>
      <sheetName val="PT - Y3"/>
      <sheetName val="Support --&gt;"/>
      <sheetName val="database"/>
      <sheetName val="CFO Detail"/>
      <sheetName val="CFO Total $s"/>
      <sheetName val="CFO #s"/>
      <sheetName val="Project Listing"/>
      <sheetName val="LOB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E Gross Margin-Inc.Stmt"/>
      <sheetName val="KU Gross Margin -Inc.Stmt"/>
      <sheetName val="Combined Gross Margin-Inc.Stmt"/>
      <sheetName val="LGE Retail Margin"/>
      <sheetName val="KU Retail Margin"/>
      <sheetName val="ODP Retail Margin"/>
      <sheetName val="Total KU Retail Margin"/>
      <sheetName val="Combined Retail Margin"/>
      <sheetName val="LGE OSS Margin"/>
      <sheetName val="KU OSS Margin"/>
      <sheetName val="Combined OSS Margin"/>
      <sheetName val="LGE Rev by Comp"/>
      <sheetName val="KU Rev by Comp"/>
      <sheetName val="Combined Rev by Comp"/>
      <sheetName val="LGE Cost of Sales"/>
      <sheetName val="KU Cost of Sales"/>
      <sheetName val="Combined Cost of Sales"/>
      <sheetName val="LGE Sales"/>
      <sheetName val="KU Sales"/>
      <sheetName val="ODP Sales"/>
      <sheetName val="Combined KU &amp; ODP Sales"/>
      <sheetName val="LGE Base Electric Revenues"/>
      <sheetName val="KU Base Electric Revenues"/>
      <sheetName val="ODP Base Electric Revenues"/>
      <sheetName val="Municipals Base Electric Revs"/>
      <sheetName val="Rate Case"/>
      <sheetName val="LGE Base Fuel &amp; FAC"/>
      <sheetName val="KU Base Fuel &amp; FAC"/>
      <sheetName val="LGE Other Electric-Gas Revenues"/>
      <sheetName val="KU Other Electric Revenues"/>
      <sheetName val="LG&amp;E ECR"/>
      <sheetName val="KU ECR"/>
      <sheetName val="LG&amp;E VDT"/>
      <sheetName val="KU VDT"/>
      <sheetName val="LG&amp;E DSM"/>
      <sheetName val="KU DSM "/>
      <sheetName val="Merger Surcredit"/>
      <sheetName val="LGE Misc Rev"/>
      <sheetName val="KU Misc Rev"/>
      <sheetName val="LGE Revenue Average Price"/>
      <sheetName val="KU Revenue Average Price "/>
      <sheetName val="LGE Require &amp; Source"/>
      <sheetName val="KU Require &amp; Source"/>
      <sheetName val="LGE Coal"/>
      <sheetName val="KU Coal "/>
      <sheetName val="LGE Gas Margin"/>
      <sheetName val="LGE Gas Revenue Summary"/>
      <sheetName val="LGE Base Gas Revenues"/>
      <sheetName val="LGE GSC Revenues"/>
      <sheetName val="Combined Balance Sheet"/>
      <sheetName val="LGE Electric Comparison"/>
      <sheetName val="KU Electric Comparison"/>
      <sheetName val="Combined Electric Comparison"/>
      <sheetName val="LGE Gas Comparison"/>
      <sheetName val="LGE Budget Inputs"/>
      <sheetName val="KU Budget Inputs"/>
      <sheetName val="ODP Budget Inputs"/>
      <sheetName val="LGE Budget Upload-2005"/>
      <sheetName val="KU Budget Upload-2005"/>
      <sheetName val="KU Revenue Accounting"/>
      <sheetName val="KU Summary of S&amp;R"/>
      <sheetName val="GM KPI 2006"/>
      <sheetName val="Annual_L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Review Checklist"/>
      <sheetName val="Trend Chart"/>
      <sheetName val="J098"/>
      <sheetName val="Calculations"/>
      <sheetName val="Inputs"/>
      <sheetName val="A216810396964DCDB399904ED81BA8E"/>
      <sheetName val="CM EiS Report"/>
      <sheetName val="Data"/>
      <sheetName val="Error Checks"/>
      <sheetName val="VersionHist"/>
      <sheetName val="Executive Summary"/>
    </sheetNames>
    <sheetDataSet>
      <sheetData sheetId="0">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BneLog"/>
      <sheetName val="Journal 1"/>
      <sheetName val="Journal Summary"/>
      <sheetName val="TC 2 Fuel and Reactant Costs"/>
      <sheetName val="LGE TC2 Costs"/>
      <sheetName val="Summary"/>
    </sheetNames>
    <sheetDataSet>
      <sheetData sheetId="0">
        <row r="1">
          <cell r="A1" t="str">
            <v>No</v>
          </cell>
        </row>
        <row r="2">
          <cell r="A2" t="str">
            <v>Yes</v>
          </cell>
        </row>
      </sheetData>
      <sheetData sheetId="1"/>
      <sheetData sheetId="2"/>
      <sheetData sheetId="3"/>
      <sheetData sheetId="4"/>
      <sheetData sheetId="5"/>
      <sheetData sheetId="6"/>
      <sheetData sheetId="7">
        <row r="5">
          <cell r="A5" t="str">
            <v>Category</v>
          </cell>
        </row>
      </sheetData>
      <sheetData sheetId="8">
        <row r="11">
          <cell r="K11">
            <v>68614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Graph Info"/>
      <sheetName val="Input"/>
      <sheetName val="NIACGRPH"/>
    </sheetNames>
    <definedNames>
      <definedName name="Printing"/>
    </defined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11">
          <cell r="K11">
            <v>13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5">
          <cell r="G5">
            <v>2004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ummary"/>
      <sheetName val="Tab 2 Internal Labor"/>
      <sheetName val="Tab 3 Residential Contractors"/>
      <sheetName val="Tab 4 All Other Nonlabor"/>
      <sheetName val="Tab 5 OS FH OCOS"/>
      <sheetName val="Tab 6 Gross Margin"/>
      <sheetName val="Tab 7 Capital investment"/>
      <sheetName val="Tab 8 Capital Removal"/>
      <sheetName val="Tab 9 Total Capital"/>
      <sheetName val="Tab 10 All Projects"/>
      <sheetName val="Nonlabor Data Dump"/>
      <sheetName val="Budget NL Dump"/>
      <sheetName val="Calendar Control"/>
      <sheetName val="Orgs"/>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80">
          <cell r="A180"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Indirect NEEDS UPDATING"/>
      <sheetName val="PP Data Dump NEEDS UPDATING"/>
      <sheetName val="Upload Detail NEEDS UPDATING"/>
      <sheetName val="Tab 1 Summary"/>
      <sheetName val="Tab 2 Internal Labor"/>
      <sheetName val="Tab 3 Residential Contractors"/>
      <sheetName val="Tab 4 All Other Nonlabor"/>
      <sheetName val="Tab 5 FH NL"/>
      <sheetName val="Tab 6 Gross Margin"/>
      <sheetName val="Tab 7 Capital investment"/>
      <sheetName val="Tab 8 Capital Removal"/>
      <sheetName val="Tab 9 Total Capital"/>
      <sheetName val="Tab 10 All Projects"/>
      <sheetName val="Act"/>
      <sheetName val="Fcst"/>
      <sheetName val="Bdgt"/>
      <sheetName val="Sheet1"/>
      <sheetName val="Calendar Control"/>
      <sheetName val="Orgs"/>
      <sheetName val="Macro1"/>
      <sheetName val="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V Voucher"/>
      <sheetName val="500CR p1"/>
      <sheetName val="500CR p2"/>
      <sheetName val="500CR p3"/>
      <sheetName val="500T"/>
      <sheetName val="500C"/>
      <sheetName val="500X p1"/>
      <sheetName val="500X p2"/>
      <sheetName val="4562 p1"/>
      <sheetName val="4562 p2"/>
      <sheetName val="Apport Wks"/>
      <sheetName val="Supp Sched"/>
      <sheetName val="Est Pay"/>
      <sheetName val="Route Sheet"/>
      <sheetName val="Info Page"/>
      <sheetName val="PR"/>
      <sheetName val="W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I7" t="b">
            <v>0</v>
          </cell>
        </row>
      </sheetData>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SEPT 06"/>
      <sheetName val="OCT 06"/>
      <sheetName val="Nov 06"/>
      <sheetName val="CODE"/>
      <sheetName val="Dec 06"/>
      <sheetName val="OCT NOV DEC 06 SUPP"/>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001"/>
      <sheetName val="184002"/>
      <sheetName val="184010"/>
      <sheetName val="184011"/>
      <sheetName val="184020"/>
      <sheetName val="184021"/>
      <sheetName val="184030"/>
      <sheetName val="184031"/>
      <sheetName val="184040"/>
      <sheetName val="184073"/>
      <sheetName val="184074"/>
      <sheetName val="184075"/>
      <sheetName val="184076"/>
      <sheetName val="184093"/>
      <sheetName val="184096"/>
      <sheetName val="184097"/>
      <sheetName val="184098"/>
      <sheetName val="184101"/>
      <sheetName val="184104"/>
      <sheetName val="184105"/>
      <sheetName val="184107"/>
      <sheetName val="184108"/>
      <sheetName val="184109"/>
      <sheetName val="184110"/>
      <sheetName val="184116"/>
      <sheetName val="184119"/>
      <sheetName val="184120"/>
      <sheetName val="184600"/>
      <sheetName val="184602"/>
      <sheetName val="184603"/>
      <sheetName val="184605"/>
      <sheetName val="184612"/>
      <sheetName val="A&amp;G"/>
      <sheetName val="Data"/>
      <sheetName val="Sick_Otr"/>
      <sheetName val="TIA"/>
      <sheetName val="Ins"/>
      <sheetName val="Pens"/>
      <sheetName val="LTD"/>
      <sheetName val="106"/>
      <sheetName val="112"/>
      <sheetName val="Hosp_Grp"/>
      <sheetName val="Dental"/>
      <sheetName val="401"/>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Locengr"/>
      <sheetName val="CODE"/>
      <sheetName val="Pay"/>
      <sheetName val="accts"/>
      <sheetName val="lge"/>
      <sheetName val="AP"/>
      <sheetName val="queries"/>
      <sheetName val="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131027"/>
      <sheetName val="Cash"/>
      <sheetName val="DAY 5 BALANCES"/>
      <sheetName val="BALANCE"/>
      <sheetName val="Main"/>
      <sheetName val="Misc"/>
      <sheetName val="25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Sch AB"/>
      <sheetName val="500 Sch AB p2"/>
      <sheetName val="500 V Voucher"/>
      <sheetName val="500CR p1"/>
      <sheetName val="500CR p2"/>
      <sheetName val="500CR p3"/>
      <sheetName val="500T"/>
      <sheetName val="500C"/>
      <sheetName val="500 EL"/>
      <sheetName val="500X p1"/>
      <sheetName val="500X p2"/>
      <sheetName val="Apport Wks"/>
      <sheetName val="Supp Sched"/>
      <sheetName val="Est Pay"/>
      <sheetName val="Route Sheet"/>
      <sheetName val="Info Page"/>
      <sheetName val="PR"/>
      <sheetName val="State Data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ow r="2">
          <cell r="E2" t="str">
            <v xml:space="preserve"> </v>
          </cell>
        </row>
        <row r="29">
          <cell r="E29" t="str">
            <v>Kentucky Utilities Company</v>
          </cell>
        </row>
        <row r="36">
          <cell r="E36" t="str">
            <v>61-0247570</v>
          </cell>
        </row>
      </sheetData>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LoadSummary"/>
      <sheetName val="LG&amp;E_Summary"/>
      <sheetName val="KU_Summary"/>
      <sheetName val="LG&amp;E_Billing"/>
      <sheetName val="KU_Billing"/>
      <sheetName val="VA_Billing"/>
      <sheetName val="Detail"/>
      <sheetName val="KU Loads (MWh)"/>
      <sheetName val="LG&amp;E Loads (MWh)"/>
      <sheetName val="LG&amp;E Loads (Mcf)"/>
      <sheetName val="Summary"/>
      <sheetName val="Inputs"/>
      <sheetName val="Notes"/>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ow r="4">
          <cell r="C4">
            <v>11</v>
          </cell>
        </row>
        <row r="5">
          <cell r="C5">
            <v>2015</v>
          </cell>
        </row>
      </sheetData>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Cash"/>
      <sheetName val="DAY 5 BALANCES"/>
      <sheetName val="BALANCE"/>
      <sheetName val="Main"/>
      <sheetName val="Misc"/>
      <sheetName val="25TH"/>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amp;M Data"/>
      <sheetName val="Other Data"/>
      <sheetName val="O&amp;M Cost Table"/>
      <sheetName val="Off-Duty"/>
      <sheetName val="Headcount"/>
      <sheetName val="Database"/>
      <sheetName val="Ex"/>
      <sheetName val="NE"/>
      <sheetName val="PT"/>
      <sheetName val="Training &amp; Travel"/>
      <sheetName val="Current MTP"/>
      <sheetName val="Target Calc--Previous MTP"/>
      <sheetName val="Target Calc--CY Target Adj"/>
      <sheetName val="Target Calc--Burden Rate"/>
      <sheetName val="Target Calc--Previous MTP (Adj)"/>
      <sheetName val="Variances"/>
      <sheetName val="Annual Trend"/>
      <sheetName val="Changes"/>
      <sheetName val="Policy Notes"/>
      <sheetName val="Allocation %s"/>
      <sheetName val="Allocations - LG&amp;E"/>
      <sheetName val="Allocations - KU"/>
      <sheetName val="Allocations - ECC"/>
      <sheetName val="Allocations - WKE"/>
      <sheetName val="000000 - 2010 M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7">
          <cell r="C7">
            <v>0</v>
          </cell>
        </row>
        <row r="8">
          <cell r="C8" t="str">
            <v>021000 - CEO</v>
          </cell>
        </row>
        <row r="9">
          <cell r="C9" t="str">
            <v>026050 - CFO</v>
          </cell>
        </row>
        <row r="10">
          <cell r="C10" t="str">
            <v xml:space="preserve">  - CFO - PwC Audits </v>
          </cell>
        </row>
        <row r="11">
          <cell r="C11" t="str">
            <v xml:space="preserve">  - CFO - Other Audits </v>
          </cell>
        </row>
        <row r="12">
          <cell r="C12" t="str">
            <v xml:space="preserve">026400 - Audit Services </v>
          </cell>
        </row>
        <row r="13">
          <cell r="C13" t="str">
            <v xml:space="preserve">026400A - IT &amp; Operational Audit </v>
          </cell>
        </row>
        <row r="14">
          <cell r="C14" t="str">
            <v xml:space="preserve">026400B - Financial &amp; Contract Audit </v>
          </cell>
        </row>
        <row r="15">
          <cell r="C15" t="str">
            <v>026330 - Treasurer</v>
          </cell>
        </row>
        <row r="16">
          <cell r="C16" t="str">
            <v>026075 - Trading Controls</v>
          </cell>
        </row>
        <row r="17">
          <cell r="C17" t="str">
            <v>026350 - Risk Management</v>
          </cell>
        </row>
        <row r="18">
          <cell r="C18" t="str">
            <v>026370 - Cash Management</v>
          </cell>
        </row>
        <row r="19">
          <cell r="C19" t="str">
            <v xml:space="preserve">026390 - Credit &amp; Contract Administration </v>
          </cell>
        </row>
        <row r="20">
          <cell r="C20" t="str">
            <v>026130 - Controller</v>
          </cell>
        </row>
        <row r="21">
          <cell r="C21" t="str">
            <v xml:space="preserve">026060 - Energy Marketing Accounting </v>
          </cell>
        </row>
        <row r="22">
          <cell r="C22" t="str">
            <v xml:space="preserve">026190 - Corporate Accounting </v>
          </cell>
        </row>
        <row r="23">
          <cell r="C23" t="str">
            <v>026135 - Utility Accounting &amp; Reporting</v>
          </cell>
        </row>
        <row r="24">
          <cell r="C24" t="str">
            <v>026080 - Revenue Accounting</v>
          </cell>
        </row>
        <row r="25">
          <cell r="C25" t="str">
            <v>026120 - Property Accounting</v>
          </cell>
        </row>
        <row r="26">
          <cell r="C26" t="str">
            <v>026150 - Financial Accounting &amp; Reporting</v>
          </cell>
        </row>
        <row r="27">
          <cell r="C27" t="str">
            <v>026160 - Regulatory Accounting &amp; Reporting</v>
          </cell>
        </row>
        <row r="28">
          <cell r="C28" t="str">
            <v xml:space="preserve">026045 - Corporate Tax </v>
          </cell>
        </row>
        <row r="29">
          <cell r="C29" t="str">
            <v>026045 - Tax Compliance</v>
          </cell>
        </row>
        <row r="30">
          <cell r="C30" t="str">
            <v>026045 - Tax Accounting</v>
          </cell>
        </row>
        <row r="31">
          <cell r="C31" t="str">
            <v>026310 - Payroll</v>
          </cell>
        </row>
        <row r="32">
          <cell r="C32" t="str">
            <v>026025 - Corporate Planning &amp; Development</v>
          </cell>
        </row>
        <row r="33">
          <cell r="C33" t="str">
            <v xml:space="preserve">026145 - Financial Analysis </v>
          </cell>
        </row>
        <row r="34">
          <cell r="C34" t="str">
            <v xml:space="preserve">029250 - Corporate Development </v>
          </cell>
        </row>
        <row r="35">
          <cell r="C35" t="str">
            <v>026020 - Financial Planning &amp; Controlling</v>
          </cell>
        </row>
        <row r="36">
          <cell r="C36" t="str">
            <v xml:space="preserve">026110 - Financial Systems (Oracle Business Support) </v>
          </cell>
        </row>
        <row r="37">
          <cell r="C37" t="str">
            <v xml:space="preserve">026140 - Financial Planning </v>
          </cell>
        </row>
        <row r="38">
          <cell r="C38" t="str">
            <v>025410 - Supply Chain</v>
          </cell>
        </row>
        <row r="39">
          <cell r="C39" t="str">
            <v xml:space="preserve">025410 - Supply Chain (Stores Allocation) </v>
          </cell>
        </row>
        <row r="40">
          <cell r="C40" t="str">
            <v xml:space="preserve">015324 - Materials Logistics : Stores (Lexington Area) </v>
          </cell>
        </row>
      </sheetData>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Invoice"/>
      <sheetName val="INVOICE"/>
    </sheetNames>
    <sheetDataSet>
      <sheetData sheetId="0" refreshError="1">
        <row r="15">
          <cell r="E15" t="str">
            <v>KY</v>
          </cell>
        </row>
        <row r="28">
          <cell r="D28" t="b">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32"/>
  <sheetViews>
    <sheetView showGridLines="0" zoomScaleNormal="100" workbookViewId="0">
      <pane ySplit="3" topLeftCell="A4" activePane="bottomLeft" state="frozen"/>
      <selection pane="bottomLeft" activeCell="A4" sqref="A4"/>
    </sheetView>
  </sheetViews>
  <sheetFormatPr defaultColWidth="9.296875" defaultRowHeight="13" x14ac:dyDescent="0.3"/>
  <cols>
    <col min="1" max="1" width="3.09765625" style="497" customWidth="1"/>
    <col min="2" max="2" width="2" style="498" customWidth="1"/>
    <col min="3" max="3" width="6.69921875" style="498" customWidth="1"/>
    <col min="4" max="4" width="50.69921875" style="498" customWidth="1"/>
    <col min="5" max="5" width="2.69921875" style="498" customWidth="1"/>
    <col min="6" max="6" width="21.69921875" style="498" customWidth="1"/>
    <col min="7" max="7" width="2.69921875" style="498" customWidth="1"/>
    <col min="8" max="8" width="17.69921875" style="498" customWidth="1"/>
    <col min="9" max="9" width="19.69921875" style="498" customWidth="1"/>
    <col min="10" max="10" width="2" style="498" customWidth="1"/>
    <col min="11" max="11" width="4.296875" style="497" customWidth="1"/>
    <col min="12" max="12" width="9.296875" style="496"/>
    <col min="13" max="13" width="12.69921875" style="496" bestFit="1" customWidth="1"/>
    <col min="14" max="16384" width="9.296875" style="496"/>
  </cols>
  <sheetData>
    <row r="1" spans="1:11" ht="18.5" x14ac:dyDescent="0.45">
      <c r="A1" s="496"/>
      <c r="B1" s="528" t="s">
        <v>980</v>
      </c>
      <c r="C1" s="527"/>
      <c r="D1" s="496"/>
      <c r="E1" s="496"/>
      <c r="F1" s="496"/>
      <c r="G1" s="496"/>
      <c r="H1" s="496"/>
      <c r="I1" s="496"/>
      <c r="J1" s="496"/>
      <c r="K1" s="496"/>
    </row>
    <row r="2" spans="1:11" ht="15.5" x14ac:dyDescent="0.35">
      <c r="A2" s="496"/>
      <c r="B2" s="526" t="s">
        <v>963</v>
      </c>
      <c r="C2" s="526"/>
      <c r="D2" s="526"/>
      <c r="E2" s="496"/>
      <c r="F2" s="496"/>
      <c r="G2" s="496"/>
      <c r="H2" s="496"/>
      <c r="I2" s="496"/>
      <c r="J2" s="496"/>
      <c r="K2" s="496"/>
    </row>
    <row r="3" spans="1:11" ht="15.5" x14ac:dyDescent="0.35">
      <c r="A3" s="496"/>
      <c r="B3" s="636">
        <f>'OATT Input Data'!B4</f>
        <v>43830</v>
      </c>
      <c r="C3" s="636"/>
      <c r="D3" s="636"/>
      <c r="E3" s="496"/>
      <c r="F3" s="496"/>
      <c r="G3" s="496"/>
      <c r="H3" s="496"/>
      <c r="I3" s="496"/>
      <c r="J3" s="496"/>
      <c r="K3" s="496"/>
    </row>
    <row r="4" spans="1:11" s="508" customFormat="1" ht="13.5" thickBot="1" x14ac:dyDescent="0.35">
      <c r="A4" s="497"/>
      <c r="B4" s="497"/>
      <c r="C4" s="497"/>
      <c r="D4" s="497"/>
      <c r="E4" s="497"/>
      <c r="F4" s="497"/>
      <c r="G4" s="497"/>
      <c r="H4" s="497"/>
      <c r="I4" s="497"/>
      <c r="J4" s="509"/>
      <c r="K4" s="509"/>
    </row>
    <row r="5" spans="1:11" ht="13.5" thickBot="1" x14ac:dyDescent="0.35">
      <c r="B5" s="525" t="str">
        <f>"Disclosures Related to Transmission Formula Rate Update for 12 Months Ended "&amp;TEXT($B$3,"Mmmm d, yyyy")</f>
        <v>Disclosures Related to Transmission Formula Rate Update for 12 Months Ended December 31, 2019</v>
      </c>
      <c r="C5" s="524"/>
      <c r="D5" s="524"/>
      <c r="E5" s="523"/>
      <c r="F5" s="523"/>
      <c r="G5" s="523"/>
      <c r="H5" s="523"/>
      <c r="I5" s="523"/>
      <c r="J5" s="522"/>
      <c r="K5" s="509"/>
    </row>
    <row r="6" spans="1:11" ht="6" customHeight="1" x14ac:dyDescent="0.3">
      <c r="B6" s="521"/>
      <c r="C6" s="520"/>
      <c r="D6" s="520"/>
      <c r="E6" s="520"/>
      <c r="F6" s="520"/>
      <c r="G6" s="520"/>
      <c r="H6" s="520"/>
      <c r="I6" s="520"/>
      <c r="J6" s="519"/>
      <c r="K6" s="509"/>
    </row>
    <row r="7" spans="1:11" x14ac:dyDescent="0.3">
      <c r="B7" s="507"/>
      <c r="C7" s="515" t="s">
        <v>955</v>
      </c>
      <c r="D7" s="515"/>
      <c r="E7" s="515"/>
      <c r="F7" s="518"/>
      <c r="G7" s="515"/>
      <c r="H7" s="515"/>
      <c r="I7" s="515"/>
      <c r="J7" s="502"/>
      <c r="K7" s="509"/>
    </row>
    <row r="8" spans="1:11" ht="6" customHeight="1" x14ac:dyDescent="0.3">
      <c r="B8" s="507"/>
      <c r="C8" s="515"/>
      <c r="D8" s="515"/>
      <c r="E8" s="515"/>
      <c r="F8" s="513"/>
      <c r="G8" s="515"/>
      <c r="H8" s="515"/>
      <c r="I8" s="515"/>
      <c r="J8" s="502"/>
      <c r="K8" s="509"/>
    </row>
    <row r="9" spans="1:11" ht="11.15" customHeight="1" x14ac:dyDescent="0.3">
      <c r="B9" s="507"/>
      <c r="C9" s="515"/>
      <c r="D9" s="515"/>
      <c r="E9" s="515"/>
      <c r="F9" s="637" t="s">
        <v>1147</v>
      </c>
      <c r="G9" s="515"/>
      <c r="H9" s="637" t="str">
        <f>"Resulted in Increase (Decrease) to 2019 Rates"</f>
        <v>Resulted in Increase (Decrease) to 2019 Rates</v>
      </c>
      <c r="I9" s="637"/>
      <c r="J9" s="502"/>
      <c r="K9" s="509"/>
    </row>
    <row r="10" spans="1:11" ht="11.15" customHeight="1" x14ac:dyDescent="0.3">
      <c r="B10" s="507"/>
      <c r="C10" s="515"/>
      <c r="D10" s="515"/>
      <c r="E10" s="515"/>
      <c r="F10" s="637"/>
      <c r="G10" s="515"/>
      <c r="H10" s="637"/>
      <c r="I10" s="637"/>
      <c r="J10" s="502"/>
      <c r="K10" s="509"/>
    </row>
    <row r="11" spans="1:11" ht="11.15" customHeight="1" x14ac:dyDescent="0.3">
      <c r="B11" s="507"/>
      <c r="C11" s="515"/>
      <c r="D11" s="515"/>
      <c r="E11" s="515"/>
      <c r="F11" s="637"/>
      <c r="G11" s="515"/>
      <c r="H11" s="637"/>
      <c r="I11" s="637"/>
      <c r="J11" s="502"/>
      <c r="K11" s="509"/>
    </row>
    <row r="12" spans="1:11" ht="15" customHeight="1" x14ac:dyDescent="0.45">
      <c r="B12" s="507"/>
      <c r="C12" s="515"/>
      <c r="D12" s="517" t="s">
        <v>867</v>
      </c>
      <c r="E12" s="515"/>
      <c r="F12" s="637"/>
      <c r="G12" s="515"/>
      <c r="H12" s="637"/>
      <c r="I12" s="637"/>
      <c r="J12" s="502"/>
      <c r="K12" s="509"/>
    </row>
    <row r="13" spans="1:11" ht="29" x14ac:dyDescent="0.45">
      <c r="B13" s="507"/>
      <c r="C13" s="510" t="s">
        <v>956</v>
      </c>
      <c r="D13" s="516"/>
      <c r="E13" s="515"/>
      <c r="F13" s="513"/>
      <c r="G13" s="515"/>
      <c r="H13" s="512" t="s">
        <v>964</v>
      </c>
      <c r="I13" s="512" t="s">
        <v>965</v>
      </c>
      <c r="J13" s="502"/>
      <c r="K13" s="509"/>
    </row>
    <row r="14" spans="1:11" ht="13.65" customHeight="1" thickBot="1" x14ac:dyDescent="0.35">
      <c r="B14" s="507"/>
      <c r="C14" s="514" t="s">
        <v>957</v>
      </c>
      <c r="D14" s="505" t="s">
        <v>1142</v>
      </c>
      <c r="E14" s="504"/>
      <c r="F14" s="494">
        <v>12419.19</v>
      </c>
      <c r="G14" s="504"/>
      <c r="H14" s="495">
        <v>0</v>
      </c>
      <c r="I14" s="495">
        <v>0</v>
      </c>
      <c r="J14" s="502"/>
      <c r="K14" s="511"/>
    </row>
    <row r="15" spans="1:11" ht="13.65" customHeight="1" thickBot="1" x14ac:dyDescent="0.35">
      <c r="B15" s="507"/>
      <c r="C15" s="514" t="s">
        <v>958</v>
      </c>
      <c r="D15" s="505" t="s">
        <v>1141</v>
      </c>
      <c r="E15" s="504"/>
      <c r="F15" s="494">
        <v>138745.32999999999</v>
      </c>
      <c r="G15" s="504"/>
      <c r="H15" s="495">
        <v>2E-3</v>
      </c>
      <c r="I15" s="495">
        <v>1E-3</v>
      </c>
      <c r="J15" s="502"/>
      <c r="K15" s="511"/>
    </row>
    <row r="16" spans="1:11" ht="15.75" customHeight="1" thickBot="1" x14ac:dyDescent="0.35">
      <c r="B16" s="507"/>
      <c r="C16" s="514" t="s">
        <v>1006</v>
      </c>
      <c r="D16" s="505" t="s">
        <v>1143</v>
      </c>
      <c r="E16" s="504"/>
      <c r="F16" s="494">
        <v>1734.74</v>
      </c>
      <c r="G16" s="504"/>
      <c r="H16" s="495">
        <v>0</v>
      </c>
      <c r="I16" s="495">
        <v>0</v>
      </c>
      <c r="J16" s="502"/>
      <c r="K16" s="511"/>
    </row>
    <row r="17" spans="1:11" ht="15.75" customHeight="1" thickBot="1" x14ac:dyDescent="0.35">
      <c r="B17" s="507"/>
      <c r="C17" s="514" t="s">
        <v>959</v>
      </c>
      <c r="D17" s="505" t="s">
        <v>1144</v>
      </c>
      <c r="E17" s="504"/>
      <c r="F17" s="494">
        <v>-90260.08</v>
      </c>
      <c r="G17" s="504"/>
      <c r="H17" s="495">
        <v>-1E-3</v>
      </c>
      <c r="I17" s="495">
        <v>-1E-3</v>
      </c>
      <c r="J17" s="502"/>
      <c r="K17" s="511"/>
    </row>
    <row r="18" spans="1:11" ht="15.75" customHeight="1" thickBot="1" x14ac:dyDescent="0.35">
      <c r="B18" s="507"/>
      <c r="C18" s="514" t="s">
        <v>960</v>
      </c>
      <c r="D18" s="505" t="s">
        <v>1140</v>
      </c>
      <c r="E18" s="504"/>
      <c r="F18" s="494">
        <v>49943.93</v>
      </c>
      <c r="G18" s="504"/>
      <c r="H18" s="495">
        <v>1E-3</v>
      </c>
      <c r="I18" s="495">
        <v>0</v>
      </c>
      <c r="J18" s="502"/>
      <c r="K18" s="511"/>
    </row>
    <row r="19" spans="1:11" ht="15.75" customHeight="1" thickBot="1" x14ac:dyDescent="0.35">
      <c r="B19" s="507"/>
      <c r="C19" s="514" t="s">
        <v>981</v>
      </c>
      <c r="D19" s="505" t="s">
        <v>1145</v>
      </c>
      <c r="E19" s="504"/>
      <c r="F19" s="494">
        <v>1821.06</v>
      </c>
      <c r="G19" s="504"/>
      <c r="H19" s="495">
        <v>0</v>
      </c>
      <c r="I19" s="495">
        <v>0</v>
      </c>
      <c r="J19" s="502"/>
      <c r="K19" s="511"/>
    </row>
    <row r="20" spans="1:11" ht="15" customHeight="1" thickBot="1" x14ac:dyDescent="0.35">
      <c r="B20" s="507"/>
      <c r="C20" s="514" t="s">
        <v>982</v>
      </c>
      <c r="D20" s="505" t="s">
        <v>1151</v>
      </c>
      <c r="E20" s="504"/>
      <c r="F20" s="494">
        <v>-5689.81</v>
      </c>
      <c r="G20" s="504"/>
      <c r="H20" s="495">
        <v>0</v>
      </c>
      <c r="I20" s="495">
        <v>0</v>
      </c>
      <c r="J20" s="502"/>
      <c r="K20" s="511"/>
    </row>
    <row r="21" spans="1:11" ht="13.5" thickBot="1" x14ac:dyDescent="0.35">
      <c r="B21" s="507"/>
      <c r="C21" s="514" t="s">
        <v>983</v>
      </c>
      <c r="D21" s="505" t="s">
        <v>1146</v>
      </c>
      <c r="E21" s="504"/>
      <c r="F21" s="494">
        <v>84.7</v>
      </c>
      <c r="G21" s="504"/>
      <c r="H21" s="495">
        <v>0</v>
      </c>
      <c r="I21" s="495">
        <v>0</v>
      </c>
      <c r="J21" s="502"/>
      <c r="K21" s="511"/>
    </row>
    <row r="22" spans="1:11" ht="26.5" thickBot="1" x14ac:dyDescent="0.35">
      <c r="B22" s="507"/>
      <c r="C22" s="514" t="s">
        <v>984</v>
      </c>
      <c r="D22" s="505" t="s">
        <v>1150</v>
      </c>
      <c r="E22" s="504"/>
      <c r="F22" s="494">
        <v>-556.63</v>
      </c>
      <c r="G22" s="504"/>
      <c r="H22" s="495">
        <v>0</v>
      </c>
      <c r="I22" s="495">
        <v>0</v>
      </c>
      <c r="J22" s="502"/>
      <c r="K22" s="511"/>
    </row>
    <row r="23" spans="1:11" ht="13.5" hidden="1" thickBot="1" x14ac:dyDescent="0.35">
      <c r="B23" s="507"/>
      <c r="C23" s="514" t="s">
        <v>989</v>
      </c>
      <c r="D23" s="505"/>
      <c r="E23" s="504"/>
      <c r="F23" s="494">
        <v>0</v>
      </c>
      <c r="G23" s="504"/>
      <c r="H23" s="495">
        <v>0</v>
      </c>
      <c r="I23" s="495">
        <v>0</v>
      </c>
      <c r="J23" s="502"/>
      <c r="K23" s="511"/>
    </row>
    <row r="24" spans="1:11" ht="13.5" hidden="1" thickBot="1" x14ac:dyDescent="0.35">
      <c r="B24" s="507"/>
      <c r="C24" s="514" t="s">
        <v>988</v>
      </c>
      <c r="D24" s="505"/>
      <c r="E24" s="504"/>
      <c r="F24" s="494">
        <v>0</v>
      </c>
      <c r="G24" s="504"/>
      <c r="H24" s="495">
        <v>0</v>
      </c>
      <c r="I24" s="495">
        <v>0</v>
      </c>
      <c r="J24" s="502"/>
      <c r="K24" s="511"/>
    </row>
    <row r="25" spans="1:11" ht="15.75" customHeight="1" x14ac:dyDescent="0.3">
      <c r="B25" s="507"/>
      <c r="C25" s="506"/>
      <c r="D25" s="505"/>
      <c r="E25" s="504"/>
      <c r="F25" s="504"/>
      <c r="G25" s="504"/>
      <c r="H25" s="504"/>
      <c r="I25" s="504"/>
      <c r="J25" s="502"/>
      <c r="K25" s="511"/>
    </row>
    <row r="26" spans="1:11" ht="29" x14ac:dyDescent="0.45">
      <c r="B26" s="507"/>
      <c r="C26" s="510"/>
      <c r="D26" s="505"/>
      <c r="E26" s="504"/>
      <c r="F26" s="512" t="s">
        <v>1148</v>
      </c>
      <c r="G26" s="504"/>
      <c r="H26" s="637" t="s">
        <v>1149</v>
      </c>
      <c r="I26" s="637"/>
      <c r="J26" s="502"/>
      <c r="K26" s="511"/>
    </row>
    <row r="27" spans="1:11" ht="15.75" customHeight="1" x14ac:dyDescent="0.45">
      <c r="B27" s="507"/>
      <c r="C27" s="510" t="s">
        <v>961</v>
      </c>
      <c r="D27" s="505"/>
      <c r="E27" s="504"/>
      <c r="F27" s="513"/>
      <c r="G27" s="504"/>
      <c r="H27" s="512" t="str">
        <f>H13</f>
        <v>NITS Monthly Rate ($/kW)</v>
      </c>
      <c r="I27" s="512" t="str">
        <f>I13</f>
        <v>PTP Monthly Rate ($/kW)</v>
      </c>
      <c r="J27" s="502"/>
      <c r="K27" s="511"/>
    </row>
    <row r="28" spans="1:11" ht="14.75" customHeight="1" thickBot="1" x14ac:dyDescent="0.35">
      <c r="B28" s="507"/>
      <c r="C28" s="510"/>
      <c r="D28" s="505" t="s">
        <v>962</v>
      </c>
      <c r="E28" s="504"/>
      <c r="F28" s="483">
        <v>184100378</v>
      </c>
      <c r="G28" s="504"/>
      <c r="H28" s="484">
        <v>2.2827500000000001</v>
      </c>
      <c r="I28" s="484">
        <v>2.2730000000000001</v>
      </c>
      <c r="J28" s="502"/>
      <c r="K28" s="509"/>
    </row>
    <row r="29" spans="1:11" s="508" customFormat="1" ht="15" thickBot="1" x14ac:dyDescent="0.35">
      <c r="A29" s="497"/>
      <c r="B29" s="507"/>
      <c r="C29" s="506"/>
      <c r="D29" s="505" t="s">
        <v>991</v>
      </c>
      <c r="E29" s="504"/>
      <c r="F29" s="485">
        <f>SUM(F$14:F$25)</f>
        <v>108242.42999999998</v>
      </c>
      <c r="G29" s="503"/>
      <c r="H29" s="486">
        <v>2E-3</v>
      </c>
      <c r="I29" s="486">
        <v>1E-3</v>
      </c>
      <c r="J29" s="502"/>
      <c r="K29" s="509"/>
    </row>
    <row r="30" spans="1:11" ht="15" thickBot="1" x14ac:dyDescent="0.35">
      <c r="B30" s="507"/>
      <c r="C30" s="506"/>
      <c r="D30" s="505" t="s">
        <v>990</v>
      </c>
      <c r="E30" s="504"/>
      <c r="F30" s="487">
        <f>+F28-F29</f>
        <v>183992135.56999999</v>
      </c>
      <c r="G30" s="503"/>
      <c r="H30" s="529">
        <f>+H28-H29</f>
        <v>2.2807500000000003</v>
      </c>
      <c r="I30" s="529">
        <f>+I28-I29</f>
        <v>2.2720000000000002</v>
      </c>
      <c r="J30" s="502"/>
    </row>
    <row r="31" spans="1:11" ht="8.25" customHeight="1" thickBot="1" x14ac:dyDescent="0.35">
      <c r="B31" s="501"/>
      <c r="C31" s="500"/>
      <c r="D31" s="500"/>
      <c r="E31" s="500"/>
      <c r="F31" s="500"/>
      <c r="G31" s="500"/>
      <c r="H31" s="500"/>
      <c r="I31" s="500"/>
      <c r="J31" s="499"/>
    </row>
    <row r="32" spans="1:11" x14ac:dyDescent="0.3">
      <c r="C32" s="530" t="s">
        <v>992</v>
      </c>
    </row>
  </sheetData>
  <mergeCells count="4">
    <mergeCell ref="B3:D3"/>
    <mergeCell ref="F9:F12"/>
    <mergeCell ref="H26:I26"/>
    <mergeCell ref="H9:I12"/>
  </mergeCells>
  <conditionalFormatting sqref="H23:I24 F23:F24 F14:F21 H14:I21">
    <cfRule type="cellIs" dxfId="17" priority="19" operator="equal">
      <formula>"Yes"</formula>
    </cfRule>
    <cfRule type="cellIs" dxfId="16" priority="20" operator="equal">
      <formula>"No"</formula>
    </cfRule>
  </conditionalFormatting>
  <conditionalFormatting sqref="F30">
    <cfRule type="cellIs" dxfId="15" priority="17" operator="equal">
      <formula>"Yes"</formula>
    </cfRule>
    <cfRule type="cellIs" dxfId="14" priority="18" operator="equal">
      <formula>"No"</formula>
    </cfRule>
  </conditionalFormatting>
  <conditionalFormatting sqref="H29:I29">
    <cfRule type="cellIs" dxfId="13" priority="15" operator="equal">
      <formula>"Yes"</formula>
    </cfRule>
    <cfRule type="cellIs" dxfId="12" priority="16" operator="equal">
      <formula>"No"</formula>
    </cfRule>
  </conditionalFormatting>
  <conditionalFormatting sqref="F28">
    <cfRule type="cellIs" dxfId="11" priority="13" operator="equal">
      <formula>"Yes"</formula>
    </cfRule>
    <cfRule type="cellIs" dxfId="10" priority="14" operator="equal">
      <formula>"No"</formula>
    </cfRule>
  </conditionalFormatting>
  <conditionalFormatting sqref="H28:I28">
    <cfRule type="cellIs" dxfId="9" priority="11" operator="equal">
      <formula>"Yes"</formula>
    </cfRule>
    <cfRule type="cellIs" dxfId="8" priority="12" operator="equal">
      <formula>"No"</formula>
    </cfRule>
  </conditionalFormatting>
  <conditionalFormatting sqref="F29">
    <cfRule type="cellIs" dxfId="7" priority="9" operator="equal">
      <formula>"Yes"</formula>
    </cfRule>
    <cfRule type="cellIs" dxfId="6" priority="10" operator="equal">
      <formula>"No"</formula>
    </cfRule>
  </conditionalFormatting>
  <conditionalFormatting sqref="H22:I22 F22">
    <cfRule type="cellIs" dxfId="5" priority="5" operator="equal">
      <formula>"Yes"</formula>
    </cfRule>
    <cfRule type="cellIs" dxfId="4" priority="6" operator="equal">
      <formula>"No"</formula>
    </cfRule>
  </conditionalFormatting>
  <conditionalFormatting sqref="H30">
    <cfRule type="cellIs" dxfId="3" priority="3" operator="equal">
      <formula>"Yes"</formula>
    </cfRule>
    <cfRule type="cellIs" dxfId="2" priority="4" operator="equal">
      <formula>"No"</formula>
    </cfRule>
  </conditionalFormatting>
  <conditionalFormatting sqref="I30">
    <cfRule type="cellIs" dxfId="1" priority="1" operator="equal">
      <formula>"Yes"</formula>
    </cfRule>
    <cfRule type="cellIs" dxfId="0" priority="2" operator="equal">
      <formula>"No"</formula>
    </cfRule>
  </conditionalFormatting>
  <pageMargins left="0.7" right="0.7" top="0.75" bottom="0.75" header="0.3" footer="0.3"/>
  <pageSetup orientation="landscape" r:id="rId1"/>
  <headerFooter>
    <oddFooter>&amp;L&amp;"Arial Narrow,Regular"&amp;Z&amp;F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AQ575"/>
  <sheetViews>
    <sheetView workbookViewId="0"/>
  </sheetViews>
  <sheetFormatPr defaultColWidth="9.296875" defaultRowHeight="15.5" x14ac:dyDescent="0.35"/>
  <cols>
    <col min="1" max="1" width="9" style="1" customWidth="1"/>
    <col min="2" max="2" width="2.09765625" style="1" customWidth="1"/>
    <col min="3" max="3" width="75.3984375" style="1" bestFit="1" customWidth="1"/>
    <col min="4" max="4" width="31.09765625" style="1" customWidth="1"/>
    <col min="5" max="5" width="24.09765625" style="1" customWidth="1"/>
    <col min="6" max="6" width="15" style="1" customWidth="1"/>
    <col min="7" max="7" width="20.69921875" style="1" customWidth="1"/>
    <col min="8" max="8" width="18.3984375" style="1" customWidth="1"/>
    <col min="9" max="9" width="8.69921875" style="1" customWidth="1"/>
    <col min="10" max="10" width="23" style="1" customWidth="1"/>
    <col min="11" max="11" width="9.296875" style="1" customWidth="1"/>
    <col min="12" max="12" width="11.69921875" style="1" customWidth="1"/>
    <col min="13" max="13" width="2.69921875" style="1" customWidth="1"/>
    <col min="14" max="14" width="41" style="30" customWidth="1"/>
    <col min="15" max="15" width="48.69921875" style="30" customWidth="1"/>
    <col min="16" max="16" width="23.3984375" style="30" customWidth="1"/>
    <col min="17" max="17" width="20.3984375" style="30" customWidth="1"/>
    <col min="18" max="18" width="20.69921875" style="30" customWidth="1"/>
    <col min="19" max="19" width="23.69921875" style="30" bestFit="1" customWidth="1"/>
    <col min="20" max="20" width="22.09765625" style="30" bestFit="1" customWidth="1"/>
    <col min="21" max="21" width="23" style="30" bestFit="1" customWidth="1"/>
    <col min="22" max="22" width="19.69921875" style="30" customWidth="1"/>
    <col min="23" max="23" width="20.296875" style="30" customWidth="1"/>
    <col min="24" max="24" width="23.3984375" style="30" bestFit="1" customWidth="1"/>
    <col min="25" max="25" width="21.69921875" style="30" bestFit="1" customWidth="1"/>
    <col min="26" max="26" width="16.09765625" style="30" customWidth="1"/>
    <col min="27" max="28" width="23.3984375" style="30" bestFit="1" customWidth="1"/>
    <col min="29" max="29" width="21.296875" style="30" bestFit="1" customWidth="1"/>
    <col min="30" max="30" width="23.3984375" style="30" bestFit="1" customWidth="1"/>
    <col min="31" max="31" width="21.296875" style="30" bestFit="1" customWidth="1"/>
    <col min="32" max="32" width="20.69921875" style="30" bestFit="1" customWidth="1"/>
    <col min="33" max="43" width="9.296875" style="30"/>
    <col min="44" max="16384" width="9.296875" style="1"/>
  </cols>
  <sheetData>
    <row r="1" spans="1:32" s="1" customFormat="1" x14ac:dyDescent="0.35">
      <c r="A1" s="167" t="s">
        <v>185</v>
      </c>
      <c r="B1" s="168"/>
      <c r="C1" s="169"/>
      <c r="D1" s="169"/>
      <c r="E1" s="169"/>
      <c r="F1" s="169"/>
      <c r="G1" s="169"/>
      <c r="H1" s="169"/>
      <c r="I1" s="169"/>
      <c r="J1" s="169"/>
      <c r="K1" s="2"/>
      <c r="L1" s="2"/>
      <c r="M1" s="166"/>
      <c r="N1" s="20"/>
      <c r="O1" s="35"/>
      <c r="P1" s="36"/>
      <c r="Q1" s="30"/>
      <c r="R1" s="30"/>
      <c r="S1" s="30"/>
      <c r="T1" s="30"/>
      <c r="U1" s="30"/>
      <c r="V1" s="30"/>
      <c r="W1" s="30"/>
      <c r="X1" s="30"/>
      <c r="Y1" s="30"/>
      <c r="Z1" s="30"/>
      <c r="AA1" s="30"/>
      <c r="AB1" s="30"/>
      <c r="AC1" s="30"/>
      <c r="AD1" s="30"/>
      <c r="AE1" s="30"/>
      <c r="AF1" s="30"/>
    </row>
    <row r="2" spans="1:32" s="1" customFormat="1" x14ac:dyDescent="0.35">
      <c r="A2" s="167" t="s">
        <v>249</v>
      </c>
      <c r="B2" s="168"/>
      <c r="C2" s="169"/>
      <c r="D2" s="169"/>
      <c r="E2" s="169"/>
      <c r="F2" s="169"/>
      <c r="G2" s="169"/>
      <c r="H2" s="169"/>
      <c r="I2" s="169"/>
      <c r="J2" s="169"/>
      <c r="K2" s="2"/>
      <c r="L2" s="2"/>
      <c r="M2" s="166"/>
      <c r="N2" s="20"/>
      <c r="O2" s="20"/>
      <c r="P2" s="37"/>
      <c r="Q2" s="30"/>
      <c r="R2" s="30"/>
      <c r="S2" s="30"/>
      <c r="T2" s="30"/>
      <c r="U2" s="30"/>
      <c r="V2" s="30"/>
      <c r="W2" s="30"/>
      <c r="X2" s="30"/>
      <c r="Y2" s="30"/>
      <c r="Z2" s="30"/>
      <c r="AA2" s="30"/>
      <c r="AB2" s="30"/>
      <c r="AC2" s="30"/>
      <c r="AD2" s="30"/>
      <c r="AE2" s="30"/>
      <c r="AF2" s="30"/>
    </row>
    <row r="3" spans="1:32" s="1" customFormat="1" x14ac:dyDescent="0.35">
      <c r="C3" s="6"/>
      <c r="D3" s="2"/>
      <c r="E3" s="3"/>
      <c r="F3" s="2"/>
      <c r="G3" s="2"/>
      <c r="H3" s="2"/>
      <c r="I3" s="4"/>
      <c r="J3" s="4"/>
      <c r="K3" s="4"/>
      <c r="L3" s="4"/>
      <c r="M3" s="4"/>
      <c r="N3" s="20"/>
      <c r="O3" s="20"/>
      <c r="P3" s="37"/>
      <c r="Q3" s="30"/>
      <c r="R3" s="30"/>
      <c r="S3" s="30"/>
      <c r="T3" s="30"/>
      <c r="U3" s="30"/>
      <c r="V3" s="30"/>
      <c r="W3" s="30"/>
      <c r="X3" s="30"/>
      <c r="Y3" s="30"/>
      <c r="Z3" s="30"/>
      <c r="AA3" s="30"/>
      <c r="AB3" s="30"/>
      <c r="AC3" s="30"/>
      <c r="AD3" s="30"/>
      <c r="AE3" s="30"/>
      <c r="AF3" s="30"/>
    </row>
    <row r="4" spans="1:32" s="1" customFormat="1" x14ac:dyDescent="0.35">
      <c r="A4" s="1" t="s">
        <v>186</v>
      </c>
      <c r="C4" s="2"/>
      <c r="D4" s="2"/>
      <c r="E4" s="7"/>
      <c r="F4" s="2"/>
      <c r="G4" s="2"/>
      <c r="H4" s="2"/>
      <c r="I4" s="4"/>
      <c r="J4" s="181" t="str">
        <f>"For the 12 months ended "&amp;TEXT('OATT Input Data'!B4,"MM/DD/YYYY")</f>
        <v>For the 12 months ended 12/31/2019</v>
      </c>
      <c r="K4" s="4"/>
      <c r="L4" s="4"/>
      <c r="M4" s="4"/>
      <c r="N4" s="20"/>
      <c r="O4" s="20"/>
      <c r="P4" s="20"/>
      <c r="Q4" s="30"/>
      <c r="R4" s="30"/>
      <c r="S4" s="30"/>
      <c r="T4" s="30"/>
      <c r="U4" s="30"/>
      <c r="V4" s="30"/>
      <c r="W4" s="30"/>
      <c r="X4" s="30"/>
      <c r="Y4" s="30"/>
      <c r="Z4" s="30"/>
      <c r="AA4" s="30"/>
      <c r="AB4" s="30"/>
      <c r="AC4" s="30"/>
      <c r="AD4" s="30"/>
      <c r="AE4" s="30"/>
      <c r="AF4" s="30"/>
    </row>
    <row r="5" spans="1:32" s="1" customFormat="1" x14ac:dyDescent="0.35">
      <c r="A5" s="182" t="s">
        <v>187</v>
      </c>
      <c r="C5" s="2"/>
      <c r="F5" s="8"/>
      <c r="G5" s="8"/>
      <c r="H5" s="8"/>
      <c r="I5" s="2"/>
      <c r="J5" s="181" t="s">
        <v>123</v>
      </c>
      <c r="K5" s="169"/>
      <c r="L5" s="169"/>
      <c r="M5" s="4"/>
      <c r="N5" s="20"/>
      <c r="O5" s="20"/>
      <c r="P5" s="20"/>
      <c r="Q5" s="30"/>
      <c r="R5" s="30"/>
      <c r="S5" s="30"/>
      <c r="T5" s="30"/>
      <c r="U5" s="30"/>
      <c r="V5" s="30"/>
      <c r="W5" s="30"/>
      <c r="X5" s="30"/>
      <c r="Y5" s="30"/>
      <c r="Z5" s="30"/>
      <c r="AA5" s="30"/>
      <c r="AB5" s="30"/>
      <c r="AC5" s="30"/>
      <c r="AD5" s="30"/>
      <c r="AE5" s="30"/>
      <c r="AF5" s="30"/>
    </row>
    <row r="6" spans="1:32" s="1" customFormat="1" x14ac:dyDescent="0.35">
      <c r="C6" s="4"/>
      <c r="D6" s="4"/>
      <c r="E6" s="4"/>
      <c r="F6" s="4"/>
      <c r="G6" s="4"/>
      <c r="H6" s="4"/>
      <c r="I6" s="4"/>
      <c r="J6" s="4"/>
      <c r="K6" s="4"/>
      <c r="L6" s="4"/>
      <c r="M6" s="4"/>
      <c r="N6" s="20"/>
      <c r="O6" s="20"/>
      <c r="P6" s="20"/>
      <c r="Q6" s="30"/>
      <c r="R6" s="30"/>
      <c r="S6" s="30"/>
      <c r="T6" s="30"/>
      <c r="U6" s="30"/>
      <c r="V6" s="30"/>
      <c r="W6" s="30"/>
      <c r="X6" s="30"/>
      <c r="Y6" s="30"/>
      <c r="Z6" s="30"/>
      <c r="AA6" s="30"/>
      <c r="AB6" s="30"/>
      <c r="AC6" s="30"/>
      <c r="AD6" s="30"/>
      <c r="AE6" s="30"/>
      <c r="AF6" s="30"/>
    </row>
    <row r="7" spans="1:32" s="1" customFormat="1" x14ac:dyDescent="0.35">
      <c r="A7" s="184" t="s">
        <v>130</v>
      </c>
      <c r="B7" s="168"/>
      <c r="C7" s="169"/>
      <c r="D7" s="169"/>
      <c r="E7" s="168"/>
      <c r="F7" s="169"/>
      <c r="G7" s="169"/>
      <c r="H7" s="169"/>
      <c r="I7" s="169"/>
      <c r="J7" s="169"/>
      <c r="K7" s="2"/>
      <c r="L7" s="2"/>
      <c r="M7" s="4"/>
      <c r="N7" s="44"/>
      <c r="O7" s="44"/>
      <c r="P7" s="19"/>
      <c r="Q7" s="30"/>
      <c r="R7" s="30"/>
      <c r="S7" s="30"/>
      <c r="T7" s="30"/>
      <c r="U7" s="30"/>
      <c r="V7" s="30"/>
      <c r="W7" s="30"/>
      <c r="X7" s="30"/>
      <c r="Y7" s="30"/>
      <c r="Z7" s="30"/>
      <c r="AA7" s="30"/>
      <c r="AB7" s="30"/>
      <c r="AC7" s="30"/>
      <c r="AD7" s="30"/>
      <c r="AE7" s="30"/>
      <c r="AF7" s="30"/>
    </row>
    <row r="8" spans="1:32" s="1" customFormat="1" x14ac:dyDescent="0.35">
      <c r="C8" s="5" t="s">
        <v>18</v>
      </c>
      <c r="D8" s="5" t="s">
        <v>19</v>
      </c>
      <c r="E8" s="5" t="s">
        <v>20</v>
      </c>
      <c r="F8" s="8" t="s">
        <v>0</v>
      </c>
      <c r="G8" s="8"/>
      <c r="H8" s="345" t="s">
        <v>21</v>
      </c>
      <c r="I8" s="8"/>
      <c r="J8" s="346" t="s">
        <v>22</v>
      </c>
      <c r="K8" s="8"/>
      <c r="L8" s="5"/>
      <c r="M8" s="8"/>
      <c r="N8" s="29"/>
      <c r="O8" s="44"/>
      <c r="P8" s="19"/>
      <c r="Q8" s="30"/>
      <c r="R8" s="30"/>
      <c r="S8" s="30"/>
      <c r="T8" s="30"/>
      <c r="U8" s="30"/>
      <c r="V8" s="30"/>
      <c r="W8" s="30"/>
      <c r="X8" s="30"/>
      <c r="Y8" s="30"/>
      <c r="Z8" s="30"/>
      <c r="AA8" s="30"/>
      <c r="AB8" s="30"/>
      <c r="AC8" s="30"/>
      <c r="AD8" s="30"/>
      <c r="AE8" s="30"/>
      <c r="AF8" s="30"/>
    </row>
    <row r="9" spans="1:32" s="1" customFormat="1" x14ac:dyDescent="0.35">
      <c r="C9" s="2"/>
      <c r="D9" s="347" t="s">
        <v>23</v>
      </c>
      <c r="E9" s="8"/>
      <c r="F9" s="8"/>
      <c r="G9" s="8"/>
      <c r="H9" s="5"/>
      <c r="I9" s="8"/>
      <c r="J9" s="348" t="s">
        <v>24</v>
      </c>
      <c r="K9" s="8"/>
      <c r="L9" s="5"/>
      <c r="M9" s="8"/>
      <c r="N9" s="29"/>
      <c r="O9" s="29"/>
      <c r="P9" s="19"/>
      <c r="Q9" s="30"/>
      <c r="R9" s="30"/>
      <c r="S9" s="30"/>
      <c r="T9" s="30"/>
      <c r="U9" s="30"/>
      <c r="V9" s="30"/>
      <c r="W9" s="30"/>
      <c r="X9" s="30"/>
      <c r="Y9" s="30"/>
      <c r="Z9" s="30"/>
      <c r="AA9" s="30"/>
      <c r="AB9" s="30"/>
      <c r="AC9" s="30"/>
      <c r="AD9" s="30"/>
      <c r="AE9" s="30"/>
      <c r="AF9" s="30"/>
    </row>
    <row r="10" spans="1:32" s="1" customFormat="1" x14ac:dyDescent="0.35">
      <c r="A10" s="5" t="s">
        <v>1</v>
      </c>
      <c r="C10" s="2"/>
      <c r="D10" s="349" t="s">
        <v>25</v>
      </c>
      <c r="E10" s="348" t="s">
        <v>26</v>
      </c>
      <c r="F10" s="350"/>
      <c r="G10" s="348" t="s">
        <v>27</v>
      </c>
      <c r="I10" s="350"/>
      <c r="J10" s="351" t="s">
        <v>28</v>
      </c>
      <c r="K10" s="8"/>
      <c r="L10" s="5"/>
      <c r="M10" s="4"/>
      <c r="N10" s="29"/>
      <c r="O10" s="29"/>
      <c r="P10" s="19"/>
      <c r="Q10" s="30"/>
      <c r="R10" s="30"/>
      <c r="S10" s="30"/>
      <c r="T10" s="30"/>
      <c r="U10" s="30"/>
      <c r="V10" s="30"/>
      <c r="W10" s="30"/>
      <c r="X10" s="30"/>
      <c r="Y10" s="30"/>
      <c r="Z10" s="30"/>
      <c r="AA10" s="30"/>
      <c r="AB10" s="30"/>
      <c r="AC10" s="30"/>
      <c r="AD10" s="30"/>
      <c r="AE10" s="30"/>
      <c r="AF10" s="30"/>
    </row>
    <row r="11" spans="1:32" s="1" customFormat="1" ht="16" thickBot="1" x14ac:dyDescent="0.4">
      <c r="A11" s="10" t="s">
        <v>3</v>
      </c>
      <c r="C11" s="352" t="s">
        <v>29</v>
      </c>
      <c r="D11" s="8"/>
      <c r="E11" s="8"/>
      <c r="F11" s="8"/>
      <c r="G11" s="8"/>
      <c r="H11" s="8"/>
      <c r="I11" s="8"/>
      <c r="J11" s="8"/>
      <c r="K11" s="8"/>
      <c r="L11" s="8"/>
      <c r="M11" s="4"/>
      <c r="N11" s="44"/>
      <c r="O11" s="44"/>
      <c r="P11" s="19"/>
      <c r="Q11" s="30"/>
      <c r="R11" s="30"/>
      <c r="S11" s="30"/>
      <c r="T11" s="30"/>
      <c r="U11" s="30"/>
      <c r="V11" s="30"/>
      <c r="W11" s="30"/>
      <c r="X11" s="30"/>
      <c r="Y11" s="30"/>
      <c r="Z11" s="30"/>
      <c r="AA11" s="30"/>
      <c r="AB11" s="30"/>
      <c r="AC11" s="30"/>
      <c r="AD11" s="30"/>
      <c r="AE11" s="30"/>
      <c r="AF11" s="30"/>
    </row>
    <row r="12" spans="1:32" s="1" customFormat="1" x14ac:dyDescent="0.35">
      <c r="A12" s="5"/>
      <c r="C12" s="2"/>
      <c r="D12" s="8"/>
      <c r="E12" s="8"/>
      <c r="F12" s="8"/>
      <c r="G12" s="8"/>
      <c r="H12" s="8"/>
      <c r="I12" s="8"/>
      <c r="J12" s="8"/>
      <c r="K12" s="8"/>
      <c r="L12" s="8"/>
      <c r="M12" s="4"/>
      <c r="N12" s="44"/>
      <c r="O12" s="44"/>
      <c r="P12" s="19"/>
      <c r="Q12" s="30"/>
      <c r="R12" s="30"/>
      <c r="S12" s="102"/>
      <c r="T12" s="102"/>
      <c r="U12" s="30"/>
      <c r="V12" s="30"/>
      <c r="W12" s="30"/>
      <c r="X12" s="30"/>
      <c r="Y12" s="30"/>
      <c r="Z12" s="30"/>
      <c r="AA12" s="30"/>
      <c r="AB12" s="103"/>
      <c r="AC12" s="30"/>
      <c r="AD12" s="30"/>
      <c r="AE12" s="30"/>
      <c r="AF12" s="30"/>
    </row>
    <row r="13" spans="1:32" s="1" customFormat="1" x14ac:dyDescent="0.35">
      <c r="A13" s="5"/>
      <c r="C13" s="2" t="s">
        <v>30</v>
      </c>
      <c r="D13" s="8"/>
      <c r="E13" s="8"/>
      <c r="F13" s="8"/>
      <c r="G13" s="8"/>
      <c r="H13" s="8"/>
      <c r="I13" s="8"/>
      <c r="J13" s="8"/>
      <c r="K13" s="8"/>
      <c r="L13" s="8"/>
      <c r="M13" s="4"/>
      <c r="N13" s="44"/>
      <c r="O13" s="44"/>
      <c r="P13" s="19"/>
      <c r="Q13" s="30"/>
      <c r="R13" s="30"/>
      <c r="S13" s="19"/>
      <c r="T13" s="103"/>
      <c r="U13" s="19"/>
      <c r="V13" s="103"/>
      <c r="W13" s="30"/>
      <c r="X13" s="30"/>
      <c r="Y13" s="30"/>
      <c r="Z13" s="30"/>
      <c r="AA13" s="30"/>
      <c r="AB13" s="63"/>
      <c r="AC13" s="103"/>
      <c r="AD13" s="104"/>
      <c r="AE13" s="104"/>
      <c r="AF13" s="104"/>
    </row>
    <row r="14" spans="1:32" s="1" customFormat="1" x14ac:dyDescent="0.35">
      <c r="A14" s="5">
        <v>1</v>
      </c>
      <c r="C14" s="2" t="s">
        <v>31</v>
      </c>
      <c r="D14" s="162" t="s">
        <v>175</v>
      </c>
      <c r="E14" s="107">
        <f>'OATT Input Data'!$E$111</f>
        <v>10304215132</v>
      </c>
      <c r="F14" s="8"/>
      <c r="G14" s="8" t="s">
        <v>32</v>
      </c>
      <c r="H14" s="353"/>
      <c r="I14" s="8"/>
      <c r="J14" s="107"/>
      <c r="K14" s="8"/>
      <c r="L14" s="8"/>
      <c r="M14" s="4"/>
      <c r="N14" s="105"/>
      <c r="O14" s="44"/>
      <c r="P14" s="44"/>
      <c r="Q14" s="44"/>
      <c r="R14" s="44"/>
      <c r="S14" s="106"/>
      <c r="T14" s="107"/>
      <c r="U14" s="106"/>
      <c r="V14" s="107"/>
      <c r="W14" s="30"/>
      <c r="X14" s="30"/>
      <c r="Y14" s="30"/>
      <c r="Z14" s="30"/>
      <c r="AA14" s="30"/>
      <c r="AB14" s="63"/>
      <c r="AC14" s="63"/>
      <c r="AD14" s="63"/>
      <c r="AE14" s="63"/>
      <c r="AF14" s="63"/>
    </row>
    <row r="15" spans="1:32" s="1" customFormat="1" x14ac:dyDescent="0.35">
      <c r="A15" s="5">
        <v>2</v>
      </c>
      <c r="C15" s="2" t="s">
        <v>33</v>
      </c>
      <c r="D15" s="162" t="s">
        <v>176</v>
      </c>
      <c r="E15" s="594">
        <f>'OATT Input Data'!$E$112</f>
        <v>1629500419</v>
      </c>
      <c r="F15" s="8"/>
      <c r="G15" s="8" t="s">
        <v>9</v>
      </c>
      <c r="H15" s="353">
        <f>'PTP Pg 4 of 5'!$J$16</f>
        <v>0.96242000000000005</v>
      </c>
      <c r="I15" s="8"/>
      <c r="J15" s="107">
        <f>ROUND(E15*H15,0)</f>
        <v>1568263793</v>
      </c>
      <c r="K15" s="8"/>
      <c r="L15" s="8"/>
      <c r="M15" s="4"/>
      <c r="N15" s="30"/>
      <c r="O15" s="44"/>
      <c r="P15" s="44"/>
      <c r="Q15" s="44"/>
      <c r="R15" s="44"/>
      <c r="S15" s="106"/>
      <c r="T15" s="107"/>
      <c r="U15" s="106"/>
      <c r="V15" s="107"/>
      <c r="W15" s="30"/>
      <c r="X15" s="30"/>
      <c r="Y15" s="30"/>
      <c r="Z15" s="30"/>
      <c r="AA15" s="30"/>
      <c r="AB15" s="63"/>
      <c r="AC15" s="63"/>
      <c r="AD15" s="63"/>
      <c r="AE15" s="63"/>
      <c r="AF15" s="63"/>
    </row>
    <row r="16" spans="1:32" s="1" customFormat="1" x14ac:dyDescent="0.35">
      <c r="A16" s="5">
        <v>3</v>
      </c>
      <c r="C16" s="2" t="s">
        <v>34</v>
      </c>
      <c r="D16" s="162" t="s">
        <v>177</v>
      </c>
      <c r="E16" s="46">
        <f>'OATT Input Data'!$E$113</f>
        <v>3607555431</v>
      </c>
      <c r="F16" s="8"/>
      <c r="G16" s="8" t="s">
        <v>32</v>
      </c>
      <c r="H16" s="353"/>
      <c r="I16" s="8"/>
      <c r="J16" s="46"/>
      <c r="K16" s="8"/>
      <c r="L16" s="8"/>
      <c r="M16" s="4"/>
      <c r="N16" s="30"/>
      <c r="O16" s="44"/>
      <c r="P16" s="44"/>
      <c r="Q16" s="44"/>
      <c r="R16" s="44"/>
      <c r="S16" s="106"/>
      <c r="T16" s="107"/>
      <c r="U16" s="106"/>
      <c r="V16" s="107"/>
      <c r="W16" s="30"/>
      <c r="X16" s="30"/>
      <c r="Y16" s="30"/>
      <c r="Z16" s="30"/>
      <c r="AA16" s="30"/>
      <c r="AB16" s="63"/>
      <c r="AC16" s="30"/>
      <c r="AD16" s="30"/>
      <c r="AE16" s="30"/>
      <c r="AF16" s="30"/>
    </row>
    <row r="17" spans="1:31" s="1" customFormat="1" x14ac:dyDescent="0.35">
      <c r="A17" s="5">
        <v>4</v>
      </c>
      <c r="C17" s="2" t="s">
        <v>35</v>
      </c>
      <c r="D17" s="162" t="s">
        <v>178</v>
      </c>
      <c r="E17" s="46">
        <f>'OATT Input Data'!$E$114+'OATT Input Data'!$E$110</f>
        <v>337443468</v>
      </c>
      <c r="F17" s="8"/>
      <c r="G17" s="8" t="s">
        <v>36</v>
      </c>
      <c r="H17" s="353">
        <f>'PTP Pg 4 of 5'!$J$33</f>
        <v>6.5449999999999994E-2</v>
      </c>
      <c r="I17" s="8"/>
      <c r="J17" s="46">
        <f>ROUND(E17*H17,0)</f>
        <v>22085675</v>
      </c>
      <c r="K17" s="8"/>
      <c r="L17" s="8"/>
      <c r="M17" s="8"/>
      <c r="N17" s="30"/>
      <c r="O17" s="108"/>
      <c r="P17" s="44"/>
      <c r="Q17" s="44"/>
      <c r="R17" s="44"/>
      <c r="S17" s="106"/>
      <c r="T17" s="107"/>
      <c r="U17" s="106"/>
      <c r="V17" s="107"/>
      <c r="W17" s="30"/>
      <c r="X17" s="30"/>
      <c r="Y17" s="30"/>
      <c r="Z17" s="30"/>
      <c r="AA17" s="30"/>
      <c r="AB17" s="63"/>
      <c r="AC17" s="30"/>
      <c r="AD17" s="30"/>
      <c r="AE17" s="30"/>
    </row>
    <row r="18" spans="1:31" s="1" customFormat="1" ht="18.5" x14ac:dyDescent="0.65">
      <c r="A18" s="5">
        <v>5</v>
      </c>
      <c r="C18" s="2" t="s">
        <v>37</v>
      </c>
      <c r="D18" s="162" t="s">
        <v>179</v>
      </c>
      <c r="E18" s="354">
        <f>'OATT Input Data'!$E$115</f>
        <v>177626177.66999999</v>
      </c>
      <c r="F18" s="8"/>
      <c r="G18" s="8" t="s">
        <v>38</v>
      </c>
      <c r="H18" s="353">
        <f>'PTP Pg 4 of 5'!$J$41</f>
        <v>6.0389999999999999E-2</v>
      </c>
      <c r="I18" s="8"/>
      <c r="J18" s="354">
        <f>ROUND(E18*H18,0)</f>
        <v>10726845</v>
      </c>
      <c r="K18" s="8"/>
      <c r="L18" s="8"/>
      <c r="M18" s="8"/>
      <c r="N18" s="30"/>
      <c r="O18" s="553"/>
      <c r="P18" s="44"/>
      <c r="Q18" s="44"/>
      <c r="R18" s="44"/>
      <c r="S18" s="106"/>
      <c r="T18" s="107"/>
      <c r="U18" s="106"/>
      <c r="V18" s="107"/>
      <c r="W18" s="30"/>
      <c r="X18" s="30"/>
      <c r="Y18" s="30"/>
      <c r="Z18" s="30"/>
      <c r="AA18" s="30"/>
      <c r="AB18" s="63"/>
      <c r="AC18" s="30"/>
      <c r="AD18" s="30"/>
      <c r="AE18" s="30"/>
    </row>
    <row r="19" spans="1:31" s="1" customFormat="1" x14ac:dyDescent="0.35">
      <c r="A19" s="5">
        <v>6</v>
      </c>
      <c r="C19" s="7" t="s">
        <v>173</v>
      </c>
      <c r="D19" s="165" t="s">
        <v>265</v>
      </c>
      <c r="E19" s="107">
        <f>ROUND(SUM(E14:E18),0)</f>
        <v>16056340628</v>
      </c>
      <c r="F19" s="8"/>
      <c r="G19" s="8" t="s">
        <v>39</v>
      </c>
      <c r="H19" s="355">
        <f>ROUND(J19/E19,5)</f>
        <v>9.9720000000000003E-2</v>
      </c>
      <c r="I19" s="8"/>
      <c r="J19" s="107">
        <f>ROUND(SUM(J15,J17:J18),0)</f>
        <v>1601076313</v>
      </c>
      <c r="K19" s="8"/>
      <c r="L19" s="356"/>
      <c r="M19" s="4"/>
      <c r="N19" s="30"/>
      <c r="O19" s="44"/>
      <c r="P19" s="44"/>
      <c r="Q19" s="30"/>
      <c r="R19" s="30"/>
      <c r="S19" s="106"/>
      <c r="T19" s="107"/>
      <c r="U19" s="30"/>
      <c r="V19" s="30"/>
      <c r="W19" s="30"/>
      <c r="X19" s="30"/>
      <c r="Y19" s="30"/>
      <c r="Z19" s="30"/>
      <c r="AA19" s="30"/>
      <c r="AB19" s="30"/>
      <c r="AC19" s="30"/>
      <c r="AD19" s="30"/>
      <c r="AE19" s="30"/>
    </row>
    <row r="20" spans="1:31" s="1" customFormat="1" x14ac:dyDescent="0.35">
      <c r="C20" s="2"/>
      <c r="D20" s="165"/>
      <c r="E20" s="46"/>
      <c r="F20" s="8"/>
      <c r="G20" s="8"/>
      <c r="H20" s="356"/>
      <c r="I20" s="8"/>
      <c r="J20" s="46"/>
      <c r="K20" s="8"/>
      <c r="L20" s="356"/>
      <c r="M20" s="4"/>
      <c r="N20" s="44"/>
      <c r="O20" s="44"/>
      <c r="P20" s="19"/>
      <c r="Q20" s="30"/>
      <c r="R20" s="30"/>
      <c r="S20" s="30"/>
      <c r="T20" s="30"/>
      <c r="U20" s="30"/>
      <c r="V20" s="30"/>
      <c r="W20" s="30"/>
      <c r="X20" s="30"/>
      <c r="Y20" s="30"/>
      <c r="Z20" s="30"/>
      <c r="AA20" s="30"/>
      <c r="AB20" s="30"/>
      <c r="AC20" s="30"/>
      <c r="AD20" s="30"/>
      <c r="AE20" s="30"/>
    </row>
    <row r="21" spans="1:31" s="1" customFormat="1" x14ac:dyDescent="0.35">
      <c r="C21" s="2" t="s">
        <v>40</v>
      </c>
      <c r="D21" s="165" t="s">
        <v>252</v>
      </c>
      <c r="E21" s="46"/>
      <c r="F21" s="8"/>
      <c r="G21" s="8"/>
      <c r="H21" s="8"/>
      <c r="I21" s="8"/>
      <c r="J21" s="46"/>
      <c r="K21" s="8"/>
      <c r="L21" s="8"/>
      <c r="M21" s="4"/>
      <c r="N21" s="44"/>
      <c r="O21" s="44"/>
      <c r="P21" s="30"/>
      <c r="Q21" s="30"/>
      <c r="R21" s="30"/>
      <c r="S21" s="30"/>
      <c r="T21" s="30"/>
      <c r="U21" s="30"/>
      <c r="V21" s="30"/>
      <c r="W21" s="30"/>
      <c r="X21" s="30"/>
      <c r="Y21" s="105"/>
      <c r="Z21" s="30"/>
      <c r="AA21" s="30"/>
      <c r="AB21" s="30"/>
      <c r="AC21" s="30"/>
      <c r="AD21" s="30"/>
      <c r="AE21" s="105"/>
    </row>
    <row r="22" spans="1:31" s="1" customFormat="1" x14ac:dyDescent="0.35">
      <c r="A22" s="5">
        <v>7</v>
      </c>
      <c r="C22" s="2" t="str">
        <f>+C14</f>
        <v xml:space="preserve">  Production</v>
      </c>
      <c r="D22" s="162" t="s">
        <v>190</v>
      </c>
      <c r="E22" s="107">
        <f>SUM('OATT Input Data'!$E$121:$E$123)</f>
        <v>3518815708.02</v>
      </c>
      <c r="F22" s="8"/>
      <c r="G22" s="8" t="s">
        <v>32</v>
      </c>
      <c r="H22" s="353"/>
      <c r="I22" s="8"/>
      <c r="J22" s="107"/>
      <c r="K22" s="8"/>
      <c r="L22" s="8"/>
      <c r="M22" s="4"/>
      <c r="N22" s="44"/>
      <c r="O22" s="109"/>
      <c r="P22" s="44"/>
      <c r="Q22" s="44"/>
      <c r="R22" s="30"/>
      <c r="S22" s="106"/>
      <c r="T22" s="107"/>
      <c r="U22" s="106"/>
      <c r="V22" s="107"/>
      <c r="W22" s="30"/>
      <c r="X22" s="63"/>
      <c r="Y22" s="63"/>
      <c r="Z22" s="30"/>
      <c r="AA22" s="63"/>
      <c r="AB22" s="63"/>
      <c r="AC22" s="63"/>
      <c r="AD22" s="63"/>
      <c r="AE22" s="63"/>
    </row>
    <row r="23" spans="1:31" s="1" customFormat="1" x14ac:dyDescent="0.35">
      <c r="A23" s="5">
        <v>8</v>
      </c>
      <c r="C23" s="2" t="str">
        <f>+C15</f>
        <v xml:space="preserve">  Transmission</v>
      </c>
      <c r="D23" s="162" t="s">
        <v>180</v>
      </c>
      <c r="E23" s="46">
        <f>'OATT Input Data'!$E$124</f>
        <v>515710452.29999995</v>
      </c>
      <c r="F23" s="8"/>
      <c r="G23" s="8" t="s">
        <v>9</v>
      </c>
      <c r="H23" s="123">
        <f>+H15</f>
        <v>0.96242000000000005</v>
      </c>
      <c r="I23" s="8"/>
      <c r="J23" s="107">
        <f>ROUND(E23*H23,0)</f>
        <v>496330054</v>
      </c>
      <c r="K23" s="8"/>
      <c r="L23" s="8"/>
      <c r="M23" s="4"/>
      <c r="N23" s="44"/>
      <c r="O23" s="50"/>
      <c r="P23" s="44"/>
      <c r="Q23" s="44"/>
      <c r="R23" s="30"/>
      <c r="S23" s="107"/>
      <c r="T23" s="107"/>
      <c r="U23" s="107"/>
      <c r="V23" s="107"/>
      <c r="W23" s="30"/>
      <c r="X23" s="63"/>
      <c r="Y23" s="63"/>
      <c r="Z23" s="30"/>
      <c r="AA23" s="63"/>
      <c r="AB23" s="63"/>
      <c r="AC23" s="63"/>
      <c r="AD23" s="63"/>
      <c r="AE23" s="63"/>
    </row>
    <row r="24" spans="1:31" s="1" customFormat="1" x14ac:dyDescent="0.35">
      <c r="A24" s="5">
        <v>9</v>
      </c>
      <c r="C24" s="2" t="str">
        <f>+C16</f>
        <v xml:space="preserve">  Distribution</v>
      </c>
      <c r="D24" s="162" t="s">
        <v>181</v>
      </c>
      <c r="E24" s="46">
        <f>'OATT Input Data'!$E$125</f>
        <v>1221756924.0799999</v>
      </c>
      <c r="F24" s="8"/>
      <c r="G24" s="8" t="str">
        <f>+G16</f>
        <v>NA</v>
      </c>
      <c r="H24" s="353"/>
      <c r="I24" s="8"/>
      <c r="J24" s="46"/>
      <c r="K24" s="8"/>
      <c r="L24" s="8"/>
      <c r="M24" s="4"/>
      <c r="N24" s="44"/>
      <c r="O24" s="109"/>
      <c r="P24" s="44"/>
      <c r="Q24" s="44"/>
      <c r="R24" s="30"/>
      <c r="S24" s="106"/>
      <c r="T24" s="107"/>
      <c r="U24" s="63"/>
      <c r="V24" s="107"/>
      <c r="W24" s="30"/>
      <c r="X24" s="63"/>
      <c r="Y24" s="63"/>
      <c r="Z24" s="30"/>
      <c r="AA24" s="63"/>
      <c r="AB24" s="63"/>
      <c r="AC24" s="63"/>
      <c r="AD24" s="30"/>
      <c r="AE24" s="30"/>
    </row>
    <row r="25" spans="1:31" s="1" customFormat="1" x14ac:dyDescent="0.35">
      <c r="A25" s="5">
        <v>10</v>
      </c>
      <c r="C25" s="2" t="str">
        <f>+C17</f>
        <v xml:space="preserve">  General &amp; Intangible</v>
      </c>
      <c r="D25" s="162" t="s">
        <v>182</v>
      </c>
      <c r="E25" s="46">
        <f>'OATT Input Data'!$E$120+'OATT Input Data'!$E$126</f>
        <v>124097421.64999999</v>
      </c>
      <c r="F25" s="8"/>
      <c r="G25" s="8" t="str">
        <f>+G17</f>
        <v>W/S</v>
      </c>
      <c r="H25" s="353">
        <f>+H17</f>
        <v>6.5449999999999994E-2</v>
      </c>
      <c r="I25" s="8"/>
      <c r="J25" s="46">
        <f>ROUND(E25*H25,0)</f>
        <v>8122176</v>
      </c>
      <c r="K25" s="8"/>
      <c r="L25" s="8"/>
      <c r="M25" s="4"/>
      <c r="N25" s="44"/>
      <c r="O25" s="109"/>
      <c r="P25" s="44"/>
      <c r="Q25" s="44"/>
      <c r="R25" s="30"/>
      <c r="S25" s="107"/>
      <c r="T25" s="107"/>
      <c r="U25" s="107"/>
      <c r="V25" s="107"/>
      <c r="W25" s="30"/>
      <c r="X25" s="63"/>
      <c r="Y25" s="63"/>
      <c r="Z25" s="30"/>
      <c r="AA25" s="30"/>
      <c r="AB25" s="63"/>
      <c r="AC25" s="30"/>
      <c r="AD25" s="30"/>
      <c r="AE25" s="30"/>
    </row>
    <row r="26" spans="1:31" s="1" customFormat="1" ht="18.5" x14ac:dyDescent="0.65">
      <c r="A26" s="5">
        <v>11</v>
      </c>
      <c r="C26" s="2" t="str">
        <f>+C18</f>
        <v xml:space="preserve">  Common</v>
      </c>
      <c r="D26" s="162" t="s">
        <v>179</v>
      </c>
      <c r="E26" s="354">
        <f>'OATT Input Data'!$E$127</f>
        <v>99426603.528899997</v>
      </c>
      <c r="F26" s="8"/>
      <c r="G26" s="8" t="str">
        <f>+G18</f>
        <v>CE</v>
      </c>
      <c r="H26" s="353">
        <f>+H18</f>
        <v>6.0389999999999999E-2</v>
      </c>
      <c r="I26" s="8"/>
      <c r="J26" s="354">
        <f>ROUND(E26*H26,0)</f>
        <v>6004373</v>
      </c>
      <c r="K26" s="8"/>
      <c r="L26" s="8"/>
      <c r="M26" s="4"/>
      <c r="N26" s="44"/>
      <c r="O26" s="110"/>
      <c r="P26" s="44"/>
      <c r="Q26" s="44"/>
      <c r="R26" s="30"/>
      <c r="S26" s="106"/>
      <c r="T26" s="107"/>
      <c r="U26" s="63"/>
      <c r="V26" s="107"/>
      <c r="W26" s="30"/>
      <c r="X26" s="30"/>
      <c r="Y26" s="30"/>
      <c r="Z26" s="30"/>
      <c r="AA26" s="30"/>
      <c r="AB26" s="63"/>
      <c r="AC26" s="30"/>
      <c r="AD26" s="30"/>
      <c r="AE26" s="30"/>
    </row>
    <row r="27" spans="1:31" s="1" customFormat="1" x14ac:dyDescent="0.35">
      <c r="A27" s="5">
        <v>12</v>
      </c>
      <c r="C27" s="7" t="s">
        <v>172</v>
      </c>
      <c r="D27" s="165" t="s">
        <v>266</v>
      </c>
      <c r="E27" s="107">
        <f>ROUND(SUM(E22:E26),0)</f>
        <v>5479807110</v>
      </c>
      <c r="F27" s="8"/>
      <c r="G27" s="8"/>
      <c r="H27" s="8"/>
      <c r="I27" s="8"/>
      <c r="J27" s="107">
        <f>ROUND(SUM(J23,J25:J26),0)</f>
        <v>510456603</v>
      </c>
      <c r="K27" s="8"/>
      <c r="L27" s="8"/>
      <c r="M27" s="4"/>
      <c r="N27" s="111"/>
      <c r="O27" s="29"/>
      <c r="P27" s="44"/>
      <c r="Q27" s="44"/>
      <c r="R27" s="30"/>
      <c r="S27" s="107"/>
      <c r="T27" s="107"/>
      <c r="U27" s="30"/>
      <c r="V27" s="30"/>
      <c r="W27" s="105"/>
      <c r="X27" s="63"/>
      <c r="Y27" s="30"/>
      <c r="Z27" s="30"/>
      <c r="AA27" s="30"/>
      <c r="AB27" s="63"/>
      <c r="AC27" s="30"/>
      <c r="AD27" s="30"/>
      <c r="AE27" s="30"/>
    </row>
    <row r="28" spans="1:31" s="1" customFormat="1" x14ac:dyDescent="0.35">
      <c r="A28" s="5"/>
      <c r="D28" s="8" t="s">
        <v>0</v>
      </c>
      <c r="E28" s="46"/>
      <c r="F28" s="8"/>
      <c r="G28" s="8"/>
      <c r="H28" s="356"/>
      <c r="I28" s="8"/>
      <c r="J28" s="46"/>
      <c r="K28" s="8"/>
      <c r="L28" s="356"/>
      <c r="M28" s="4"/>
      <c r="N28" s="44"/>
      <c r="O28" s="44"/>
      <c r="P28" s="19"/>
      <c r="Q28" s="30"/>
      <c r="R28" s="30"/>
      <c r="S28" s="30"/>
      <c r="T28" s="30"/>
      <c r="U28" s="30"/>
      <c r="V28" s="30"/>
      <c r="W28" s="30"/>
      <c r="X28" s="63"/>
      <c r="Y28" s="30"/>
      <c r="Z28" s="30"/>
      <c r="AA28" s="30"/>
      <c r="AB28" s="63"/>
      <c r="AC28" s="30"/>
      <c r="AD28" s="30"/>
      <c r="AE28" s="30"/>
    </row>
    <row r="29" spans="1:31" s="1" customFormat="1" x14ac:dyDescent="0.35">
      <c r="A29" s="5"/>
      <c r="C29" s="2" t="s">
        <v>42</v>
      </c>
      <c r="D29" s="8"/>
      <c r="E29" s="46"/>
      <c r="F29" s="8"/>
      <c r="G29" s="8"/>
      <c r="H29" s="8"/>
      <c r="I29" s="8"/>
      <c r="J29" s="46"/>
      <c r="K29" s="8"/>
      <c r="L29" s="8"/>
      <c r="M29" s="4"/>
      <c r="N29" s="44"/>
      <c r="O29" s="44"/>
      <c r="P29" s="44"/>
      <c r="Q29" s="44"/>
      <c r="R29" s="30"/>
      <c r="S29" s="106"/>
      <c r="T29" s="107"/>
      <c r="U29" s="106"/>
      <c r="V29" s="30"/>
      <c r="W29" s="30"/>
      <c r="X29" s="63"/>
      <c r="Y29" s="30"/>
      <c r="Z29" s="30"/>
      <c r="AA29" s="30"/>
      <c r="AB29" s="30"/>
      <c r="AC29" s="30"/>
      <c r="AD29" s="30"/>
      <c r="AE29" s="30"/>
    </row>
    <row r="30" spans="1:31" s="1" customFormat="1" x14ac:dyDescent="0.35">
      <c r="A30" s="5">
        <v>13</v>
      </c>
      <c r="C30" s="2" t="str">
        <f>+C22</f>
        <v xml:space="preserve">  Production</v>
      </c>
      <c r="D30" s="165" t="s">
        <v>267</v>
      </c>
      <c r="E30" s="107">
        <f>E14-E22</f>
        <v>6785399423.9799995</v>
      </c>
      <c r="F30" s="8"/>
      <c r="G30" s="8"/>
      <c r="H30" s="356"/>
      <c r="I30" s="8"/>
      <c r="J30" s="107"/>
      <c r="K30" s="8"/>
      <c r="L30" s="356"/>
      <c r="M30" s="4"/>
      <c r="N30" s="44"/>
      <c r="O30" s="44"/>
      <c r="P30" s="44"/>
      <c r="Q30" s="44"/>
      <c r="R30" s="30"/>
      <c r="S30" s="106"/>
      <c r="T30" s="107"/>
      <c r="U30" s="106"/>
      <c r="V30" s="30"/>
      <c r="W30" s="30"/>
      <c r="X30" s="63"/>
      <c r="Y30" s="63"/>
      <c r="Z30" s="30"/>
      <c r="AA30" s="30"/>
      <c r="AB30" s="105"/>
      <c r="AC30" s="105"/>
      <c r="AD30" s="30"/>
      <c r="AE30" s="30"/>
    </row>
    <row r="31" spans="1:31" s="1" customFormat="1" x14ac:dyDescent="0.35">
      <c r="A31" s="5">
        <v>14</v>
      </c>
      <c r="C31" s="2" t="str">
        <f>+C23</f>
        <v xml:space="preserve">  Transmission</v>
      </c>
      <c r="D31" s="165" t="s">
        <v>268</v>
      </c>
      <c r="E31" s="46">
        <f t="shared" ref="E31:E34" si="0">E15-E23</f>
        <v>1113789966.7</v>
      </c>
      <c r="F31" s="8"/>
      <c r="G31" s="8"/>
      <c r="H31" s="353"/>
      <c r="I31" s="8"/>
      <c r="J31" s="107">
        <f>J15-J23</f>
        <v>1071933739</v>
      </c>
      <c r="K31" s="8"/>
      <c r="L31" s="356"/>
      <c r="M31" s="4"/>
      <c r="N31" s="44"/>
      <c r="O31" s="44"/>
      <c r="P31" s="44"/>
      <c r="Q31" s="44"/>
      <c r="R31" s="30"/>
      <c r="S31" s="106"/>
      <c r="T31" s="107"/>
      <c r="U31" s="106"/>
      <c r="V31" s="30"/>
      <c r="W31" s="30"/>
      <c r="X31" s="30"/>
      <c r="Y31" s="63"/>
      <c r="Z31" s="30"/>
      <c r="AA31" s="63"/>
      <c r="AB31" s="63"/>
      <c r="AC31" s="30"/>
      <c r="AD31" s="30"/>
      <c r="AE31" s="30"/>
    </row>
    <row r="32" spans="1:31" s="1" customFormat="1" x14ac:dyDescent="0.35">
      <c r="A32" s="5">
        <v>15</v>
      </c>
      <c r="C32" s="2" t="str">
        <f>+C24</f>
        <v xml:space="preserve">  Distribution</v>
      </c>
      <c r="D32" s="165" t="s">
        <v>269</v>
      </c>
      <c r="E32" s="46">
        <f t="shared" si="0"/>
        <v>2385798506.9200001</v>
      </c>
      <c r="F32" s="8"/>
      <c r="G32" s="8"/>
      <c r="H32" s="356"/>
      <c r="I32" s="8"/>
      <c r="J32" s="46"/>
      <c r="K32" s="8"/>
      <c r="L32" s="356"/>
      <c r="M32" s="4"/>
      <c r="N32" s="44"/>
      <c r="O32" s="81"/>
      <c r="P32" s="44"/>
      <c r="Q32" s="30"/>
      <c r="R32" s="105"/>
      <c r="S32" s="106"/>
      <c r="T32" s="107"/>
      <c r="U32" s="107"/>
      <c r="V32" s="30"/>
      <c r="W32" s="30"/>
      <c r="X32" s="63"/>
      <c r="Y32" s="63"/>
      <c r="Z32" s="30"/>
      <c r="AA32" s="63"/>
      <c r="AB32" s="63"/>
      <c r="AC32" s="112"/>
      <c r="AD32" s="30"/>
      <c r="AE32" s="30"/>
    </row>
    <row r="33" spans="1:28" s="1" customFormat="1" x14ac:dyDescent="0.35">
      <c r="A33" s="5">
        <v>16</v>
      </c>
      <c r="C33" s="2" t="str">
        <f>+C25</f>
        <v xml:space="preserve">  General &amp; Intangible</v>
      </c>
      <c r="D33" s="165" t="s">
        <v>270</v>
      </c>
      <c r="E33" s="46">
        <f t="shared" si="0"/>
        <v>213346046.35000002</v>
      </c>
      <c r="F33" s="8"/>
      <c r="G33" s="8"/>
      <c r="H33" s="356"/>
      <c r="I33" s="8"/>
      <c r="J33" s="46">
        <f>J17-J25</f>
        <v>13963499</v>
      </c>
      <c r="K33" s="8"/>
      <c r="L33" s="356"/>
      <c r="M33" s="4"/>
      <c r="N33" s="44"/>
      <c r="O33" s="29"/>
      <c r="P33" s="19"/>
      <c r="Q33" s="30"/>
      <c r="R33" s="30"/>
      <c r="S33" s="30"/>
      <c r="T33" s="30"/>
      <c r="U33" s="30"/>
      <c r="V33" s="30"/>
      <c r="W33" s="30"/>
      <c r="X33" s="63"/>
      <c r="Y33" s="63"/>
      <c r="Z33" s="30"/>
      <c r="AA33" s="63"/>
      <c r="AB33" s="63"/>
    </row>
    <row r="34" spans="1:28" s="1" customFormat="1" ht="18.5" x14ac:dyDescent="0.65">
      <c r="A34" s="5">
        <v>17</v>
      </c>
      <c r="C34" s="2" t="str">
        <f>+C26</f>
        <v xml:space="preserve">  Common</v>
      </c>
      <c r="D34" s="165" t="s">
        <v>271</v>
      </c>
      <c r="E34" s="354">
        <f t="shared" si="0"/>
        <v>78199574.141099989</v>
      </c>
      <c r="F34" s="8"/>
      <c r="G34" s="8"/>
      <c r="H34" s="356"/>
      <c r="I34" s="8"/>
      <c r="J34" s="354">
        <f>J18-J26</f>
        <v>4722472</v>
      </c>
      <c r="K34" s="8"/>
      <c r="L34" s="356"/>
      <c r="M34" s="4"/>
      <c r="N34" s="44"/>
      <c r="O34" s="29"/>
      <c r="P34" s="19"/>
      <c r="Q34" s="30"/>
      <c r="R34" s="30"/>
      <c r="S34" s="30"/>
      <c r="T34" s="30"/>
      <c r="U34" s="30"/>
      <c r="V34" s="30"/>
      <c r="W34" s="30"/>
      <c r="X34" s="63"/>
      <c r="Y34" s="30"/>
      <c r="Z34" s="30"/>
      <c r="AA34" s="30"/>
      <c r="AB34" s="63"/>
    </row>
    <row r="35" spans="1:28" s="1" customFormat="1" x14ac:dyDescent="0.35">
      <c r="A35" s="5">
        <v>18</v>
      </c>
      <c r="C35" s="7" t="s">
        <v>171</v>
      </c>
      <c r="D35" s="165" t="s">
        <v>272</v>
      </c>
      <c r="E35" s="107">
        <f>ROUND(SUM(E30:E34),0)</f>
        <v>10576533518</v>
      </c>
      <c r="F35" s="8"/>
      <c r="G35" s="8" t="s">
        <v>320</v>
      </c>
      <c r="H35" s="355">
        <f>ROUND(J35/E35,5)</f>
        <v>0.10312</v>
      </c>
      <c r="I35" s="8"/>
      <c r="J35" s="107">
        <f>ROUND(SUM(J31,J33:J34),0)</f>
        <v>1090619710</v>
      </c>
      <c r="K35" s="8"/>
      <c r="L35" s="8"/>
      <c r="M35" s="4"/>
      <c r="N35" s="113"/>
      <c r="O35" s="44"/>
      <c r="P35" s="19"/>
      <c r="Q35" s="30"/>
      <c r="R35" s="30"/>
      <c r="S35" s="30"/>
      <c r="T35" s="30"/>
      <c r="U35" s="30"/>
      <c r="V35" s="30"/>
      <c r="W35" s="30"/>
      <c r="X35" s="63"/>
      <c r="Y35" s="30"/>
      <c r="Z35" s="30"/>
      <c r="AA35" s="30"/>
      <c r="AB35" s="30"/>
    </row>
    <row r="36" spans="1:28" s="1" customFormat="1" x14ac:dyDescent="0.35">
      <c r="A36" s="5"/>
      <c r="D36" s="8"/>
      <c r="E36" s="46"/>
      <c r="F36" s="8"/>
      <c r="I36" s="8"/>
      <c r="J36" s="46"/>
      <c r="K36" s="8"/>
      <c r="L36" s="356"/>
      <c r="M36" s="4"/>
      <c r="N36" s="44"/>
      <c r="O36" s="44"/>
      <c r="P36" s="19"/>
      <c r="Q36" s="30"/>
      <c r="R36" s="30"/>
      <c r="S36" s="30"/>
      <c r="T36" s="30"/>
      <c r="U36" s="30"/>
      <c r="V36" s="30"/>
      <c r="W36" s="30"/>
      <c r="X36" s="30"/>
      <c r="Y36" s="30"/>
      <c r="Z36" s="30"/>
      <c r="AA36" s="30"/>
      <c r="AB36" s="63"/>
    </row>
    <row r="37" spans="1:28" s="1" customFormat="1" x14ac:dyDescent="0.35">
      <c r="A37" s="5"/>
      <c r="C37" s="7" t="s">
        <v>191</v>
      </c>
      <c r="D37" s="165" t="s">
        <v>253</v>
      </c>
      <c r="E37" s="46"/>
      <c r="F37" s="8"/>
      <c r="G37" s="8"/>
      <c r="H37" s="8"/>
      <c r="I37" s="8"/>
      <c r="J37" s="46"/>
      <c r="K37" s="8"/>
      <c r="L37" s="8"/>
      <c r="M37" s="4"/>
      <c r="N37" s="44"/>
      <c r="O37" s="44"/>
      <c r="P37" s="19"/>
      <c r="Q37" s="30"/>
      <c r="R37" s="30"/>
      <c r="S37" s="30"/>
      <c r="T37" s="30"/>
      <c r="U37" s="30"/>
      <c r="V37" s="44"/>
      <c r="W37" s="30"/>
      <c r="X37" s="30"/>
      <c r="Y37" s="30"/>
      <c r="Z37" s="30"/>
      <c r="AA37" s="30"/>
      <c r="AB37" s="30"/>
    </row>
    <row r="38" spans="1:28" s="1" customFormat="1" x14ac:dyDescent="0.35">
      <c r="A38" s="5">
        <v>19</v>
      </c>
      <c r="C38" s="2" t="s">
        <v>44</v>
      </c>
      <c r="D38" s="162" t="s">
        <v>379</v>
      </c>
      <c r="E38" s="308">
        <f>'OATT Input Data'!$E$133*-1</f>
        <v>0</v>
      </c>
      <c r="F38" s="8"/>
      <c r="G38" s="8" t="s">
        <v>32</v>
      </c>
      <c r="H38" s="123"/>
      <c r="I38" s="8"/>
      <c r="J38" s="107"/>
      <c r="K38" s="8"/>
      <c r="L38" s="356"/>
      <c r="M38" s="4"/>
      <c r="N38" s="114"/>
      <c r="O38" s="29"/>
      <c r="P38" s="44"/>
      <c r="Q38" s="44"/>
      <c r="R38" s="30"/>
      <c r="S38" s="107"/>
      <c r="T38" s="107"/>
      <c r="U38" s="107"/>
      <c r="V38" s="107"/>
      <c r="W38" s="30"/>
      <c r="X38" s="30"/>
      <c r="Y38" s="30"/>
      <c r="Z38" s="30"/>
      <c r="AA38" s="30"/>
      <c r="AB38" s="30"/>
    </row>
    <row r="39" spans="1:28" s="1" customFormat="1" x14ac:dyDescent="0.35">
      <c r="A39" s="5">
        <f>A38+1</f>
        <v>20</v>
      </c>
      <c r="C39" s="2" t="s">
        <v>45</v>
      </c>
      <c r="D39" s="162" t="s">
        <v>260</v>
      </c>
      <c r="E39" s="46">
        <f>'OATT Input Data'!$E$137*-1</f>
        <v>-2358132761</v>
      </c>
      <c r="F39" s="8"/>
      <c r="G39" s="8" t="s">
        <v>46</v>
      </c>
      <c r="H39" s="353">
        <f>+H35</f>
        <v>0.10312</v>
      </c>
      <c r="I39" s="8"/>
      <c r="J39" s="107">
        <f t="shared" ref="J39:J46" si="1">ROUND(E39*H39,0)</f>
        <v>-243170650</v>
      </c>
      <c r="K39" s="8"/>
      <c r="L39" s="356"/>
      <c r="M39" s="4"/>
      <c r="N39" s="114"/>
      <c r="O39" s="29"/>
      <c r="P39" s="44"/>
      <c r="Q39" s="44"/>
      <c r="R39" s="30"/>
      <c r="S39" s="106"/>
      <c r="T39" s="107"/>
      <c r="U39" s="106"/>
      <c r="V39" s="107"/>
      <c r="W39" s="30"/>
      <c r="X39" s="30"/>
      <c r="Y39" s="30"/>
      <c r="Z39" s="30"/>
      <c r="AA39" s="30"/>
      <c r="AB39" s="30"/>
    </row>
    <row r="40" spans="1:28" s="1" customFormat="1" x14ac:dyDescent="0.35">
      <c r="A40" s="5">
        <f>A39+1</f>
        <v>21</v>
      </c>
      <c r="C40" s="2" t="s">
        <v>47</v>
      </c>
      <c r="D40" s="230" t="s">
        <v>261</v>
      </c>
      <c r="E40" s="46">
        <f>'OATT Input Data'!$E$142*-1</f>
        <v>-264142468</v>
      </c>
      <c r="F40" s="8"/>
      <c r="G40" s="8" t="s">
        <v>46</v>
      </c>
      <c r="H40" s="353">
        <f>+H39</f>
        <v>0.10312</v>
      </c>
      <c r="I40" s="8"/>
      <c r="J40" s="46">
        <f>ROUND(E40*H40,0)</f>
        <v>-27238371</v>
      </c>
      <c r="K40" s="8"/>
      <c r="L40" s="356"/>
      <c r="M40" s="4"/>
      <c r="N40" s="114"/>
      <c r="O40" s="29"/>
      <c r="P40" s="44"/>
      <c r="Q40" s="44"/>
      <c r="R40" s="30"/>
      <c r="S40" s="106"/>
      <c r="T40" s="106"/>
      <c r="U40" s="106"/>
      <c r="V40" s="106"/>
      <c r="W40" s="30"/>
      <c r="X40" s="30"/>
      <c r="Y40" s="30"/>
      <c r="Z40" s="30"/>
      <c r="AA40" s="30"/>
      <c r="AB40" s="30"/>
    </row>
    <row r="41" spans="1:28" s="1" customFormat="1" x14ac:dyDescent="0.35">
      <c r="A41" s="5">
        <f>A40+1</f>
        <v>22</v>
      </c>
      <c r="C41" s="2" t="s">
        <v>48</v>
      </c>
      <c r="D41" s="230" t="s">
        <v>262</v>
      </c>
      <c r="E41" s="46">
        <f>'OATT Input Data'!$E$152</f>
        <v>199588921</v>
      </c>
      <c r="F41" s="8"/>
      <c r="G41" s="8" t="str">
        <f>+G40</f>
        <v>NP</v>
      </c>
      <c r="H41" s="353">
        <f>+H40</f>
        <v>0.10312</v>
      </c>
      <c r="I41" s="8"/>
      <c r="J41" s="46">
        <f t="shared" si="1"/>
        <v>20581610</v>
      </c>
      <c r="K41" s="8"/>
      <c r="L41" s="356"/>
      <c r="M41" s="4"/>
      <c r="N41" s="114"/>
      <c r="O41" s="29"/>
      <c r="P41" s="44"/>
      <c r="Q41" s="44"/>
      <c r="R41" s="30"/>
      <c r="S41" s="106"/>
      <c r="T41" s="106"/>
      <c r="U41" s="106"/>
      <c r="V41" s="106"/>
      <c r="W41" s="30"/>
      <c r="X41" s="30"/>
      <c r="Y41" s="30"/>
      <c r="Z41" s="30"/>
      <c r="AA41" s="30"/>
      <c r="AB41" s="30"/>
    </row>
    <row r="42" spans="1:28" s="1" customFormat="1" x14ac:dyDescent="0.35">
      <c r="A42" s="5">
        <f>A41+1</f>
        <v>23</v>
      </c>
      <c r="C42" s="1" t="s">
        <v>49</v>
      </c>
      <c r="D42" s="162" t="s">
        <v>263</v>
      </c>
      <c r="E42" s="357">
        <f>'OATT Input Data'!$E$153*-1</f>
        <v>0</v>
      </c>
      <c r="F42" s="8"/>
      <c r="G42" s="8" t="s">
        <v>46</v>
      </c>
      <c r="H42" s="353">
        <f>+H40</f>
        <v>0.10312</v>
      </c>
      <c r="I42" s="8"/>
      <c r="J42" s="357">
        <f t="shared" si="1"/>
        <v>0</v>
      </c>
      <c r="K42" s="8"/>
      <c r="L42" s="356"/>
      <c r="M42" s="4"/>
      <c r="N42" s="115"/>
      <c r="O42" s="29"/>
      <c r="P42" s="44"/>
      <c r="Q42" s="44"/>
      <c r="R42" s="30"/>
      <c r="S42" s="30"/>
      <c r="T42" s="30"/>
      <c r="U42" s="30"/>
      <c r="V42" s="30"/>
      <c r="W42" s="30"/>
      <c r="X42" s="30"/>
      <c r="Y42" s="30"/>
      <c r="Z42" s="30"/>
      <c r="AA42" s="30"/>
      <c r="AB42" s="30"/>
    </row>
    <row r="43" spans="1:28" s="1" customFormat="1" x14ac:dyDescent="0.35">
      <c r="A43" s="5">
        <f t="shared" ref="A43:A47" si="2">A42+1</f>
        <v>24</v>
      </c>
      <c r="C43" s="2" t="s">
        <v>50</v>
      </c>
      <c r="D43" s="228" t="s">
        <v>286</v>
      </c>
      <c r="E43" s="357">
        <f>'OATT Input Data'!$E$166*-1</f>
        <v>-1889592.7646360728</v>
      </c>
      <c r="F43" s="8"/>
      <c r="G43" s="8" t="str">
        <f>G15</f>
        <v>TP</v>
      </c>
      <c r="H43" s="123">
        <f>H15</f>
        <v>0.96242000000000005</v>
      </c>
      <c r="I43" s="8"/>
      <c r="J43" s="357">
        <f t="shared" si="1"/>
        <v>-1818582</v>
      </c>
      <c r="K43" s="8"/>
      <c r="L43" s="356"/>
      <c r="M43" s="4"/>
      <c r="N43" s="115"/>
      <c r="O43" s="29"/>
      <c r="P43" s="44"/>
      <c r="Q43" s="44"/>
      <c r="R43" s="30"/>
      <c r="S43" s="30"/>
      <c r="T43" s="30"/>
      <c r="U43" s="30"/>
      <c r="V43" s="30"/>
      <c r="W43" s="30"/>
      <c r="X43" s="30"/>
      <c r="Y43" s="30"/>
      <c r="Z43" s="30"/>
      <c r="AA43" s="30"/>
      <c r="AB43" s="30"/>
    </row>
    <row r="44" spans="1:28" s="1" customFormat="1" x14ac:dyDescent="0.35">
      <c r="A44" s="5">
        <f t="shared" si="2"/>
        <v>25</v>
      </c>
      <c r="C44" s="358" t="s">
        <v>51</v>
      </c>
      <c r="D44" s="228" t="s">
        <v>286</v>
      </c>
      <c r="E44" s="46">
        <f>'OATT Input Data'!$E$173*-1</f>
        <v>-18763845.092523225</v>
      </c>
      <c r="F44" s="8"/>
      <c r="G44" s="8"/>
      <c r="H44" s="359">
        <v>1</v>
      </c>
      <c r="I44" s="8"/>
      <c r="J44" s="46">
        <f t="shared" si="1"/>
        <v>-18763845</v>
      </c>
      <c r="K44" s="8"/>
      <c r="L44" s="356"/>
      <c r="M44" s="4"/>
      <c r="N44" s="116"/>
      <c r="O44" s="29"/>
      <c r="P44" s="44"/>
      <c r="Q44" s="44"/>
      <c r="R44" s="30"/>
      <c r="S44" s="30"/>
      <c r="T44" s="30"/>
      <c r="U44" s="30"/>
      <c r="V44" s="30"/>
      <c r="W44" s="30"/>
      <c r="X44" s="30"/>
      <c r="Y44" s="30"/>
      <c r="Z44" s="30"/>
      <c r="AA44" s="30"/>
      <c r="AB44" s="30"/>
    </row>
    <row r="45" spans="1:28" s="1" customFormat="1" x14ac:dyDescent="0.35">
      <c r="A45" s="5">
        <f t="shared" si="2"/>
        <v>26</v>
      </c>
      <c r="C45" s="360" t="s">
        <v>183</v>
      </c>
      <c r="E45" s="46">
        <f>'OATT Input Data'!$E$157*-1</f>
        <v>-298666.83999999997</v>
      </c>
      <c r="F45" s="8"/>
      <c r="G45" s="8" t="str">
        <f>$G$15</f>
        <v>TP</v>
      </c>
      <c r="H45" s="123">
        <f>$H$15</f>
        <v>0.96242000000000005</v>
      </c>
      <c r="I45" s="8"/>
      <c r="J45" s="46">
        <f t="shared" si="1"/>
        <v>-287443</v>
      </c>
      <c r="K45" s="8"/>
      <c r="L45" s="356"/>
      <c r="M45" s="4"/>
      <c r="N45" s="116"/>
      <c r="O45" s="29"/>
      <c r="P45" s="44"/>
      <c r="Q45" s="44"/>
      <c r="R45" s="30"/>
      <c r="S45" s="30"/>
      <c r="T45" s="30"/>
      <c r="U45" s="30"/>
      <c r="V45" s="30"/>
      <c r="W45" s="30"/>
      <c r="X45" s="30"/>
      <c r="Y45" s="30"/>
      <c r="Z45" s="30"/>
      <c r="AA45" s="30"/>
      <c r="AB45" s="30"/>
    </row>
    <row r="46" spans="1:28" s="1" customFormat="1" ht="18.5" x14ac:dyDescent="0.65">
      <c r="A46" s="5">
        <f t="shared" si="2"/>
        <v>27</v>
      </c>
      <c r="C46" s="360" t="s">
        <v>184</v>
      </c>
      <c r="E46" s="361">
        <f>'OATT Input Data'!$E$160*-1</f>
        <v>0</v>
      </c>
      <c r="F46" s="8"/>
      <c r="G46" s="8" t="str">
        <f>$G$18</f>
        <v>CE</v>
      </c>
      <c r="H46" s="123">
        <f>$H$18</f>
        <v>6.0389999999999999E-2</v>
      </c>
      <c r="I46" s="8"/>
      <c r="J46" s="361">
        <f t="shared" si="1"/>
        <v>0</v>
      </c>
      <c r="K46" s="8"/>
      <c r="L46" s="356"/>
      <c r="M46" s="4"/>
      <c r="N46" s="116"/>
      <c r="O46" s="29"/>
      <c r="P46" s="44"/>
      <c r="Q46" s="44"/>
      <c r="R46" s="30"/>
      <c r="S46" s="30"/>
      <c r="T46" s="30"/>
      <c r="U46" s="30"/>
      <c r="V46" s="30"/>
      <c r="W46" s="30"/>
      <c r="X46" s="30"/>
      <c r="Y46" s="30"/>
      <c r="Z46" s="30"/>
      <c r="AA46" s="30"/>
      <c r="AB46" s="30"/>
    </row>
    <row r="47" spans="1:28" s="1" customFormat="1" x14ac:dyDescent="0.35">
      <c r="A47" s="5">
        <f t="shared" si="2"/>
        <v>28</v>
      </c>
      <c r="C47" s="7" t="s">
        <v>192</v>
      </c>
      <c r="D47" s="165" t="s">
        <v>264</v>
      </c>
      <c r="E47" s="107">
        <f>ROUND(SUM(E38:E46),0)</f>
        <v>-2443638413</v>
      </c>
      <c r="F47" s="8"/>
      <c r="G47" s="8"/>
      <c r="H47" s="8"/>
      <c r="I47" s="8"/>
      <c r="J47" s="107">
        <f>ROUND(SUM(J39:J46),0)</f>
        <v>-270697281</v>
      </c>
      <c r="K47" s="8"/>
      <c r="L47" s="8"/>
      <c r="M47" s="4"/>
      <c r="N47" s="116"/>
      <c r="O47" s="44"/>
      <c r="P47" s="19"/>
      <c r="Q47" s="30"/>
      <c r="R47" s="30"/>
      <c r="S47" s="30"/>
      <c r="T47" s="30"/>
      <c r="U47" s="30"/>
      <c r="V47" s="30"/>
      <c r="W47" s="30"/>
      <c r="X47" s="30"/>
      <c r="Y47" s="30"/>
      <c r="Z47" s="30"/>
      <c r="AA47" s="30"/>
      <c r="AB47" s="30"/>
    </row>
    <row r="48" spans="1:28" s="1" customFormat="1" x14ac:dyDescent="0.35">
      <c r="A48" s="5"/>
      <c r="D48" s="8"/>
      <c r="E48" s="46"/>
      <c r="F48" s="8"/>
      <c r="G48" s="8"/>
      <c r="H48" s="356"/>
      <c r="I48" s="8"/>
      <c r="J48" s="46"/>
      <c r="K48" s="8"/>
      <c r="L48" s="356"/>
      <c r="M48" s="4"/>
      <c r="N48" s="62"/>
      <c r="O48" s="44"/>
      <c r="P48" s="30"/>
      <c r="Q48" s="30"/>
      <c r="R48" s="30"/>
      <c r="S48" s="30"/>
      <c r="T48" s="30"/>
      <c r="U48" s="30"/>
      <c r="V48" s="30"/>
      <c r="W48" s="30"/>
      <c r="X48" s="30"/>
      <c r="Y48" s="30"/>
      <c r="Z48" s="30"/>
      <c r="AA48" s="30"/>
      <c r="AB48" s="30"/>
    </row>
    <row r="49" spans="1:19" x14ac:dyDescent="0.35">
      <c r="A49" s="5">
        <f>A47+1</f>
        <v>29</v>
      </c>
      <c r="C49" s="2" t="s">
        <v>259</v>
      </c>
      <c r="D49" s="162" t="s">
        <v>334</v>
      </c>
      <c r="E49" s="308">
        <f>'OATT Input Data'!$E$175*-1</f>
        <v>0</v>
      </c>
      <c r="F49" s="8"/>
      <c r="G49" s="8" t="str">
        <f>+G23</f>
        <v>TP</v>
      </c>
      <c r="H49" s="353">
        <f>+H23</f>
        <v>0.96242000000000005</v>
      </c>
      <c r="I49" s="8"/>
      <c r="J49" s="308">
        <f>ROUND(E49*H49,0)</f>
        <v>0</v>
      </c>
      <c r="K49" s="8"/>
      <c r="L49" s="8"/>
      <c r="M49" s="4"/>
      <c r="N49" s="62"/>
      <c r="O49" s="44"/>
      <c r="P49" s="44"/>
      <c r="Q49" s="44"/>
    </row>
    <row r="50" spans="1:19" x14ac:dyDescent="0.35">
      <c r="A50" s="5"/>
      <c r="C50" s="2"/>
      <c r="D50" s="8"/>
      <c r="E50" s="46"/>
      <c r="F50" s="8"/>
      <c r="G50" s="8"/>
      <c r="H50" s="8"/>
      <c r="I50" s="8"/>
      <c r="J50" s="46"/>
      <c r="K50" s="8"/>
      <c r="L50" s="8"/>
      <c r="M50" s="4"/>
      <c r="N50" s="62"/>
      <c r="O50" s="44"/>
      <c r="P50" s="19"/>
    </row>
    <row r="51" spans="1:19" x14ac:dyDescent="0.35">
      <c r="A51" s="5"/>
      <c r="C51" s="7" t="s">
        <v>255</v>
      </c>
      <c r="D51" s="165" t="s">
        <v>254</v>
      </c>
      <c r="E51" s="46"/>
      <c r="F51" s="8"/>
      <c r="G51" s="8"/>
      <c r="H51" s="8"/>
      <c r="I51" s="8"/>
      <c r="J51" s="46"/>
      <c r="K51" s="8"/>
      <c r="L51" s="8"/>
      <c r="M51" s="4"/>
      <c r="N51" s="44"/>
      <c r="O51" s="44"/>
      <c r="P51" s="19"/>
    </row>
    <row r="52" spans="1:19" x14ac:dyDescent="0.35">
      <c r="A52" s="5">
        <f>A49+1</f>
        <v>30</v>
      </c>
      <c r="C52" s="360" t="s">
        <v>169</v>
      </c>
      <c r="D52" s="80" t="s">
        <v>52</v>
      </c>
      <c r="E52" s="107">
        <f>ROUND('NITS Pg 3 of 5'!$E$22/8,0)</f>
        <v>31641465</v>
      </c>
      <c r="F52" s="8"/>
      <c r="G52" s="8"/>
      <c r="H52" s="356"/>
      <c r="I52" s="8"/>
      <c r="J52" s="107">
        <f>ROUND('NITS Pg 3 of 5'!$J$22/8,0)</f>
        <v>9131772</v>
      </c>
      <c r="K52" s="4"/>
      <c r="L52" s="356"/>
      <c r="M52" s="4"/>
      <c r="N52" s="117"/>
      <c r="O52" s="118"/>
      <c r="P52" s="19"/>
    </row>
    <row r="53" spans="1:19" x14ac:dyDescent="0.35">
      <c r="A53" s="5">
        <f>A52+1</f>
        <v>31</v>
      </c>
      <c r="C53" s="360" t="s">
        <v>256</v>
      </c>
      <c r="D53" s="162" t="s">
        <v>382</v>
      </c>
      <c r="E53" s="46">
        <f>'OATT Input Data'!$E$182</f>
        <v>16940223.293587647</v>
      </c>
      <c r="F53" s="8"/>
      <c r="G53" s="8" t="s">
        <v>53</v>
      </c>
      <c r="H53" s="353">
        <f>'PTP Pg 4 of 5'!$J$25</f>
        <v>0.87946000000000002</v>
      </c>
      <c r="I53" s="8"/>
      <c r="J53" s="46">
        <f t="shared" ref="J53:J54" si="3">ROUND(E53*H53,0)</f>
        <v>14898249</v>
      </c>
      <c r="K53" s="8" t="s">
        <v>0</v>
      </c>
      <c r="L53" s="356"/>
      <c r="M53" s="4"/>
      <c r="N53" s="119"/>
      <c r="O53" s="118"/>
      <c r="P53" s="47"/>
      <c r="Q53" s="47"/>
    </row>
    <row r="54" spans="1:19" ht="18.5" x14ac:dyDescent="0.65">
      <c r="A54" s="5">
        <f t="shared" ref="A54:A55" si="4">A53+1</f>
        <v>32</v>
      </c>
      <c r="C54" s="358" t="s">
        <v>170</v>
      </c>
      <c r="D54" s="162" t="s">
        <v>417</v>
      </c>
      <c r="E54" s="595">
        <f>'OATT Input Data'!$E$188</f>
        <v>33076522</v>
      </c>
      <c r="F54" s="8"/>
      <c r="G54" s="8" t="s">
        <v>54</v>
      </c>
      <c r="H54" s="353">
        <f>+H19</f>
        <v>9.9720000000000003E-2</v>
      </c>
      <c r="I54" s="8"/>
      <c r="J54" s="354">
        <f t="shared" si="3"/>
        <v>3298391</v>
      </c>
      <c r="K54" s="8"/>
      <c r="L54" s="356"/>
      <c r="M54" s="4"/>
      <c r="N54" s="119"/>
      <c r="O54" s="29"/>
      <c r="P54" s="47"/>
      <c r="Q54" s="47"/>
    </row>
    <row r="55" spans="1:19" x14ac:dyDescent="0.35">
      <c r="A55" s="5">
        <f t="shared" si="4"/>
        <v>33</v>
      </c>
      <c r="C55" s="7" t="s">
        <v>193</v>
      </c>
      <c r="D55" s="165" t="str">
        <f>"Sum of Ls. "&amp;A52&amp;" - "&amp;A54</f>
        <v>Sum of Ls. 30 - 32</v>
      </c>
      <c r="E55" s="107">
        <f>ROUND(SUM(E52:E54),0)</f>
        <v>81658210</v>
      </c>
      <c r="F55" s="4"/>
      <c r="G55" s="4"/>
      <c r="H55" s="4"/>
      <c r="I55" s="4"/>
      <c r="J55" s="107">
        <f>ROUND(SUM(J52:J54),0)</f>
        <v>27328412</v>
      </c>
      <c r="K55" s="4"/>
      <c r="L55" s="4"/>
      <c r="M55" s="4"/>
      <c r="N55" s="111"/>
      <c r="O55" s="44"/>
      <c r="P55" s="19"/>
    </row>
    <row r="56" spans="1:19" x14ac:dyDescent="0.35">
      <c r="D56" s="8"/>
      <c r="E56" s="46"/>
      <c r="F56" s="8"/>
      <c r="G56" s="8"/>
      <c r="H56" s="8"/>
      <c r="I56" s="8"/>
      <c r="J56" s="46"/>
      <c r="K56" s="8"/>
      <c r="L56" s="8"/>
      <c r="M56" s="4"/>
      <c r="N56" s="44"/>
      <c r="O56" s="44"/>
      <c r="P56" s="19"/>
    </row>
    <row r="57" spans="1:19" x14ac:dyDescent="0.35">
      <c r="A57" s="5">
        <f>A55+1</f>
        <v>34</v>
      </c>
      <c r="C57" s="2" t="s">
        <v>257</v>
      </c>
      <c r="D57" s="165" t="s">
        <v>258</v>
      </c>
      <c r="E57" s="362">
        <f>ROUND(E55+E49+E47+E35,0)</f>
        <v>8214553315</v>
      </c>
      <c r="F57" s="8"/>
      <c r="G57" s="8"/>
      <c r="H57" s="356"/>
      <c r="I57" s="8"/>
      <c r="J57" s="362">
        <f>ROUND(J55+J49+J47+J35,0)</f>
        <v>847250841</v>
      </c>
      <c r="K57" s="8"/>
      <c r="L57" s="356"/>
      <c r="M57" s="8"/>
      <c r="N57" s="44"/>
      <c r="O57" s="44"/>
      <c r="P57" s="19"/>
    </row>
    <row r="58" spans="1:19" x14ac:dyDescent="0.35">
      <c r="A58" s="5"/>
      <c r="C58" s="2"/>
      <c r="D58" s="8"/>
      <c r="E58" s="8"/>
      <c r="F58" s="8"/>
      <c r="G58" s="8"/>
      <c r="H58" s="8"/>
      <c r="I58" s="8"/>
      <c r="J58" s="8"/>
      <c r="K58" s="8"/>
      <c r="L58" s="8"/>
      <c r="M58" s="8"/>
      <c r="N58" s="44"/>
      <c r="O58" s="44"/>
      <c r="P58" s="19"/>
    </row>
    <row r="59" spans="1:19" x14ac:dyDescent="0.35">
      <c r="Q59" s="79"/>
      <c r="R59" s="79"/>
      <c r="S59" s="79"/>
    </row>
    <row r="60" spans="1:19" x14ac:dyDescent="0.35">
      <c r="Q60" s="79"/>
      <c r="R60" s="79"/>
      <c r="S60" s="79"/>
    </row>
    <row r="61" spans="1:19" x14ac:dyDescent="0.35">
      <c r="Q61" s="79"/>
      <c r="R61" s="79"/>
      <c r="S61" s="79"/>
    </row>
    <row r="62" spans="1:19" x14ac:dyDescent="0.35">
      <c r="Q62" s="79"/>
      <c r="R62" s="79"/>
      <c r="S62" s="79"/>
    </row>
    <row r="63" spans="1:19" x14ac:dyDescent="0.35">
      <c r="Q63" s="79"/>
      <c r="R63" s="79"/>
      <c r="S63" s="79"/>
    </row>
    <row r="64" spans="1:19" x14ac:dyDescent="0.35">
      <c r="Q64" s="79"/>
      <c r="R64" s="79"/>
      <c r="S64" s="79"/>
    </row>
    <row r="65" spans="17:43" s="1" customFormat="1" x14ac:dyDescent="0.35">
      <c r="Q65" s="79"/>
      <c r="R65" s="79"/>
      <c r="S65" s="79"/>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7:43" s="1" customFormat="1" x14ac:dyDescent="0.35">
      <c r="Q66" s="79"/>
      <c r="R66" s="79"/>
      <c r="S66" s="79"/>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7:43" s="1" customFormat="1" x14ac:dyDescent="0.35">
      <c r="Q67" s="79"/>
      <c r="R67" s="79"/>
      <c r="S67" s="79"/>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7:43" s="1" customFormat="1" x14ac:dyDescent="0.35">
      <c r="Q68" s="79"/>
      <c r="R68" s="79"/>
      <c r="S68" s="79"/>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7:43" s="1" customFormat="1" x14ac:dyDescent="0.35">
      <c r="Q69" s="79"/>
      <c r="R69" s="79"/>
      <c r="S69" s="79"/>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17:43" s="1" customFormat="1" x14ac:dyDescent="0.35">
      <c r="Q70" s="79"/>
      <c r="R70" s="79"/>
      <c r="S70" s="79"/>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row>
    <row r="71" spans="17:43" s="1" customFormat="1" x14ac:dyDescent="0.35">
      <c r="Q71" s="79"/>
      <c r="R71" s="79"/>
      <c r="S71" s="79"/>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row>
    <row r="72" spans="17:43" s="1" customFormat="1" x14ac:dyDescent="0.35">
      <c r="Q72" s="79"/>
      <c r="R72" s="79"/>
      <c r="S72" s="79"/>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row>
    <row r="73" spans="17:43" s="1" customFormat="1" x14ac:dyDescent="0.35">
      <c r="Q73" s="79"/>
      <c r="R73" s="79"/>
      <c r="S73" s="79"/>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row>
    <row r="74" spans="17:43" s="1" customFormat="1" x14ac:dyDescent="0.35">
      <c r="Q74" s="79"/>
      <c r="R74" s="79"/>
      <c r="S74" s="79"/>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row>
    <row r="75" spans="17:43" s="1" customFormat="1" x14ac:dyDescent="0.35">
      <c r="Q75" s="79"/>
      <c r="R75" s="79"/>
      <c r="S75" s="79"/>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row>
    <row r="76" spans="17:43" s="1" customFormat="1" x14ac:dyDescent="0.35">
      <c r="Q76" s="79"/>
      <c r="R76" s="79"/>
      <c r="S76" s="79"/>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row>
    <row r="77" spans="17:43" s="1" customFormat="1" x14ac:dyDescent="0.35">
      <c r="Q77" s="79"/>
      <c r="R77" s="79"/>
      <c r="S77" s="79"/>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row>
    <row r="78" spans="17:43" s="1" customFormat="1" x14ac:dyDescent="0.35">
      <c r="Q78" s="79"/>
      <c r="R78" s="79"/>
      <c r="S78" s="79"/>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row>
    <row r="79" spans="17:43" s="1" customFormat="1" x14ac:dyDescent="0.35">
      <c r="Q79" s="79"/>
      <c r="R79" s="79"/>
      <c r="S79" s="79"/>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row>
    <row r="80" spans="17:43" s="1" customFormat="1" x14ac:dyDescent="0.35">
      <c r="Q80" s="79"/>
      <c r="R80" s="79"/>
      <c r="S80" s="79"/>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row>
    <row r="81" spans="17:43" s="1" customFormat="1" x14ac:dyDescent="0.35">
      <c r="Q81" s="79"/>
      <c r="R81" s="79"/>
      <c r="S81" s="79"/>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row>
    <row r="82" spans="17:43" s="1" customFormat="1" x14ac:dyDescent="0.35">
      <c r="Q82" s="79"/>
      <c r="R82" s="79"/>
      <c r="S82" s="79"/>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row>
    <row r="83" spans="17:43" s="1" customFormat="1" x14ac:dyDescent="0.35">
      <c r="Q83" s="79"/>
      <c r="R83" s="79"/>
      <c r="S83" s="79"/>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row>
    <row r="84" spans="17:43" s="1" customFormat="1" x14ac:dyDescent="0.35">
      <c r="Q84" s="79"/>
      <c r="R84" s="79"/>
      <c r="S84" s="79"/>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row>
    <row r="85" spans="17:43" s="1" customFormat="1" x14ac:dyDescent="0.35">
      <c r="Q85" s="79"/>
      <c r="R85" s="79"/>
      <c r="S85" s="79"/>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row>
    <row r="86" spans="17:43" s="1" customFormat="1" x14ac:dyDescent="0.35">
      <c r="Q86" s="79"/>
      <c r="R86" s="79"/>
      <c r="S86" s="79"/>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row>
    <row r="87" spans="17:43" s="1" customFormat="1" x14ac:dyDescent="0.35">
      <c r="Q87" s="79"/>
      <c r="R87" s="79"/>
      <c r="S87" s="79"/>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row>
    <row r="88" spans="17:43" s="1" customFormat="1" x14ac:dyDescent="0.35">
      <c r="Q88" s="79"/>
      <c r="R88" s="79"/>
      <c r="S88" s="79"/>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row>
    <row r="89" spans="17:43" s="1" customFormat="1" x14ac:dyDescent="0.35">
      <c r="Q89" s="79"/>
      <c r="R89" s="79"/>
      <c r="S89" s="79"/>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row>
    <row r="90" spans="17:43" s="1" customFormat="1" x14ac:dyDescent="0.35">
      <c r="Q90" s="79"/>
      <c r="R90" s="79"/>
      <c r="S90" s="79"/>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7:43" s="1" customFormat="1" x14ac:dyDescent="0.35">
      <c r="Q91" s="79"/>
      <c r="R91" s="79"/>
      <c r="S91" s="79"/>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row>
    <row r="92" spans="17:43" s="1" customFormat="1" x14ac:dyDescent="0.35">
      <c r="Q92" s="79"/>
      <c r="R92" s="79"/>
      <c r="S92" s="79"/>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pans="17:43" s="1" customFormat="1" x14ac:dyDescent="0.35">
      <c r="Q93" s="79"/>
      <c r="R93" s="79"/>
      <c r="S93" s="79"/>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row>
    <row r="94" spans="17:43" s="1" customFormat="1" x14ac:dyDescent="0.35">
      <c r="Q94" s="79"/>
      <c r="R94" s="79"/>
      <c r="S94" s="79"/>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17:43" s="1" customFormat="1" x14ac:dyDescent="0.35">
      <c r="Q95" s="79"/>
      <c r="R95" s="79"/>
      <c r="S95" s="79"/>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17:43" s="1" customFormat="1" x14ac:dyDescent="0.35">
      <c r="Q96" s="79"/>
      <c r="R96" s="79"/>
      <c r="S96" s="79"/>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17:43" s="1" customFormat="1" x14ac:dyDescent="0.35">
      <c r="Q97" s="79"/>
      <c r="R97" s="79"/>
      <c r="S97" s="79"/>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row>
    <row r="98" spans="17:43" s="1" customFormat="1" x14ac:dyDescent="0.35">
      <c r="Q98" s="79"/>
      <c r="R98" s="79"/>
      <c r="S98" s="79"/>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row>
    <row r="99" spans="17:43" s="1" customFormat="1" x14ac:dyDescent="0.35">
      <c r="Q99" s="79"/>
      <c r="R99" s="79"/>
      <c r="S99" s="79"/>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7:43" s="1" customFormat="1" x14ac:dyDescent="0.35">
      <c r="Q100" s="79"/>
      <c r="R100" s="79"/>
      <c r="S100" s="79"/>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row>
    <row r="101" spans="17:43" s="1" customFormat="1" x14ac:dyDescent="0.35">
      <c r="Q101" s="79"/>
      <c r="R101" s="79"/>
      <c r="S101" s="79"/>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row>
    <row r="102" spans="17:43" s="1" customFormat="1" x14ac:dyDescent="0.35">
      <c r="Q102" s="79"/>
      <c r="R102" s="79"/>
      <c r="S102" s="79"/>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row>
    <row r="103" spans="17:43" s="1" customFormat="1" x14ac:dyDescent="0.35">
      <c r="Q103" s="79"/>
      <c r="R103" s="79"/>
      <c r="S103" s="79"/>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row>
    <row r="104" spans="17:43" s="1" customFormat="1" x14ac:dyDescent="0.35">
      <c r="Q104" s="79"/>
      <c r="R104" s="79"/>
      <c r="S104" s="79"/>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row>
    <row r="105" spans="17:43" s="1" customFormat="1" x14ac:dyDescent="0.35">
      <c r="Q105" s="79"/>
      <c r="R105" s="79"/>
      <c r="S105" s="79"/>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row>
    <row r="106" spans="17:43" s="1" customFormat="1" x14ac:dyDescent="0.35">
      <c r="Q106" s="79"/>
      <c r="R106" s="79"/>
      <c r="S106" s="79"/>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row>
    <row r="107" spans="17:43" s="1" customFormat="1" x14ac:dyDescent="0.35">
      <c r="Q107" s="79"/>
      <c r="R107" s="79"/>
      <c r="S107" s="79"/>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row>
    <row r="108" spans="17:43" s="1" customFormat="1" x14ac:dyDescent="0.35">
      <c r="Q108" s="79"/>
      <c r="R108" s="79"/>
      <c r="S108" s="79"/>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row>
    <row r="109" spans="17:43" s="1" customFormat="1" x14ac:dyDescent="0.35">
      <c r="Q109" s="79"/>
      <c r="R109" s="79"/>
      <c r="S109" s="79"/>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row>
    <row r="110" spans="17:43" s="1" customFormat="1" x14ac:dyDescent="0.35">
      <c r="Q110" s="79"/>
      <c r="R110" s="79"/>
      <c r="S110" s="79"/>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row>
    <row r="111" spans="17:43" s="1" customFormat="1" x14ac:dyDescent="0.35">
      <c r="Q111" s="79"/>
      <c r="R111" s="79"/>
      <c r="S111" s="79"/>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row>
    <row r="112" spans="17:43" s="1" customFormat="1" x14ac:dyDescent="0.35">
      <c r="Q112" s="79"/>
      <c r="R112" s="79"/>
      <c r="S112" s="79"/>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row>
    <row r="113" spans="17:43" s="1" customFormat="1" x14ac:dyDescent="0.35">
      <c r="Q113" s="79"/>
      <c r="R113" s="79"/>
      <c r="S113" s="79"/>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row>
    <row r="114" spans="17:43" s="1" customFormat="1" x14ac:dyDescent="0.35">
      <c r="Q114" s="79"/>
      <c r="R114" s="79"/>
      <c r="S114" s="79"/>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row>
    <row r="115" spans="17:43" s="1" customFormat="1" x14ac:dyDescent="0.35">
      <c r="Q115" s="79"/>
      <c r="R115" s="79"/>
      <c r="S115" s="79"/>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row r="116" spans="17:43" s="1" customFormat="1" x14ac:dyDescent="0.35">
      <c r="Q116" s="79"/>
      <c r="R116" s="79"/>
      <c r="S116" s="79"/>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7:43" s="1" customFormat="1" x14ac:dyDescent="0.35">
      <c r="Q117" s="79"/>
      <c r="R117" s="79"/>
      <c r="S117" s="79"/>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7:43" s="1" customFormat="1" x14ac:dyDescent="0.35">
      <c r="Q118" s="79"/>
      <c r="R118" s="79"/>
      <c r="S118" s="79"/>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7:43" s="1" customFormat="1" x14ac:dyDescent="0.35">
      <c r="Q119" s="79"/>
      <c r="R119" s="79"/>
      <c r="S119" s="79"/>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7:43" s="1" customFormat="1" x14ac:dyDescent="0.35">
      <c r="Q120" s="79"/>
      <c r="R120" s="79"/>
      <c r="S120" s="79"/>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7:43" s="1" customFormat="1" x14ac:dyDescent="0.35">
      <c r="Q121" s="79"/>
      <c r="R121" s="79"/>
      <c r="S121" s="79"/>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7:43" s="1" customFormat="1" x14ac:dyDescent="0.35">
      <c r="Q122" s="79"/>
      <c r="R122" s="79"/>
      <c r="S122" s="79"/>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7:43" s="1" customFormat="1" x14ac:dyDescent="0.35">
      <c r="Q123" s="79"/>
      <c r="R123" s="79"/>
      <c r="S123" s="79"/>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7:43" s="1" customFormat="1" x14ac:dyDescent="0.35">
      <c r="Q124" s="79"/>
      <c r="R124" s="79"/>
      <c r="S124" s="79"/>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7:43" s="1" customFormat="1" x14ac:dyDescent="0.35">
      <c r="Q125" s="79"/>
      <c r="R125" s="79"/>
      <c r="S125" s="7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7:43" s="1" customFormat="1" x14ac:dyDescent="0.35">
      <c r="Q126" s="79"/>
      <c r="R126" s="79"/>
      <c r="S126" s="79"/>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row r="127" spans="17:43" s="1" customFormat="1" x14ac:dyDescent="0.35">
      <c r="Q127" s="79"/>
      <c r="R127" s="79"/>
      <c r="S127" s="79"/>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row>
    <row r="128" spans="17:43" s="1" customFormat="1" x14ac:dyDescent="0.35">
      <c r="Q128" s="79"/>
      <c r="R128" s="79"/>
      <c r="S128" s="79"/>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row>
    <row r="129" spans="17:43" s="1" customFormat="1" x14ac:dyDescent="0.35">
      <c r="Q129" s="79"/>
      <c r="R129" s="79"/>
      <c r="S129" s="79"/>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row>
    <row r="130" spans="17:43" s="1" customFormat="1" x14ac:dyDescent="0.35">
      <c r="Q130" s="79"/>
      <c r="R130" s="79"/>
      <c r="S130" s="79"/>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row>
    <row r="131" spans="17:43" s="1" customFormat="1" x14ac:dyDescent="0.35">
      <c r="Q131" s="79"/>
      <c r="R131" s="79"/>
      <c r="S131" s="79"/>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row>
    <row r="132" spans="17:43" s="1" customFormat="1" x14ac:dyDescent="0.35">
      <c r="Q132" s="79"/>
      <c r="R132" s="79"/>
      <c r="S132" s="79"/>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row>
    <row r="133" spans="17:43" s="1" customFormat="1" x14ac:dyDescent="0.35">
      <c r="Q133" s="79"/>
      <c r="R133" s="79"/>
      <c r="S133" s="79"/>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row>
    <row r="134" spans="17:43" s="1" customFormat="1" x14ac:dyDescent="0.35">
      <c r="Q134" s="79"/>
      <c r="R134" s="79"/>
      <c r="S134" s="79"/>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row r="135" spans="17:43" s="1" customFormat="1" x14ac:dyDescent="0.35">
      <c r="Q135" s="79"/>
      <c r="R135" s="79"/>
      <c r="S135" s="79"/>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row>
    <row r="136" spans="17:43" s="1" customFormat="1" x14ac:dyDescent="0.35">
      <c r="Q136" s="79"/>
      <c r="R136" s="79"/>
      <c r="S136" s="79"/>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row>
    <row r="137" spans="17:43" s="1" customFormat="1" x14ac:dyDescent="0.35">
      <c r="Q137" s="79"/>
      <c r="R137" s="79"/>
      <c r="S137" s="79"/>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row>
    <row r="138" spans="17:43" s="1" customFormat="1" x14ac:dyDescent="0.35">
      <c r="Q138" s="79"/>
      <c r="R138" s="79"/>
      <c r="S138" s="79"/>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row>
    <row r="139" spans="17:43" s="1" customFormat="1" x14ac:dyDescent="0.35">
      <c r="Q139" s="79"/>
      <c r="R139" s="79"/>
      <c r="S139" s="79"/>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row>
    <row r="140" spans="17:43" s="1" customFormat="1" x14ac:dyDescent="0.35">
      <c r="Q140" s="79"/>
      <c r="R140" s="79"/>
      <c r="S140" s="79"/>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row>
    <row r="141" spans="17:43" s="1" customFormat="1" x14ac:dyDescent="0.35">
      <c r="Q141" s="79"/>
      <c r="R141" s="79"/>
      <c r="S141" s="79"/>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row>
    <row r="142" spans="17:43" s="1" customFormat="1" x14ac:dyDescent="0.35">
      <c r="Q142" s="79"/>
      <c r="R142" s="79"/>
      <c r="S142" s="79"/>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row>
    <row r="143" spans="17:43" s="1" customFormat="1" x14ac:dyDescent="0.35">
      <c r="Q143" s="79"/>
      <c r="R143" s="79"/>
      <c r="S143" s="79"/>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row>
    <row r="144" spans="17:43" s="1" customFormat="1" x14ac:dyDescent="0.35">
      <c r="Q144" s="79"/>
      <c r="R144" s="79"/>
      <c r="S144" s="79"/>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row>
    <row r="145" spans="17:43" s="1" customFormat="1" x14ac:dyDescent="0.35">
      <c r="Q145" s="79"/>
      <c r="R145" s="79"/>
      <c r="S145" s="79"/>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row>
    <row r="146" spans="17:43" s="1" customFormat="1" x14ac:dyDescent="0.35">
      <c r="Q146" s="79"/>
      <c r="R146" s="79"/>
      <c r="S146" s="79"/>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row>
    <row r="147" spans="17:43" s="1" customFormat="1" x14ac:dyDescent="0.35">
      <c r="Q147" s="79"/>
      <c r="R147" s="79"/>
      <c r="S147" s="79"/>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row>
    <row r="148" spans="17:43" s="1" customFormat="1" x14ac:dyDescent="0.35">
      <c r="Q148" s="79"/>
      <c r="R148" s="79"/>
      <c r="S148" s="79"/>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row>
    <row r="149" spans="17:43" s="1" customFormat="1" x14ac:dyDescent="0.35">
      <c r="Q149" s="79"/>
      <c r="R149" s="79"/>
      <c r="S149" s="79"/>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row>
    <row r="150" spans="17:43" s="1" customFormat="1" x14ac:dyDescent="0.35">
      <c r="Q150" s="79"/>
      <c r="R150" s="79"/>
      <c r="S150" s="79"/>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row>
    <row r="151" spans="17:43" s="1" customFormat="1" x14ac:dyDescent="0.35">
      <c r="Q151" s="79"/>
      <c r="R151" s="79"/>
      <c r="S151" s="79"/>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row>
    <row r="152" spans="17:43" s="1" customFormat="1" x14ac:dyDescent="0.35">
      <c r="Q152" s="79"/>
      <c r="R152" s="79"/>
      <c r="S152" s="79"/>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row>
    <row r="153" spans="17:43" s="1" customFormat="1" x14ac:dyDescent="0.35">
      <c r="Q153" s="79"/>
      <c r="R153" s="79"/>
      <c r="S153" s="79"/>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row>
    <row r="154" spans="17:43" s="1" customFormat="1" x14ac:dyDescent="0.35">
      <c r="Q154" s="79"/>
      <c r="R154" s="79"/>
      <c r="S154" s="79"/>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row>
    <row r="155" spans="17:43" s="1" customFormat="1" x14ac:dyDescent="0.35">
      <c r="Q155" s="79"/>
      <c r="R155" s="79"/>
      <c r="S155" s="79"/>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row>
    <row r="156" spans="17:43" s="1" customFormat="1" x14ac:dyDescent="0.35">
      <c r="Q156" s="79"/>
      <c r="R156" s="79"/>
      <c r="S156" s="79"/>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row>
    <row r="157" spans="17:43" s="1" customFormat="1" x14ac:dyDescent="0.35">
      <c r="Q157" s="79"/>
      <c r="R157" s="79"/>
      <c r="S157" s="79"/>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row>
    <row r="158" spans="17:43" s="1" customFormat="1" x14ac:dyDescent="0.35">
      <c r="Q158" s="79"/>
      <c r="R158" s="79"/>
      <c r="S158" s="79"/>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row>
    <row r="159" spans="17:43" s="1" customFormat="1" x14ac:dyDescent="0.35">
      <c r="Q159" s="79"/>
      <c r="R159" s="79"/>
      <c r="S159" s="79"/>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row>
    <row r="160" spans="17:43" s="1" customFormat="1" x14ac:dyDescent="0.35">
      <c r="Q160" s="79"/>
      <c r="R160" s="79"/>
      <c r="S160" s="79"/>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row>
    <row r="161" spans="17:43" s="1" customFormat="1" x14ac:dyDescent="0.35">
      <c r="Q161" s="79"/>
      <c r="R161" s="79"/>
      <c r="S161" s="79"/>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row>
    <row r="162" spans="17:43" s="1" customFormat="1" x14ac:dyDescent="0.35">
      <c r="Q162" s="79"/>
      <c r="R162" s="79"/>
      <c r="S162" s="79"/>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row>
    <row r="163" spans="17:43" s="1" customFormat="1" x14ac:dyDescent="0.35">
      <c r="Q163" s="79"/>
      <c r="R163" s="79"/>
      <c r="S163" s="79"/>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row>
    <row r="164" spans="17:43" s="1" customFormat="1" x14ac:dyDescent="0.35">
      <c r="Q164" s="79"/>
      <c r="R164" s="79"/>
      <c r="S164" s="79"/>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row>
    <row r="165" spans="17:43" s="1" customFormat="1" x14ac:dyDescent="0.35">
      <c r="Q165" s="79"/>
      <c r="R165" s="79"/>
      <c r="S165" s="79"/>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row>
    <row r="166" spans="17:43" s="1" customFormat="1" x14ac:dyDescent="0.35">
      <c r="Q166" s="79"/>
      <c r="R166" s="79"/>
      <c r="S166" s="79"/>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row>
    <row r="167" spans="17:43" s="1" customFormat="1" x14ac:dyDescent="0.35">
      <c r="Q167" s="79"/>
      <c r="R167" s="79"/>
      <c r="S167" s="79"/>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row>
    <row r="168" spans="17:43" s="1" customFormat="1" x14ac:dyDescent="0.35">
      <c r="Q168" s="79"/>
      <c r="R168" s="79"/>
      <c r="S168" s="79"/>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row>
    <row r="169" spans="17:43" s="1" customFormat="1" x14ac:dyDescent="0.35">
      <c r="Q169" s="79"/>
      <c r="R169" s="79"/>
      <c r="S169" s="79"/>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row>
    <row r="170" spans="17:43" s="1" customFormat="1" x14ac:dyDescent="0.35">
      <c r="Q170" s="79"/>
      <c r="R170" s="79"/>
      <c r="S170" s="79"/>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row>
    <row r="171" spans="17:43" s="1" customFormat="1" x14ac:dyDescent="0.35">
      <c r="Q171" s="79"/>
      <c r="R171" s="79"/>
      <c r="S171" s="79"/>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row>
    <row r="172" spans="17:43" s="1" customFormat="1" x14ac:dyDescent="0.35">
      <c r="Q172" s="79"/>
      <c r="R172" s="79"/>
      <c r="S172" s="79"/>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row>
    <row r="173" spans="17:43" s="1" customFormat="1" x14ac:dyDescent="0.35">
      <c r="Q173" s="79"/>
      <c r="R173" s="79"/>
      <c r="S173" s="79"/>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row>
    <row r="174" spans="17:43" s="1" customFormat="1" x14ac:dyDescent="0.35">
      <c r="Q174" s="79"/>
      <c r="R174" s="79"/>
      <c r="S174" s="79"/>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row>
    <row r="175" spans="17:43" s="1" customFormat="1" x14ac:dyDescent="0.35">
      <c r="Q175" s="79"/>
      <c r="R175" s="79"/>
      <c r="S175" s="79"/>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row>
    <row r="176" spans="17:43" s="1" customFormat="1" x14ac:dyDescent="0.35">
      <c r="Q176" s="79"/>
      <c r="R176" s="79"/>
      <c r="S176" s="79"/>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row>
    <row r="177" spans="3:19" x14ac:dyDescent="0.35">
      <c r="Q177" s="79"/>
      <c r="R177" s="79"/>
      <c r="S177" s="79"/>
    </row>
    <row r="178" spans="3:19" x14ac:dyDescent="0.35">
      <c r="Q178" s="79"/>
      <c r="R178" s="79"/>
      <c r="S178" s="79"/>
    </row>
    <row r="179" spans="3:19" x14ac:dyDescent="0.35">
      <c r="Q179" s="79"/>
      <c r="R179" s="79"/>
      <c r="S179" s="79"/>
    </row>
    <row r="180" spans="3:19" x14ac:dyDescent="0.35">
      <c r="Q180" s="79"/>
      <c r="R180" s="79"/>
      <c r="S180" s="79"/>
    </row>
    <row r="181" spans="3:19" x14ac:dyDescent="0.35">
      <c r="Q181" s="79"/>
      <c r="R181" s="79"/>
      <c r="S181" s="79"/>
    </row>
    <row r="182" spans="3:19" x14ac:dyDescent="0.35">
      <c r="Q182" s="79"/>
      <c r="R182" s="79"/>
      <c r="S182" s="79"/>
    </row>
    <row r="183" spans="3:19" x14ac:dyDescent="0.35">
      <c r="C183" s="80"/>
      <c r="D183" s="80"/>
      <c r="E183" s="80"/>
      <c r="F183" s="80"/>
      <c r="G183" s="80"/>
      <c r="H183" s="80"/>
      <c r="I183" s="80"/>
      <c r="J183" s="80"/>
      <c r="K183" s="80"/>
      <c r="L183" s="80"/>
      <c r="M183" s="80"/>
      <c r="N183" s="79"/>
      <c r="O183" s="79"/>
      <c r="Q183" s="79"/>
      <c r="R183" s="79"/>
      <c r="S183" s="79"/>
    </row>
    <row r="184" spans="3:19" x14ac:dyDescent="0.35">
      <c r="C184" s="80"/>
      <c r="D184" s="80"/>
      <c r="E184" s="80"/>
      <c r="F184" s="80"/>
      <c r="G184" s="80"/>
      <c r="H184" s="80"/>
      <c r="I184" s="80"/>
      <c r="J184" s="80"/>
      <c r="K184" s="80"/>
      <c r="L184" s="80"/>
      <c r="M184" s="80"/>
      <c r="N184" s="79"/>
      <c r="O184" s="79"/>
      <c r="P184" s="79"/>
      <c r="Q184" s="79"/>
      <c r="R184" s="79"/>
      <c r="S184" s="79"/>
    </row>
    <row r="185" spans="3:19" x14ac:dyDescent="0.35">
      <c r="C185" s="80"/>
      <c r="D185" s="80"/>
      <c r="E185" s="80"/>
      <c r="F185" s="80"/>
      <c r="G185" s="80"/>
      <c r="H185" s="80"/>
      <c r="I185" s="80"/>
      <c r="J185" s="80"/>
      <c r="K185" s="80"/>
      <c r="L185" s="80"/>
      <c r="M185" s="80"/>
      <c r="N185" s="79"/>
      <c r="O185" s="79"/>
      <c r="P185" s="79"/>
      <c r="Q185" s="79"/>
      <c r="R185" s="79"/>
      <c r="S185" s="79"/>
    </row>
    <row r="186" spans="3:19" x14ac:dyDescent="0.35">
      <c r="C186" s="80"/>
      <c r="D186" s="80"/>
      <c r="E186" s="80"/>
      <c r="F186" s="80"/>
      <c r="G186" s="80"/>
      <c r="H186" s="80"/>
      <c r="I186" s="80"/>
      <c r="J186" s="80"/>
      <c r="K186" s="80"/>
      <c r="L186" s="80"/>
      <c r="M186" s="80"/>
      <c r="N186" s="79"/>
      <c r="O186" s="79"/>
      <c r="P186" s="79"/>
      <c r="Q186" s="79"/>
      <c r="R186" s="79"/>
      <c r="S186" s="79"/>
    </row>
    <row r="187" spans="3:19" x14ac:dyDescent="0.35">
      <c r="C187" s="80"/>
      <c r="D187" s="80"/>
      <c r="E187" s="80"/>
      <c r="F187" s="80"/>
      <c r="G187" s="80"/>
      <c r="H187" s="80"/>
      <c r="I187" s="80"/>
      <c r="J187" s="80"/>
      <c r="K187" s="80"/>
      <c r="L187" s="80"/>
      <c r="M187" s="80"/>
      <c r="N187" s="79"/>
      <c r="O187" s="79"/>
      <c r="P187" s="79"/>
      <c r="Q187" s="79"/>
      <c r="R187" s="79"/>
      <c r="S187" s="79"/>
    </row>
    <row r="188" spans="3:19" x14ac:dyDescent="0.35">
      <c r="C188" s="80"/>
      <c r="D188" s="80"/>
      <c r="E188" s="80"/>
      <c r="F188" s="80"/>
      <c r="G188" s="80"/>
      <c r="H188" s="80"/>
      <c r="I188" s="80"/>
      <c r="J188" s="80"/>
      <c r="K188" s="80"/>
      <c r="L188" s="80"/>
      <c r="M188" s="80"/>
      <c r="N188" s="79"/>
      <c r="O188" s="79"/>
      <c r="P188" s="79"/>
      <c r="Q188" s="79"/>
      <c r="R188" s="79"/>
      <c r="S188" s="79"/>
    </row>
    <row r="189" spans="3:19" x14ac:dyDescent="0.35">
      <c r="C189" s="80"/>
      <c r="D189" s="80"/>
      <c r="E189" s="80"/>
      <c r="F189" s="80"/>
      <c r="G189" s="80"/>
      <c r="H189" s="80"/>
      <c r="I189" s="80"/>
      <c r="J189" s="80"/>
      <c r="K189" s="80"/>
      <c r="L189" s="80"/>
      <c r="M189" s="80"/>
      <c r="N189" s="79"/>
      <c r="O189" s="79"/>
      <c r="P189" s="79"/>
      <c r="Q189" s="79"/>
      <c r="R189" s="79"/>
      <c r="S189" s="79"/>
    </row>
    <row r="190" spans="3:19" x14ac:dyDescent="0.35">
      <c r="C190" s="80"/>
      <c r="D190" s="80"/>
      <c r="E190" s="80"/>
      <c r="F190" s="80"/>
      <c r="G190" s="80"/>
      <c r="H190" s="80"/>
      <c r="I190" s="80"/>
      <c r="J190" s="80"/>
      <c r="K190" s="80"/>
      <c r="L190" s="80"/>
      <c r="M190" s="80"/>
      <c r="N190" s="79"/>
      <c r="O190" s="79"/>
      <c r="P190" s="79"/>
      <c r="Q190" s="79"/>
      <c r="R190" s="79"/>
      <c r="S190" s="79"/>
    </row>
    <row r="191" spans="3:19" x14ac:dyDescent="0.35">
      <c r="C191" s="80"/>
      <c r="D191" s="80"/>
      <c r="E191" s="80"/>
      <c r="F191" s="80"/>
      <c r="G191" s="80"/>
      <c r="H191" s="80"/>
      <c r="I191" s="80"/>
      <c r="J191" s="80"/>
      <c r="K191" s="80"/>
      <c r="L191" s="80"/>
      <c r="M191" s="80"/>
      <c r="N191" s="79"/>
      <c r="O191" s="79"/>
      <c r="P191" s="79"/>
      <c r="Q191" s="79"/>
      <c r="R191" s="79"/>
      <c r="S191" s="79"/>
    </row>
    <row r="192" spans="3:19" x14ac:dyDescent="0.35">
      <c r="C192" s="80"/>
      <c r="D192" s="80"/>
      <c r="E192" s="80"/>
      <c r="F192" s="80"/>
      <c r="G192" s="80"/>
      <c r="H192" s="80"/>
      <c r="I192" s="80"/>
      <c r="J192" s="80"/>
      <c r="K192" s="80"/>
      <c r="L192" s="80"/>
      <c r="M192" s="80"/>
      <c r="N192" s="79"/>
      <c r="O192" s="79"/>
      <c r="P192" s="79"/>
      <c r="Q192" s="79"/>
      <c r="R192" s="79"/>
      <c r="S192" s="79"/>
    </row>
    <row r="193" spans="3:19" x14ac:dyDescent="0.35">
      <c r="C193" s="80"/>
      <c r="D193" s="80"/>
      <c r="E193" s="80"/>
      <c r="F193" s="80"/>
      <c r="G193" s="80"/>
      <c r="H193" s="80"/>
      <c r="I193" s="80"/>
      <c r="J193" s="80"/>
      <c r="K193" s="80"/>
      <c r="L193" s="80"/>
      <c r="M193" s="80"/>
      <c r="N193" s="79"/>
      <c r="O193" s="79"/>
      <c r="P193" s="79"/>
      <c r="Q193" s="79"/>
      <c r="R193" s="79"/>
      <c r="S193" s="79"/>
    </row>
    <row r="194" spans="3:19" x14ac:dyDescent="0.35">
      <c r="C194" s="80"/>
      <c r="D194" s="80"/>
      <c r="E194" s="80"/>
      <c r="F194" s="80"/>
      <c r="G194" s="80"/>
      <c r="H194" s="80"/>
      <c r="I194" s="80"/>
      <c r="J194" s="80"/>
      <c r="K194" s="80"/>
      <c r="L194" s="80"/>
      <c r="M194" s="80"/>
      <c r="N194" s="79"/>
      <c r="O194" s="79"/>
      <c r="P194" s="79"/>
      <c r="Q194" s="79"/>
      <c r="R194" s="79"/>
      <c r="S194" s="79"/>
    </row>
    <row r="195" spans="3:19" x14ac:dyDescent="0.35">
      <c r="C195" s="80"/>
      <c r="D195" s="80"/>
      <c r="E195" s="80"/>
      <c r="F195" s="80"/>
      <c r="G195" s="80"/>
      <c r="H195" s="80"/>
      <c r="I195" s="80"/>
      <c r="J195" s="80"/>
      <c r="K195" s="80"/>
      <c r="L195" s="80"/>
      <c r="M195" s="80"/>
      <c r="N195" s="79"/>
      <c r="O195" s="79"/>
      <c r="P195" s="79"/>
      <c r="Q195" s="79"/>
      <c r="R195" s="79"/>
      <c r="S195" s="79"/>
    </row>
    <row r="196" spans="3:19" x14ac:dyDescent="0.35">
      <c r="C196" s="80"/>
      <c r="D196" s="80"/>
      <c r="E196" s="80"/>
      <c r="F196" s="80"/>
      <c r="G196" s="80"/>
      <c r="H196" s="80"/>
      <c r="I196" s="80"/>
      <c r="J196" s="80"/>
      <c r="K196" s="80"/>
      <c r="L196" s="80"/>
      <c r="M196" s="80"/>
      <c r="N196" s="79"/>
      <c r="O196" s="79"/>
      <c r="P196" s="79"/>
      <c r="Q196" s="79"/>
      <c r="R196" s="79"/>
      <c r="S196" s="79"/>
    </row>
    <row r="197" spans="3:19" x14ac:dyDescent="0.35">
      <c r="C197" s="80"/>
      <c r="D197" s="80"/>
      <c r="E197" s="80"/>
      <c r="F197" s="80"/>
      <c r="G197" s="80"/>
      <c r="H197" s="80"/>
      <c r="I197" s="80"/>
      <c r="J197" s="80"/>
      <c r="K197" s="80"/>
      <c r="L197" s="80"/>
      <c r="M197" s="80"/>
      <c r="N197" s="79"/>
      <c r="O197" s="79"/>
      <c r="P197" s="79"/>
      <c r="Q197" s="79"/>
      <c r="R197" s="79"/>
      <c r="S197" s="79"/>
    </row>
    <row r="198" spans="3:19" x14ac:dyDescent="0.35">
      <c r="C198" s="80"/>
      <c r="D198" s="80"/>
      <c r="E198" s="80"/>
      <c r="F198" s="80"/>
      <c r="G198" s="80"/>
      <c r="H198" s="80"/>
      <c r="I198" s="80"/>
      <c r="J198" s="80"/>
      <c r="K198" s="80"/>
      <c r="L198" s="80"/>
      <c r="M198" s="80"/>
      <c r="N198" s="79"/>
      <c r="O198" s="79"/>
      <c r="P198" s="79"/>
      <c r="Q198" s="79"/>
      <c r="R198" s="79"/>
      <c r="S198" s="79"/>
    </row>
    <row r="199" spans="3:19" x14ac:dyDescent="0.35">
      <c r="C199" s="80"/>
      <c r="D199" s="80"/>
      <c r="E199" s="80"/>
      <c r="F199" s="80"/>
      <c r="G199" s="80"/>
      <c r="H199" s="80"/>
      <c r="I199" s="80"/>
      <c r="J199" s="80"/>
      <c r="K199" s="80"/>
      <c r="L199" s="80"/>
      <c r="M199" s="80"/>
      <c r="N199" s="79"/>
      <c r="O199" s="79"/>
      <c r="P199" s="79"/>
      <c r="Q199" s="79"/>
      <c r="R199" s="79"/>
      <c r="S199" s="79"/>
    </row>
    <row r="200" spans="3:19" x14ac:dyDescent="0.35">
      <c r="C200" s="80"/>
      <c r="D200" s="80"/>
      <c r="E200" s="80"/>
      <c r="F200" s="80"/>
      <c r="G200" s="80"/>
      <c r="H200" s="80"/>
      <c r="I200" s="80"/>
      <c r="J200" s="80"/>
      <c r="K200" s="80"/>
      <c r="L200" s="80"/>
      <c r="M200" s="80"/>
      <c r="N200" s="79"/>
      <c r="O200" s="79"/>
      <c r="P200" s="79"/>
      <c r="Q200" s="79"/>
      <c r="R200" s="79"/>
      <c r="S200" s="79"/>
    </row>
    <row r="201" spans="3:19" x14ac:dyDescent="0.35">
      <c r="C201" s="80"/>
      <c r="D201" s="80"/>
      <c r="E201" s="80"/>
      <c r="F201" s="80"/>
      <c r="G201" s="80"/>
      <c r="H201" s="80"/>
      <c r="I201" s="80"/>
      <c r="J201" s="80"/>
      <c r="K201" s="80"/>
      <c r="L201" s="80"/>
      <c r="M201" s="80"/>
      <c r="N201" s="79"/>
      <c r="O201" s="79"/>
      <c r="P201" s="79"/>
      <c r="Q201" s="79"/>
      <c r="R201" s="79"/>
      <c r="S201" s="79"/>
    </row>
    <row r="202" spans="3:19" x14ac:dyDescent="0.35">
      <c r="C202" s="80"/>
      <c r="D202" s="80"/>
      <c r="E202" s="80"/>
      <c r="F202" s="80"/>
      <c r="G202" s="80"/>
      <c r="H202" s="80"/>
      <c r="I202" s="80"/>
      <c r="J202" s="80"/>
      <c r="K202" s="80"/>
      <c r="L202" s="80"/>
      <c r="M202" s="80"/>
      <c r="N202" s="79"/>
      <c r="O202" s="79"/>
      <c r="P202" s="79"/>
      <c r="Q202" s="79"/>
      <c r="R202" s="79"/>
      <c r="S202" s="79"/>
    </row>
    <row r="203" spans="3:19" x14ac:dyDescent="0.35">
      <c r="C203" s="80"/>
      <c r="D203" s="80"/>
      <c r="E203" s="80"/>
      <c r="F203" s="80"/>
      <c r="G203" s="80"/>
      <c r="H203" s="80"/>
      <c r="I203" s="80"/>
      <c r="J203" s="80"/>
      <c r="K203" s="80"/>
      <c r="L203" s="80"/>
      <c r="M203" s="80"/>
      <c r="N203" s="79"/>
      <c r="O203" s="79"/>
      <c r="P203" s="79"/>
      <c r="Q203" s="79"/>
      <c r="R203" s="79"/>
      <c r="S203" s="79"/>
    </row>
    <row r="204" spans="3:19" x14ac:dyDescent="0.35">
      <c r="C204" s="80"/>
      <c r="D204" s="80"/>
      <c r="E204" s="80"/>
      <c r="F204" s="80"/>
      <c r="G204" s="80"/>
      <c r="H204" s="80"/>
      <c r="I204" s="80"/>
      <c r="J204" s="80"/>
      <c r="K204" s="80"/>
      <c r="L204" s="80"/>
      <c r="M204" s="80"/>
      <c r="N204" s="79"/>
      <c r="O204" s="79"/>
      <c r="P204" s="79"/>
      <c r="Q204" s="79"/>
      <c r="R204" s="79"/>
      <c r="S204" s="79"/>
    </row>
    <row r="205" spans="3:19" x14ac:dyDescent="0.35">
      <c r="C205" s="80"/>
      <c r="D205" s="80"/>
      <c r="E205" s="80"/>
      <c r="F205" s="80"/>
      <c r="G205" s="80"/>
      <c r="H205" s="80"/>
      <c r="I205" s="80"/>
      <c r="J205" s="80"/>
      <c r="K205" s="80"/>
      <c r="L205" s="80"/>
      <c r="M205" s="80"/>
      <c r="N205" s="79"/>
      <c r="O205" s="79"/>
      <c r="P205" s="79"/>
      <c r="Q205" s="79"/>
      <c r="R205" s="79"/>
      <c r="S205" s="79"/>
    </row>
    <row r="206" spans="3:19" x14ac:dyDescent="0.35">
      <c r="C206" s="80"/>
      <c r="D206" s="80"/>
      <c r="E206" s="80"/>
      <c r="F206" s="80"/>
      <c r="G206" s="80"/>
      <c r="H206" s="80"/>
      <c r="I206" s="80"/>
      <c r="J206" s="80"/>
      <c r="K206" s="80"/>
      <c r="L206" s="80"/>
      <c r="M206" s="80"/>
      <c r="N206" s="79"/>
      <c r="O206" s="79"/>
      <c r="P206" s="79"/>
      <c r="Q206" s="79"/>
      <c r="R206" s="79"/>
      <c r="S206" s="79"/>
    </row>
    <row r="207" spans="3:19" x14ac:dyDescent="0.35">
      <c r="C207" s="80"/>
      <c r="D207" s="80"/>
      <c r="E207" s="80"/>
      <c r="F207" s="80"/>
      <c r="G207" s="80"/>
      <c r="H207" s="80"/>
      <c r="I207" s="80"/>
      <c r="J207" s="80"/>
      <c r="K207" s="80"/>
      <c r="L207" s="80"/>
      <c r="M207" s="80"/>
      <c r="N207" s="79"/>
      <c r="O207" s="79"/>
      <c r="P207" s="79"/>
      <c r="Q207" s="79"/>
      <c r="R207" s="79"/>
      <c r="S207" s="79"/>
    </row>
    <row r="208" spans="3:19" x14ac:dyDescent="0.35">
      <c r="C208" s="80"/>
      <c r="D208" s="80"/>
      <c r="E208" s="80"/>
      <c r="F208" s="80"/>
      <c r="G208" s="80"/>
      <c r="H208" s="80"/>
      <c r="I208" s="80"/>
      <c r="J208" s="80"/>
      <c r="K208" s="80"/>
      <c r="L208" s="80"/>
      <c r="M208" s="80"/>
      <c r="N208" s="79"/>
      <c r="O208" s="79"/>
      <c r="P208" s="79"/>
      <c r="Q208" s="79"/>
      <c r="R208" s="79"/>
      <c r="S208" s="79"/>
    </row>
    <row r="209" spans="3:19" x14ac:dyDescent="0.35">
      <c r="C209" s="80"/>
      <c r="D209" s="80"/>
      <c r="E209" s="80"/>
      <c r="F209" s="80"/>
      <c r="G209" s="80"/>
      <c r="H209" s="80"/>
      <c r="I209" s="80"/>
      <c r="J209" s="80"/>
      <c r="K209" s="80"/>
      <c r="L209" s="80"/>
      <c r="M209" s="80"/>
      <c r="N209" s="79"/>
      <c r="O209" s="79"/>
      <c r="P209" s="79"/>
      <c r="Q209" s="79"/>
      <c r="R209" s="79"/>
      <c r="S209" s="79"/>
    </row>
    <row r="210" spans="3:19" x14ac:dyDescent="0.35">
      <c r="C210" s="80"/>
      <c r="D210" s="80"/>
      <c r="E210" s="80"/>
      <c r="F210" s="80"/>
      <c r="G210" s="80"/>
      <c r="H210" s="80"/>
      <c r="I210" s="80"/>
      <c r="J210" s="80"/>
      <c r="K210" s="80"/>
      <c r="L210" s="80"/>
      <c r="M210" s="80"/>
      <c r="N210" s="79"/>
      <c r="O210" s="79"/>
      <c r="P210" s="79"/>
      <c r="Q210" s="79"/>
      <c r="R210" s="79"/>
      <c r="S210" s="79"/>
    </row>
    <row r="211" spans="3:19" x14ac:dyDescent="0.35">
      <c r="C211" s="80"/>
      <c r="D211" s="80"/>
      <c r="E211" s="80"/>
      <c r="F211" s="80"/>
      <c r="G211" s="80"/>
      <c r="H211" s="80"/>
      <c r="I211" s="80"/>
      <c r="J211" s="80"/>
      <c r="K211" s="80"/>
      <c r="L211" s="80"/>
      <c r="M211" s="80"/>
      <c r="N211" s="79"/>
      <c r="O211" s="79"/>
      <c r="P211" s="79"/>
      <c r="Q211" s="79"/>
      <c r="R211" s="79"/>
      <c r="S211" s="79"/>
    </row>
    <row r="212" spans="3:19" x14ac:dyDescent="0.35">
      <c r="C212" s="80"/>
      <c r="D212" s="80"/>
      <c r="E212" s="80"/>
      <c r="F212" s="80"/>
      <c r="G212" s="80"/>
      <c r="H212" s="80"/>
      <c r="I212" s="80"/>
      <c r="J212" s="80"/>
      <c r="K212" s="80"/>
      <c r="L212" s="80"/>
      <c r="M212" s="80"/>
      <c r="N212" s="79"/>
      <c r="O212" s="79"/>
      <c r="P212" s="79"/>
      <c r="Q212" s="79"/>
      <c r="R212" s="79"/>
      <c r="S212" s="79"/>
    </row>
    <row r="213" spans="3:19" x14ac:dyDescent="0.35">
      <c r="C213" s="80"/>
      <c r="D213" s="80"/>
      <c r="E213" s="80"/>
      <c r="F213" s="80"/>
      <c r="G213" s="80"/>
      <c r="H213" s="80"/>
      <c r="I213" s="80"/>
      <c r="J213" s="80"/>
      <c r="K213" s="80"/>
      <c r="L213" s="80"/>
      <c r="M213" s="80"/>
      <c r="N213" s="79"/>
      <c r="O213" s="79"/>
      <c r="P213" s="79"/>
      <c r="Q213" s="79"/>
      <c r="R213" s="79"/>
      <c r="S213" s="79"/>
    </row>
    <row r="214" spans="3:19" x14ac:dyDescent="0.35">
      <c r="C214" s="80"/>
      <c r="D214" s="80"/>
      <c r="E214" s="80"/>
      <c r="F214" s="80"/>
      <c r="G214" s="80"/>
      <c r="H214" s="80"/>
      <c r="I214" s="80"/>
      <c r="J214" s="80"/>
      <c r="K214" s="80"/>
      <c r="L214" s="80"/>
      <c r="M214" s="80"/>
      <c r="N214" s="79"/>
      <c r="O214" s="79"/>
      <c r="P214" s="79"/>
      <c r="Q214" s="79"/>
      <c r="R214" s="79"/>
      <c r="S214" s="79"/>
    </row>
    <row r="215" spans="3:19" x14ac:dyDescent="0.35">
      <c r="C215" s="80"/>
      <c r="D215" s="80"/>
      <c r="E215" s="80"/>
      <c r="F215" s="80"/>
      <c r="G215" s="80"/>
      <c r="H215" s="80"/>
      <c r="I215" s="80"/>
      <c r="J215" s="80"/>
      <c r="K215" s="80"/>
      <c r="L215" s="80"/>
      <c r="M215" s="80"/>
      <c r="N215" s="79"/>
      <c r="O215" s="79"/>
      <c r="P215" s="79"/>
      <c r="Q215" s="79"/>
      <c r="R215" s="79"/>
      <c r="S215" s="79"/>
    </row>
    <row r="216" spans="3:19" x14ac:dyDescent="0.35">
      <c r="C216" s="80"/>
      <c r="D216" s="80"/>
      <c r="E216" s="80"/>
      <c r="F216" s="80"/>
      <c r="G216" s="80"/>
      <c r="H216" s="80"/>
      <c r="I216" s="80"/>
      <c r="J216" s="80"/>
      <c r="K216" s="80"/>
      <c r="L216" s="80"/>
      <c r="M216" s="80"/>
      <c r="N216" s="79"/>
      <c r="O216" s="79"/>
      <c r="P216" s="79"/>
      <c r="Q216" s="79"/>
      <c r="R216" s="79"/>
      <c r="S216" s="79"/>
    </row>
    <row r="217" spans="3:19" x14ac:dyDescent="0.35">
      <c r="C217" s="80"/>
      <c r="D217" s="80"/>
      <c r="E217" s="80"/>
      <c r="F217" s="80"/>
      <c r="G217" s="80"/>
      <c r="H217" s="80"/>
      <c r="I217" s="80"/>
      <c r="J217" s="80"/>
      <c r="K217" s="80"/>
      <c r="L217" s="80"/>
      <c r="M217" s="80"/>
      <c r="N217" s="79"/>
      <c r="O217" s="79"/>
      <c r="P217" s="79"/>
      <c r="Q217" s="79"/>
      <c r="R217" s="79"/>
      <c r="S217" s="79"/>
    </row>
    <row r="218" spans="3:19" x14ac:dyDescent="0.35">
      <c r="C218" s="80"/>
      <c r="D218" s="80"/>
      <c r="E218" s="80"/>
      <c r="F218" s="80"/>
      <c r="G218" s="80"/>
      <c r="H218" s="80"/>
      <c r="I218" s="80"/>
      <c r="J218" s="80"/>
      <c r="K218" s="80"/>
      <c r="L218" s="80"/>
      <c r="M218" s="80"/>
      <c r="N218" s="79"/>
      <c r="O218" s="79"/>
      <c r="P218" s="79"/>
      <c r="Q218" s="79"/>
      <c r="R218" s="79"/>
      <c r="S218" s="79"/>
    </row>
    <row r="219" spans="3:19" x14ac:dyDescent="0.35">
      <c r="C219" s="80"/>
      <c r="D219" s="80"/>
      <c r="E219" s="80"/>
      <c r="F219" s="80"/>
      <c r="G219" s="80"/>
      <c r="H219" s="80"/>
      <c r="I219" s="80"/>
      <c r="J219" s="80"/>
      <c r="K219" s="80"/>
      <c r="L219" s="80"/>
      <c r="M219" s="80"/>
      <c r="N219" s="79"/>
      <c r="O219" s="79"/>
      <c r="P219" s="79"/>
      <c r="Q219" s="79"/>
      <c r="R219" s="79"/>
      <c r="S219" s="79"/>
    </row>
    <row r="220" spans="3:19" x14ac:dyDescent="0.35">
      <c r="C220" s="80"/>
      <c r="D220" s="80"/>
      <c r="E220" s="80"/>
      <c r="F220" s="80"/>
      <c r="G220" s="80"/>
      <c r="H220" s="80"/>
      <c r="I220" s="80"/>
      <c r="J220" s="80"/>
      <c r="K220" s="80"/>
      <c r="L220" s="80"/>
      <c r="M220" s="80"/>
      <c r="N220" s="79"/>
      <c r="O220" s="79"/>
      <c r="P220" s="79"/>
      <c r="Q220" s="79"/>
      <c r="R220" s="79"/>
      <c r="S220" s="79"/>
    </row>
    <row r="221" spans="3:19" x14ac:dyDescent="0.35">
      <c r="C221" s="80"/>
      <c r="D221" s="80"/>
      <c r="E221" s="80"/>
      <c r="F221" s="80"/>
      <c r="G221" s="80"/>
      <c r="H221" s="80"/>
      <c r="I221" s="80"/>
      <c r="J221" s="80"/>
      <c r="K221" s="80"/>
      <c r="L221" s="80"/>
      <c r="M221" s="80"/>
      <c r="N221" s="79"/>
      <c r="O221" s="79"/>
      <c r="P221" s="79"/>
      <c r="Q221" s="79"/>
      <c r="R221" s="79"/>
      <c r="S221" s="79"/>
    </row>
    <row r="222" spans="3:19" x14ac:dyDescent="0.35">
      <c r="C222" s="80"/>
      <c r="D222" s="80"/>
      <c r="E222" s="80"/>
      <c r="F222" s="80"/>
      <c r="G222" s="80"/>
      <c r="H222" s="80"/>
      <c r="I222" s="80"/>
      <c r="J222" s="80"/>
      <c r="K222" s="80"/>
      <c r="L222" s="80"/>
      <c r="M222" s="80"/>
      <c r="N222" s="79"/>
      <c r="O222" s="79"/>
      <c r="P222" s="79"/>
      <c r="Q222" s="79"/>
      <c r="R222" s="79"/>
      <c r="S222" s="79"/>
    </row>
    <row r="223" spans="3:19" x14ac:dyDescent="0.35">
      <c r="C223" s="80"/>
      <c r="D223" s="80"/>
      <c r="E223" s="80"/>
      <c r="F223" s="80"/>
      <c r="G223" s="80"/>
      <c r="H223" s="80"/>
      <c r="I223" s="80"/>
      <c r="J223" s="80"/>
      <c r="K223" s="80"/>
      <c r="L223" s="80"/>
      <c r="M223" s="80"/>
      <c r="N223" s="79"/>
      <c r="O223" s="79"/>
      <c r="P223" s="79"/>
      <c r="Q223" s="79"/>
      <c r="R223" s="79"/>
      <c r="S223" s="79"/>
    </row>
    <row r="224" spans="3:19" x14ac:dyDescent="0.35">
      <c r="C224" s="80"/>
      <c r="D224" s="80"/>
      <c r="E224" s="80"/>
      <c r="F224" s="80"/>
      <c r="G224" s="80"/>
      <c r="H224" s="80"/>
      <c r="I224" s="80"/>
      <c r="J224" s="80"/>
      <c r="K224" s="80"/>
      <c r="L224" s="80"/>
      <c r="M224" s="80"/>
      <c r="N224" s="79"/>
      <c r="O224" s="79"/>
      <c r="P224" s="79"/>
      <c r="Q224" s="79"/>
      <c r="R224" s="79"/>
      <c r="S224" s="79"/>
    </row>
    <row r="225" spans="3:19" x14ac:dyDescent="0.35">
      <c r="C225" s="80"/>
      <c r="D225" s="80"/>
      <c r="E225" s="80"/>
      <c r="F225" s="80"/>
      <c r="G225" s="80"/>
      <c r="H225" s="80"/>
      <c r="I225" s="80"/>
      <c r="J225" s="80"/>
      <c r="K225" s="80"/>
      <c r="L225" s="80"/>
      <c r="M225" s="80"/>
      <c r="N225" s="79"/>
      <c r="O225" s="79"/>
      <c r="P225" s="79"/>
      <c r="Q225" s="79"/>
      <c r="R225" s="79"/>
      <c r="S225" s="79"/>
    </row>
    <row r="226" spans="3:19" x14ac:dyDescent="0.35">
      <c r="C226" s="80"/>
      <c r="D226" s="80"/>
      <c r="E226" s="80"/>
      <c r="F226" s="80"/>
      <c r="G226" s="80"/>
      <c r="H226" s="80"/>
      <c r="I226" s="80"/>
      <c r="J226" s="80"/>
      <c r="K226" s="80"/>
      <c r="L226" s="80"/>
      <c r="M226" s="80"/>
      <c r="N226" s="79"/>
      <c r="O226" s="79"/>
      <c r="P226" s="79"/>
      <c r="Q226" s="79"/>
      <c r="R226" s="79"/>
      <c r="S226" s="79"/>
    </row>
    <row r="227" spans="3:19" x14ac:dyDescent="0.35">
      <c r="C227" s="80"/>
      <c r="D227" s="80"/>
      <c r="E227" s="80"/>
      <c r="F227" s="80"/>
      <c r="G227" s="80"/>
      <c r="H227" s="80"/>
      <c r="I227" s="80"/>
      <c r="J227" s="80"/>
      <c r="K227" s="80"/>
      <c r="L227" s="80"/>
      <c r="M227" s="80"/>
      <c r="N227" s="79"/>
      <c r="O227" s="79"/>
      <c r="P227" s="79"/>
      <c r="Q227" s="79"/>
      <c r="R227" s="79"/>
      <c r="S227" s="79"/>
    </row>
    <row r="228" spans="3:19" x14ac:dyDescent="0.35">
      <c r="C228" s="80"/>
      <c r="D228" s="80"/>
      <c r="E228" s="80"/>
      <c r="F228" s="80"/>
      <c r="G228" s="80"/>
      <c r="H228" s="80"/>
      <c r="I228" s="80"/>
      <c r="J228" s="80"/>
      <c r="K228" s="80"/>
      <c r="L228" s="80"/>
      <c r="M228" s="80"/>
      <c r="N228" s="79"/>
      <c r="O228" s="79"/>
      <c r="P228" s="79"/>
      <c r="Q228" s="79"/>
      <c r="R228" s="79"/>
      <c r="S228" s="79"/>
    </row>
    <row r="229" spans="3:19" x14ac:dyDescent="0.35">
      <c r="C229" s="80"/>
      <c r="D229" s="80"/>
      <c r="E229" s="80"/>
      <c r="F229" s="80"/>
      <c r="G229" s="80"/>
      <c r="H229" s="80"/>
      <c r="I229" s="80"/>
      <c r="J229" s="80"/>
      <c r="K229" s="80"/>
      <c r="L229" s="80"/>
      <c r="M229" s="80"/>
      <c r="N229" s="79"/>
      <c r="O229" s="79"/>
      <c r="P229" s="79"/>
      <c r="Q229" s="79"/>
      <c r="R229" s="79"/>
      <c r="S229" s="79"/>
    </row>
    <row r="230" spans="3:19" x14ac:dyDescent="0.35">
      <c r="C230" s="80"/>
      <c r="D230" s="80"/>
      <c r="E230" s="80"/>
      <c r="F230" s="80"/>
      <c r="G230" s="80"/>
      <c r="H230" s="80"/>
      <c r="I230" s="80"/>
      <c r="J230" s="80"/>
      <c r="K230" s="80"/>
      <c r="L230" s="80"/>
      <c r="M230" s="80"/>
      <c r="N230" s="79"/>
      <c r="O230" s="79"/>
      <c r="P230" s="79"/>
      <c r="Q230" s="79"/>
      <c r="R230" s="79"/>
      <c r="S230" s="79"/>
    </row>
    <row r="231" spans="3:19" x14ac:dyDescent="0.35">
      <c r="C231" s="80"/>
      <c r="D231" s="80"/>
      <c r="E231" s="80"/>
      <c r="F231" s="80"/>
      <c r="G231" s="80"/>
      <c r="H231" s="80"/>
      <c r="I231" s="80"/>
      <c r="J231" s="80"/>
      <c r="K231" s="80"/>
      <c r="L231" s="80"/>
      <c r="M231" s="80"/>
      <c r="N231" s="79"/>
      <c r="O231" s="79"/>
      <c r="P231" s="79"/>
      <c r="Q231" s="79"/>
      <c r="R231" s="79"/>
      <c r="S231" s="79"/>
    </row>
    <row r="232" spans="3:19" x14ac:dyDescent="0.35">
      <c r="C232" s="80"/>
      <c r="D232" s="80"/>
      <c r="E232" s="80"/>
      <c r="F232" s="80"/>
      <c r="G232" s="80"/>
      <c r="H232" s="80"/>
      <c r="I232" s="80"/>
      <c r="J232" s="80"/>
      <c r="K232" s="80"/>
      <c r="L232" s="80"/>
      <c r="M232" s="80"/>
      <c r="N232" s="79"/>
      <c r="O232" s="79"/>
      <c r="P232" s="79"/>
      <c r="Q232" s="79"/>
      <c r="R232" s="79"/>
      <c r="S232" s="79"/>
    </row>
    <row r="233" spans="3:19" x14ac:dyDescent="0.35">
      <c r="C233" s="80"/>
      <c r="D233" s="80"/>
      <c r="E233" s="80"/>
      <c r="F233" s="80"/>
      <c r="G233" s="80"/>
      <c r="H233" s="80"/>
      <c r="I233" s="80"/>
      <c r="J233" s="80"/>
      <c r="K233" s="80"/>
      <c r="L233" s="80"/>
      <c r="M233" s="80"/>
      <c r="N233" s="79"/>
      <c r="O233" s="79"/>
      <c r="P233" s="79"/>
      <c r="Q233" s="79"/>
      <c r="R233" s="79"/>
      <c r="S233" s="79"/>
    </row>
    <row r="234" spans="3:19" x14ac:dyDescent="0.35">
      <c r="C234" s="80"/>
      <c r="D234" s="80"/>
      <c r="E234" s="80"/>
      <c r="F234" s="80"/>
      <c r="G234" s="80"/>
      <c r="H234" s="80"/>
      <c r="I234" s="80"/>
      <c r="J234" s="80"/>
      <c r="K234" s="80"/>
      <c r="L234" s="80"/>
      <c r="M234" s="80"/>
      <c r="N234" s="79"/>
      <c r="O234" s="79"/>
      <c r="P234" s="79"/>
      <c r="Q234" s="79"/>
      <c r="R234" s="79"/>
      <c r="S234" s="79"/>
    </row>
    <row r="235" spans="3:19" x14ac:dyDescent="0.35">
      <c r="C235" s="80"/>
      <c r="D235" s="80"/>
      <c r="E235" s="80"/>
      <c r="F235" s="80"/>
      <c r="G235" s="80"/>
      <c r="H235" s="80"/>
      <c r="I235" s="80"/>
      <c r="J235" s="80"/>
      <c r="K235" s="80"/>
      <c r="L235" s="80"/>
      <c r="M235" s="80"/>
      <c r="N235" s="79"/>
      <c r="O235" s="79"/>
      <c r="P235" s="79"/>
      <c r="Q235" s="79"/>
      <c r="R235" s="79"/>
      <c r="S235" s="79"/>
    </row>
    <row r="236" spans="3:19" x14ac:dyDescent="0.35">
      <c r="C236" s="80"/>
      <c r="D236" s="80"/>
      <c r="E236" s="80"/>
      <c r="F236" s="80"/>
      <c r="G236" s="80"/>
      <c r="H236" s="80"/>
      <c r="I236" s="80"/>
      <c r="J236" s="80"/>
      <c r="K236" s="80"/>
      <c r="L236" s="80"/>
      <c r="M236" s="80"/>
      <c r="N236" s="79"/>
      <c r="O236" s="79"/>
      <c r="P236" s="79"/>
      <c r="Q236" s="79"/>
      <c r="R236" s="79"/>
      <c r="S236" s="79"/>
    </row>
    <row r="237" spans="3:19" x14ac:dyDescent="0.35">
      <c r="C237" s="80"/>
      <c r="D237" s="80"/>
      <c r="E237" s="80"/>
      <c r="F237" s="80"/>
      <c r="G237" s="80"/>
      <c r="H237" s="80"/>
      <c r="I237" s="80"/>
      <c r="J237" s="80"/>
      <c r="K237" s="80"/>
      <c r="L237" s="80"/>
      <c r="M237" s="80"/>
      <c r="N237" s="79"/>
      <c r="O237" s="79"/>
      <c r="P237" s="79"/>
      <c r="Q237" s="79"/>
      <c r="R237" s="79"/>
      <c r="S237" s="79"/>
    </row>
    <row r="238" spans="3:19" x14ac:dyDescent="0.35">
      <c r="C238" s="80"/>
      <c r="D238" s="80"/>
      <c r="E238" s="80"/>
      <c r="F238" s="80"/>
      <c r="G238" s="80"/>
      <c r="H238" s="80"/>
      <c r="I238" s="80"/>
      <c r="J238" s="80"/>
      <c r="K238" s="80"/>
      <c r="L238" s="80"/>
      <c r="M238" s="80"/>
      <c r="N238" s="79"/>
      <c r="O238" s="79"/>
      <c r="P238" s="79"/>
      <c r="Q238" s="79"/>
      <c r="R238" s="79"/>
      <c r="S238" s="79"/>
    </row>
    <row r="239" spans="3:19" x14ac:dyDescent="0.35">
      <c r="P239" s="79"/>
      <c r="Q239" s="79"/>
      <c r="R239" s="79"/>
      <c r="S239" s="79"/>
    </row>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sheetData>
  <printOptions horizontalCentered="1"/>
  <pageMargins left="0.75" right="0.75" top="0.53" bottom="0.48" header="0.5" footer="0.5"/>
  <pageSetup scale="59" orientation="landscape" r:id="rId1"/>
  <headerFooter alignWithMargins="0"/>
  <rowBreaks count="2" manualBreakCount="2">
    <brk id="20" max="9" man="1"/>
    <brk id="57" max="9"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fitToPage="1"/>
  </sheetPr>
  <dimension ref="A1:X240"/>
  <sheetViews>
    <sheetView zoomScale="90" zoomScaleNormal="90" workbookViewId="0"/>
  </sheetViews>
  <sheetFormatPr defaultColWidth="9.296875" defaultRowHeight="15.5" x14ac:dyDescent="0.35"/>
  <cols>
    <col min="1" max="1" width="9" style="83" customWidth="1"/>
    <col min="2" max="2" width="2.09765625" style="83" customWidth="1"/>
    <col min="3" max="3" width="71.296875" style="83" customWidth="1"/>
    <col min="4" max="4" width="35.69921875" style="83" customWidth="1"/>
    <col min="5" max="5" width="23" style="83" customWidth="1"/>
    <col min="6" max="6" width="15" style="83" customWidth="1"/>
    <col min="7" max="7" width="20.69921875" style="83" customWidth="1"/>
    <col min="8" max="8" width="18.3984375" style="83" customWidth="1"/>
    <col min="9" max="9" width="8.69921875" style="83" customWidth="1"/>
    <col min="10" max="10" width="23" style="83" customWidth="1"/>
    <col min="11" max="11" width="9.296875" style="83" customWidth="1"/>
    <col min="12" max="12" width="11.69921875" style="83" customWidth="1"/>
    <col min="13" max="13" width="2.69921875" style="83" customWidth="1"/>
    <col min="14" max="14" width="41" style="83" customWidth="1"/>
    <col min="15" max="15" width="48.69921875" style="83" customWidth="1"/>
    <col min="16" max="16" width="23.3984375" style="83" customWidth="1"/>
    <col min="17" max="17" width="20.3984375" style="83" customWidth="1"/>
    <col min="18" max="18" width="20.69921875" style="83" customWidth="1"/>
    <col min="19" max="19" width="23.69921875" style="83" bestFit="1" customWidth="1"/>
    <col min="20" max="20" width="22.09765625" style="83" bestFit="1" customWidth="1"/>
    <col min="21" max="21" width="23" style="83" bestFit="1" customWidth="1"/>
    <col min="22" max="22" width="19.69921875" style="83" customWidth="1"/>
    <col min="23" max="23" width="20.296875" style="83" customWidth="1"/>
    <col min="24" max="24" width="23.3984375" style="83" bestFit="1" customWidth="1"/>
    <col min="25" max="25" width="21.69921875" style="83" bestFit="1" customWidth="1"/>
    <col min="26" max="26" width="16.09765625" style="83" customWidth="1"/>
    <col min="27" max="28" width="23.3984375" style="83" bestFit="1" customWidth="1"/>
    <col min="29" max="29" width="21.296875" style="83" bestFit="1" customWidth="1"/>
    <col min="30" max="30" width="23.3984375" style="83" bestFit="1" customWidth="1"/>
    <col min="31" max="31" width="21.296875" style="83" bestFit="1" customWidth="1"/>
    <col min="32" max="32" width="20.69921875" style="83" bestFit="1" customWidth="1"/>
    <col min="33" max="16384" width="9.296875" style="83"/>
  </cols>
  <sheetData>
    <row r="1" spans="1:24" x14ac:dyDescent="0.35">
      <c r="A1" s="167" t="s">
        <v>185</v>
      </c>
      <c r="B1" s="168"/>
      <c r="C1" s="169"/>
      <c r="D1" s="169"/>
      <c r="E1" s="169"/>
      <c r="F1" s="169"/>
      <c r="G1" s="169"/>
      <c r="H1" s="169"/>
      <c r="I1" s="169"/>
      <c r="J1" s="169"/>
      <c r="K1" s="169"/>
      <c r="L1" s="169"/>
      <c r="M1" s="166"/>
      <c r="N1" s="90"/>
      <c r="O1" s="90"/>
      <c r="P1" s="90"/>
    </row>
    <row r="2" spans="1:24" x14ac:dyDescent="0.35">
      <c r="A2" s="167" t="s">
        <v>249</v>
      </c>
      <c r="B2" s="168"/>
      <c r="C2" s="169"/>
      <c r="D2" s="169"/>
      <c r="E2" s="169"/>
      <c r="F2" s="169"/>
      <c r="G2" s="169"/>
      <c r="H2" s="169"/>
      <c r="I2" s="169"/>
      <c r="J2" s="169"/>
      <c r="K2" s="169"/>
      <c r="L2" s="169"/>
      <c r="M2" s="166"/>
      <c r="N2" s="90"/>
      <c r="O2" s="90"/>
      <c r="P2" s="90"/>
    </row>
    <row r="3" spans="1:24" x14ac:dyDescent="0.35">
      <c r="A3" s="1"/>
      <c r="B3" s="1"/>
      <c r="C3" s="6"/>
      <c r="D3" s="2"/>
      <c r="E3" s="3"/>
      <c r="F3" s="2"/>
      <c r="G3" s="2"/>
      <c r="H3" s="2"/>
      <c r="I3" s="4"/>
      <c r="J3" s="4"/>
      <c r="K3" s="4"/>
      <c r="L3" s="4"/>
      <c r="M3" s="4"/>
      <c r="N3" s="90"/>
      <c r="O3" s="90"/>
      <c r="P3" s="90"/>
    </row>
    <row r="4" spans="1:24" x14ac:dyDescent="0.35">
      <c r="A4" s="1" t="s">
        <v>186</v>
      </c>
      <c r="B4" s="1"/>
      <c r="C4" s="2"/>
      <c r="D4" s="2"/>
      <c r="E4" s="7"/>
      <c r="F4" s="2"/>
      <c r="G4" s="2"/>
      <c r="H4" s="2"/>
      <c r="I4" s="4"/>
      <c r="J4" s="181" t="str">
        <f>"For the 12 months ended "&amp;TEXT('OATT Input Data'!B4,"MM/DD/YYYY")</f>
        <v>For the 12 months ended 12/31/2019</v>
      </c>
      <c r="K4" s="4"/>
      <c r="L4" s="4"/>
      <c r="M4" s="4"/>
      <c r="N4" s="90"/>
      <c r="O4" s="90"/>
      <c r="P4" s="90"/>
    </row>
    <row r="5" spans="1:24" x14ac:dyDescent="0.35">
      <c r="A5" s="182" t="s">
        <v>187</v>
      </c>
      <c r="B5" s="1"/>
      <c r="C5" s="2"/>
      <c r="D5" s="1"/>
      <c r="E5" s="1"/>
      <c r="F5" s="8"/>
      <c r="G5" s="8"/>
      <c r="H5" s="8"/>
      <c r="I5" s="2"/>
      <c r="J5" s="181" t="s">
        <v>124</v>
      </c>
      <c r="K5" s="169"/>
      <c r="L5" s="169"/>
      <c r="M5" s="4"/>
      <c r="N5" s="90"/>
      <c r="O5" s="90"/>
      <c r="P5" s="90"/>
    </row>
    <row r="6" spans="1:24" x14ac:dyDescent="0.35">
      <c r="A6" s="1"/>
      <c r="B6" s="1"/>
      <c r="C6" s="4"/>
      <c r="D6" s="4"/>
      <c r="E6" s="4"/>
      <c r="F6" s="4"/>
      <c r="G6" s="4"/>
      <c r="H6" s="4"/>
      <c r="I6" s="4"/>
      <c r="J6" s="4"/>
      <c r="K6" s="4"/>
      <c r="L6" s="4"/>
      <c r="M6" s="4"/>
      <c r="N6" s="90"/>
      <c r="O6" s="90"/>
      <c r="P6" s="90"/>
    </row>
    <row r="7" spans="1:24" x14ac:dyDescent="0.35">
      <c r="A7" s="184" t="s">
        <v>130</v>
      </c>
      <c r="B7" s="168"/>
      <c r="C7" s="169"/>
      <c r="D7" s="169"/>
      <c r="E7" s="168"/>
      <c r="F7" s="169"/>
      <c r="G7" s="169"/>
      <c r="H7" s="169"/>
      <c r="I7" s="169"/>
      <c r="J7" s="169"/>
      <c r="K7" s="169"/>
      <c r="L7" s="169"/>
      <c r="M7" s="4"/>
      <c r="N7" s="125"/>
      <c r="O7" s="125"/>
      <c r="P7" s="134"/>
    </row>
    <row r="8" spans="1:24" x14ac:dyDescent="0.35">
      <c r="A8" s="82"/>
      <c r="C8" s="135" t="s">
        <v>18</v>
      </c>
      <c r="D8" s="135" t="s">
        <v>19</v>
      </c>
      <c r="E8" s="135" t="s">
        <v>20</v>
      </c>
      <c r="F8" s="125" t="s">
        <v>0</v>
      </c>
      <c r="G8" s="125"/>
      <c r="H8" s="596" t="s">
        <v>21</v>
      </c>
      <c r="I8" s="125"/>
      <c r="J8" s="132" t="s">
        <v>22</v>
      </c>
      <c r="K8" s="125"/>
      <c r="L8" s="125"/>
      <c r="M8" s="125"/>
      <c r="N8" s="90"/>
      <c r="O8" s="125"/>
      <c r="P8" s="134"/>
    </row>
    <row r="9" spans="1:24" x14ac:dyDescent="0.35">
      <c r="A9" s="82"/>
      <c r="C9" s="135"/>
      <c r="D9" s="93"/>
      <c r="E9" s="93"/>
      <c r="F9" s="93"/>
      <c r="G9" s="93"/>
      <c r="H9" s="93"/>
      <c r="I9" s="93"/>
      <c r="J9" s="93"/>
      <c r="K9" s="93"/>
      <c r="L9" s="597"/>
      <c r="M9" s="93"/>
      <c r="N9" s="93"/>
      <c r="O9" s="125"/>
      <c r="P9" s="134"/>
    </row>
    <row r="10" spans="1:24" x14ac:dyDescent="0.35">
      <c r="A10" s="82" t="s">
        <v>1</v>
      </c>
      <c r="C10" s="134"/>
      <c r="D10" s="147" t="s">
        <v>23</v>
      </c>
      <c r="E10" s="125"/>
      <c r="F10" s="125"/>
      <c r="G10" s="125"/>
      <c r="H10" s="82"/>
      <c r="I10" s="125"/>
      <c r="J10" s="597" t="s">
        <v>24</v>
      </c>
      <c r="K10" s="125"/>
      <c r="L10" s="597"/>
      <c r="M10" s="125"/>
      <c r="N10" s="90"/>
      <c r="O10" s="125"/>
      <c r="P10" s="134"/>
    </row>
    <row r="11" spans="1:24" ht="16" thickBot="1" x14ac:dyDescent="0.4">
      <c r="A11" s="368" t="s">
        <v>3</v>
      </c>
      <c r="C11" s="134"/>
      <c r="D11" s="598" t="s">
        <v>25</v>
      </c>
      <c r="E11" s="597" t="s">
        <v>26</v>
      </c>
      <c r="F11" s="599"/>
      <c r="G11" s="600" t="s">
        <v>7</v>
      </c>
      <c r="H11" s="364"/>
      <c r="I11" s="599"/>
      <c r="J11" s="601" t="s">
        <v>28</v>
      </c>
      <c r="K11" s="125"/>
      <c r="L11" s="597"/>
      <c r="M11" s="602"/>
      <c r="N11" s="597"/>
      <c r="O11" s="125"/>
    </row>
    <row r="12" spans="1:24" x14ac:dyDescent="0.35">
      <c r="C12" s="134"/>
      <c r="D12" s="125"/>
      <c r="E12" s="603"/>
      <c r="F12" s="604"/>
      <c r="G12" s="605"/>
      <c r="I12" s="604"/>
      <c r="J12" s="603"/>
      <c r="K12" s="125"/>
      <c r="L12" s="125"/>
      <c r="M12" s="125"/>
      <c r="N12" s="125"/>
      <c r="O12" s="125"/>
      <c r="Q12" s="152"/>
      <c r="V12" s="146"/>
      <c r="X12" s="153"/>
    </row>
    <row r="13" spans="1:24" x14ac:dyDescent="0.35">
      <c r="A13" s="82"/>
      <c r="C13" s="134" t="s">
        <v>55</v>
      </c>
      <c r="D13" s="125"/>
      <c r="E13" s="125"/>
      <c r="F13" s="125"/>
      <c r="G13" s="125"/>
      <c r="H13" s="125"/>
      <c r="I13" s="125"/>
      <c r="J13" s="125"/>
      <c r="K13" s="125"/>
      <c r="L13" s="125"/>
      <c r="M13" s="125"/>
      <c r="N13" s="125"/>
      <c r="O13" s="125"/>
      <c r="P13" s="134"/>
    </row>
    <row r="14" spans="1:24" x14ac:dyDescent="0.35">
      <c r="A14" s="82">
        <v>1</v>
      </c>
      <c r="C14" s="171" t="s">
        <v>24</v>
      </c>
      <c r="D14" s="230" t="s">
        <v>383</v>
      </c>
      <c r="E14" s="370">
        <f>'OATT Input Data'!E199</f>
        <v>73608859.129999995</v>
      </c>
      <c r="F14" s="125"/>
      <c r="G14" s="125" t="s">
        <v>53</v>
      </c>
      <c r="H14" s="378">
        <f>'PTP Pg 4 of 5'!$J$25</f>
        <v>0.87946000000000002</v>
      </c>
      <c r="I14" s="125"/>
      <c r="J14" s="370">
        <f>ROUND(E14*H14,0)</f>
        <v>64736047</v>
      </c>
      <c r="K14" s="90"/>
      <c r="L14" s="125"/>
      <c r="M14" s="125"/>
      <c r="N14" s="125"/>
      <c r="O14" s="134"/>
      <c r="P14" s="125"/>
      <c r="Q14" s="125"/>
    </row>
    <row r="15" spans="1:24" x14ac:dyDescent="0.35">
      <c r="A15" s="82">
        <v>2</v>
      </c>
      <c r="C15" s="171" t="s">
        <v>198</v>
      </c>
      <c r="D15" s="162" t="s">
        <v>273</v>
      </c>
      <c r="E15" s="126">
        <f>'OATT Input Data'!E200*-1</f>
        <v>-4189581</v>
      </c>
      <c r="F15" s="125"/>
      <c r="G15" s="125" t="s">
        <v>0</v>
      </c>
      <c r="H15" s="378">
        <v>1</v>
      </c>
      <c r="I15" s="125"/>
      <c r="J15" s="126">
        <f>ROUND(E15*H15,0)</f>
        <v>-4189581</v>
      </c>
      <c r="K15" s="90"/>
      <c r="L15" s="125"/>
      <c r="M15" s="125"/>
      <c r="N15" s="125"/>
      <c r="O15" s="135"/>
      <c r="P15" s="125"/>
      <c r="Q15" s="125"/>
    </row>
    <row r="16" spans="1:24" x14ac:dyDescent="0.35">
      <c r="A16" s="82">
        <v>3</v>
      </c>
      <c r="C16" s="134" t="s">
        <v>56</v>
      </c>
      <c r="D16" s="162" t="s">
        <v>274</v>
      </c>
      <c r="E16" s="126">
        <f>'OATT Input Data'!E206</f>
        <v>189084004.65000001</v>
      </c>
      <c r="F16" s="125"/>
      <c r="G16" s="125" t="s">
        <v>36</v>
      </c>
      <c r="H16" s="378">
        <f>'PTP Pg 4 of 5'!$J$33</f>
        <v>6.5449999999999994E-2</v>
      </c>
      <c r="I16" s="125"/>
      <c r="J16" s="126">
        <f t="shared" ref="J16:J21" si="0">ROUND(E16*H16,0)</f>
        <v>12375548</v>
      </c>
      <c r="K16" s="125"/>
      <c r="L16" s="125" t="s">
        <v>0</v>
      </c>
      <c r="M16" s="125"/>
      <c r="N16" s="125"/>
      <c r="O16" s="135"/>
      <c r="P16" s="125"/>
      <c r="Q16" s="125"/>
    </row>
    <row r="17" spans="1:21" x14ac:dyDescent="0.35">
      <c r="A17" s="82">
        <v>4</v>
      </c>
      <c r="C17" s="171" t="s">
        <v>200</v>
      </c>
      <c r="D17" s="162" t="s">
        <v>275</v>
      </c>
      <c r="E17" s="126">
        <f>'OATT Input Data'!E208*-1</f>
        <v>-921817</v>
      </c>
      <c r="F17" s="125"/>
      <c r="G17" s="125" t="str">
        <f>+G16</f>
        <v>W/S</v>
      </c>
      <c r="H17" s="378">
        <f>'PTP Pg 4 of 5'!$J$33</f>
        <v>6.5449999999999994E-2</v>
      </c>
      <c r="I17" s="125"/>
      <c r="J17" s="126">
        <f t="shared" si="0"/>
        <v>-60333</v>
      </c>
      <c r="K17" s="125"/>
      <c r="L17" s="125"/>
      <c r="M17" s="125"/>
      <c r="N17" s="125"/>
      <c r="O17" s="135"/>
      <c r="P17" s="125"/>
      <c r="Q17" s="125"/>
    </row>
    <row r="18" spans="1:21" x14ac:dyDescent="0.35">
      <c r="A18" s="606">
        <v>5</v>
      </c>
      <c r="C18" s="175" t="s">
        <v>278</v>
      </c>
      <c r="D18" s="442" t="s">
        <v>276</v>
      </c>
      <c r="E18" s="126">
        <f>'OATT Input Data'!E214*-1</f>
        <v>-5044011</v>
      </c>
      <c r="F18" s="443"/>
      <c r="G18" s="443" t="str">
        <f>+G17</f>
        <v>W/S</v>
      </c>
      <c r="H18" s="444">
        <f>'PTP Pg 4 of 5'!$J$33</f>
        <v>6.5449999999999994E-2</v>
      </c>
      <c r="I18" s="443"/>
      <c r="J18" s="126">
        <f t="shared" si="0"/>
        <v>-330131</v>
      </c>
      <c r="K18" s="125"/>
      <c r="L18" s="125"/>
      <c r="M18" s="125"/>
      <c r="N18" s="125"/>
      <c r="O18" s="134"/>
      <c r="P18" s="125"/>
      <c r="Q18" s="125"/>
    </row>
    <row r="19" spans="1:21" x14ac:dyDescent="0.35">
      <c r="A19" s="82">
        <v>6</v>
      </c>
      <c r="C19" s="171" t="s">
        <v>277</v>
      </c>
      <c r="D19" s="374" t="s">
        <v>276</v>
      </c>
      <c r="E19" s="126">
        <f>'OATT Input Data'!E215</f>
        <v>594261</v>
      </c>
      <c r="F19" s="125"/>
      <c r="G19" s="155" t="str">
        <f>+G14</f>
        <v>TE</v>
      </c>
      <c r="H19" s="378">
        <f>'PTP Pg 4 of 5'!$J$25</f>
        <v>0.87946000000000002</v>
      </c>
      <c r="I19" s="125"/>
      <c r="J19" s="126">
        <f t="shared" si="0"/>
        <v>522629</v>
      </c>
      <c r="K19" s="125"/>
      <c r="L19" s="125"/>
      <c r="M19" s="125"/>
      <c r="O19" s="135"/>
      <c r="P19" s="125"/>
      <c r="Q19" s="125"/>
    </row>
    <row r="20" spans="1:21" x14ac:dyDescent="0.35">
      <c r="A20" s="82">
        <v>7</v>
      </c>
      <c r="C20" s="134" t="s">
        <v>43</v>
      </c>
      <c r="D20" s="162" t="s">
        <v>179</v>
      </c>
      <c r="E20" s="309">
        <f>'OATT Input Data'!E216</f>
        <v>0</v>
      </c>
      <c r="F20" s="125"/>
      <c r="G20" s="125" t="s">
        <v>38</v>
      </c>
      <c r="H20" s="378">
        <f>'PTP Pg 4 of 5'!$J$41</f>
        <v>6.0389999999999999E-2</v>
      </c>
      <c r="I20" s="125"/>
      <c r="J20" s="309">
        <f t="shared" si="0"/>
        <v>0</v>
      </c>
      <c r="K20" s="125"/>
      <c r="L20" s="125"/>
      <c r="M20" s="125"/>
      <c r="N20" s="125"/>
      <c r="O20" s="135"/>
      <c r="P20" s="125"/>
      <c r="Q20" s="125"/>
    </row>
    <row r="21" spans="1:21" ht="18.5" x14ac:dyDescent="0.65">
      <c r="A21" s="82">
        <v>8</v>
      </c>
      <c r="C21" s="134" t="s">
        <v>199</v>
      </c>
      <c r="D21" s="125"/>
      <c r="E21" s="373">
        <f>'OATT Input Data'!E217</f>
        <v>0</v>
      </c>
      <c r="F21" s="125"/>
      <c r="G21" s="125" t="s">
        <v>0</v>
      </c>
      <c r="H21" s="378">
        <v>1</v>
      </c>
      <c r="I21" s="125"/>
      <c r="J21" s="373">
        <f t="shared" si="0"/>
        <v>0</v>
      </c>
      <c r="K21" s="125"/>
      <c r="L21" s="125"/>
      <c r="M21" s="125"/>
      <c r="N21" s="125"/>
      <c r="O21" s="135"/>
      <c r="P21" s="125"/>
      <c r="Q21" s="125"/>
    </row>
    <row r="22" spans="1:21" x14ac:dyDescent="0.35">
      <c r="A22" s="82">
        <v>9</v>
      </c>
      <c r="C22" s="171" t="s">
        <v>197</v>
      </c>
      <c r="D22" s="369" t="s">
        <v>321</v>
      </c>
      <c r="E22" s="370">
        <f>ROUND(SUM(E14:E21),0)</f>
        <v>253131716</v>
      </c>
      <c r="F22" s="125"/>
      <c r="G22" s="125"/>
      <c r="H22" s="125"/>
      <c r="I22" s="125"/>
      <c r="J22" s="370">
        <f>ROUND(SUM(J14:J21),0)</f>
        <v>73054179</v>
      </c>
      <c r="K22" s="125"/>
      <c r="L22" s="125"/>
      <c r="M22" s="125"/>
      <c r="N22" s="607"/>
      <c r="O22" s="125"/>
      <c r="P22" s="134"/>
    </row>
    <row r="23" spans="1:21" x14ac:dyDescent="0.35">
      <c r="A23" s="82"/>
      <c r="D23" s="125"/>
      <c r="E23" s="126"/>
      <c r="F23" s="125"/>
      <c r="G23" s="125"/>
      <c r="H23" s="125"/>
      <c r="I23" s="125"/>
      <c r="J23" s="126"/>
      <c r="K23" s="125"/>
      <c r="L23" s="125"/>
      <c r="M23" s="125"/>
      <c r="N23" s="125"/>
      <c r="O23" s="125"/>
      <c r="P23" s="134"/>
    </row>
    <row r="24" spans="1:21" x14ac:dyDescent="0.35">
      <c r="A24" s="82"/>
      <c r="C24" s="171" t="s">
        <v>414</v>
      </c>
      <c r="D24" s="374" t="s">
        <v>252</v>
      </c>
      <c r="E24" s="126"/>
      <c r="F24" s="125"/>
      <c r="G24" s="125"/>
      <c r="H24" s="125"/>
      <c r="I24" s="125"/>
      <c r="J24" s="126"/>
      <c r="K24" s="125"/>
      <c r="L24" s="125"/>
      <c r="M24" s="125"/>
      <c r="N24" s="125"/>
      <c r="O24" s="125"/>
      <c r="P24" s="134"/>
    </row>
    <row r="25" spans="1:21" x14ac:dyDescent="0.35">
      <c r="A25" s="82">
        <v>10</v>
      </c>
      <c r="C25" s="608" t="s">
        <v>412</v>
      </c>
      <c r="D25" s="369" t="s">
        <v>194</v>
      </c>
      <c r="E25" s="370">
        <f>'OATT Input Data'!$E$222</f>
        <v>30260452.140000001</v>
      </c>
      <c r="F25" s="125"/>
      <c r="G25" s="125" t="s">
        <v>9</v>
      </c>
      <c r="H25" s="378">
        <f>'PTP Pg 4 of 5'!$J$24</f>
        <v>0.96242000000000005</v>
      </c>
      <c r="I25" s="125"/>
      <c r="J25" s="370">
        <f t="shared" ref="J25" si="1">ROUND(H25*E25,0)</f>
        <v>29123264</v>
      </c>
      <c r="K25" s="125"/>
      <c r="L25" s="393"/>
      <c r="M25" s="125"/>
      <c r="N25" s="125"/>
      <c r="O25" s="135"/>
      <c r="P25" s="134"/>
    </row>
    <row r="26" spans="1:21" x14ac:dyDescent="0.35">
      <c r="A26" s="82">
        <v>11</v>
      </c>
      <c r="C26" s="608" t="s">
        <v>398</v>
      </c>
      <c r="D26" s="369" t="s">
        <v>195</v>
      </c>
      <c r="E26" s="126">
        <f>'OATT Input Data'!$E$225</f>
        <v>28541360.370000001</v>
      </c>
      <c r="F26" s="125"/>
      <c r="G26" s="125" t="s">
        <v>36</v>
      </c>
      <c r="H26" s="378">
        <f>'PTP Pg 4 of 5'!$J$33</f>
        <v>6.5449999999999994E-2</v>
      </c>
      <c r="I26" s="125"/>
      <c r="J26" s="126">
        <f>ROUND(H26*E26,0)</f>
        <v>1868032</v>
      </c>
      <c r="K26" s="125"/>
      <c r="L26" s="393"/>
      <c r="M26" s="125"/>
      <c r="N26" s="609"/>
      <c r="O26" s="135"/>
      <c r="P26" s="134"/>
    </row>
    <row r="27" spans="1:21" x14ac:dyDescent="0.35">
      <c r="A27" s="82">
        <v>12</v>
      </c>
      <c r="C27" s="608" t="s">
        <v>413</v>
      </c>
      <c r="D27" s="369" t="s">
        <v>196</v>
      </c>
      <c r="E27" s="389">
        <f>'OATT Input Data'!$E$226</f>
        <v>19614332.707600001</v>
      </c>
      <c r="F27" s="125"/>
      <c r="G27" s="125" t="s">
        <v>38</v>
      </c>
      <c r="H27" s="378">
        <f>'PTP Pg 4 of 5'!$J$41</f>
        <v>6.0389999999999999E-2</v>
      </c>
      <c r="I27" s="125"/>
      <c r="J27" s="389">
        <f t="shared" ref="J27" si="2">ROUND(H27*E27,0)</f>
        <v>1184510</v>
      </c>
      <c r="K27" s="125"/>
      <c r="L27" s="393"/>
      <c r="M27" s="125"/>
      <c r="N27" s="609"/>
      <c r="O27" s="135"/>
      <c r="P27" s="134"/>
    </row>
    <row r="28" spans="1:21" x14ac:dyDescent="0.35">
      <c r="A28" s="82">
        <v>13</v>
      </c>
      <c r="C28" s="171" t="s">
        <v>201</v>
      </c>
      <c r="D28" s="369" t="s">
        <v>335</v>
      </c>
      <c r="E28" s="370">
        <f>ROUND(SUM(E25:E27),0)</f>
        <v>78416145</v>
      </c>
      <c r="F28" s="125"/>
      <c r="G28" s="125"/>
      <c r="H28" s="125"/>
      <c r="I28" s="125"/>
      <c r="J28" s="370">
        <f>ROUND(SUM(J25:J27),0)</f>
        <v>32175806</v>
      </c>
      <c r="K28" s="125"/>
      <c r="L28" s="125"/>
      <c r="M28" s="125"/>
      <c r="N28" s="125"/>
      <c r="O28" s="125"/>
      <c r="P28" s="134"/>
      <c r="U28" s="610"/>
    </row>
    <row r="29" spans="1:21" x14ac:dyDescent="0.35">
      <c r="A29" s="82"/>
      <c r="C29" s="134"/>
      <c r="D29" s="125"/>
      <c r="E29" s="126"/>
      <c r="F29" s="125"/>
      <c r="G29" s="125"/>
      <c r="H29" s="125"/>
      <c r="I29" s="125"/>
      <c r="J29" s="126"/>
      <c r="K29" s="125"/>
      <c r="L29" s="125"/>
      <c r="M29" s="125"/>
      <c r="N29" s="125"/>
      <c r="O29" s="125"/>
      <c r="P29" s="134"/>
    </row>
    <row r="30" spans="1:21" x14ac:dyDescent="0.35">
      <c r="A30" s="82" t="s">
        <v>0</v>
      </c>
      <c r="C30" s="171" t="s">
        <v>280</v>
      </c>
      <c r="D30" s="100" t="s">
        <v>302</v>
      </c>
      <c r="E30" s="126"/>
      <c r="F30" s="125"/>
      <c r="G30" s="125"/>
      <c r="H30" s="125"/>
      <c r="I30" s="125"/>
      <c r="J30" s="126"/>
      <c r="K30" s="125"/>
      <c r="L30" s="125"/>
      <c r="M30" s="125"/>
      <c r="N30" s="125"/>
      <c r="O30" s="125"/>
      <c r="P30" s="134"/>
    </row>
    <row r="31" spans="1:21" x14ac:dyDescent="0.35">
      <c r="A31" s="82"/>
      <c r="C31" s="134" t="s">
        <v>57</v>
      </c>
      <c r="D31" s="100"/>
      <c r="E31" s="126"/>
      <c r="F31" s="125"/>
      <c r="G31" s="125"/>
      <c r="I31" s="125"/>
      <c r="J31" s="126"/>
      <c r="K31" s="125"/>
      <c r="L31" s="393"/>
      <c r="M31" s="125"/>
      <c r="N31" s="129"/>
      <c r="O31" s="135"/>
      <c r="P31" s="134"/>
    </row>
    <row r="32" spans="1:21" x14ac:dyDescent="0.35">
      <c r="A32" s="82">
        <v>14</v>
      </c>
      <c r="C32" s="611" t="s">
        <v>59</v>
      </c>
      <c r="D32" s="374" t="s">
        <v>58</v>
      </c>
      <c r="E32" s="370">
        <f>'OATT Input Data'!$E$241</f>
        <v>16455373.870000001</v>
      </c>
      <c r="F32" s="125"/>
      <c r="G32" s="125" t="s">
        <v>36</v>
      </c>
      <c r="H32" s="378">
        <f>'PTP Pg 4 of 5'!$J$33</f>
        <v>6.5449999999999994E-2</v>
      </c>
      <c r="I32" s="125"/>
      <c r="J32" s="370">
        <f>ROUND(H32*E32,0)</f>
        <v>1077004</v>
      </c>
      <c r="K32" s="125"/>
      <c r="L32" s="393"/>
      <c r="M32" s="125"/>
      <c r="N32" s="129"/>
      <c r="P32" s="135"/>
      <c r="Q32" s="135"/>
    </row>
    <row r="33" spans="1:17" x14ac:dyDescent="0.35">
      <c r="A33" s="82">
        <v>15</v>
      </c>
      <c r="C33" s="611" t="s">
        <v>389</v>
      </c>
      <c r="D33" s="374" t="s">
        <v>58</v>
      </c>
      <c r="E33" s="309">
        <f>'OATT Input Data'!$E$242</f>
        <v>113092.42</v>
      </c>
      <c r="F33" s="125"/>
      <c r="G33" s="125" t="str">
        <f>+G32</f>
        <v>W/S</v>
      </c>
      <c r="H33" s="378">
        <f>'PTP Pg 4 of 5'!$J$33</f>
        <v>6.5449999999999994E-2</v>
      </c>
      <c r="I33" s="125"/>
      <c r="J33" s="309">
        <f>ROUND(H33*E33,0)</f>
        <v>7402</v>
      </c>
      <c r="K33" s="125"/>
      <c r="L33" s="393"/>
      <c r="M33" s="125"/>
      <c r="N33" s="129"/>
      <c r="P33" s="125"/>
      <c r="Q33" s="125"/>
    </row>
    <row r="34" spans="1:17" x14ac:dyDescent="0.35">
      <c r="A34" s="82">
        <v>16</v>
      </c>
      <c r="C34" s="134" t="s">
        <v>60</v>
      </c>
      <c r="D34" s="374" t="s">
        <v>0</v>
      </c>
      <c r="E34" s="126"/>
      <c r="F34" s="125"/>
      <c r="G34" s="125"/>
      <c r="I34" s="125"/>
      <c r="J34" s="126"/>
      <c r="K34" s="125"/>
      <c r="L34" s="393"/>
      <c r="M34" s="125"/>
      <c r="N34" s="129"/>
      <c r="P34" s="125"/>
      <c r="Q34" s="125"/>
    </row>
    <row r="35" spans="1:17" x14ac:dyDescent="0.35">
      <c r="A35" s="82">
        <v>17</v>
      </c>
      <c r="C35" s="611" t="s">
        <v>61</v>
      </c>
      <c r="D35" s="374" t="s">
        <v>58</v>
      </c>
      <c r="E35" s="126">
        <f>'OATT Input Data'!$E$244</f>
        <v>58750695</v>
      </c>
      <c r="F35" s="125"/>
      <c r="G35" s="125" t="s">
        <v>54</v>
      </c>
      <c r="H35" s="398">
        <f>'PTP Pg 2 of 5'!$H$19</f>
        <v>9.9720000000000003E-2</v>
      </c>
      <c r="I35" s="125"/>
      <c r="J35" s="126">
        <f>ROUND(H35*E35,0)</f>
        <v>5858619</v>
      </c>
      <c r="K35" s="125"/>
      <c r="L35" s="393"/>
      <c r="M35" s="125"/>
      <c r="N35" s="129"/>
      <c r="P35" s="125"/>
      <c r="Q35" s="125"/>
    </row>
    <row r="36" spans="1:17" x14ac:dyDescent="0.35">
      <c r="A36" s="82">
        <v>18</v>
      </c>
      <c r="C36" s="611" t="s">
        <v>41</v>
      </c>
      <c r="D36" s="374" t="s">
        <v>58</v>
      </c>
      <c r="E36" s="126">
        <f>'OATT Input Data'!$E$250</f>
        <v>5490463</v>
      </c>
      <c r="F36" s="125"/>
      <c r="G36" s="125" t="str">
        <f>+G35</f>
        <v>GP</v>
      </c>
      <c r="H36" s="398">
        <f>'PTP Pg 2 of 5'!$H$19</f>
        <v>9.9720000000000003E-2</v>
      </c>
      <c r="I36" s="125"/>
      <c r="J36" s="126">
        <f>ROUND(H36*E36,0)</f>
        <v>547509</v>
      </c>
      <c r="K36" s="125"/>
      <c r="L36" s="393"/>
      <c r="M36" s="125"/>
      <c r="P36" s="136"/>
      <c r="Q36" s="136"/>
    </row>
    <row r="37" spans="1:17" x14ac:dyDescent="0.35">
      <c r="A37" s="82">
        <v>19</v>
      </c>
      <c r="C37" s="611" t="s">
        <v>390</v>
      </c>
      <c r="D37" s="125"/>
      <c r="E37" s="445">
        <v>0</v>
      </c>
      <c r="F37" s="125"/>
      <c r="G37" s="125" t="s">
        <v>54</v>
      </c>
      <c r="H37" s="398">
        <f>'PTP Pg 2 of 5'!$H$19</f>
        <v>9.9720000000000003E-2</v>
      </c>
      <c r="I37" s="125"/>
      <c r="J37" s="445">
        <f>ROUND(H37*E37,0)</f>
        <v>0</v>
      </c>
      <c r="K37" s="125"/>
      <c r="L37" s="393"/>
      <c r="M37" s="125"/>
      <c r="N37" s="129"/>
      <c r="O37" s="129"/>
      <c r="P37" s="125"/>
      <c r="Q37" s="125"/>
    </row>
    <row r="38" spans="1:17" x14ac:dyDescent="0.35">
      <c r="A38" s="82">
        <v>20</v>
      </c>
      <c r="C38" s="171" t="s">
        <v>202</v>
      </c>
      <c r="D38" s="369" t="s">
        <v>409</v>
      </c>
      <c r="E38" s="370">
        <f>ROUND(SUM(E32:E37),0)</f>
        <v>80809624</v>
      </c>
      <c r="F38" s="125"/>
      <c r="G38" s="125"/>
      <c r="H38" s="398"/>
      <c r="I38" s="125"/>
      <c r="J38" s="370">
        <f>ROUND(SUM(J32:J37),0)</f>
        <v>7490534</v>
      </c>
      <c r="K38" s="125"/>
      <c r="L38" s="125"/>
      <c r="M38" s="125"/>
      <c r="N38" s="129"/>
      <c r="O38" s="147"/>
      <c r="P38" s="125"/>
      <c r="Q38" s="125"/>
    </row>
    <row r="39" spans="1:17" x14ac:dyDescent="0.35">
      <c r="A39" s="82"/>
      <c r="C39" s="134"/>
      <c r="D39" s="125"/>
      <c r="E39" s="126"/>
      <c r="F39" s="125"/>
      <c r="G39" s="125"/>
      <c r="H39" s="398"/>
      <c r="I39" s="125"/>
      <c r="J39" s="126"/>
      <c r="K39" s="125"/>
      <c r="L39" s="125"/>
      <c r="M39" s="125"/>
      <c r="N39" s="134"/>
      <c r="P39" s="135"/>
      <c r="Q39" s="135"/>
    </row>
    <row r="40" spans="1:17" x14ac:dyDescent="0.35">
      <c r="A40" s="82" t="s">
        <v>62</v>
      </c>
      <c r="C40" s="134"/>
      <c r="D40" s="125"/>
      <c r="E40" s="126"/>
      <c r="F40" s="125"/>
      <c r="G40" s="125"/>
      <c r="H40" s="398"/>
      <c r="I40" s="125"/>
      <c r="J40" s="126"/>
      <c r="K40" s="125"/>
      <c r="L40" s="125"/>
      <c r="M40" s="125"/>
      <c r="N40" s="125"/>
      <c r="P40" s="135"/>
      <c r="Q40" s="135"/>
    </row>
    <row r="41" spans="1:17" x14ac:dyDescent="0.35">
      <c r="A41" s="82" t="s">
        <v>0</v>
      </c>
      <c r="C41" s="171" t="s">
        <v>306</v>
      </c>
      <c r="D41" s="374" t="s">
        <v>304</v>
      </c>
      <c r="E41" s="126"/>
      <c r="F41" s="125"/>
      <c r="H41" s="392"/>
      <c r="I41" s="125"/>
      <c r="J41" s="126"/>
      <c r="K41" s="125"/>
      <c r="M41" s="125"/>
      <c r="N41" s="144"/>
      <c r="P41" s="135"/>
      <c r="Q41" s="135"/>
    </row>
    <row r="42" spans="1:17" x14ac:dyDescent="0.35">
      <c r="A42" s="82">
        <v>21</v>
      </c>
      <c r="C42" s="612" t="s">
        <v>399</v>
      </c>
      <c r="D42" s="125"/>
      <c r="E42" s="446">
        <f>IF('OATT Input Data'!$B$255&gt;0,1-(((1-'OATT Input Data'!$B$256)*(1-'OATT Input Data'!$B$255))/(1-'OATT Input Data'!$B$256*'OATT Input Data'!$B$255*'OATT Input Data'!$B$257)),0)</f>
        <v>0.24950000000000006</v>
      </c>
      <c r="F42" s="125"/>
      <c r="H42" s="392"/>
      <c r="I42" s="125"/>
      <c r="J42" s="126"/>
      <c r="K42" s="125"/>
      <c r="M42" s="125"/>
      <c r="N42" s="125"/>
      <c r="P42" s="135"/>
      <c r="Q42" s="135"/>
    </row>
    <row r="43" spans="1:17" x14ac:dyDescent="0.35">
      <c r="A43" s="82">
        <v>22</v>
      </c>
      <c r="C43" s="613" t="s">
        <v>400</v>
      </c>
      <c r="D43" s="125"/>
      <c r="E43" s="446">
        <f>IF('PTP Pg 4 of 5'!$J$56&gt;0,ROUND((E42/(1-E42))*(1-'PTP Pg 4 of 5'!$J$53/'PTP Pg 4 of 5'!$J$56),4),0)</f>
        <v>0.2515</v>
      </c>
      <c r="F43" s="125"/>
      <c r="H43" s="392"/>
      <c r="I43" s="125"/>
      <c r="J43" s="126"/>
      <c r="K43" s="125"/>
      <c r="M43" s="125"/>
      <c r="N43" s="125"/>
      <c r="O43" s="147"/>
      <c r="P43" s="135"/>
      <c r="Q43" s="135"/>
    </row>
    <row r="44" spans="1:17" x14ac:dyDescent="0.35">
      <c r="A44" s="82"/>
      <c r="C44" s="397" t="s">
        <v>336</v>
      </c>
      <c r="D44" s="369" t="s">
        <v>332</v>
      </c>
      <c r="E44" s="447">
        <f>'PTP Pg 4 of 5'!J53</f>
        <v>1.8700000000000001E-2</v>
      </c>
      <c r="F44" s="125"/>
      <c r="H44" s="392"/>
      <c r="I44" s="125"/>
      <c r="J44" s="126"/>
      <c r="K44" s="125"/>
      <c r="M44" s="125"/>
      <c r="P44" s="125"/>
    </row>
    <row r="45" spans="1:17" x14ac:dyDescent="0.35">
      <c r="A45" s="82"/>
      <c r="C45" s="397" t="s">
        <v>337</v>
      </c>
      <c r="D45" s="369" t="s">
        <v>333</v>
      </c>
      <c r="E45" s="447">
        <f>'PTP Pg 4 of 5'!J56</f>
        <v>7.6800000010000008E-2</v>
      </c>
      <c r="F45" s="125"/>
      <c r="H45" s="392"/>
      <c r="I45" s="125"/>
      <c r="J45" s="126"/>
      <c r="K45" s="125"/>
      <c r="M45" s="125"/>
      <c r="N45" s="125"/>
      <c r="O45" s="129"/>
      <c r="P45" s="125"/>
    </row>
    <row r="46" spans="1:17" x14ac:dyDescent="0.35">
      <c r="A46" s="82"/>
      <c r="C46" s="397" t="s">
        <v>305</v>
      </c>
      <c r="D46" s="374" t="s">
        <v>304</v>
      </c>
      <c r="E46" s="126"/>
      <c r="F46" s="125"/>
      <c r="H46" s="392"/>
      <c r="I46" s="125"/>
      <c r="J46" s="126"/>
      <c r="K46" s="125"/>
      <c r="M46" s="125"/>
      <c r="N46" s="125"/>
      <c r="O46" s="129"/>
      <c r="P46" s="125"/>
    </row>
    <row r="47" spans="1:17" x14ac:dyDescent="0.35">
      <c r="A47" s="82">
        <v>23</v>
      </c>
      <c r="C47" s="614" t="s">
        <v>307</v>
      </c>
      <c r="D47" s="369" t="s">
        <v>860</v>
      </c>
      <c r="E47" s="448">
        <f>IF(E42&gt;0,ROUND(1/(1-E42),8),0)</f>
        <v>1.3324450400000001</v>
      </c>
      <c r="F47" s="125"/>
      <c r="H47" s="392"/>
      <c r="I47" s="125"/>
      <c r="J47" s="126"/>
      <c r="K47" s="125"/>
      <c r="M47" s="125"/>
      <c r="N47" s="125"/>
      <c r="O47" s="129"/>
      <c r="P47" s="156"/>
      <c r="Q47" s="156"/>
    </row>
    <row r="48" spans="1:17" x14ac:dyDescent="0.35">
      <c r="A48" s="82">
        <v>24</v>
      </c>
      <c r="C48" s="171" t="s">
        <v>308</v>
      </c>
      <c r="D48" s="369" t="s">
        <v>391</v>
      </c>
      <c r="E48" s="309">
        <v>0</v>
      </c>
      <c r="F48" s="125"/>
      <c r="H48" s="392"/>
      <c r="I48" s="125"/>
      <c r="J48" s="126"/>
      <c r="K48" s="125"/>
      <c r="M48" s="125"/>
      <c r="N48" s="125"/>
      <c r="O48" s="129"/>
      <c r="P48" s="125"/>
      <c r="Q48" s="125"/>
    </row>
    <row r="49" spans="1:19" x14ac:dyDescent="0.35">
      <c r="A49" s="82" t="s">
        <v>1077</v>
      </c>
      <c r="C49" s="134" t="s">
        <v>1080</v>
      </c>
      <c r="D49" s="369" t="s">
        <v>1103</v>
      </c>
      <c r="E49" s="309">
        <f>'ADIT Worksheet'!C3</f>
        <v>-36660167</v>
      </c>
      <c r="F49" s="125"/>
      <c r="H49" s="392"/>
      <c r="I49" s="125"/>
      <c r="J49" s="126"/>
      <c r="K49" s="125"/>
      <c r="M49" s="125"/>
      <c r="N49" s="125"/>
      <c r="O49" s="129"/>
      <c r="P49" s="125"/>
      <c r="Q49" s="125"/>
    </row>
    <row r="50" spans="1:19" x14ac:dyDescent="0.35">
      <c r="A50" s="82" t="s">
        <v>1078</v>
      </c>
      <c r="C50" s="134" t="s">
        <v>1081</v>
      </c>
      <c r="D50" s="369" t="s">
        <v>1104</v>
      </c>
      <c r="E50" s="126">
        <f>'ADIT Worksheet'!C4</f>
        <v>-4056978</v>
      </c>
      <c r="F50" s="125"/>
      <c r="H50" s="392"/>
      <c r="I50" s="125"/>
      <c r="J50" s="126"/>
      <c r="K50" s="125"/>
      <c r="M50" s="125"/>
      <c r="N50" s="125"/>
      <c r="O50" s="129"/>
      <c r="P50" s="129"/>
    </row>
    <row r="51" spans="1:19" x14ac:dyDescent="0.35">
      <c r="A51" s="82"/>
      <c r="C51" s="134"/>
      <c r="D51" s="369"/>
      <c r="E51" s="126"/>
      <c r="F51" s="125"/>
      <c r="H51" s="392"/>
      <c r="I51" s="125"/>
      <c r="J51" s="126"/>
      <c r="K51" s="125"/>
      <c r="M51" s="125"/>
      <c r="N51" s="125"/>
      <c r="O51" s="129"/>
      <c r="P51" s="129"/>
    </row>
    <row r="52" spans="1:19" x14ac:dyDescent="0.35">
      <c r="A52" s="82">
        <v>25</v>
      </c>
      <c r="C52" s="614" t="s">
        <v>310</v>
      </c>
      <c r="D52" s="449" t="s">
        <v>410</v>
      </c>
      <c r="E52" s="370">
        <f>ROUND(E43*E58,0)</f>
        <v>158665740</v>
      </c>
      <c r="F52" s="125"/>
      <c r="G52" s="125"/>
      <c r="H52" s="398"/>
      <c r="I52" s="125"/>
      <c r="J52" s="370">
        <f>ROUND(E43*J58,0)</f>
        <v>16364820</v>
      </c>
      <c r="K52" s="125"/>
      <c r="L52" s="548" t="s">
        <v>0</v>
      </c>
      <c r="M52" s="125"/>
      <c r="N52" s="125"/>
      <c r="O52" s="129"/>
      <c r="P52" s="129"/>
    </row>
    <row r="53" spans="1:19" x14ac:dyDescent="0.35">
      <c r="A53" s="82">
        <v>26</v>
      </c>
      <c r="C53" s="146" t="s">
        <v>311</v>
      </c>
      <c r="D53" s="449" t="s">
        <v>411</v>
      </c>
      <c r="E53" s="309">
        <f>ROUND(E47*E48,0)</f>
        <v>0</v>
      </c>
      <c r="F53" s="125"/>
      <c r="G53" s="83" t="s">
        <v>46</v>
      </c>
      <c r="H53" s="398">
        <f>'PTP Pg 2 of 5'!$H$35</f>
        <v>0.10312</v>
      </c>
      <c r="I53" s="125"/>
      <c r="J53" s="309">
        <f>ROUND(H53*E53,0)</f>
        <v>0</v>
      </c>
      <c r="K53" s="125"/>
      <c r="L53" s="548"/>
      <c r="M53" s="125"/>
      <c r="N53" s="125"/>
      <c r="O53" s="129"/>
      <c r="P53" s="129"/>
    </row>
    <row r="54" spans="1:19" x14ac:dyDescent="0.35">
      <c r="A54" s="82" t="s">
        <v>1007</v>
      </c>
      <c r="C54" s="146" t="s">
        <v>1083</v>
      </c>
      <c r="D54" s="449" t="s">
        <v>1101</v>
      </c>
      <c r="E54" s="309">
        <f>E49*E47</f>
        <v>-48847657.684721686</v>
      </c>
      <c r="F54" s="125"/>
      <c r="G54" s="125" t="s">
        <v>46</v>
      </c>
      <c r="H54" s="398">
        <f>'NITS Pg 2 of 5'!$H$35</f>
        <v>0.10312</v>
      </c>
      <c r="I54" s="125"/>
      <c r="J54" s="547">
        <f>IF(ROUND(H54*E54,0)=0,0.001,ROUND(H54*E54,0))</f>
        <v>-5037170</v>
      </c>
      <c r="K54" s="125"/>
      <c r="L54" s="548"/>
      <c r="M54" s="125"/>
      <c r="N54" s="125"/>
      <c r="O54" s="129"/>
      <c r="P54" s="129"/>
    </row>
    <row r="55" spans="1:19" ht="18.5" x14ac:dyDescent="0.65">
      <c r="A55" s="82" t="s">
        <v>1008</v>
      </c>
      <c r="C55" s="146" t="s">
        <v>1082</v>
      </c>
      <c r="D55" s="449" t="s">
        <v>1102</v>
      </c>
      <c r="E55" s="373">
        <f>E50*E47</f>
        <v>-5405700.2134891199</v>
      </c>
      <c r="F55" s="125"/>
      <c r="G55" s="125" t="s">
        <v>36</v>
      </c>
      <c r="H55" s="378">
        <f>'NITS Pg 4 of 5'!$J$33</f>
        <v>6.5449999999999994E-2</v>
      </c>
      <c r="I55" s="125"/>
      <c r="J55" s="549">
        <f>IF(ROUND(H55*E55,0)=0,0.001,ROUND(H55*E55,0))</f>
        <v>-353803</v>
      </c>
      <c r="K55" s="125"/>
      <c r="L55" s="548"/>
      <c r="M55" s="125"/>
      <c r="N55" s="125"/>
      <c r="O55" s="129"/>
      <c r="P55" s="129"/>
    </row>
    <row r="56" spans="1:19" x14ac:dyDescent="0.35">
      <c r="A56" s="82">
        <v>27</v>
      </c>
      <c r="C56" s="550" t="s">
        <v>63</v>
      </c>
      <c r="D56" s="372" t="s">
        <v>1079</v>
      </c>
      <c r="E56" s="551">
        <f>SUM(E52:E55)</f>
        <v>104412382.10178921</v>
      </c>
      <c r="F56" s="125"/>
      <c r="G56" s="125" t="s">
        <v>0</v>
      </c>
      <c r="H56" s="398" t="s">
        <v>0</v>
      </c>
      <c r="I56" s="125"/>
      <c r="J56" s="551">
        <f>SUM(J52:J55)</f>
        <v>10973847</v>
      </c>
      <c r="K56" s="125"/>
      <c r="L56" s="125"/>
      <c r="M56" s="125"/>
      <c r="N56" s="125"/>
      <c r="O56" s="125"/>
      <c r="P56" s="134"/>
    </row>
    <row r="57" spans="1:19" x14ac:dyDescent="0.35">
      <c r="A57" s="82" t="s">
        <v>0</v>
      </c>
      <c r="D57" s="450"/>
      <c r="E57" s="126"/>
      <c r="F57" s="125"/>
      <c r="G57" s="125"/>
      <c r="H57" s="398"/>
      <c r="I57" s="125"/>
      <c r="J57" s="126"/>
      <c r="K57" s="125"/>
      <c r="L57" s="125"/>
      <c r="M57" s="125"/>
      <c r="N57" s="125"/>
      <c r="O57" s="125"/>
      <c r="P57" s="134"/>
    </row>
    <row r="58" spans="1:19" ht="18.5" x14ac:dyDescent="0.65">
      <c r="A58" s="82">
        <v>28</v>
      </c>
      <c r="C58" s="171" t="s">
        <v>309</v>
      </c>
      <c r="D58" s="372" t="s">
        <v>338</v>
      </c>
      <c r="E58" s="451">
        <f>ROUND('PTP Pg 4 of 5'!$J$56*'PTP Pg 2 of 5'!$E$57,0)</f>
        <v>630877695</v>
      </c>
      <c r="F58" s="125"/>
      <c r="G58" s="125"/>
      <c r="H58" s="392"/>
      <c r="I58" s="125"/>
      <c r="J58" s="451">
        <f>ROUND('PTP Pg 4 of 5'!$J$56*'PTP Pg 2 of 5'!$J$57,0)</f>
        <v>65068865</v>
      </c>
      <c r="K58" s="125"/>
      <c r="M58" s="125"/>
      <c r="N58" s="125"/>
      <c r="O58" s="135"/>
      <c r="P58" s="125" t="s">
        <v>0</v>
      </c>
    </row>
    <row r="59" spans="1:19" x14ac:dyDescent="0.35">
      <c r="A59" s="82"/>
      <c r="C59" s="134"/>
      <c r="E59" s="126"/>
      <c r="F59" s="125"/>
      <c r="G59" s="125"/>
      <c r="H59" s="392"/>
      <c r="I59" s="125"/>
      <c r="J59" s="126"/>
      <c r="K59" s="125"/>
      <c r="L59" s="393"/>
      <c r="M59" s="125"/>
      <c r="N59" s="125"/>
      <c r="O59" s="135"/>
      <c r="P59" s="125"/>
    </row>
    <row r="60" spans="1:19" ht="17" x14ac:dyDescent="0.5">
      <c r="A60" s="82">
        <v>29</v>
      </c>
      <c r="C60" s="171" t="s">
        <v>203</v>
      </c>
      <c r="D60" s="369" t="s">
        <v>407</v>
      </c>
      <c r="E60" s="452">
        <f>ROUND(E58+E56+E38+E28+E22,0)</f>
        <v>1147647562</v>
      </c>
      <c r="F60" s="125"/>
      <c r="G60" s="125"/>
      <c r="H60" s="125"/>
      <c r="I60" s="125"/>
      <c r="J60" s="452">
        <f>ROUND(J58+J56+J38+J28+J22,0)</f>
        <v>188763231</v>
      </c>
      <c r="K60" s="90"/>
      <c r="L60" s="90"/>
      <c r="M60" s="90"/>
      <c r="N60" s="90"/>
      <c r="O60" s="90"/>
      <c r="P60" s="134"/>
    </row>
    <row r="61" spans="1:19" x14ac:dyDescent="0.35">
      <c r="Q61" s="100"/>
      <c r="R61" s="100"/>
      <c r="S61" s="100"/>
    </row>
    <row r="62" spans="1:19" x14ac:dyDescent="0.35">
      <c r="Q62" s="100"/>
      <c r="R62" s="100"/>
      <c r="S62" s="100"/>
    </row>
    <row r="63" spans="1:19" x14ac:dyDescent="0.35">
      <c r="Q63" s="100"/>
      <c r="R63" s="100"/>
      <c r="S63" s="100"/>
    </row>
    <row r="64" spans="1:19" x14ac:dyDescent="0.35">
      <c r="Q64" s="100"/>
      <c r="R64" s="100"/>
      <c r="S64" s="100"/>
    </row>
    <row r="65" spans="17:19" x14ac:dyDescent="0.35">
      <c r="Q65" s="100"/>
      <c r="R65" s="100"/>
      <c r="S65" s="100"/>
    </row>
    <row r="66" spans="17:19" x14ac:dyDescent="0.35">
      <c r="Q66" s="100"/>
      <c r="R66" s="100"/>
      <c r="S66" s="100"/>
    </row>
    <row r="67" spans="17:19" x14ac:dyDescent="0.35">
      <c r="Q67" s="100"/>
      <c r="R67" s="100"/>
      <c r="S67" s="100"/>
    </row>
    <row r="68" spans="17:19" x14ac:dyDescent="0.35">
      <c r="Q68" s="100"/>
      <c r="R68" s="100"/>
      <c r="S68" s="100"/>
    </row>
    <row r="69" spans="17:19" x14ac:dyDescent="0.35">
      <c r="Q69" s="100"/>
      <c r="R69" s="100"/>
      <c r="S69" s="100"/>
    </row>
    <row r="70" spans="17:19" x14ac:dyDescent="0.35">
      <c r="Q70" s="100"/>
      <c r="R70" s="100"/>
      <c r="S70" s="100"/>
    </row>
    <row r="71" spans="17:19" x14ac:dyDescent="0.35">
      <c r="Q71" s="100"/>
      <c r="R71" s="100"/>
      <c r="S71" s="100"/>
    </row>
    <row r="72" spans="17:19" x14ac:dyDescent="0.35">
      <c r="Q72" s="100"/>
      <c r="R72" s="100"/>
      <c r="S72" s="100"/>
    </row>
    <row r="73" spans="17:19" x14ac:dyDescent="0.35">
      <c r="Q73" s="100"/>
      <c r="R73" s="100"/>
      <c r="S73" s="100"/>
    </row>
    <row r="74" spans="17:19" x14ac:dyDescent="0.35">
      <c r="Q74" s="100"/>
      <c r="R74" s="100"/>
      <c r="S74" s="100"/>
    </row>
    <row r="75" spans="17:19" x14ac:dyDescent="0.35">
      <c r="Q75" s="100"/>
      <c r="R75" s="100"/>
      <c r="S75" s="100"/>
    </row>
    <row r="76" spans="17:19" x14ac:dyDescent="0.35">
      <c r="Q76" s="100"/>
      <c r="R76" s="100"/>
      <c r="S76" s="100"/>
    </row>
    <row r="77" spans="17:19" x14ac:dyDescent="0.35">
      <c r="Q77" s="100"/>
      <c r="R77" s="100"/>
      <c r="S77" s="100"/>
    </row>
    <row r="78" spans="17:19" x14ac:dyDescent="0.35">
      <c r="Q78" s="100"/>
      <c r="R78" s="100"/>
      <c r="S78" s="100"/>
    </row>
    <row r="79" spans="17:19" x14ac:dyDescent="0.35">
      <c r="Q79" s="100"/>
      <c r="R79" s="100"/>
      <c r="S79" s="100"/>
    </row>
    <row r="80" spans="17:19" x14ac:dyDescent="0.35">
      <c r="Q80" s="100"/>
      <c r="R80" s="100"/>
      <c r="S80" s="100"/>
    </row>
    <row r="81" spans="17:19" x14ac:dyDescent="0.35">
      <c r="Q81" s="100"/>
      <c r="R81" s="100"/>
      <c r="S81" s="100"/>
    </row>
    <row r="82" spans="17:19" x14ac:dyDescent="0.35">
      <c r="Q82" s="100"/>
      <c r="R82" s="100"/>
      <c r="S82" s="100"/>
    </row>
    <row r="83" spans="17:19" x14ac:dyDescent="0.35">
      <c r="Q83" s="100"/>
      <c r="R83" s="100"/>
      <c r="S83" s="100"/>
    </row>
    <row r="84" spans="17:19" x14ac:dyDescent="0.35">
      <c r="Q84" s="100"/>
      <c r="R84" s="100"/>
      <c r="S84" s="100"/>
    </row>
    <row r="85" spans="17:19" x14ac:dyDescent="0.35">
      <c r="Q85" s="100"/>
      <c r="R85" s="100"/>
      <c r="S85" s="100"/>
    </row>
    <row r="86" spans="17:19" x14ac:dyDescent="0.35">
      <c r="Q86" s="100"/>
      <c r="R86" s="100"/>
      <c r="S86" s="100"/>
    </row>
    <row r="87" spans="17:19" x14ac:dyDescent="0.35">
      <c r="Q87" s="100"/>
      <c r="R87" s="100"/>
      <c r="S87" s="100"/>
    </row>
    <row r="88" spans="17:19" x14ac:dyDescent="0.35">
      <c r="Q88" s="100"/>
      <c r="R88" s="100"/>
      <c r="S88" s="100"/>
    </row>
    <row r="89" spans="17:19" x14ac:dyDescent="0.35">
      <c r="Q89" s="100"/>
      <c r="R89" s="100"/>
      <c r="S89" s="100"/>
    </row>
    <row r="90" spans="17:19" x14ac:dyDescent="0.35">
      <c r="Q90" s="100"/>
      <c r="R90" s="100"/>
      <c r="S90" s="100"/>
    </row>
    <row r="91" spans="17:19" x14ac:dyDescent="0.35">
      <c r="Q91" s="100"/>
      <c r="R91" s="100"/>
      <c r="S91" s="100"/>
    </row>
    <row r="92" spans="17:19" x14ac:dyDescent="0.35">
      <c r="Q92" s="100"/>
      <c r="R92" s="100"/>
      <c r="S92" s="100"/>
    </row>
    <row r="93" spans="17:19" x14ac:dyDescent="0.35">
      <c r="Q93" s="100"/>
      <c r="R93" s="100"/>
      <c r="S93" s="100"/>
    </row>
    <row r="94" spans="17:19" x14ac:dyDescent="0.35">
      <c r="Q94" s="100"/>
      <c r="R94" s="100"/>
      <c r="S94" s="100"/>
    </row>
    <row r="95" spans="17:19" x14ac:dyDescent="0.35">
      <c r="Q95" s="100"/>
      <c r="R95" s="100"/>
      <c r="S95" s="100"/>
    </row>
    <row r="96" spans="17:19" x14ac:dyDescent="0.35">
      <c r="Q96" s="100"/>
      <c r="R96" s="100"/>
      <c r="S96" s="100"/>
    </row>
    <row r="97" spans="17:19" x14ac:dyDescent="0.35">
      <c r="Q97" s="100"/>
      <c r="R97" s="100"/>
      <c r="S97" s="100"/>
    </row>
    <row r="98" spans="17:19" x14ac:dyDescent="0.35">
      <c r="Q98" s="100"/>
      <c r="R98" s="100"/>
      <c r="S98" s="100"/>
    </row>
    <row r="99" spans="17:19" x14ac:dyDescent="0.35">
      <c r="Q99" s="100"/>
      <c r="R99" s="100"/>
      <c r="S99" s="100"/>
    </row>
    <row r="100" spans="17:19" x14ac:dyDescent="0.35">
      <c r="Q100" s="100"/>
      <c r="R100" s="100"/>
      <c r="S100" s="100"/>
    </row>
    <row r="101" spans="17:19" x14ac:dyDescent="0.35">
      <c r="Q101" s="100"/>
      <c r="R101" s="100"/>
      <c r="S101" s="100"/>
    </row>
    <row r="102" spans="17:19" x14ac:dyDescent="0.35">
      <c r="Q102" s="100"/>
      <c r="R102" s="100"/>
      <c r="S102" s="100"/>
    </row>
    <row r="103" spans="17:19" x14ac:dyDescent="0.35">
      <c r="Q103" s="100"/>
      <c r="R103" s="100"/>
      <c r="S103" s="100"/>
    </row>
    <row r="104" spans="17:19" x14ac:dyDescent="0.35">
      <c r="Q104" s="100"/>
      <c r="R104" s="100"/>
      <c r="S104" s="100"/>
    </row>
    <row r="105" spans="17:19" x14ac:dyDescent="0.35">
      <c r="Q105" s="100"/>
      <c r="R105" s="100"/>
      <c r="S105" s="100"/>
    </row>
    <row r="106" spans="17:19" x14ac:dyDescent="0.35">
      <c r="Q106" s="100"/>
      <c r="R106" s="100"/>
      <c r="S106" s="100"/>
    </row>
    <row r="107" spans="17:19" x14ac:dyDescent="0.35">
      <c r="Q107" s="100"/>
      <c r="R107" s="100"/>
      <c r="S107" s="100"/>
    </row>
    <row r="108" spans="17:19" x14ac:dyDescent="0.35">
      <c r="Q108" s="100"/>
      <c r="R108" s="100"/>
      <c r="S108" s="100"/>
    </row>
    <row r="109" spans="17:19" x14ac:dyDescent="0.35">
      <c r="Q109" s="100"/>
      <c r="R109" s="100"/>
      <c r="S109" s="100"/>
    </row>
    <row r="110" spans="17:19" x14ac:dyDescent="0.35">
      <c r="Q110" s="100"/>
      <c r="R110" s="100"/>
      <c r="S110" s="100"/>
    </row>
    <row r="111" spans="17:19" x14ac:dyDescent="0.35">
      <c r="Q111" s="100"/>
      <c r="R111" s="100"/>
      <c r="S111" s="100"/>
    </row>
    <row r="112" spans="17:19" x14ac:dyDescent="0.35">
      <c r="Q112" s="100"/>
      <c r="R112" s="100"/>
      <c r="S112" s="100"/>
    </row>
    <row r="113" spans="17:19" x14ac:dyDescent="0.35">
      <c r="Q113" s="100"/>
      <c r="R113" s="100"/>
      <c r="S113" s="100"/>
    </row>
    <row r="114" spans="17:19" x14ac:dyDescent="0.35">
      <c r="Q114" s="100"/>
      <c r="R114" s="100"/>
      <c r="S114" s="100"/>
    </row>
    <row r="115" spans="17:19" x14ac:dyDescent="0.35">
      <c r="Q115" s="100"/>
      <c r="R115" s="100"/>
      <c r="S115" s="100"/>
    </row>
    <row r="116" spans="17:19" x14ac:dyDescent="0.35">
      <c r="Q116" s="100"/>
      <c r="R116" s="100"/>
      <c r="S116" s="100"/>
    </row>
    <row r="117" spans="17:19" x14ac:dyDescent="0.35">
      <c r="Q117" s="100"/>
      <c r="R117" s="100"/>
      <c r="S117" s="100"/>
    </row>
    <row r="118" spans="17:19" x14ac:dyDescent="0.35">
      <c r="Q118" s="100"/>
      <c r="R118" s="100"/>
      <c r="S118" s="100"/>
    </row>
    <row r="119" spans="17:19" x14ac:dyDescent="0.35">
      <c r="Q119" s="100"/>
      <c r="R119" s="100"/>
      <c r="S119" s="100"/>
    </row>
    <row r="120" spans="17:19" x14ac:dyDescent="0.35">
      <c r="Q120" s="100"/>
      <c r="R120" s="100"/>
      <c r="S120" s="100"/>
    </row>
    <row r="121" spans="17:19" x14ac:dyDescent="0.35">
      <c r="Q121" s="100"/>
      <c r="R121" s="100"/>
      <c r="S121" s="100"/>
    </row>
    <row r="122" spans="17:19" x14ac:dyDescent="0.35">
      <c r="Q122" s="100"/>
      <c r="R122" s="100"/>
      <c r="S122" s="100"/>
    </row>
    <row r="123" spans="17:19" x14ac:dyDescent="0.35">
      <c r="Q123" s="100"/>
      <c r="R123" s="100"/>
      <c r="S123" s="100"/>
    </row>
    <row r="124" spans="17:19" x14ac:dyDescent="0.35">
      <c r="Q124" s="100"/>
      <c r="R124" s="100"/>
      <c r="S124" s="100"/>
    </row>
    <row r="125" spans="17:19" x14ac:dyDescent="0.35">
      <c r="Q125" s="100"/>
      <c r="R125" s="100"/>
      <c r="S125" s="100"/>
    </row>
    <row r="126" spans="17:19" x14ac:dyDescent="0.35">
      <c r="Q126" s="100"/>
      <c r="R126" s="100"/>
      <c r="S126" s="100"/>
    </row>
    <row r="127" spans="17:19" x14ac:dyDescent="0.35">
      <c r="Q127" s="100"/>
      <c r="R127" s="100"/>
      <c r="S127" s="100"/>
    </row>
    <row r="128" spans="17:19" x14ac:dyDescent="0.35">
      <c r="Q128" s="100"/>
      <c r="R128" s="100"/>
      <c r="S128" s="100"/>
    </row>
    <row r="129" spans="17:19" x14ac:dyDescent="0.35">
      <c r="Q129" s="100"/>
      <c r="R129" s="100"/>
      <c r="S129" s="100"/>
    </row>
    <row r="130" spans="17:19" x14ac:dyDescent="0.35">
      <c r="Q130" s="100"/>
      <c r="R130" s="100"/>
      <c r="S130" s="100"/>
    </row>
    <row r="131" spans="17:19" x14ac:dyDescent="0.35">
      <c r="Q131" s="100"/>
      <c r="R131" s="100"/>
      <c r="S131" s="100"/>
    </row>
    <row r="132" spans="17:19" x14ac:dyDescent="0.35">
      <c r="Q132" s="100"/>
      <c r="R132" s="100"/>
      <c r="S132" s="100"/>
    </row>
    <row r="133" spans="17:19" x14ac:dyDescent="0.35">
      <c r="Q133" s="100"/>
      <c r="R133" s="100"/>
      <c r="S133" s="100"/>
    </row>
    <row r="134" spans="17:19" x14ac:dyDescent="0.35">
      <c r="Q134" s="100"/>
      <c r="R134" s="100"/>
      <c r="S134" s="100"/>
    </row>
    <row r="135" spans="17:19" x14ac:dyDescent="0.35">
      <c r="Q135" s="100"/>
      <c r="R135" s="100"/>
      <c r="S135" s="100"/>
    </row>
    <row r="136" spans="17:19" x14ac:dyDescent="0.35">
      <c r="Q136" s="100"/>
      <c r="R136" s="100"/>
      <c r="S136" s="100"/>
    </row>
    <row r="137" spans="17:19" x14ac:dyDescent="0.35">
      <c r="Q137" s="100"/>
      <c r="R137" s="100"/>
      <c r="S137" s="100"/>
    </row>
    <row r="138" spans="17:19" x14ac:dyDescent="0.35">
      <c r="Q138" s="100"/>
      <c r="R138" s="100"/>
      <c r="S138" s="100"/>
    </row>
    <row r="139" spans="17:19" x14ac:dyDescent="0.35">
      <c r="Q139" s="100"/>
      <c r="R139" s="100"/>
      <c r="S139" s="100"/>
    </row>
    <row r="140" spans="17:19" x14ac:dyDescent="0.35">
      <c r="Q140" s="100"/>
      <c r="R140" s="100"/>
      <c r="S140" s="100"/>
    </row>
    <row r="141" spans="17:19" x14ac:dyDescent="0.35">
      <c r="Q141" s="100"/>
      <c r="R141" s="100"/>
      <c r="S141" s="100"/>
    </row>
    <row r="142" spans="17:19" x14ac:dyDescent="0.35">
      <c r="Q142" s="100"/>
      <c r="R142" s="100"/>
      <c r="S142" s="100"/>
    </row>
    <row r="143" spans="17:19" x14ac:dyDescent="0.35">
      <c r="Q143" s="100"/>
      <c r="R143" s="100"/>
      <c r="S143" s="100"/>
    </row>
    <row r="144" spans="17:19" x14ac:dyDescent="0.35">
      <c r="Q144" s="100"/>
      <c r="R144" s="100"/>
      <c r="S144" s="100"/>
    </row>
    <row r="145" spans="17:19" x14ac:dyDescent="0.35">
      <c r="Q145" s="100"/>
      <c r="R145" s="100"/>
      <c r="S145" s="100"/>
    </row>
    <row r="146" spans="17:19" x14ac:dyDescent="0.35">
      <c r="Q146" s="100"/>
      <c r="R146" s="100"/>
      <c r="S146" s="100"/>
    </row>
    <row r="147" spans="17:19" x14ac:dyDescent="0.35">
      <c r="Q147" s="100"/>
      <c r="R147" s="100"/>
      <c r="S147" s="100"/>
    </row>
    <row r="148" spans="17:19" x14ac:dyDescent="0.35">
      <c r="Q148" s="100"/>
      <c r="R148" s="100"/>
      <c r="S148" s="100"/>
    </row>
    <row r="149" spans="17:19" x14ac:dyDescent="0.35">
      <c r="Q149" s="100"/>
      <c r="R149" s="100"/>
      <c r="S149" s="100"/>
    </row>
    <row r="150" spans="17:19" x14ac:dyDescent="0.35">
      <c r="Q150" s="100"/>
      <c r="R150" s="100"/>
      <c r="S150" s="100"/>
    </row>
    <row r="151" spans="17:19" x14ac:dyDescent="0.35">
      <c r="Q151" s="100"/>
      <c r="R151" s="100"/>
      <c r="S151" s="100"/>
    </row>
    <row r="152" spans="17:19" x14ac:dyDescent="0.35">
      <c r="Q152" s="100"/>
      <c r="R152" s="100"/>
      <c r="S152" s="100"/>
    </row>
    <row r="153" spans="17:19" x14ac:dyDescent="0.35">
      <c r="Q153" s="100"/>
      <c r="R153" s="100"/>
      <c r="S153" s="100"/>
    </row>
    <row r="154" spans="17:19" x14ac:dyDescent="0.35">
      <c r="Q154" s="100"/>
      <c r="R154" s="100"/>
      <c r="S154" s="100"/>
    </row>
    <row r="155" spans="17:19" x14ac:dyDescent="0.35">
      <c r="Q155" s="100"/>
      <c r="R155" s="100"/>
      <c r="S155" s="100"/>
    </row>
    <row r="156" spans="17:19" x14ac:dyDescent="0.35">
      <c r="Q156" s="100"/>
      <c r="R156" s="100"/>
      <c r="S156" s="100"/>
    </row>
    <row r="157" spans="17:19" x14ac:dyDescent="0.35">
      <c r="Q157" s="100"/>
      <c r="R157" s="100"/>
      <c r="S157" s="100"/>
    </row>
    <row r="158" spans="17:19" x14ac:dyDescent="0.35">
      <c r="Q158" s="100"/>
      <c r="R158" s="100"/>
      <c r="S158" s="100"/>
    </row>
    <row r="159" spans="17:19" x14ac:dyDescent="0.35">
      <c r="Q159" s="100"/>
      <c r="R159" s="100"/>
      <c r="S159" s="100"/>
    </row>
    <row r="160" spans="17:19" x14ac:dyDescent="0.35">
      <c r="Q160" s="100"/>
      <c r="R160" s="100"/>
      <c r="S160" s="100"/>
    </row>
    <row r="161" spans="17:19" x14ac:dyDescent="0.35">
      <c r="Q161" s="100"/>
      <c r="R161" s="100"/>
      <c r="S161" s="100"/>
    </row>
    <row r="162" spans="17:19" x14ac:dyDescent="0.35">
      <c r="Q162" s="100"/>
      <c r="R162" s="100"/>
      <c r="S162" s="100"/>
    </row>
    <row r="163" spans="17:19" x14ac:dyDescent="0.35">
      <c r="Q163" s="100"/>
      <c r="R163" s="100"/>
      <c r="S163" s="100"/>
    </row>
    <row r="164" spans="17:19" x14ac:dyDescent="0.35">
      <c r="Q164" s="100"/>
      <c r="R164" s="100"/>
      <c r="S164" s="100"/>
    </row>
    <row r="165" spans="17:19" x14ac:dyDescent="0.35">
      <c r="Q165" s="100"/>
      <c r="R165" s="100"/>
      <c r="S165" s="100"/>
    </row>
    <row r="166" spans="17:19" x14ac:dyDescent="0.35">
      <c r="Q166" s="100"/>
      <c r="R166" s="100"/>
      <c r="S166" s="100"/>
    </row>
    <row r="167" spans="17:19" x14ac:dyDescent="0.35">
      <c r="Q167" s="100"/>
      <c r="R167" s="100"/>
      <c r="S167" s="100"/>
    </row>
    <row r="168" spans="17:19" x14ac:dyDescent="0.35">
      <c r="Q168" s="100"/>
      <c r="R168" s="100"/>
      <c r="S168" s="100"/>
    </row>
    <row r="169" spans="17:19" x14ac:dyDescent="0.35">
      <c r="Q169" s="100"/>
      <c r="R169" s="100"/>
      <c r="S169" s="100"/>
    </row>
    <row r="170" spans="17:19" x14ac:dyDescent="0.35">
      <c r="Q170" s="100"/>
      <c r="R170" s="100"/>
      <c r="S170" s="100"/>
    </row>
    <row r="171" spans="17:19" x14ac:dyDescent="0.35">
      <c r="Q171" s="100"/>
      <c r="R171" s="100"/>
      <c r="S171" s="100"/>
    </row>
    <row r="172" spans="17:19" x14ac:dyDescent="0.35">
      <c r="Q172" s="100"/>
      <c r="R172" s="100"/>
      <c r="S172" s="100"/>
    </row>
    <row r="173" spans="17:19" x14ac:dyDescent="0.35">
      <c r="Q173" s="100"/>
      <c r="R173" s="100"/>
      <c r="S173" s="100"/>
    </row>
    <row r="174" spans="17:19" x14ac:dyDescent="0.35">
      <c r="Q174" s="100"/>
      <c r="R174" s="100"/>
      <c r="S174" s="100"/>
    </row>
    <row r="175" spans="17:19" x14ac:dyDescent="0.35">
      <c r="Q175" s="100"/>
      <c r="R175" s="100"/>
      <c r="S175" s="100"/>
    </row>
    <row r="176" spans="17:19" x14ac:dyDescent="0.35">
      <c r="Q176" s="100"/>
      <c r="R176" s="100"/>
      <c r="S176" s="100"/>
    </row>
    <row r="177" spans="3:19" x14ac:dyDescent="0.35">
      <c r="Q177" s="100"/>
      <c r="R177" s="100"/>
      <c r="S177" s="100"/>
    </row>
    <row r="178" spans="3:19" x14ac:dyDescent="0.35">
      <c r="Q178" s="100"/>
      <c r="R178" s="100"/>
      <c r="S178" s="100"/>
    </row>
    <row r="179" spans="3:19" x14ac:dyDescent="0.35">
      <c r="Q179" s="100"/>
      <c r="R179" s="100"/>
      <c r="S179" s="100"/>
    </row>
    <row r="180" spans="3:19" x14ac:dyDescent="0.35">
      <c r="Q180" s="100"/>
      <c r="R180" s="100"/>
      <c r="S180" s="100"/>
    </row>
    <row r="181" spans="3:19" x14ac:dyDescent="0.35">
      <c r="Q181" s="100"/>
      <c r="R181" s="100"/>
      <c r="S181" s="100"/>
    </row>
    <row r="182" spans="3:19" x14ac:dyDescent="0.35">
      <c r="Q182" s="100"/>
      <c r="R182" s="100"/>
      <c r="S182" s="100"/>
    </row>
    <row r="183" spans="3:19" x14ac:dyDescent="0.35">
      <c r="Q183" s="100"/>
      <c r="R183" s="100"/>
      <c r="S183" s="100"/>
    </row>
    <row r="184" spans="3:19" x14ac:dyDescent="0.35">
      <c r="C184" s="100"/>
      <c r="D184" s="100"/>
      <c r="E184" s="100"/>
      <c r="F184" s="100"/>
      <c r="G184" s="100"/>
      <c r="H184" s="100"/>
      <c r="I184" s="100"/>
      <c r="J184" s="100"/>
      <c r="K184" s="100"/>
      <c r="L184" s="100"/>
      <c r="M184" s="100"/>
      <c r="N184" s="100"/>
      <c r="O184" s="100"/>
      <c r="Q184" s="100"/>
      <c r="R184" s="100"/>
      <c r="S184" s="100"/>
    </row>
    <row r="185" spans="3:19" x14ac:dyDescent="0.35">
      <c r="C185" s="100"/>
      <c r="D185" s="100"/>
      <c r="E185" s="100"/>
      <c r="F185" s="100"/>
      <c r="G185" s="100"/>
      <c r="H185" s="100"/>
      <c r="I185" s="100"/>
      <c r="J185" s="100"/>
      <c r="K185" s="100"/>
      <c r="L185" s="100"/>
      <c r="M185" s="100"/>
      <c r="N185" s="100"/>
      <c r="O185" s="100"/>
      <c r="P185" s="100"/>
      <c r="Q185" s="100"/>
      <c r="R185" s="100"/>
      <c r="S185" s="100"/>
    </row>
    <row r="186" spans="3:19" x14ac:dyDescent="0.35">
      <c r="C186" s="100"/>
      <c r="D186" s="100"/>
      <c r="E186" s="100"/>
      <c r="F186" s="100"/>
      <c r="G186" s="100"/>
      <c r="H186" s="100"/>
      <c r="I186" s="100"/>
      <c r="J186" s="100"/>
      <c r="K186" s="100"/>
      <c r="L186" s="100"/>
      <c r="M186" s="100"/>
      <c r="N186" s="100"/>
      <c r="O186" s="100"/>
      <c r="P186" s="100"/>
      <c r="Q186" s="100"/>
      <c r="R186" s="100"/>
      <c r="S186" s="100"/>
    </row>
    <row r="187" spans="3:19" x14ac:dyDescent="0.35">
      <c r="C187" s="100"/>
      <c r="D187" s="100"/>
      <c r="E187" s="100"/>
      <c r="F187" s="100"/>
      <c r="G187" s="100"/>
      <c r="H187" s="100"/>
      <c r="I187" s="100"/>
      <c r="J187" s="100"/>
      <c r="K187" s="100"/>
      <c r="L187" s="100"/>
      <c r="M187" s="100"/>
      <c r="N187" s="100"/>
      <c r="O187" s="100"/>
      <c r="P187" s="100"/>
      <c r="Q187" s="100"/>
      <c r="R187" s="100"/>
      <c r="S187" s="100"/>
    </row>
    <row r="188" spans="3:19" x14ac:dyDescent="0.35">
      <c r="C188" s="100"/>
      <c r="D188" s="100"/>
      <c r="E188" s="100"/>
      <c r="F188" s="100"/>
      <c r="G188" s="100"/>
      <c r="H188" s="100"/>
      <c r="I188" s="100"/>
      <c r="J188" s="100"/>
      <c r="K188" s="100"/>
      <c r="L188" s="100"/>
      <c r="M188" s="100"/>
      <c r="N188" s="100"/>
      <c r="O188" s="100"/>
      <c r="P188" s="100"/>
      <c r="Q188" s="100"/>
      <c r="R188" s="100"/>
      <c r="S188" s="100"/>
    </row>
    <row r="189" spans="3:19" x14ac:dyDescent="0.35">
      <c r="C189" s="100"/>
      <c r="D189" s="100"/>
      <c r="E189" s="100"/>
      <c r="F189" s="100"/>
      <c r="G189" s="100"/>
      <c r="H189" s="100"/>
      <c r="I189" s="100"/>
      <c r="J189" s="100"/>
      <c r="K189" s="100"/>
      <c r="L189" s="100"/>
      <c r="M189" s="100"/>
      <c r="N189" s="100"/>
      <c r="O189" s="100"/>
      <c r="P189" s="100"/>
      <c r="Q189" s="100"/>
      <c r="R189" s="100"/>
      <c r="S189" s="100"/>
    </row>
    <row r="190" spans="3:19" x14ac:dyDescent="0.35">
      <c r="C190" s="100"/>
      <c r="D190" s="100"/>
      <c r="E190" s="100"/>
      <c r="F190" s="100"/>
      <c r="G190" s="100"/>
      <c r="H190" s="100"/>
      <c r="I190" s="100"/>
      <c r="J190" s="100"/>
      <c r="K190" s="100"/>
      <c r="L190" s="100"/>
      <c r="M190" s="100"/>
      <c r="N190" s="100"/>
      <c r="O190" s="100"/>
      <c r="P190" s="100"/>
      <c r="Q190" s="100"/>
      <c r="R190" s="100"/>
      <c r="S190" s="100"/>
    </row>
    <row r="191" spans="3:19" x14ac:dyDescent="0.35">
      <c r="C191" s="100"/>
      <c r="D191" s="100"/>
      <c r="E191" s="100"/>
      <c r="F191" s="100"/>
      <c r="G191" s="100"/>
      <c r="H191" s="100"/>
      <c r="I191" s="100"/>
      <c r="J191" s="100"/>
      <c r="K191" s="100"/>
      <c r="L191" s="100"/>
      <c r="M191" s="100"/>
      <c r="N191" s="100"/>
      <c r="O191" s="100"/>
      <c r="P191" s="100"/>
      <c r="Q191" s="100"/>
      <c r="R191" s="100"/>
      <c r="S191" s="100"/>
    </row>
    <row r="192" spans="3:19" x14ac:dyDescent="0.35">
      <c r="C192" s="100"/>
      <c r="D192" s="100"/>
      <c r="E192" s="100"/>
      <c r="F192" s="100"/>
      <c r="G192" s="100"/>
      <c r="H192" s="100"/>
      <c r="I192" s="100"/>
      <c r="J192" s="100"/>
      <c r="K192" s="100"/>
      <c r="L192" s="100"/>
      <c r="M192" s="100"/>
      <c r="N192" s="100"/>
      <c r="O192" s="100"/>
      <c r="P192" s="100"/>
      <c r="Q192" s="100"/>
      <c r="R192" s="100"/>
      <c r="S192" s="100"/>
    </row>
    <row r="193" spans="3:19" x14ac:dyDescent="0.35">
      <c r="C193" s="100"/>
      <c r="D193" s="100"/>
      <c r="E193" s="100"/>
      <c r="F193" s="100"/>
      <c r="G193" s="100"/>
      <c r="H193" s="100"/>
      <c r="I193" s="100"/>
      <c r="J193" s="100"/>
      <c r="K193" s="100"/>
      <c r="L193" s="100"/>
      <c r="M193" s="100"/>
      <c r="N193" s="100"/>
      <c r="O193" s="100"/>
      <c r="P193" s="100"/>
      <c r="Q193" s="100"/>
      <c r="R193" s="100"/>
      <c r="S193" s="100"/>
    </row>
    <row r="194" spans="3:19" x14ac:dyDescent="0.35">
      <c r="C194" s="100"/>
      <c r="D194" s="100"/>
      <c r="E194" s="100"/>
      <c r="F194" s="100"/>
      <c r="G194" s="100"/>
      <c r="H194" s="100"/>
      <c r="I194" s="100"/>
      <c r="J194" s="100"/>
      <c r="K194" s="100"/>
      <c r="L194" s="100"/>
      <c r="M194" s="100"/>
      <c r="N194" s="100"/>
      <c r="O194" s="100"/>
      <c r="P194" s="100"/>
      <c r="Q194" s="100"/>
      <c r="R194" s="100"/>
      <c r="S194" s="100"/>
    </row>
    <row r="195" spans="3:19" x14ac:dyDescent="0.35">
      <c r="C195" s="100"/>
      <c r="D195" s="100"/>
      <c r="E195" s="100"/>
      <c r="F195" s="100"/>
      <c r="G195" s="100"/>
      <c r="H195" s="100"/>
      <c r="I195" s="100"/>
      <c r="J195" s="100"/>
      <c r="K195" s="100"/>
      <c r="L195" s="100"/>
      <c r="M195" s="100"/>
      <c r="N195" s="100"/>
      <c r="O195" s="100"/>
      <c r="P195" s="100"/>
      <c r="Q195" s="100"/>
      <c r="R195" s="100"/>
      <c r="S195" s="100"/>
    </row>
    <row r="196" spans="3:19" x14ac:dyDescent="0.35">
      <c r="C196" s="100"/>
      <c r="D196" s="100"/>
      <c r="E196" s="100"/>
      <c r="F196" s="100"/>
      <c r="G196" s="100"/>
      <c r="H196" s="100"/>
      <c r="I196" s="100"/>
      <c r="J196" s="100"/>
      <c r="K196" s="100"/>
      <c r="L196" s="100"/>
      <c r="M196" s="100"/>
      <c r="N196" s="100"/>
      <c r="O196" s="100"/>
      <c r="P196" s="100"/>
      <c r="Q196" s="100"/>
      <c r="R196" s="100"/>
      <c r="S196" s="100"/>
    </row>
    <row r="197" spans="3:19" x14ac:dyDescent="0.35">
      <c r="C197" s="100"/>
      <c r="D197" s="100"/>
      <c r="E197" s="100"/>
      <c r="F197" s="100"/>
      <c r="G197" s="100"/>
      <c r="H197" s="100"/>
      <c r="I197" s="100"/>
      <c r="J197" s="100"/>
      <c r="K197" s="100"/>
      <c r="L197" s="100"/>
      <c r="M197" s="100"/>
      <c r="N197" s="100"/>
      <c r="O197" s="100"/>
      <c r="P197" s="100"/>
      <c r="Q197" s="100"/>
      <c r="R197" s="100"/>
      <c r="S197" s="100"/>
    </row>
    <row r="198" spans="3:19" x14ac:dyDescent="0.35">
      <c r="C198" s="100"/>
      <c r="D198" s="100"/>
      <c r="E198" s="100"/>
      <c r="F198" s="100"/>
      <c r="G198" s="100"/>
      <c r="H198" s="100"/>
      <c r="I198" s="100"/>
      <c r="J198" s="100"/>
      <c r="K198" s="100"/>
      <c r="L198" s="100"/>
      <c r="M198" s="100"/>
      <c r="N198" s="100"/>
      <c r="O198" s="100"/>
      <c r="P198" s="100"/>
      <c r="Q198" s="100"/>
      <c r="R198" s="100"/>
      <c r="S198" s="100"/>
    </row>
    <row r="199" spans="3:19" x14ac:dyDescent="0.35">
      <c r="C199" s="100"/>
      <c r="D199" s="100"/>
      <c r="E199" s="100"/>
      <c r="F199" s="100"/>
      <c r="G199" s="100"/>
      <c r="H199" s="100"/>
      <c r="I199" s="100"/>
      <c r="J199" s="100"/>
      <c r="K199" s="100"/>
      <c r="L199" s="100"/>
      <c r="M199" s="100"/>
      <c r="N199" s="100"/>
      <c r="O199" s="100"/>
      <c r="P199" s="100"/>
      <c r="Q199" s="100"/>
      <c r="R199" s="100"/>
      <c r="S199" s="100"/>
    </row>
    <row r="200" spans="3:19" x14ac:dyDescent="0.35">
      <c r="C200" s="100"/>
      <c r="D200" s="100"/>
      <c r="E200" s="100"/>
      <c r="F200" s="100"/>
      <c r="G200" s="100"/>
      <c r="H200" s="100"/>
      <c r="I200" s="100"/>
      <c r="J200" s="100"/>
      <c r="K200" s="100"/>
      <c r="L200" s="100"/>
      <c r="M200" s="100"/>
      <c r="N200" s="100"/>
      <c r="O200" s="100"/>
      <c r="P200" s="100"/>
      <c r="Q200" s="100"/>
      <c r="R200" s="100"/>
      <c r="S200" s="100"/>
    </row>
    <row r="201" spans="3:19" x14ac:dyDescent="0.35">
      <c r="C201" s="100"/>
      <c r="D201" s="100"/>
      <c r="E201" s="100"/>
      <c r="F201" s="100"/>
      <c r="G201" s="100"/>
      <c r="H201" s="100"/>
      <c r="I201" s="100"/>
      <c r="J201" s="100"/>
      <c r="K201" s="100"/>
      <c r="L201" s="100"/>
      <c r="M201" s="100"/>
      <c r="N201" s="100"/>
      <c r="O201" s="100"/>
      <c r="P201" s="100"/>
      <c r="Q201" s="100"/>
      <c r="R201" s="100"/>
      <c r="S201" s="100"/>
    </row>
    <row r="202" spans="3:19" x14ac:dyDescent="0.35">
      <c r="C202" s="100"/>
      <c r="D202" s="100"/>
      <c r="E202" s="100"/>
      <c r="F202" s="100"/>
      <c r="G202" s="100"/>
      <c r="H202" s="100"/>
      <c r="I202" s="100"/>
      <c r="J202" s="100"/>
      <c r="K202" s="100"/>
      <c r="L202" s="100"/>
      <c r="M202" s="100"/>
      <c r="N202" s="100"/>
      <c r="O202" s="100"/>
      <c r="P202" s="100"/>
      <c r="Q202" s="100"/>
      <c r="R202" s="100"/>
      <c r="S202" s="100"/>
    </row>
    <row r="203" spans="3:19" x14ac:dyDescent="0.35">
      <c r="C203" s="100"/>
      <c r="D203" s="100"/>
      <c r="E203" s="100"/>
      <c r="F203" s="100"/>
      <c r="G203" s="100"/>
      <c r="H203" s="100"/>
      <c r="I203" s="100"/>
      <c r="J203" s="100"/>
      <c r="K203" s="100"/>
      <c r="L203" s="100"/>
      <c r="M203" s="100"/>
      <c r="N203" s="100"/>
      <c r="O203" s="100"/>
      <c r="P203" s="100"/>
      <c r="Q203" s="100"/>
      <c r="R203" s="100"/>
      <c r="S203" s="100"/>
    </row>
    <row r="204" spans="3:19" x14ac:dyDescent="0.35">
      <c r="C204" s="100"/>
      <c r="D204" s="100"/>
      <c r="E204" s="100"/>
      <c r="F204" s="100"/>
      <c r="G204" s="100"/>
      <c r="H204" s="100"/>
      <c r="I204" s="100"/>
      <c r="J204" s="100"/>
      <c r="K204" s="100"/>
      <c r="L204" s="100"/>
      <c r="M204" s="100"/>
      <c r="N204" s="100"/>
      <c r="O204" s="100"/>
      <c r="P204" s="100"/>
      <c r="Q204" s="100"/>
      <c r="R204" s="100"/>
      <c r="S204" s="100"/>
    </row>
    <row r="205" spans="3:19" x14ac:dyDescent="0.35">
      <c r="C205" s="100"/>
      <c r="D205" s="100"/>
      <c r="E205" s="100"/>
      <c r="F205" s="100"/>
      <c r="G205" s="100"/>
      <c r="H205" s="100"/>
      <c r="I205" s="100"/>
      <c r="J205" s="100"/>
      <c r="K205" s="100"/>
      <c r="L205" s="100"/>
      <c r="M205" s="100"/>
      <c r="N205" s="100"/>
      <c r="O205" s="100"/>
      <c r="P205" s="100"/>
      <c r="Q205" s="100"/>
      <c r="R205" s="100"/>
      <c r="S205" s="100"/>
    </row>
    <row r="206" spans="3:19" x14ac:dyDescent="0.35">
      <c r="C206" s="100"/>
      <c r="D206" s="100"/>
      <c r="E206" s="100"/>
      <c r="F206" s="100"/>
      <c r="G206" s="100"/>
      <c r="H206" s="100"/>
      <c r="I206" s="100"/>
      <c r="J206" s="100"/>
      <c r="K206" s="100"/>
      <c r="L206" s="100"/>
      <c r="M206" s="100"/>
      <c r="N206" s="100"/>
      <c r="O206" s="100"/>
      <c r="P206" s="100"/>
      <c r="Q206" s="100"/>
      <c r="R206" s="100"/>
      <c r="S206" s="100"/>
    </row>
    <row r="207" spans="3:19" x14ac:dyDescent="0.35">
      <c r="C207" s="100"/>
      <c r="D207" s="100"/>
      <c r="E207" s="100"/>
      <c r="F207" s="100"/>
      <c r="G207" s="100"/>
      <c r="H207" s="100"/>
      <c r="I207" s="100"/>
      <c r="J207" s="100"/>
      <c r="K207" s="100"/>
      <c r="L207" s="100"/>
      <c r="M207" s="100"/>
      <c r="N207" s="100"/>
      <c r="O207" s="100"/>
      <c r="P207" s="100"/>
      <c r="Q207" s="100"/>
      <c r="R207" s="100"/>
      <c r="S207" s="100"/>
    </row>
    <row r="208" spans="3:19" x14ac:dyDescent="0.35">
      <c r="C208" s="100"/>
      <c r="D208" s="100"/>
      <c r="E208" s="100"/>
      <c r="F208" s="100"/>
      <c r="G208" s="100"/>
      <c r="H208" s="100"/>
      <c r="I208" s="100"/>
      <c r="J208" s="100"/>
      <c r="K208" s="100"/>
      <c r="L208" s="100"/>
      <c r="M208" s="100"/>
      <c r="N208" s="100"/>
      <c r="O208" s="100"/>
      <c r="P208" s="100"/>
      <c r="Q208" s="100"/>
      <c r="R208" s="100"/>
      <c r="S208" s="100"/>
    </row>
    <row r="209" spans="3:19" x14ac:dyDescent="0.35">
      <c r="C209" s="100"/>
      <c r="D209" s="100"/>
      <c r="E209" s="100"/>
      <c r="F209" s="100"/>
      <c r="G209" s="100"/>
      <c r="H209" s="100"/>
      <c r="I209" s="100"/>
      <c r="J209" s="100"/>
      <c r="K209" s="100"/>
      <c r="L209" s="100"/>
      <c r="M209" s="100"/>
      <c r="N209" s="100"/>
      <c r="O209" s="100"/>
      <c r="P209" s="100"/>
      <c r="Q209" s="100"/>
      <c r="R209" s="100"/>
      <c r="S209" s="100"/>
    </row>
    <row r="210" spans="3:19" x14ac:dyDescent="0.35">
      <c r="C210" s="100"/>
      <c r="D210" s="100"/>
      <c r="E210" s="100"/>
      <c r="F210" s="100"/>
      <c r="G210" s="100"/>
      <c r="H210" s="100"/>
      <c r="I210" s="100"/>
      <c r="J210" s="100"/>
      <c r="K210" s="100"/>
      <c r="L210" s="100"/>
      <c r="M210" s="100"/>
      <c r="N210" s="100"/>
      <c r="O210" s="100"/>
      <c r="P210" s="100"/>
      <c r="Q210" s="100"/>
      <c r="R210" s="100"/>
      <c r="S210" s="100"/>
    </row>
    <row r="211" spans="3:19" x14ac:dyDescent="0.35">
      <c r="C211" s="100"/>
      <c r="D211" s="100"/>
      <c r="E211" s="100"/>
      <c r="F211" s="100"/>
      <c r="G211" s="100"/>
      <c r="H211" s="100"/>
      <c r="I211" s="100"/>
      <c r="J211" s="100"/>
      <c r="K211" s="100"/>
      <c r="L211" s="100"/>
      <c r="M211" s="100"/>
      <c r="N211" s="100"/>
      <c r="O211" s="100"/>
      <c r="P211" s="100"/>
      <c r="Q211" s="100"/>
      <c r="R211" s="100"/>
      <c r="S211" s="100"/>
    </row>
    <row r="212" spans="3:19" x14ac:dyDescent="0.35">
      <c r="C212" s="100"/>
      <c r="D212" s="100"/>
      <c r="E212" s="100"/>
      <c r="F212" s="100"/>
      <c r="G212" s="100"/>
      <c r="H212" s="100"/>
      <c r="I212" s="100"/>
      <c r="J212" s="100"/>
      <c r="K212" s="100"/>
      <c r="L212" s="100"/>
      <c r="M212" s="100"/>
      <c r="N212" s="100"/>
      <c r="O212" s="100"/>
      <c r="P212" s="100"/>
      <c r="Q212" s="100"/>
      <c r="R212" s="100"/>
      <c r="S212" s="100"/>
    </row>
    <row r="213" spans="3:19" x14ac:dyDescent="0.35">
      <c r="C213" s="100"/>
      <c r="D213" s="100"/>
      <c r="E213" s="100"/>
      <c r="F213" s="100"/>
      <c r="G213" s="100"/>
      <c r="H213" s="100"/>
      <c r="I213" s="100"/>
      <c r="J213" s="100"/>
      <c r="K213" s="100"/>
      <c r="L213" s="100"/>
      <c r="M213" s="100"/>
      <c r="N213" s="100"/>
      <c r="O213" s="100"/>
      <c r="P213" s="100"/>
      <c r="Q213" s="100"/>
      <c r="R213" s="100"/>
      <c r="S213" s="100"/>
    </row>
    <row r="214" spans="3:19" x14ac:dyDescent="0.35">
      <c r="C214" s="100"/>
      <c r="D214" s="100"/>
      <c r="E214" s="100"/>
      <c r="F214" s="100"/>
      <c r="G214" s="100"/>
      <c r="H214" s="100"/>
      <c r="I214" s="100"/>
      <c r="J214" s="100"/>
      <c r="K214" s="100"/>
      <c r="L214" s="100"/>
      <c r="M214" s="100"/>
      <c r="N214" s="100"/>
      <c r="O214" s="100"/>
      <c r="P214" s="100"/>
      <c r="Q214" s="100"/>
      <c r="R214" s="100"/>
      <c r="S214" s="100"/>
    </row>
    <row r="215" spans="3:19" x14ac:dyDescent="0.35">
      <c r="C215" s="100"/>
      <c r="D215" s="100"/>
      <c r="E215" s="100"/>
      <c r="F215" s="100"/>
      <c r="G215" s="100"/>
      <c r="H215" s="100"/>
      <c r="I215" s="100"/>
      <c r="J215" s="100"/>
      <c r="K215" s="100"/>
      <c r="L215" s="100"/>
      <c r="M215" s="100"/>
      <c r="N215" s="100"/>
      <c r="O215" s="100"/>
      <c r="P215" s="100"/>
      <c r="Q215" s="100"/>
      <c r="R215" s="100"/>
      <c r="S215" s="100"/>
    </row>
    <row r="216" spans="3:19" x14ac:dyDescent="0.35">
      <c r="C216" s="100"/>
      <c r="D216" s="100"/>
      <c r="E216" s="100"/>
      <c r="F216" s="100"/>
      <c r="G216" s="100"/>
      <c r="H216" s="100"/>
      <c r="I216" s="100"/>
      <c r="J216" s="100"/>
      <c r="K216" s="100"/>
      <c r="L216" s="100"/>
      <c r="M216" s="100"/>
      <c r="N216" s="100"/>
      <c r="O216" s="100"/>
      <c r="P216" s="100"/>
      <c r="Q216" s="100"/>
      <c r="R216" s="100"/>
      <c r="S216" s="100"/>
    </row>
    <row r="217" spans="3:19" x14ac:dyDescent="0.35">
      <c r="C217" s="100"/>
      <c r="D217" s="100"/>
      <c r="E217" s="100"/>
      <c r="F217" s="100"/>
      <c r="G217" s="100"/>
      <c r="H217" s="100"/>
      <c r="I217" s="100"/>
      <c r="J217" s="100"/>
      <c r="K217" s="100"/>
      <c r="L217" s="100"/>
      <c r="M217" s="100"/>
      <c r="N217" s="100"/>
      <c r="O217" s="100"/>
      <c r="P217" s="100"/>
      <c r="Q217" s="100"/>
      <c r="R217" s="100"/>
      <c r="S217" s="100"/>
    </row>
    <row r="218" spans="3:19" x14ac:dyDescent="0.35">
      <c r="C218" s="100"/>
      <c r="D218" s="100"/>
      <c r="E218" s="100"/>
      <c r="F218" s="100"/>
      <c r="G218" s="100"/>
      <c r="H218" s="100"/>
      <c r="I218" s="100"/>
      <c r="J218" s="100"/>
      <c r="K218" s="100"/>
      <c r="L218" s="100"/>
      <c r="M218" s="100"/>
      <c r="N218" s="100"/>
      <c r="O218" s="100"/>
      <c r="P218" s="100"/>
      <c r="Q218" s="100"/>
      <c r="R218" s="100"/>
      <c r="S218" s="100"/>
    </row>
    <row r="219" spans="3:19" x14ac:dyDescent="0.35">
      <c r="C219" s="100"/>
      <c r="D219" s="100"/>
      <c r="E219" s="100"/>
      <c r="F219" s="100"/>
      <c r="G219" s="100"/>
      <c r="H219" s="100"/>
      <c r="I219" s="100"/>
      <c r="J219" s="100"/>
      <c r="K219" s="100"/>
      <c r="L219" s="100"/>
      <c r="M219" s="100"/>
      <c r="N219" s="100"/>
      <c r="O219" s="100"/>
      <c r="P219" s="100"/>
      <c r="Q219" s="100"/>
      <c r="R219" s="100"/>
      <c r="S219" s="100"/>
    </row>
    <row r="220" spans="3:19" x14ac:dyDescent="0.35">
      <c r="C220" s="100"/>
      <c r="D220" s="100"/>
      <c r="E220" s="100"/>
      <c r="F220" s="100"/>
      <c r="G220" s="100"/>
      <c r="H220" s="100"/>
      <c r="I220" s="100"/>
      <c r="J220" s="100"/>
      <c r="K220" s="100"/>
      <c r="L220" s="100"/>
      <c r="M220" s="100"/>
      <c r="N220" s="100"/>
      <c r="O220" s="100"/>
      <c r="P220" s="100"/>
      <c r="Q220" s="100"/>
      <c r="R220" s="100"/>
      <c r="S220" s="100"/>
    </row>
    <row r="221" spans="3:19" x14ac:dyDescent="0.35">
      <c r="C221" s="100"/>
      <c r="D221" s="100"/>
      <c r="E221" s="100"/>
      <c r="F221" s="100"/>
      <c r="G221" s="100"/>
      <c r="H221" s="100"/>
      <c r="I221" s="100"/>
      <c r="J221" s="100"/>
      <c r="K221" s="100"/>
      <c r="L221" s="100"/>
      <c r="M221" s="100"/>
      <c r="N221" s="100"/>
      <c r="O221" s="100"/>
      <c r="P221" s="100"/>
      <c r="Q221" s="100"/>
      <c r="R221" s="100"/>
      <c r="S221" s="100"/>
    </row>
    <row r="222" spans="3:19" x14ac:dyDescent="0.35">
      <c r="C222" s="100"/>
      <c r="D222" s="100"/>
      <c r="E222" s="100"/>
      <c r="F222" s="100"/>
      <c r="G222" s="100"/>
      <c r="H222" s="100"/>
      <c r="I222" s="100"/>
      <c r="J222" s="100"/>
      <c r="K222" s="100"/>
      <c r="L222" s="100"/>
      <c r="M222" s="100"/>
      <c r="N222" s="100"/>
      <c r="O222" s="100"/>
      <c r="P222" s="100"/>
      <c r="Q222" s="100"/>
      <c r="R222" s="100"/>
      <c r="S222" s="100"/>
    </row>
    <row r="223" spans="3:19" x14ac:dyDescent="0.35">
      <c r="C223" s="100"/>
      <c r="D223" s="100"/>
      <c r="E223" s="100"/>
      <c r="F223" s="100"/>
      <c r="G223" s="100"/>
      <c r="H223" s="100"/>
      <c r="I223" s="100"/>
      <c r="J223" s="100"/>
      <c r="K223" s="100"/>
      <c r="L223" s="100"/>
      <c r="M223" s="100"/>
      <c r="N223" s="100"/>
      <c r="O223" s="100"/>
      <c r="P223" s="100"/>
      <c r="Q223" s="100"/>
      <c r="R223" s="100"/>
      <c r="S223" s="100"/>
    </row>
    <row r="224" spans="3:19" x14ac:dyDescent="0.35">
      <c r="C224" s="100"/>
      <c r="D224" s="100"/>
      <c r="E224" s="100"/>
      <c r="F224" s="100"/>
      <c r="G224" s="100"/>
      <c r="H224" s="100"/>
      <c r="I224" s="100"/>
      <c r="J224" s="100"/>
      <c r="K224" s="100"/>
      <c r="L224" s="100"/>
      <c r="M224" s="100"/>
      <c r="N224" s="100"/>
      <c r="O224" s="100"/>
      <c r="P224" s="100"/>
      <c r="Q224" s="100"/>
      <c r="R224" s="100"/>
      <c r="S224" s="100"/>
    </row>
    <row r="225" spans="3:19" x14ac:dyDescent="0.35">
      <c r="C225" s="100"/>
      <c r="D225" s="100"/>
      <c r="E225" s="100"/>
      <c r="F225" s="100"/>
      <c r="G225" s="100"/>
      <c r="H225" s="100"/>
      <c r="I225" s="100"/>
      <c r="J225" s="100"/>
      <c r="K225" s="100"/>
      <c r="L225" s="100"/>
      <c r="M225" s="100"/>
      <c r="N225" s="100"/>
      <c r="O225" s="100"/>
      <c r="P225" s="100"/>
      <c r="Q225" s="100"/>
      <c r="R225" s="100"/>
      <c r="S225" s="100"/>
    </row>
    <row r="226" spans="3:19" x14ac:dyDescent="0.35">
      <c r="C226" s="100"/>
      <c r="D226" s="100"/>
      <c r="E226" s="100"/>
      <c r="F226" s="100"/>
      <c r="G226" s="100"/>
      <c r="H226" s="100"/>
      <c r="I226" s="100"/>
      <c r="J226" s="100"/>
      <c r="K226" s="100"/>
      <c r="L226" s="100"/>
      <c r="M226" s="100"/>
      <c r="N226" s="100"/>
      <c r="O226" s="100"/>
      <c r="P226" s="100"/>
      <c r="Q226" s="100"/>
      <c r="R226" s="100"/>
      <c r="S226" s="100"/>
    </row>
    <row r="227" spans="3:19" x14ac:dyDescent="0.35">
      <c r="C227" s="100"/>
      <c r="D227" s="100"/>
      <c r="E227" s="100"/>
      <c r="F227" s="100"/>
      <c r="G227" s="100"/>
      <c r="H227" s="100"/>
      <c r="I227" s="100"/>
      <c r="J227" s="100"/>
      <c r="K227" s="100"/>
      <c r="L227" s="100"/>
      <c r="M227" s="100"/>
      <c r="N227" s="100"/>
      <c r="O227" s="100"/>
      <c r="P227" s="100"/>
      <c r="Q227" s="100"/>
      <c r="R227" s="100"/>
      <c r="S227" s="100"/>
    </row>
    <row r="228" spans="3:19" x14ac:dyDescent="0.35">
      <c r="C228" s="100"/>
      <c r="D228" s="100"/>
      <c r="E228" s="100"/>
      <c r="F228" s="100"/>
      <c r="G228" s="100"/>
      <c r="H228" s="100"/>
      <c r="I228" s="100"/>
      <c r="J228" s="100"/>
      <c r="K228" s="100"/>
      <c r="L228" s="100"/>
      <c r="M228" s="100"/>
      <c r="N228" s="100"/>
      <c r="O228" s="100"/>
      <c r="P228" s="100"/>
      <c r="Q228" s="100"/>
      <c r="R228" s="100"/>
      <c r="S228" s="100"/>
    </row>
    <row r="229" spans="3:19" x14ac:dyDescent="0.35">
      <c r="C229" s="100"/>
      <c r="D229" s="100"/>
      <c r="E229" s="100"/>
      <c r="F229" s="100"/>
      <c r="G229" s="100"/>
      <c r="H229" s="100"/>
      <c r="I229" s="100"/>
      <c r="J229" s="100"/>
      <c r="K229" s="100"/>
      <c r="L229" s="100"/>
      <c r="M229" s="100"/>
      <c r="N229" s="100"/>
      <c r="O229" s="100"/>
      <c r="P229" s="100"/>
      <c r="Q229" s="100"/>
      <c r="R229" s="100"/>
      <c r="S229" s="100"/>
    </row>
    <row r="230" spans="3:19" x14ac:dyDescent="0.35">
      <c r="C230" s="100"/>
      <c r="D230" s="100"/>
      <c r="E230" s="100"/>
      <c r="F230" s="100"/>
      <c r="G230" s="100"/>
      <c r="H230" s="100"/>
      <c r="I230" s="100"/>
      <c r="J230" s="100"/>
      <c r="K230" s="100"/>
      <c r="L230" s="100"/>
      <c r="M230" s="100"/>
      <c r="N230" s="100"/>
      <c r="O230" s="100"/>
      <c r="P230" s="100"/>
      <c r="Q230" s="100"/>
      <c r="R230" s="100"/>
      <c r="S230" s="100"/>
    </row>
    <row r="231" spans="3:19" x14ac:dyDescent="0.35">
      <c r="C231" s="100"/>
      <c r="D231" s="100"/>
      <c r="E231" s="100"/>
      <c r="F231" s="100"/>
      <c r="G231" s="100"/>
      <c r="H231" s="100"/>
      <c r="I231" s="100"/>
      <c r="J231" s="100"/>
      <c r="K231" s="100"/>
      <c r="L231" s="100"/>
      <c r="M231" s="100"/>
      <c r="N231" s="100"/>
      <c r="O231" s="100"/>
      <c r="P231" s="100"/>
      <c r="Q231" s="100"/>
      <c r="R231" s="100"/>
      <c r="S231" s="100"/>
    </row>
    <row r="232" spans="3:19" x14ac:dyDescent="0.35">
      <c r="C232" s="100"/>
      <c r="D232" s="100"/>
      <c r="E232" s="100"/>
      <c r="F232" s="100"/>
      <c r="G232" s="100"/>
      <c r="H232" s="100"/>
      <c r="I232" s="100"/>
      <c r="J232" s="100"/>
      <c r="K232" s="100"/>
      <c r="L232" s="100"/>
      <c r="M232" s="100"/>
      <c r="N232" s="100"/>
      <c r="O232" s="100"/>
      <c r="P232" s="100"/>
      <c r="Q232" s="100"/>
      <c r="R232" s="100"/>
      <c r="S232" s="100"/>
    </row>
    <row r="233" spans="3:19" x14ac:dyDescent="0.35">
      <c r="C233" s="100"/>
      <c r="D233" s="100"/>
      <c r="E233" s="100"/>
      <c r="F233" s="100"/>
      <c r="G233" s="100"/>
      <c r="H233" s="100"/>
      <c r="I233" s="100"/>
      <c r="J233" s="100"/>
      <c r="K233" s="100"/>
      <c r="L233" s="100"/>
      <c r="M233" s="100"/>
      <c r="N233" s="100"/>
      <c r="O233" s="100"/>
      <c r="P233" s="100"/>
      <c r="Q233" s="100"/>
      <c r="R233" s="100"/>
      <c r="S233" s="100"/>
    </row>
    <row r="234" spans="3:19" x14ac:dyDescent="0.35">
      <c r="C234" s="100"/>
      <c r="D234" s="100"/>
      <c r="E234" s="100"/>
      <c r="F234" s="100"/>
      <c r="G234" s="100"/>
      <c r="H234" s="100"/>
      <c r="I234" s="100"/>
      <c r="J234" s="100"/>
      <c r="K234" s="100"/>
      <c r="L234" s="100"/>
      <c r="M234" s="100"/>
      <c r="N234" s="100"/>
      <c r="O234" s="100"/>
      <c r="P234" s="100"/>
      <c r="Q234" s="100"/>
      <c r="R234" s="100"/>
      <c r="S234" s="100"/>
    </row>
    <row r="235" spans="3:19" x14ac:dyDescent="0.35">
      <c r="C235" s="100"/>
      <c r="D235" s="100"/>
      <c r="E235" s="100"/>
      <c r="F235" s="100"/>
      <c r="G235" s="100"/>
      <c r="H235" s="100"/>
      <c r="I235" s="100"/>
      <c r="J235" s="100"/>
      <c r="K235" s="100"/>
      <c r="L235" s="100"/>
      <c r="M235" s="100"/>
      <c r="N235" s="100"/>
      <c r="O235" s="100"/>
      <c r="P235" s="100"/>
      <c r="Q235" s="100"/>
      <c r="R235" s="100"/>
      <c r="S235" s="100"/>
    </row>
    <row r="236" spans="3:19" x14ac:dyDescent="0.35">
      <c r="C236" s="100"/>
      <c r="D236" s="100"/>
      <c r="E236" s="100"/>
      <c r="F236" s="100"/>
      <c r="G236" s="100"/>
      <c r="H236" s="100"/>
      <c r="I236" s="100"/>
      <c r="J236" s="100"/>
      <c r="K236" s="100"/>
      <c r="L236" s="100"/>
      <c r="M236" s="100"/>
      <c r="N236" s="100"/>
      <c r="O236" s="100"/>
      <c r="P236" s="100"/>
      <c r="Q236" s="100"/>
      <c r="R236" s="100"/>
      <c r="S236" s="100"/>
    </row>
    <row r="237" spans="3:19" x14ac:dyDescent="0.35">
      <c r="C237" s="100"/>
      <c r="D237" s="100"/>
      <c r="E237" s="100"/>
      <c r="F237" s="100"/>
      <c r="G237" s="100"/>
      <c r="H237" s="100"/>
      <c r="I237" s="100"/>
      <c r="J237" s="100"/>
      <c r="K237" s="100"/>
      <c r="L237" s="100"/>
      <c r="M237" s="100"/>
      <c r="N237" s="100"/>
      <c r="O237" s="100"/>
      <c r="P237" s="100"/>
      <c r="Q237" s="100"/>
      <c r="R237" s="100"/>
      <c r="S237" s="100"/>
    </row>
    <row r="238" spans="3:19" x14ac:dyDescent="0.35">
      <c r="C238" s="100"/>
      <c r="D238" s="100"/>
      <c r="E238" s="100"/>
      <c r="F238" s="100"/>
      <c r="G238" s="100"/>
      <c r="H238" s="100"/>
      <c r="I238" s="100"/>
      <c r="J238" s="100"/>
      <c r="K238" s="100"/>
      <c r="L238" s="100"/>
      <c r="M238" s="100"/>
      <c r="N238" s="100"/>
      <c r="O238" s="100"/>
      <c r="P238" s="100"/>
      <c r="Q238" s="100"/>
      <c r="R238" s="100"/>
      <c r="S238" s="100"/>
    </row>
    <row r="239" spans="3:19" x14ac:dyDescent="0.35">
      <c r="C239" s="100"/>
      <c r="D239" s="100"/>
      <c r="E239" s="100"/>
      <c r="F239" s="100"/>
      <c r="G239" s="100"/>
      <c r="H239" s="100"/>
      <c r="I239" s="100"/>
      <c r="J239" s="100"/>
      <c r="K239" s="100"/>
      <c r="L239" s="100"/>
      <c r="M239" s="100"/>
      <c r="N239" s="100"/>
      <c r="O239" s="100"/>
      <c r="P239" s="100"/>
      <c r="Q239" s="100"/>
      <c r="R239" s="100"/>
      <c r="S239" s="100"/>
    </row>
    <row r="240" spans="3:19" x14ac:dyDescent="0.35">
      <c r="P240" s="100"/>
      <c r="Q240" s="100"/>
      <c r="R240" s="100"/>
      <c r="S240" s="100"/>
    </row>
  </sheetData>
  <printOptions horizontalCentered="1"/>
  <pageMargins left="0.75" right="0.75" top="0.54" bottom="0.49" header="0.5" footer="0.5"/>
  <pageSetup scale="61" orientation="landscape"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V260"/>
  <sheetViews>
    <sheetView workbookViewId="0"/>
  </sheetViews>
  <sheetFormatPr defaultColWidth="9.296875" defaultRowHeight="15.5" x14ac:dyDescent="0.35"/>
  <cols>
    <col min="1" max="1" width="9" style="83" customWidth="1"/>
    <col min="2" max="2" width="2.09765625" style="83" customWidth="1"/>
    <col min="3" max="3" width="44.69921875" style="83" customWidth="1"/>
    <col min="4" max="4" width="31.09765625" style="83" customWidth="1"/>
    <col min="5" max="5" width="26.296875" style="83" customWidth="1"/>
    <col min="6" max="6" width="15" style="83" customWidth="1"/>
    <col min="7" max="7" width="20.69921875" style="83" customWidth="1"/>
    <col min="8" max="8" width="18.3984375" style="83" customWidth="1"/>
    <col min="9" max="9" width="8.69921875" style="83" customWidth="1"/>
    <col min="10" max="10" width="23" style="83" customWidth="1"/>
    <col min="11" max="11" width="12.09765625" style="83" customWidth="1"/>
    <col min="12" max="12" width="11.69921875" style="83" customWidth="1"/>
    <col min="13" max="13" width="2.69921875" style="83" customWidth="1"/>
    <col min="14" max="14" width="41" style="83" customWidth="1"/>
    <col min="15" max="15" width="48.69921875" style="83" customWidth="1"/>
    <col min="16" max="16" width="23.3984375" style="83" customWidth="1"/>
    <col min="17" max="17" width="20.3984375" style="83" customWidth="1"/>
    <col min="18" max="18" width="20.69921875" style="83" customWidth="1"/>
    <col min="19" max="19" width="23.69921875" style="83" bestFit="1" customWidth="1"/>
    <col min="20" max="20" width="22.09765625" style="83" bestFit="1" customWidth="1"/>
    <col min="21" max="21" width="23" style="83" bestFit="1" customWidth="1"/>
    <col min="22" max="22" width="19.69921875" style="83" customWidth="1"/>
    <col min="23" max="23" width="20.296875" style="83" customWidth="1"/>
    <col min="24" max="24" width="23.3984375" style="83" bestFit="1" customWidth="1"/>
    <col min="25" max="25" width="21.69921875" style="83" bestFit="1" customWidth="1"/>
    <col min="26" max="26" width="16.09765625" style="83" customWidth="1"/>
    <col min="27" max="28" width="23.3984375" style="83" bestFit="1" customWidth="1"/>
    <col min="29" max="29" width="21.296875" style="83" bestFit="1" customWidth="1"/>
    <col min="30" max="30" width="23.3984375" style="83" bestFit="1" customWidth="1"/>
    <col min="31" max="31" width="21.296875" style="83" bestFit="1" customWidth="1"/>
    <col min="32" max="32" width="20.69921875" style="83" bestFit="1" customWidth="1"/>
    <col min="33" max="16384" width="9.296875" style="83"/>
  </cols>
  <sheetData>
    <row r="1" spans="1:16" s="1" customFormat="1" x14ac:dyDescent="0.35">
      <c r="A1" s="167" t="s">
        <v>185</v>
      </c>
      <c r="B1" s="168"/>
      <c r="C1" s="169"/>
      <c r="D1" s="169"/>
      <c r="E1" s="169"/>
      <c r="F1" s="169"/>
      <c r="G1" s="169"/>
      <c r="H1" s="169"/>
      <c r="I1" s="169"/>
      <c r="J1" s="169"/>
      <c r="K1" s="169"/>
      <c r="L1" s="2"/>
      <c r="M1" s="158"/>
      <c r="N1" s="4"/>
      <c r="O1" s="4"/>
      <c r="P1" s="4"/>
    </row>
    <row r="2" spans="1:16" s="1" customFormat="1" x14ac:dyDescent="0.35">
      <c r="A2" s="167" t="s">
        <v>249</v>
      </c>
      <c r="B2" s="168"/>
      <c r="C2" s="169"/>
      <c r="D2" s="169"/>
      <c r="E2" s="169"/>
      <c r="F2" s="169"/>
      <c r="G2" s="169"/>
      <c r="H2" s="169"/>
      <c r="I2" s="169"/>
      <c r="J2" s="169"/>
      <c r="K2" s="169"/>
      <c r="L2" s="2"/>
      <c r="M2" s="166"/>
      <c r="N2" s="4"/>
      <c r="O2" s="4"/>
      <c r="P2" s="4"/>
    </row>
    <row r="3" spans="1:16" s="1" customFormat="1" x14ac:dyDescent="0.35">
      <c r="C3" s="6"/>
      <c r="D3" s="2"/>
      <c r="E3" s="3"/>
      <c r="F3" s="2"/>
      <c r="G3" s="2"/>
      <c r="H3" s="2"/>
      <c r="I3" s="4"/>
      <c r="J3" s="4"/>
      <c r="K3" s="4"/>
      <c r="L3" s="4"/>
      <c r="M3" s="4"/>
      <c r="N3" s="4"/>
      <c r="O3" s="4"/>
      <c r="P3" s="4"/>
    </row>
    <row r="4" spans="1:16" s="1" customFormat="1" x14ac:dyDescent="0.35">
      <c r="A4" s="1" t="s">
        <v>186</v>
      </c>
      <c r="C4" s="2"/>
      <c r="D4" s="2"/>
      <c r="E4" s="7"/>
      <c r="F4" s="2"/>
      <c r="G4" s="2"/>
      <c r="H4" s="2"/>
      <c r="I4" s="4"/>
      <c r="K4" s="181" t="str">
        <f>"For the 12 months ended "&amp;TEXT('OATT Input Data'!B4,"MM/DD/YYYY")</f>
        <v>For the 12 months ended 12/31/2019</v>
      </c>
      <c r="L4" s="4"/>
      <c r="M4" s="4"/>
      <c r="N4" s="4"/>
      <c r="O4" s="5"/>
      <c r="P4" s="4"/>
    </row>
    <row r="5" spans="1:16" s="1" customFormat="1" x14ac:dyDescent="0.35">
      <c r="A5" s="182" t="s">
        <v>187</v>
      </c>
      <c r="C5" s="2"/>
      <c r="D5" s="8"/>
      <c r="F5" s="8"/>
      <c r="G5" s="8"/>
      <c r="H5" s="8"/>
      <c r="I5" s="2"/>
      <c r="J5" s="2"/>
      <c r="K5" s="181" t="s">
        <v>125</v>
      </c>
      <c r="L5" s="169"/>
      <c r="M5" s="4"/>
      <c r="N5" s="4"/>
      <c r="O5" s="4"/>
      <c r="P5" s="4"/>
    </row>
    <row r="6" spans="1:16" s="1" customFormat="1" x14ac:dyDescent="0.35">
      <c r="C6" s="4"/>
      <c r="D6" s="4"/>
      <c r="E6" s="4"/>
      <c r="F6" s="4"/>
      <c r="G6" s="4"/>
      <c r="H6" s="4"/>
      <c r="I6" s="4"/>
      <c r="J6" s="4"/>
      <c r="K6" s="4"/>
      <c r="L6" s="4"/>
      <c r="M6" s="4"/>
      <c r="N6" s="4"/>
      <c r="O6" s="4"/>
      <c r="P6" s="4"/>
    </row>
    <row r="7" spans="1:16" s="1" customFormat="1" x14ac:dyDescent="0.35">
      <c r="A7" s="184" t="s">
        <v>130</v>
      </c>
      <c r="B7" s="167"/>
      <c r="C7" s="185"/>
      <c r="D7" s="185"/>
      <c r="E7" s="167"/>
      <c r="F7" s="185"/>
      <c r="G7" s="185"/>
      <c r="H7" s="185"/>
      <c r="I7" s="185"/>
      <c r="J7" s="185"/>
      <c r="K7" s="185"/>
      <c r="L7" s="2"/>
      <c r="M7" s="4"/>
      <c r="N7" s="4"/>
      <c r="O7" s="4"/>
      <c r="P7" s="4"/>
    </row>
    <row r="8" spans="1:16" x14ac:dyDescent="0.35">
      <c r="A8" s="363" t="s">
        <v>388</v>
      </c>
      <c r="B8" s="364"/>
      <c r="C8" s="364"/>
      <c r="D8" s="364"/>
      <c r="E8" s="364"/>
      <c r="F8" s="365"/>
      <c r="G8" s="365"/>
      <c r="H8" s="365"/>
      <c r="I8" s="365"/>
      <c r="J8" s="365"/>
      <c r="K8" s="366"/>
      <c r="L8" s="125"/>
      <c r="M8" s="125"/>
      <c r="N8" s="90"/>
      <c r="O8" s="125"/>
      <c r="P8" s="134"/>
    </row>
    <row r="9" spans="1:16" x14ac:dyDescent="0.35">
      <c r="A9" s="82" t="s">
        <v>1</v>
      </c>
      <c r="C9" s="367"/>
      <c r="D9" s="90"/>
      <c r="E9" s="90"/>
      <c r="F9" s="90"/>
      <c r="G9" s="90"/>
      <c r="H9" s="90"/>
      <c r="I9" s="90"/>
      <c r="J9" s="90"/>
      <c r="K9" s="125"/>
      <c r="L9" s="125"/>
      <c r="M9" s="125"/>
      <c r="N9" s="90"/>
      <c r="O9" s="125"/>
      <c r="P9" s="134"/>
    </row>
    <row r="10" spans="1:16" ht="16" thickBot="1" x14ac:dyDescent="0.4">
      <c r="A10" s="368" t="s">
        <v>3</v>
      </c>
      <c r="C10" s="124" t="s">
        <v>204</v>
      </c>
      <c r="D10" s="90"/>
      <c r="E10" s="90"/>
      <c r="F10" s="90"/>
      <c r="G10" s="90"/>
      <c r="H10" s="90"/>
      <c r="K10" s="125"/>
      <c r="L10" s="125"/>
      <c r="M10" s="125"/>
      <c r="N10" s="90"/>
      <c r="O10" s="125"/>
      <c r="P10" s="134"/>
    </row>
    <row r="11" spans="1:16" x14ac:dyDescent="0.35">
      <c r="A11" s="82">
        <v>1</v>
      </c>
      <c r="C11" s="124" t="s">
        <v>205</v>
      </c>
      <c r="D11" s="90"/>
      <c r="E11" s="125"/>
      <c r="F11" s="125"/>
      <c r="G11" s="369" t="s">
        <v>330</v>
      </c>
      <c r="H11" s="125"/>
      <c r="I11" s="125"/>
      <c r="J11" s="370">
        <f>'PTP Pg 2 of 5'!E15</f>
        <v>1629500419</v>
      </c>
      <c r="K11" s="125"/>
      <c r="L11" s="125"/>
      <c r="M11" s="125"/>
      <c r="N11" s="90"/>
      <c r="O11" s="125"/>
      <c r="P11" s="134"/>
    </row>
    <row r="12" spans="1:16" x14ac:dyDescent="0.35">
      <c r="A12" s="82">
        <v>2</v>
      </c>
      <c r="C12" s="124" t="s">
        <v>207</v>
      </c>
      <c r="G12" s="100" t="s">
        <v>206</v>
      </c>
      <c r="J12" s="126">
        <f>ROUND('VA Transmission'!$G$60,0)</f>
        <v>61242957</v>
      </c>
      <c r="K12" s="125"/>
      <c r="L12" s="125"/>
      <c r="M12" s="125"/>
      <c r="N12" s="90"/>
      <c r="O12" s="125"/>
      <c r="P12" s="371"/>
    </row>
    <row r="13" spans="1:16" ht="19" thickBot="1" x14ac:dyDescent="0.7">
      <c r="A13" s="82">
        <v>3</v>
      </c>
      <c r="C13" s="172" t="s">
        <v>209</v>
      </c>
      <c r="D13" s="127"/>
      <c r="E13" s="128"/>
      <c r="F13" s="125"/>
      <c r="G13" s="372" t="s">
        <v>208</v>
      </c>
      <c r="H13" s="129"/>
      <c r="I13" s="125"/>
      <c r="J13" s="373">
        <v>0</v>
      </c>
      <c r="K13" s="125"/>
      <c r="L13" s="125"/>
      <c r="M13" s="125"/>
      <c r="N13" s="90"/>
      <c r="O13" s="125"/>
      <c r="P13" s="371"/>
    </row>
    <row r="14" spans="1:16" x14ac:dyDescent="0.35">
      <c r="A14" s="82">
        <v>4</v>
      </c>
      <c r="C14" s="124" t="s">
        <v>339</v>
      </c>
      <c r="D14" s="90"/>
      <c r="E14" s="125"/>
      <c r="F14" s="125"/>
      <c r="G14" s="374" t="s">
        <v>210</v>
      </c>
      <c r="H14" s="129"/>
      <c r="I14" s="125"/>
      <c r="J14" s="370">
        <f>ROUND(J11-J12-J13,0)</f>
        <v>1568257462</v>
      </c>
      <c r="K14" s="125"/>
      <c r="L14" s="125"/>
      <c r="M14" s="125"/>
      <c r="N14" s="90"/>
      <c r="O14" s="125"/>
      <c r="P14" s="134"/>
    </row>
    <row r="15" spans="1:16" x14ac:dyDescent="0.35">
      <c r="A15" s="82"/>
      <c r="D15" s="90"/>
      <c r="E15" s="125"/>
      <c r="F15" s="125"/>
      <c r="G15" s="125"/>
      <c r="H15" s="129"/>
      <c r="I15" s="125"/>
      <c r="J15" s="126"/>
      <c r="K15" s="125"/>
      <c r="L15" s="125"/>
      <c r="M15" s="125"/>
      <c r="N15" s="90"/>
    </row>
    <row r="16" spans="1:16" x14ac:dyDescent="0.35">
      <c r="A16" s="82">
        <v>5</v>
      </c>
      <c r="C16" s="124" t="s">
        <v>340</v>
      </c>
      <c r="D16" s="130"/>
      <c r="E16" s="131"/>
      <c r="F16" s="131"/>
      <c r="G16" s="375" t="s">
        <v>211</v>
      </c>
      <c r="H16" s="132"/>
      <c r="I16" s="125" t="s">
        <v>64</v>
      </c>
      <c r="J16" s="376">
        <f>IF(J11&gt;0,ROUND(J14/J11,5),0)</f>
        <v>0.96242000000000005</v>
      </c>
      <c r="K16" s="125"/>
      <c r="L16" s="125"/>
      <c r="M16" s="125"/>
      <c r="N16" s="90"/>
    </row>
    <row r="17" spans="1:22" x14ac:dyDescent="0.35">
      <c r="A17" s="82"/>
      <c r="J17" s="126"/>
      <c r="K17" s="125"/>
      <c r="L17" s="125"/>
      <c r="M17" s="125"/>
      <c r="N17" s="90"/>
      <c r="R17" s="133"/>
      <c r="S17" s="133"/>
      <c r="T17" s="133"/>
      <c r="U17" s="133"/>
      <c r="V17" s="133"/>
    </row>
    <row r="18" spans="1:22" x14ac:dyDescent="0.35">
      <c r="A18" s="82"/>
      <c r="C18" s="134" t="s">
        <v>65</v>
      </c>
      <c r="J18" s="126"/>
      <c r="K18" s="125"/>
      <c r="L18" s="125"/>
      <c r="M18" s="125"/>
      <c r="N18" s="90"/>
      <c r="R18" s="133"/>
      <c r="S18" s="133"/>
      <c r="T18" s="133"/>
      <c r="U18" s="133"/>
      <c r="V18" s="133"/>
    </row>
    <row r="19" spans="1:22" x14ac:dyDescent="0.35">
      <c r="A19" s="82">
        <v>6</v>
      </c>
      <c r="C19" s="146" t="s">
        <v>216</v>
      </c>
      <c r="E19" s="90"/>
      <c r="F19" s="90"/>
      <c r="G19" s="369" t="s">
        <v>331</v>
      </c>
      <c r="H19" s="135"/>
      <c r="I19" s="90"/>
      <c r="J19" s="370">
        <f>'PTP Pg 3 of 5'!E14</f>
        <v>73608859.129999995</v>
      </c>
      <c r="K19" s="125"/>
      <c r="L19" s="125"/>
      <c r="M19" s="125"/>
      <c r="N19" s="125"/>
      <c r="R19" s="136"/>
      <c r="S19" s="137"/>
      <c r="T19" s="133"/>
      <c r="U19" s="133"/>
      <c r="V19" s="133"/>
    </row>
    <row r="20" spans="1:22" ht="19" thickBot="1" x14ac:dyDescent="0.7">
      <c r="A20" s="82">
        <v>7</v>
      </c>
      <c r="C20" s="172" t="s">
        <v>215</v>
      </c>
      <c r="D20" s="127"/>
      <c r="E20" s="128"/>
      <c r="F20" s="136"/>
      <c r="G20" s="372" t="s">
        <v>212</v>
      </c>
      <c r="H20" s="125"/>
      <c r="I20" s="125"/>
      <c r="J20" s="615">
        <f>'Sch 1'!$D$21</f>
        <v>6345273</v>
      </c>
      <c r="K20" s="125"/>
      <c r="L20" s="125"/>
      <c r="M20" s="125"/>
      <c r="N20" s="136"/>
      <c r="R20" s="136"/>
      <c r="S20" s="137"/>
      <c r="T20" s="133"/>
      <c r="U20" s="133"/>
      <c r="V20" s="133"/>
    </row>
    <row r="21" spans="1:22" x14ac:dyDescent="0.35">
      <c r="A21" s="82">
        <v>8</v>
      </c>
      <c r="C21" s="124" t="s">
        <v>214</v>
      </c>
      <c r="D21" s="130"/>
      <c r="E21" s="131"/>
      <c r="F21" s="131"/>
      <c r="G21" s="369" t="s">
        <v>213</v>
      </c>
      <c r="H21" s="132"/>
      <c r="I21" s="131"/>
      <c r="J21" s="370">
        <f>ROUND(J19-J20,0)</f>
        <v>67263586</v>
      </c>
      <c r="M21" s="125"/>
      <c r="N21" s="125"/>
      <c r="S21" s="133"/>
      <c r="T21" s="133"/>
      <c r="U21" s="133"/>
      <c r="V21" s="133"/>
    </row>
    <row r="22" spans="1:22" x14ac:dyDescent="0.35">
      <c r="A22" s="82"/>
      <c r="C22" s="93"/>
      <c r="D22" s="90"/>
      <c r="E22" s="125"/>
      <c r="F22" s="125"/>
      <c r="G22" s="125"/>
      <c r="H22" s="125"/>
      <c r="M22" s="125"/>
      <c r="N22" s="125"/>
      <c r="S22" s="133"/>
      <c r="T22" s="133"/>
      <c r="U22" s="133"/>
      <c r="V22" s="133"/>
    </row>
    <row r="23" spans="1:22" x14ac:dyDescent="0.35">
      <c r="A23" s="82">
        <v>9</v>
      </c>
      <c r="C23" s="124" t="s">
        <v>220</v>
      </c>
      <c r="D23" s="90"/>
      <c r="E23" s="125"/>
      <c r="F23" s="125"/>
      <c r="G23" s="377" t="s">
        <v>217</v>
      </c>
      <c r="H23" s="125"/>
      <c r="I23" s="125"/>
      <c r="J23" s="378">
        <f>ROUND(J21/J19,5)</f>
        <v>0.91379999999999995</v>
      </c>
      <c r="M23" s="125"/>
      <c r="N23" s="125"/>
      <c r="S23" s="138"/>
      <c r="T23" s="133"/>
      <c r="U23" s="133"/>
      <c r="V23" s="133"/>
    </row>
    <row r="24" spans="1:22" x14ac:dyDescent="0.35">
      <c r="A24" s="82">
        <v>10</v>
      </c>
      <c r="C24" s="124" t="s">
        <v>340</v>
      </c>
      <c r="D24" s="90"/>
      <c r="E24" s="125"/>
      <c r="F24" s="125"/>
      <c r="G24" s="372" t="s">
        <v>218</v>
      </c>
      <c r="H24" s="125"/>
      <c r="I24" s="90" t="s">
        <v>9</v>
      </c>
      <c r="J24" s="379">
        <f>J16</f>
        <v>0.96242000000000005</v>
      </c>
      <c r="M24" s="125"/>
      <c r="N24" s="125"/>
      <c r="S24" s="138"/>
      <c r="T24" s="133"/>
      <c r="U24" s="133"/>
      <c r="V24" s="133"/>
    </row>
    <row r="25" spans="1:22" x14ac:dyDescent="0.35">
      <c r="A25" s="82">
        <v>11</v>
      </c>
      <c r="C25" s="124" t="s">
        <v>341</v>
      </c>
      <c r="D25" s="90"/>
      <c r="E25" s="90"/>
      <c r="F25" s="90"/>
      <c r="G25" s="372" t="s">
        <v>219</v>
      </c>
      <c r="H25" s="90"/>
      <c r="I25" s="90" t="s">
        <v>66</v>
      </c>
      <c r="J25" s="380">
        <f>ROUND(J24*J23,5)</f>
        <v>0.87946000000000002</v>
      </c>
      <c r="M25" s="125"/>
      <c r="N25" s="125"/>
      <c r="S25" s="138"/>
      <c r="T25" s="133"/>
      <c r="U25" s="133"/>
      <c r="V25" s="133"/>
    </row>
    <row r="26" spans="1:22" x14ac:dyDescent="0.35">
      <c r="A26" s="82"/>
      <c r="D26" s="90"/>
      <c r="E26" s="125"/>
      <c r="F26" s="125"/>
      <c r="G26" s="125"/>
      <c r="H26" s="129"/>
      <c r="I26" s="125"/>
      <c r="M26" s="125"/>
      <c r="N26" s="125"/>
      <c r="S26" s="139"/>
      <c r="T26" s="133"/>
      <c r="U26" s="133"/>
      <c r="V26" s="133"/>
    </row>
    <row r="27" spans="1:22" x14ac:dyDescent="0.35">
      <c r="A27" s="82" t="s">
        <v>0</v>
      </c>
      <c r="C27" s="171" t="s">
        <v>167</v>
      </c>
      <c r="D27" s="125"/>
      <c r="E27" s="125"/>
      <c r="F27" s="125"/>
      <c r="G27" s="125"/>
      <c r="H27" s="125"/>
      <c r="I27" s="125"/>
      <c r="J27" s="125"/>
      <c r="K27" s="125"/>
      <c r="L27" s="125"/>
      <c r="M27" s="125"/>
      <c r="N27" s="125"/>
      <c r="S27" s="137"/>
      <c r="T27" s="133"/>
      <c r="U27" s="133"/>
      <c r="V27" s="133"/>
    </row>
    <row r="28" spans="1:22" x14ac:dyDescent="0.35">
      <c r="A28" s="82" t="s">
        <v>0</v>
      </c>
      <c r="C28" s="134"/>
      <c r="D28" s="381" t="s">
        <v>67</v>
      </c>
      <c r="E28" s="382" t="s">
        <v>230</v>
      </c>
      <c r="F28" s="382" t="s">
        <v>9</v>
      </c>
      <c r="G28" s="125"/>
      <c r="H28" s="382" t="s">
        <v>229</v>
      </c>
      <c r="I28" s="125"/>
      <c r="J28" s="125"/>
      <c r="K28" s="125"/>
      <c r="L28" s="125"/>
      <c r="M28" s="125"/>
      <c r="N28" s="125"/>
      <c r="S28" s="137"/>
      <c r="T28" s="133"/>
      <c r="U28" s="133"/>
      <c r="V28" s="133"/>
    </row>
    <row r="29" spans="1:22" x14ac:dyDescent="0.35">
      <c r="A29" s="82">
        <v>12</v>
      </c>
      <c r="C29" s="134" t="s">
        <v>31</v>
      </c>
      <c r="D29" s="369" t="s">
        <v>174</v>
      </c>
      <c r="E29" s="383">
        <f>'OATT Input Data'!$E$284</f>
        <v>75901235</v>
      </c>
      <c r="F29" s="384">
        <v>0</v>
      </c>
      <c r="G29" s="384"/>
      <c r="H29" s="385">
        <f>ROUND(E29*F29,0)</f>
        <v>0</v>
      </c>
      <c r="I29" s="125"/>
      <c r="J29" s="125"/>
      <c r="K29" s="125"/>
      <c r="L29" s="125"/>
      <c r="M29" s="125"/>
      <c r="N29" s="144"/>
      <c r="S29" s="133"/>
      <c r="T29" s="133"/>
      <c r="U29" s="133"/>
      <c r="V29" s="133"/>
    </row>
    <row r="30" spans="1:22" x14ac:dyDescent="0.35">
      <c r="A30" s="82">
        <v>13</v>
      </c>
      <c r="C30" s="134" t="s">
        <v>33</v>
      </c>
      <c r="D30" s="369" t="s">
        <v>221</v>
      </c>
      <c r="E30" s="140">
        <f>'OATT Input Data'!$E$285</f>
        <v>9113621</v>
      </c>
      <c r="F30" s="378">
        <f>+J16</f>
        <v>0.96242000000000005</v>
      </c>
      <c r="G30" s="384"/>
      <c r="H30" s="140">
        <f t="shared" ref="H30:H32" si="0">ROUND(E30*F30,0)</f>
        <v>8771131</v>
      </c>
      <c r="I30" s="125"/>
      <c r="J30" s="125"/>
      <c r="K30" s="125"/>
      <c r="L30" s="125"/>
      <c r="M30" s="90"/>
      <c r="N30" s="386"/>
    </row>
    <row r="31" spans="1:22" x14ac:dyDescent="0.35">
      <c r="A31" s="82">
        <v>14</v>
      </c>
      <c r="C31" s="134" t="s">
        <v>34</v>
      </c>
      <c r="D31" s="369" t="s">
        <v>222</v>
      </c>
      <c r="E31" s="140">
        <f>'OATT Input Data'!$E$286</f>
        <v>28727096</v>
      </c>
      <c r="F31" s="384">
        <v>0</v>
      </c>
      <c r="G31" s="384"/>
      <c r="H31" s="387">
        <f t="shared" si="0"/>
        <v>0</v>
      </c>
      <c r="I31" s="125"/>
      <c r="J31" s="388" t="s">
        <v>68</v>
      </c>
      <c r="K31" s="125"/>
      <c r="L31" s="125"/>
      <c r="M31" s="125"/>
      <c r="N31" s="386"/>
    </row>
    <row r="32" spans="1:22" ht="22.65" customHeight="1" x14ac:dyDescent="0.65">
      <c r="A32" s="82">
        <v>15</v>
      </c>
      <c r="C32" s="134" t="s">
        <v>69</v>
      </c>
      <c r="D32" s="369" t="s">
        <v>847</v>
      </c>
      <c r="E32" s="389">
        <f>'OATT Input Data'!$E$291</f>
        <v>20266104</v>
      </c>
      <c r="F32" s="384">
        <v>0</v>
      </c>
      <c r="G32" s="384"/>
      <c r="H32" s="373">
        <f t="shared" si="0"/>
        <v>0</v>
      </c>
      <c r="I32" s="125"/>
      <c r="J32" s="390" t="s">
        <v>392</v>
      </c>
      <c r="K32" s="125"/>
      <c r="L32" s="125"/>
      <c r="M32" s="125"/>
      <c r="N32" s="386"/>
    </row>
    <row r="33" spans="1:22" x14ac:dyDescent="0.35">
      <c r="A33" s="82">
        <v>16</v>
      </c>
      <c r="C33" s="171" t="s">
        <v>223</v>
      </c>
      <c r="D33" s="374" t="s">
        <v>224</v>
      </c>
      <c r="E33" s="383">
        <f>ROUND(SUM(E29:E32),0)</f>
        <v>134008056</v>
      </c>
      <c r="F33" s="125"/>
      <c r="G33" s="125"/>
      <c r="H33" s="383">
        <f>ROUND(SUM(H29:H32),0)</f>
        <v>8771131</v>
      </c>
      <c r="I33" s="135" t="s">
        <v>70</v>
      </c>
      <c r="J33" s="378">
        <f>IF(H33&gt;0,ROUND(H33/E33,5),0)</f>
        <v>6.5449999999999994E-2</v>
      </c>
      <c r="K33" s="470" t="s">
        <v>322</v>
      </c>
      <c r="L33" s="125"/>
      <c r="M33" s="125"/>
      <c r="N33" s="125"/>
      <c r="O33" s="125"/>
      <c r="P33" s="134"/>
    </row>
    <row r="34" spans="1:22" x14ac:dyDescent="0.35">
      <c r="A34" s="82"/>
      <c r="C34" s="134"/>
      <c r="D34" s="374"/>
      <c r="E34" s="140"/>
      <c r="F34" s="125"/>
      <c r="G34" s="125"/>
      <c r="H34" s="125"/>
      <c r="I34" s="125"/>
      <c r="J34" s="125"/>
      <c r="K34" s="125"/>
      <c r="L34" s="125"/>
      <c r="M34" s="125" t="s">
        <v>0</v>
      </c>
      <c r="N34" s="125"/>
      <c r="O34" s="125"/>
      <c r="P34" s="134"/>
    </row>
    <row r="35" spans="1:22" x14ac:dyDescent="0.35">
      <c r="A35" s="82"/>
      <c r="C35" s="171" t="s">
        <v>225</v>
      </c>
      <c r="D35" s="374" t="s">
        <v>226</v>
      </c>
      <c r="E35" s="140"/>
      <c r="F35" s="125"/>
      <c r="G35" s="125"/>
      <c r="H35" s="125"/>
      <c r="I35" s="125"/>
      <c r="J35" s="125"/>
      <c r="K35" s="125"/>
      <c r="L35" s="125"/>
      <c r="M35" s="125"/>
      <c r="N35" s="125"/>
      <c r="O35" s="125"/>
      <c r="P35" s="134"/>
    </row>
    <row r="36" spans="1:22" x14ac:dyDescent="0.35">
      <c r="A36" s="82"/>
      <c r="C36" s="134"/>
      <c r="D36" s="374"/>
      <c r="E36" s="391" t="s">
        <v>231</v>
      </c>
      <c r="F36" s="125"/>
      <c r="G36" s="125"/>
      <c r="H36" s="129"/>
      <c r="I36" s="392"/>
      <c r="J36" s="393"/>
      <c r="M36" s="125"/>
      <c r="N36" s="125"/>
      <c r="O36" s="125"/>
      <c r="P36" s="136"/>
      <c r="Q36" s="141"/>
    </row>
    <row r="37" spans="1:22" x14ac:dyDescent="0.35">
      <c r="A37" s="82">
        <v>17</v>
      </c>
      <c r="C37" s="134" t="s">
        <v>71</v>
      </c>
      <c r="D37" s="374" t="s">
        <v>72</v>
      </c>
      <c r="E37" s="383">
        <f>ROUND('OATT Input Data'!E296,0)</f>
        <v>14790857027</v>
      </c>
      <c r="F37" s="125"/>
      <c r="H37" s="394"/>
      <c r="I37" s="395"/>
      <c r="J37" s="82"/>
      <c r="K37" s="125"/>
      <c r="L37" s="135"/>
      <c r="M37" s="125"/>
      <c r="N37" s="125"/>
      <c r="O37" s="125"/>
      <c r="P37" s="125"/>
      <c r="Q37" s="125"/>
      <c r="R37" s="142"/>
      <c r="S37" s="140"/>
      <c r="T37" s="142"/>
      <c r="U37" s="142"/>
    </row>
    <row r="38" spans="1:22" x14ac:dyDescent="0.35">
      <c r="A38" s="82">
        <v>18</v>
      </c>
      <c r="C38" s="134" t="s">
        <v>73</v>
      </c>
      <c r="D38" s="374" t="s">
        <v>74</v>
      </c>
      <c r="E38" s="140">
        <f>ROUND('OATT Input Data'!E297,0)</f>
        <v>1240375887</v>
      </c>
      <c r="F38" s="125"/>
      <c r="I38" s="129"/>
      <c r="K38" s="392"/>
      <c r="M38" s="125"/>
      <c r="N38" s="125"/>
      <c r="O38" s="125"/>
      <c r="P38" s="134"/>
      <c r="Q38" s="125"/>
      <c r="R38" s="140"/>
      <c r="S38" s="140"/>
      <c r="T38" s="142"/>
      <c r="U38" s="142"/>
    </row>
    <row r="39" spans="1:22" ht="18.5" x14ac:dyDescent="0.65">
      <c r="A39" s="82">
        <v>19</v>
      </c>
      <c r="C39" s="137" t="s">
        <v>75</v>
      </c>
      <c r="D39" s="396" t="s">
        <v>76</v>
      </c>
      <c r="E39" s="373">
        <f>ROUND('OATT Input Data'!E298,0)</f>
        <v>0</v>
      </c>
      <c r="F39" s="125"/>
      <c r="G39" s="125"/>
      <c r="H39" s="125" t="s">
        <v>0</v>
      </c>
      <c r="I39" s="125"/>
      <c r="J39" s="125"/>
      <c r="K39" s="125"/>
      <c r="L39" s="125"/>
      <c r="M39" s="125"/>
      <c r="N39" s="125"/>
      <c r="O39" s="125"/>
      <c r="P39" s="134"/>
      <c r="R39" s="140"/>
      <c r="S39" s="140"/>
      <c r="T39" s="140"/>
      <c r="U39" s="140"/>
    </row>
    <row r="40" spans="1:22" x14ac:dyDescent="0.35">
      <c r="A40" s="82">
        <v>20</v>
      </c>
      <c r="C40" s="171" t="s">
        <v>228</v>
      </c>
      <c r="D40" s="374" t="s">
        <v>227</v>
      </c>
      <c r="E40" s="383">
        <f>ROUND(SUM(E37:E39),0)</f>
        <v>16031232914</v>
      </c>
      <c r="F40" s="125"/>
      <c r="G40" s="125"/>
      <c r="H40" s="125"/>
      <c r="I40" s="125"/>
      <c r="J40" s="125"/>
      <c r="K40" s="125"/>
      <c r="L40" s="125"/>
      <c r="M40" s="125"/>
      <c r="N40" s="125"/>
      <c r="O40" s="125"/>
      <c r="P40" s="134"/>
      <c r="R40" s="140"/>
      <c r="S40" s="140"/>
      <c r="T40" s="140"/>
      <c r="U40" s="140"/>
    </row>
    <row r="41" spans="1:22" x14ac:dyDescent="0.35">
      <c r="A41" s="82">
        <v>21</v>
      </c>
      <c r="C41" s="397" t="s">
        <v>312</v>
      </c>
      <c r="D41" s="374" t="s">
        <v>313</v>
      </c>
      <c r="F41" s="398">
        <f>IF(E40&gt;0,ROUND(E37/E40,5),0)</f>
        <v>0.92262999999999995</v>
      </c>
      <c r="G41" s="399" t="s">
        <v>323</v>
      </c>
      <c r="H41" s="398">
        <f>J33</f>
        <v>6.5449999999999994E-2</v>
      </c>
      <c r="I41" s="125"/>
      <c r="J41" s="398">
        <f>ROUND(H41*F41,5)</f>
        <v>6.0389999999999999E-2</v>
      </c>
      <c r="K41" s="400" t="s">
        <v>314</v>
      </c>
      <c r="L41" s="125"/>
      <c r="M41" s="125"/>
      <c r="N41" s="125"/>
      <c r="O41" s="125"/>
      <c r="P41" s="134"/>
      <c r="R41" s="140"/>
      <c r="S41" s="140"/>
      <c r="T41" s="140"/>
      <c r="U41" s="140"/>
    </row>
    <row r="42" spans="1:22" x14ac:dyDescent="0.35">
      <c r="A42" s="82"/>
      <c r="C42" s="397"/>
      <c r="D42" s="374"/>
      <c r="F42" s="398"/>
      <c r="G42" s="401"/>
      <c r="H42" s="398"/>
      <c r="I42" s="125"/>
      <c r="J42" s="398"/>
      <c r="K42" s="400"/>
      <c r="L42" s="125"/>
      <c r="M42" s="125"/>
      <c r="N42" s="125"/>
      <c r="O42" s="125"/>
      <c r="P42" s="134"/>
      <c r="R42" s="140"/>
      <c r="S42" s="140"/>
      <c r="T42" s="140"/>
      <c r="U42" s="140"/>
    </row>
    <row r="43" spans="1:22" x14ac:dyDescent="0.35">
      <c r="A43" s="82"/>
      <c r="B43" s="93"/>
      <c r="C43" s="124" t="s">
        <v>315</v>
      </c>
      <c r="D43" s="125"/>
      <c r="E43" s="402" t="s">
        <v>232</v>
      </c>
      <c r="F43" s="125"/>
      <c r="G43" s="125"/>
      <c r="H43" s="125"/>
      <c r="I43" s="125"/>
      <c r="K43" s="125"/>
      <c r="L43" s="125"/>
      <c r="M43" s="125"/>
      <c r="N43" s="125"/>
      <c r="O43" s="125"/>
      <c r="P43" s="135"/>
      <c r="Q43" s="143"/>
      <c r="R43" s="140"/>
      <c r="S43" s="140"/>
      <c r="T43" s="140"/>
      <c r="U43" s="140"/>
    </row>
    <row r="44" spans="1:22" x14ac:dyDescent="0.35">
      <c r="A44" s="82">
        <v>22</v>
      </c>
      <c r="B44" s="93"/>
      <c r="C44" s="403" t="s">
        <v>77</v>
      </c>
      <c r="D44" s="369" t="s">
        <v>342</v>
      </c>
      <c r="E44" s="383">
        <f>'OATT Input Data'!$E$313</f>
        <v>187515285</v>
      </c>
      <c r="F44" s="125"/>
      <c r="H44" s="125"/>
      <c r="I44" s="125"/>
      <c r="K44" s="125"/>
      <c r="L44" s="125"/>
      <c r="M44" s="125"/>
      <c r="N44" s="125"/>
      <c r="O44" s="144"/>
      <c r="P44" s="125"/>
      <c r="Q44" s="125"/>
      <c r="R44" s="142"/>
      <c r="S44" s="142"/>
      <c r="T44" s="142"/>
      <c r="U44" s="142"/>
    </row>
    <row r="45" spans="1:22" x14ac:dyDescent="0.35">
      <c r="A45" s="82">
        <v>23</v>
      </c>
      <c r="B45" s="93"/>
      <c r="C45" s="403" t="s">
        <v>126</v>
      </c>
      <c r="D45" s="369" t="s">
        <v>233</v>
      </c>
      <c r="E45" s="387">
        <v>0</v>
      </c>
      <c r="F45" s="125"/>
      <c r="H45" s="125"/>
      <c r="I45" s="125"/>
      <c r="K45" s="125"/>
      <c r="L45" s="125"/>
      <c r="M45" s="125"/>
      <c r="N45" s="125"/>
      <c r="O45" s="125"/>
      <c r="P45" s="145"/>
      <c r="Q45" s="145"/>
      <c r="R45" s="140"/>
      <c r="S45" s="140"/>
      <c r="T45" s="140"/>
      <c r="U45" s="140"/>
    </row>
    <row r="46" spans="1:22" x14ac:dyDescent="0.35">
      <c r="A46" s="82"/>
      <c r="B46" s="93"/>
      <c r="C46" s="124" t="s">
        <v>129</v>
      </c>
      <c r="D46" s="125"/>
      <c r="E46" s="125"/>
      <c r="F46" s="125"/>
      <c r="G46" s="125"/>
      <c r="H46" s="125"/>
      <c r="I46" s="125"/>
      <c r="K46" s="125"/>
      <c r="L46" s="125"/>
      <c r="M46" s="125"/>
      <c r="N46" s="125"/>
      <c r="O46" s="125"/>
      <c r="P46" s="145"/>
      <c r="Q46" s="145"/>
      <c r="R46" s="142"/>
      <c r="S46" s="142"/>
      <c r="T46" s="142"/>
      <c r="U46" s="142"/>
      <c r="V46" s="146"/>
    </row>
    <row r="47" spans="1:22" x14ac:dyDescent="0.35">
      <c r="A47" s="82">
        <v>24</v>
      </c>
      <c r="B47" s="93"/>
      <c r="C47" s="403" t="s">
        <v>78</v>
      </c>
      <c r="D47" s="369" t="s">
        <v>343</v>
      </c>
      <c r="E47" s="383">
        <f>'OATT Input Data'!$E$329</f>
        <v>5340976075</v>
      </c>
      <c r="F47" s="125"/>
      <c r="H47" s="125"/>
      <c r="I47" s="125"/>
      <c r="K47" s="125"/>
      <c r="L47" s="125"/>
      <c r="M47" s="125"/>
      <c r="N47" s="125"/>
      <c r="O47" s="125"/>
      <c r="P47" s="125"/>
      <c r="Q47" s="125"/>
      <c r="R47" s="142"/>
      <c r="S47" s="142"/>
      <c r="T47" s="142"/>
      <c r="U47" s="142"/>
      <c r="V47" s="146"/>
    </row>
    <row r="48" spans="1:22" x14ac:dyDescent="0.35">
      <c r="A48" s="82">
        <v>25</v>
      </c>
      <c r="B48" s="93"/>
      <c r="C48" s="403" t="s">
        <v>317</v>
      </c>
      <c r="D48" s="369" t="s">
        <v>344</v>
      </c>
      <c r="E48" s="554">
        <f>-E54</f>
        <v>0</v>
      </c>
      <c r="F48" s="125"/>
      <c r="H48" s="125"/>
      <c r="I48" s="125"/>
      <c r="K48" s="125"/>
      <c r="L48" s="125"/>
      <c r="M48" s="125"/>
      <c r="N48" s="125"/>
      <c r="O48" s="125"/>
      <c r="P48" s="147"/>
      <c r="Q48" s="129"/>
      <c r="R48" s="142"/>
      <c r="S48" s="142"/>
      <c r="T48" s="142"/>
      <c r="U48" s="142"/>
    </row>
    <row r="49" spans="1:21" ht="18.5" x14ac:dyDescent="0.65">
      <c r="A49" s="82">
        <v>26</v>
      </c>
      <c r="B49" s="93"/>
      <c r="C49" s="403" t="s">
        <v>234</v>
      </c>
      <c r="D49" s="374" t="s">
        <v>235</v>
      </c>
      <c r="E49" s="615">
        <f>'OATT Input Data'!$E$340</f>
        <v>0</v>
      </c>
      <c r="F49" s="125"/>
      <c r="H49" s="125"/>
      <c r="I49" s="125"/>
      <c r="K49" s="125"/>
      <c r="L49" s="125"/>
      <c r="M49" s="125"/>
      <c r="N49" s="125"/>
      <c r="O49" s="125"/>
      <c r="P49" s="135"/>
      <c r="Q49" s="143"/>
      <c r="R49" s="142"/>
      <c r="S49" s="142"/>
      <c r="T49" s="142"/>
      <c r="U49" s="142"/>
    </row>
    <row r="50" spans="1:21" x14ac:dyDescent="0.35">
      <c r="A50" s="82">
        <v>27</v>
      </c>
      <c r="B50" s="93"/>
      <c r="C50" s="404" t="s">
        <v>345</v>
      </c>
      <c r="D50" s="405" t="s">
        <v>324</v>
      </c>
      <c r="E50" s="383">
        <f>ROUND(SUM(E47:E49),0)</f>
        <v>5340976075</v>
      </c>
      <c r="F50" s="93"/>
      <c r="H50" s="406"/>
      <c r="I50" s="93"/>
      <c r="K50" s="125"/>
      <c r="L50" s="125"/>
      <c r="M50" s="125"/>
      <c r="N50" s="125"/>
      <c r="O50" s="125"/>
      <c r="P50" s="125"/>
      <c r="Q50" s="125"/>
      <c r="R50" s="142"/>
      <c r="S50" s="142"/>
      <c r="T50" s="140"/>
      <c r="U50" s="140"/>
    </row>
    <row r="51" spans="1:21" x14ac:dyDescent="0.35">
      <c r="A51" s="82"/>
      <c r="B51" s="93"/>
      <c r="C51" s="93"/>
      <c r="D51" s="125"/>
      <c r="E51" s="93"/>
      <c r="F51" s="93"/>
      <c r="G51" s="407"/>
      <c r="H51" s="82" t="s">
        <v>237</v>
      </c>
      <c r="I51" s="93"/>
      <c r="J51" s="383"/>
      <c r="K51" s="125"/>
      <c r="L51" s="125"/>
      <c r="M51" s="125"/>
      <c r="N51" s="125"/>
      <c r="O51" s="125"/>
      <c r="P51" s="125"/>
      <c r="Q51" s="125"/>
      <c r="R51" s="142"/>
      <c r="S51" s="142"/>
      <c r="T51" s="140"/>
      <c r="U51" s="140"/>
    </row>
    <row r="52" spans="1:21" x14ac:dyDescent="0.35">
      <c r="A52" s="82"/>
      <c r="C52" s="134" t="s">
        <v>346</v>
      </c>
      <c r="D52" s="125"/>
      <c r="E52" s="408" t="s">
        <v>326</v>
      </c>
      <c r="F52" s="409" t="s">
        <v>79</v>
      </c>
      <c r="G52" s="125"/>
      <c r="H52" s="408" t="s">
        <v>138</v>
      </c>
      <c r="I52" s="125"/>
      <c r="J52" s="409" t="s">
        <v>80</v>
      </c>
      <c r="K52" s="125"/>
      <c r="L52" s="125"/>
      <c r="M52" s="125"/>
      <c r="N52" s="125"/>
      <c r="O52" s="125"/>
      <c r="P52" s="135"/>
      <c r="Q52" s="143"/>
      <c r="R52" s="140"/>
      <c r="S52" s="140"/>
      <c r="T52" s="140"/>
      <c r="U52" s="140"/>
    </row>
    <row r="53" spans="1:21" x14ac:dyDescent="0.35">
      <c r="A53" s="82">
        <v>28</v>
      </c>
      <c r="C53" s="124" t="s">
        <v>281</v>
      </c>
      <c r="D53" s="372" t="s">
        <v>401</v>
      </c>
      <c r="E53" s="383">
        <f>'OATT Input Data'!$E$348</f>
        <v>4659638629</v>
      </c>
      <c r="F53" s="410">
        <f>ROUND(E53/E56,4)</f>
        <v>0.46589999999999998</v>
      </c>
      <c r="G53" s="411"/>
      <c r="H53" s="411">
        <f>IF(E53&gt;0.01,ROUND(E44/E53,4),0)</f>
        <v>4.02E-2</v>
      </c>
      <c r="J53" s="412">
        <f>ROUND(F53*H53,4)</f>
        <v>1.8700000000000001E-2</v>
      </c>
      <c r="K53" s="470" t="s">
        <v>325</v>
      </c>
      <c r="M53" s="125"/>
      <c r="N53" s="125"/>
      <c r="O53" s="125"/>
      <c r="P53" s="135"/>
      <c r="Q53" s="143"/>
      <c r="R53" s="140"/>
      <c r="S53" s="140"/>
      <c r="T53" s="140"/>
      <c r="U53" s="140"/>
    </row>
    <row r="54" spans="1:21" x14ac:dyDescent="0.35">
      <c r="A54" s="82">
        <v>29</v>
      </c>
      <c r="C54" s="124" t="s">
        <v>282</v>
      </c>
      <c r="D54" s="100" t="s">
        <v>236</v>
      </c>
      <c r="E54" s="387">
        <v>0</v>
      </c>
      <c r="F54" s="410">
        <f>ROUND(E54/E56,4)+0.000001</f>
        <v>9.9999999999999995E-7</v>
      </c>
      <c r="G54" s="411"/>
      <c r="H54" s="411">
        <f>IF(E54&gt;0.01,E45/E54,0.00001)</f>
        <v>1.0000000000000001E-5</v>
      </c>
      <c r="J54" s="412">
        <f>F54*H54</f>
        <v>1.0000000000000001E-11</v>
      </c>
      <c r="K54" s="125"/>
      <c r="M54" s="125"/>
      <c r="N54" s="125"/>
      <c r="O54" s="125"/>
      <c r="P54" s="135"/>
      <c r="Q54" s="143"/>
      <c r="R54" s="140"/>
      <c r="S54" s="140"/>
      <c r="T54" s="140"/>
      <c r="U54" s="140"/>
    </row>
    <row r="55" spans="1:21" x14ac:dyDescent="0.35">
      <c r="A55" s="82">
        <v>30</v>
      </c>
      <c r="C55" s="124" t="s">
        <v>283</v>
      </c>
      <c r="D55" s="372" t="s">
        <v>347</v>
      </c>
      <c r="E55" s="413">
        <f>E50</f>
        <v>5340976075</v>
      </c>
      <c r="F55" s="410">
        <f>ROUND(E55/E56,4)</f>
        <v>0.53410000000000002</v>
      </c>
      <c r="G55" s="411"/>
      <c r="H55" s="411">
        <v>0.10879999999999999</v>
      </c>
      <c r="J55" s="414">
        <f t="shared" ref="J55" si="1">ROUND(F55*H55,4)</f>
        <v>5.8099999999999999E-2</v>
      </c>
      <c r="K55" s="125"/>
      <c r="M55" s="125"/>
      <c r="N55" s="125"/>
      <c r="O55" s="144"/>
      <c r="P55" s="145"/>
      <c r="Q55" s="145"/>
      <c r="R55" s="140"/>
      <c r="S55" s="140"/>
      <c r="T55" s="140"/>
      <c r="U55" s="140"/>
    </row>
    <row r="56" spans="1:21" x14ac:dyDescent="0.35">
      <c r="A56" s="82">
        <v>31</v>
      </c>
      <c r="C56" s="171" t="s">
        <v>284</v>
      </c>
      <c r="D56" s="372" t="s">
        <v>327</v>
      </c>
      <c r="E56" s="383">
        <f>ROUND(SUM(E53:E55),0)</f>
        <v>10000614704</v>
      </c>
      <c r="F56" s="125" t="s">
        <v>0</v>
      </c>
      <c r="G56" s="125"/>
      <c r="H56" s="125"/>
      <c r="I56" s="125"/>
      <c r="J56" s="412">
        <f>SUM(J53:J55)</f>
        <v>7.6800000010000008E-2</v>
      </c>
      <c r="K56" s="470" t="s">
        <v>316</v>
      </c>
      <c r="M56" s="125"/>
      <c r="N56" s="125"/>
      <c r="O56" s="144"/>
      <c r="P56" s="145"/>
      <c r="Q56" s="145"/>
      <c r="R56" s="140"/>
      <c r="S56" s="140"/>
      <c r="T56" s="140"/>
      <c r="U56" s="140"/>
    </row>
    <row r="57" spans="1:21" x14ac:dyDescent="0.35">
      <c r="A57" s="82"/>
      <c r="L57" s="125"/>
      <c r="M57" s="125"/>
      <c r="N57" s="125"/>
      <c r="O57" s="144"/>
      <c r="P57" s="125"/>
      <c r="Q57" s="125"/>
      <c r="R57" s="142"/>
      <c r="S57" s="140"/>
      <c r="T57" s="142"/>
      <c r="U57" s="142"/>
    </row>
    <row r="58" spans="1:21" x14ac:dyDescent="0.35">
      <c r="A58" s="82"/>
      <c r="C58" s="415" t="s">
        <v>81</v>
      </c>
      <c r="D58" s="93"/>
      <c r="E58" s="93"/>
      <c r="F58" s="93"/>
      <c r="G58" s="93"/>
      <c r="H58" s="93"/>
      <c r="I58" s="93"/>
      <c r="J58" s="93"/>
      <c r="K58" s="93"/>
      <c r="L58" s="93"/>
      <c r="M58" s="125"/>
      <c r="N58" s="129"/>
      <c r="P58" s="145"/>
      <c r="Q58" s="148"/>
    </row>
    <row r="59" spans="1:21" x14ac:dyDescent="0.35">
      <c r="A59" s="82"/>
      <c r="C59" s="415" t="s">
        <v>83</v>
      </c>
      <c r="D59" s="93"/>
      <c r="G59" s="93"/>
      <c r="H59" s="83" t="s">
        <v>0</v>
      </c>
      <c r="I59" s="407"/>
      <c r="J59" s="409" t="s">
        <v>82</v>
      </c>
      <c r="K59" s="1"/>
      <c r="O59" s="125"/>
      <c r="P59" s="147"/>
      <c r="Q59" s="129"/>
    </row>
    <row r="60" spans="1:21" x14ac:dyDescent="0.35">
      <c r="A60" s="82">
        <v>32</v>
      </c>
      <c r="C60" s="146" t="s">
        <v>402</v>
      </c>
      <c r="D60" s="93"/>
      <c r="F60" s="405" t="s">
        <v>318</v>
      </c>
      <c r="G60" s="93"/>
      <c r="J60" s="616">
        <v>0</v>
      </c>
      <c r="K60" s="471"/>
      <c r="O60" s="125"/>
      <c r="P60" s="134"/>
    </row>
    <row r="61" spans="1:21" ht="18.5" x14ac:dyDescent="0.65">
      <c r="A61" s="82">
        <v>33</v>
      </c>
      <c r="C61" s="416" t="s">
        <v>403</v>
      </c>
      <c r="D61" s="417"/>
      <c r="E61" s="418"/>
      <c r="F61" s="405" t="s">
        <v>329</v>
      </c>
      <c r="G61" s="419"/>
      <c r="I61" s="93"/>
      <c r="J61" s="617">
        <f>+J60</f>
        <v>0</v>
      </c>
      <c r="K61" s="472"/>
      <c r="O61" s="125"/>
      <c r="P61" s="134"/>
    </row>
    <row r="62" spans="1:21" x14ac:dyDescent="0.35">
      <c r="A62" s="82">
        <v>34</v>
      </c>
      <c r="C62" s="146" t="s">
        <v>404</v>
      </c>
      <c r="D62" s="90"/>
      <c r="F62" s="420" t="s">
        <v>328</v>
      </c>
      <c r="G62" s="419"/>
      <c r="I62" s="93"/>
      <c r="J62" s="421">
        <f>+J60-J61</f>
        <v>0</v>
      </c>
      <c r="K62" s="471"/>
      <c r="O62" s="125"/>
      <c r="P62" s="134"/>
    </row>
    <row r="63" spans="1:21" x14ac:dyDescent="0.35">
      <c r="A63" s="82"/>
      <c r="C63" s="146" t="s">
        <v>0</v>
      </c>
      <c r="D63" s="90"/>
      <c r="F63" s="93"/>
      <c r="G63" s="93"/>
      <c r="H63" s="422"/>
      <c r="I63" s="93"/>
      <c r="J63" s="58" t="s">
        <v>0</v>
      </c>
      <c r="K63" s="1"/>
      <c r="L63" s="149"/>
      <c r="M63" s="125"/>
      <c r="N63" s="129"/>
      <c r="O63" s="125"/>
      <c r="P63" s="134"/>
    </row>
    <row r="64" spans="1:21" x14ac:dyDescent="0.35">
      <c r="A64" s="82">
        <v>35</v>
      </c>
      <c r="C64" s="124" t="s">
        <v>241</v>
      </c>
      <c r="D64" s="90"/>
      <c r="F64" s="405" t="s">
        <v>239</v>
      </c>
      <c r="G64" s="93"/>
      <c r="H64" s="423"/>
      <c r="I64" s="93"/>
      <c r="J64" s="618">
        <f>'OATT Input Data'!$E$355</f>
        <v>1268370.3700000001</v>
      </c>
      <c r="K64" s="1"/>
      <c r="L64" s="149"/>
      <c r="M64" s="125"/>
      <c r="N64" s="129"/>
      <c r="O64" s="125"/>
      <c r="P64" s="134"/>
    </row>
    <row r="65" spans="1:19" x14ac:dyDescent="0.35">
      <c r="C65" s="124" t="s">
        <v>240</v>
      </c>
      <c r="D65" s="93"/>
      <c r="E65" s="407" t="s">
        <v>84</v>
      </c>
      <c r="F65" s="405" t="s">
        <v>405</v>
      </c>
      <c r="G65" s="93"/>
      <c r="H65" s="93"/>
      <c r="I65" s="93"/>
      <c r="L65" s="150"/>
      <c r="M65" s="125"/>
      <c r="N65" s="129"/>
      <c r="O65" s="90"/>
      <c r="P65" s="129"/>
    </row>
    <row r="66" spans="1:19" x14ac:dyDescent="0.35">
      <c r="A66" s="82">
        <v>36</v>
      </c>
      <c r="C66" s="415" t="s">
        <v>85</v>
      </c>
      <c r="D66" s="125"/>
      <c r="E66" s="125"/>
      <c r="F66" s="125"/>
      <c r="G66" s="125"/>
      <c r="H66" s="125"/>
      <c r="I66" s="125"/>
      <c r="J66" s="424">
        <f>'OATT Input Data'!$E$357</f>
        <v>37510319</v>
      </c>
      <c r="K66" s="8"/>
      <c r="L66" s="150"/>
      <c r="M66" s="125"/>
      <c r="N66" s="129"/>
      <c r="O66" s="90"/>
      <c r="P66" s="425"/>
      <c r="Q66" s="425"/>
    </row>
    <row r="67" spans="1:19" ht="18.5" x14ac:dyDescent="0.65">
      <c r="A67" s="82">
        <v>37</v>
      </c>
      <c r="C67" s="426" t="s">
        <v>86</v>
      </c>
      <c r="D67" s="427"/>
      <c r="E67" s="427"/>
      <c r="F67" s="419"/>
      <c r="G67" s="419"/>
      <c r="H67" s="93"/>
      <c r="I67" s="93"/>
      <c r="J67" s="428">
        <f>'OATT Input Data'!$E$413</f>
        <v>33880523</v>
      </c>
      <c r="L67" s="151"/>
      <c r="M67" s="93"/>
      <c r="N67" s="82"/>
      <c r="O67" s="90"/>
      <c r="P67" s="429"/>
    </row>
    <row r="68" spans="1:19" x14ac:dyDescent="0.35">
      <c r="A68" s="82">
        <v>38</v>
      </c>
      <c r="C68" s="146" t="s">
        <v>238</v>
      </c>
      <c r="D68" s="82"/>
      <c r="E68" s="125"/>
      <c r="F68" s="420" t="s">
        <v>348</v>
      </c>
      <c r="G68" s="125"/>
      <c r="H68" s="125"/>
      <c r="I68" s="93"/>
      <c r="J68" s="107">
        <f>+J66-J67</f>
        <v>3629796</v>
      </c>
      <c r="K68" s="8"/>
      <c r="L68" s="8"/>
      <c r="M68" s="93"/>
      <c r="N68" s="82"/>
      <c r="O68" s="90"/>
      <c r="P68" s="429"/>
    </row>
    <row r="69" spans="1:19" x14ac:dyDescent="0.35">
      <c r="C69" s="146"/>
      <c r="Q69" s="100"/>
      <c r="R69" s="100"/>
      <c r="S69" s="100"/>
    </row>
    <row r="70" spans="1:19" x14ac:dyDescent="0.35">
      <c r="Q70" s="100"/>
      <c r="R70" s="100"/>
      <c r="S70" s="100"/>
    </row>
    <row r="71" spans="1:19" x14ac:dyDescent="0.35">
      <c r="Q71" s="100"/>
      <c r="R71" s="100"/>
      <c r="S71" s="100"/>
    </row>
    <row r="72" spans="1:19" x14ac:dyDescent="0.35">
      <c r="Q72" s="100"/>
      <c r="R72" s="100"/>
      <c r="S72" s="100"/>
    </row>
    <row r="73" spans="1:19" x14ac:dyDescent="0.35">
      <c r="Q73" s="100"/>
      <c r="R73" s="100"/>
      <c r="S73" s="100"/>
    </row>
    <row r="74" spans="1:19" x14ac:dyDescent="0.35">
      <c r="Q74" s="100"/>
      <c r="R74" s="100"/>
      <c r="S74" s="100"/>
    </row>
    <row r="75" spans="1:19" x14ac:dyDescent="0.35">
      <c r="Q75" s="100"/>
      <c r="R75" s="100"/>
      <c r="S75" s="100"/>
    </row>
    <row r="76" spans="1:19" x14ac:dyDescent="0.35">
      <c r="Q76" s="100"/>
      <c r="R76" s="100"/>
      <c r="S76" s="100"/>
    </row>
    <row r="77" spans="1:19" x14ac:dyDescent="0.35">
      <c r="Q77" s="100"/>
      <c r="R77" s="100"/>
      <c r="S77" s="100"/>
    </row>
    <row r="78" spans="1:19" x14ac:dyDescent="0.35">
      <c r="Q78" s="100"/>
      <c r="R78" s="100"/>
      <c r="S78" s="100"/>
    </row>
    <row r="79" spans="1:19" x14ac:dyDescent="0.35">
      <c r="Q79" s="100"/>
      <c r="R79" s="100"/>
      <c r="S79" s="100"/>
    </row>
    <row r="80" spans="1:19" x14ac:dyDescent="0.35">
      <c r="Q80" s="100"/>
      <c r="R80" s="100"/>
      <c r="S80" s="100"/>
    </row>
    <row r="81" spans="17:19" x14ac:dyDescent="0.35">
      <c r="Q81" s="100"/>
      <c r="R81" s="100"/>
      <c r="S81" s="100"/>
    </row>
    <row r="82" spans="17:19" x14ac:dyDescent="0.35">
      <c r="Q82" s="100"/>
      <c r="R82" s="100"/>
      <c r="S82" s="100"/>
    </row>
    <row r="83" spans="17:19" x14ac:dyDescent="0.35">
      <c r="Q83" s="100"/>
      <c r="R83" s="100"/>
      <c r="S83" s="100"/>
    </row>
    <row r="84" spans="17:19" x14ac:dyDescent="0.35">
      <c r="Q84" s="100"/>
      <c r="R84" s="100"/>
      <c r="S84" s="100"/>
    </row>
    <row r="85" spans="17:19" x14ac:dyDescent="0.35">
      <c r="Q85" s="100"/>
      <c r="R85" s="100"/>
      <c r="S85" s="100"/>
    </row>
    <row r="86" spans="17:19" x14ac:dyDescent="0.35">
      <c r="Q86" s="100"/>
      <c r="R86" s="100"/>
      <c r="S86" s="100"/>
    </row>
    <row r="87" spans="17:19" x14ac:dyDescent="0.35">
      <c r="Q87" s="100"/>
      <c r="R87" s="100"/>
      <c r="S87" s="100"/>
    </row>
    <row r="88" spans="17:19" x14ac:dyDescent="0.35">
      <c r="Q88" s="100"/>
      <c r="R88" s="100"/>
      <c r="S88" s="100"/>
    </row>
    <row r="89" spans="17:19" x14ac:dyDescent="0.35">
      <c r="Q89" s="100"/>
      <c r="R89" s="100"/>
      <c r="S89" s="100"/>
    </row>
    <row r="90" spans="17:19" x14ac:dyDescent="0.35">
      <c r="Q90" s="100"/>
      <c r="R90" s="100"/>
      <c r="S90" s="100"/>
    </row>
    <row r="91" spans="17:19" x14ac:dyDescent="0.35">
      <c r="Q91" s="100"/>
      <c r="R91" s="100"/>
      <c r="S91" s="100"/>
    </row>
    <row r="92" spans="17:19" x14ac:dyDescent="0.35">
      <c r="Q92" s="100"/>
      <c r="R92" s="100"/>
      <c r="S92" s="100"/>
    </row>
    <row r="93" spans="17:19" x14ac:dyDescent="0.35">
      <c r="Q93" s="100"/>
      <c r="R93" s="100"/>
      <c r="S93" s="100"/>
    </row>
    <row r="94" spans="17:19" x14ac:dyDescent="0.35">
      <c r="Q94" s="100"/>
      <c r="R94" s="100"/>
      <c r="S94" s="100"/>
    </row>
    <row r="95" spans="17:19" x14ac:dyDescent="0.35">
      <c r="Q95" s="100"/>
      <c r="R95" s="100"/>
      <c r="S95" s="100"/>
    </row>
    <row r="96" spans="17:19" x14ac:dyDescent="0.35">
      <c r="Q96" s="100"/>
      <c r="R96" s="100"/>
      <c r="S96" s="100"/>
    </row>
    <row r="97" spans="17:19" x14ac:dyDescent="0.35">
      <c r="Q97" s="100"/>
      <c r="R97" s="100"/>
      <c r="S97" s="100"/>
    </row>
    <row r="98" spans="17:19" x14ac:dyDescent="0.35">
      <c r="Q98" s="100"/>
      <c r="R98" s="100"/>
      <c r="S98" s="100"/>
    </row>
    <row r="99" spans="17:19" x14ac:dyDescent="0.35">
      <c r="Q99" s="100"/>
      <c r="R99" s="100"/>
      <c r="S99" s="100"/>
    </row>
    <row r="100" spans="17:19" x14ac:dyDescent="0.35">
      <c r="Q100" s="100"/>
      <c r="R100" s="100"/>
      <c r="S100" s="100"/>
    </row>
    <row r="101" spans="17:19" x14ac:dyDescent="0.35">
      <c r="Q101" s="100"/>
      <c r="R101" s="100"/>
      <c r="S101" s="100"/>
    </row>
    <row r="102" spans="17:19" x14ac:dyDescent="0.35">
      <c r="Q102" s="100"/>
      <c r="R102" s="100"/>
      <c r="S102" s="100"/>
    </row>
    <row r="103" spans="17:19" x14ac:dyDescent="0.35">
      <c r="Q103" s="100"/>
      <c r="R103" s="100"/>
      <c r="S103" s="100"/>
    </row>
    <row r="104" spans="17:19" x14ac:dyDescent="0.35">
      <c r="Q104" s="100"/>
      <c r="R104" s="100"/>
      <c r="S104" s="100"/>
    </row>
    <row r="105" spans="17:19" x14ac:dyDescent="0.35">
      <c r="Q105" s="100"/>
      <c r="R105" s="100"/>
      <c r="S105" s="100"/>
    </row>
    <row r="106" spans="17:19" x14ac:dyDescent="0.35">
      <c r="Q106" s="100"/>
      <c r="R106" s="100"/>
      <c r="S106" s="100"/>
    </row>
    <row r="107" spans="17:19" x14ac:dyDescent="0.35">
      <c r="Q107" s="100"/>
      <c r="R107" s="100"/>
      <c r="S107" s="100"/>
    </row>
    <row r="108" spans="17:19" x14ac:dyDescent="0.35">
      <c r="Q108" s="100"/>
      <c r="R108" s="100"/>
      <c r="S108" s="100"/>
    </row>
    <row r="109" spans="17:19" x14ac:dyDescent="0.35">
      <c r="Q109" s="100"/>
      <c r="R109" s="100"/>
      <c r="S109" s="100"/>
    </row>
    <row r="110" spans="17:19" x14ac:dyDescent="0.35">
      <c r="Q110" s="100"/>
      <c r="R110" s="100"/>
      <c r="S110" s="100"/>
    </row>
    <row r="111" spans="17:19" x14ac:dyDescent="0.35">
      <c r="Q111" s="100"/>
      <c r="R111" s="100"/>
      <c r="S111" s="100"/>
    </row>
    <row r="112" spans="17:19" x14ac:dyDescent="0.35">
      <c r="Q112" s="100"/>
      <c r="R112" s="100"/>
      <c r="S112" s="100"/>
    </row>
    <row r="113" spans="17:19" x14ac:dyDescent="0.35">
      <c r="Q113" s="100"/>
      <c r="R113" s="100"/>
      <c r="S113" s="100"/>
    </row>
    <row r="114" spans="17:19" x14ac:dyDescent="0.35">
      <c r="Q114" s="100"/>
      <c r="R114" s="100"/>
      <c r="S114" s="100"/>
    </row>
    <row r="115" spans="17:19" x14ac:dyDescent="0.35">
      <c r="Q115" s="100"/>
      <c r="R115" s="100"/>
      <c r="S115" s="100"/>
    </row>
    <row r="116" spans="17:19" x14ac:dyDescent="0.35">
      <c r="Q116" s="100"/>
      <c r="R116" s="100"/>
      <c r="S116" s="100"/>
    </row>
    <row r="117" spans="17:19" x14ac:dyDescent="0.35">
      <c r="Q117" s="100"/>
      <c r="R117" s="100"/>
      <c r="S117" s="100"/>
    </row>
    <row r="118" spans="17:19" x14ac:dyDescent="0.35">
      <c r="Q118" s="100"/>
      <c r="R118" s="100"/>
      <c r="S118" s="100"/>
    </row>
    <row r="119" spans="17:19" x14ac:dyDescent="0.35">
      <c r="Q119" s="100"/>
      <c r="R119" s="100"/>
      <c r="S119" s="100"/>
    </row>
    <row r="120" spans="17:19" x14ac:dyDescent="0.35">
      <c r="Q120" s="100"/>
      <c r="R120" s="100"/>
      <c r="S120" s="100"/>
    </row>
    <row r="121" spans="17:19" x14ac:dyDescent="0.35">
      <c r="Q121" s="100"/>
      <c r="R121" s="100"/>
      <c r="S121" s="100"/>
    </row>
    <row r="122" spans="17:19" x14ac:dyDescent="0.35">
      <c r="Q122" s="100"/>
      <c r="R122" s="100"/>
      <c r="S122" s="100"/>
    </row>
    <row r="123" spans="17:19" x14ac:dyDescent="0.35">
      <c r="Q123" s="100"/>
      <c r="R123" s="100"/>
      <c r="S123" s="100"/>
    </row>
    <row r="124" spans="17:19" x14ac:dyDescent="0.35">
      <c r="Q124" s="100"/>
      <c r="R124" s="100"/>
      <c r="S124" s="100"/>
    </row>
    <row r="125" spans="17:19" x14ac:dyDescent="0.35">
      <c r="Q125" s="100"/>
      <c r="R125" s="100"/>
      <c r="S125" s="100"/>
    </row>
    <row r="126" spans="17:19" x14ac:dyDescent="0.35">
      <c r="Q126" s="100"/>
      <c r="R126" s="100"/>
      <c r="S126" s="100"/>
    </row>
    <row r="127" spans="17:19" x14ac:dyDescent="0.35">
      <c r="Q127" s="100"/>
      <c r="R127" s="100"/>
      <c r="S127" s="100"/>
    </row>
    <row r="128" spans="17:19" x14ac:dyDescent="0.35">
      <c r="Q128" s="100"/>
      <c r="R128" s="100"/>
      <c r="S128" s="100"/>
    </row>
    <row r="129" spans="17:19" x14ac:dyDescent="0.35">
      <c r="Q129" s="100"/>
      <c r="R129" s="100"/>
      <c r="S129" s="100"/>
    </row>
    <row r="130" spans="17:19" x14ac:dyDescent="0.35">
      <c r="Q130" s="100"/>
      <c r="R130" s="100"/>
      <c r="S130" s="100"/>
    </row>
    <row r="131" spans="17:19" x14ac:dyDescent="0.35">
      <c r="Q131" s="100"/>
      <c r="R131" s="100"/>
      <c r="S131" s="100"/>
    </row>
    <row r="132" spans="17:19" x14ac:dyDescent="0.35">
      <c r="Q132" s="100"/>
      <c r="R132" s="100"/>
      <c r="S132" s="100"/>
    </row>
    <row r="133" spans="17:19" x14ac:dyDescent="0.35">
      <c r="Q133" s="100"/>
      <c r="R133" s="100"/>
      <c r="S133" s="100"/>
    </row>
    <row r="134" spans="17:19" x14ac:dyDescent="0.35">
      <c r="Q134" s="100"/>
      <c r="R134" s="100"/>
      <c r="S134" s="100"/>
    </row>
    <row r="135" spans="17:19" x14ac:dyDescent="0.35">
      <c r="Q135" s="100"/>
      <c r="R135" s="100"/>
      <c r="S135" s="100"/>
    </row>
    <row r="136" spans="17:19" x14ac:dyDescent="0.35">
      <c r="Q136" s="100"/>
      <c r="R136" s="100"/>
      <c r="S136" s="100"/>
    </row>
    <row r="137" spans="17:19" x14ac:dyDescent="0.35">
      <c r="Q137" s="100"/>
      <c r="R137" s="100"/>
      <c r="S137" s="100"/>
    </row>
    <row r="138" spans="17:19" x14ac:dyDescent="0.35">
      <c r="Q138" s="100"/>
      <c r="R138" s="100"/>
      <c r="S138" s="100"/>
    </row>
    <row r="139" spans="17:19" x14ac:dyDescent="0.35">
      <c r="Q139" s="100"/>
      <c r="R139" s="100"/>
      <c r="S139" s="100"/>
    </row>
    <row r="140" spans="17:19" x14ac:dyDescent="0.35">
      <c r="Q140" s="100"/>
      <c r="R140" s="100"/>
      <c r="S140" s="100"/>
    </row>
    <row r="141" spans="17:19" x14ac:dyDescent="0.35">
      <c r="Q141" s="100"/>
      <c r="R141" s="100"/>
      <c r="S141" s="100"/>
    </row>
    <row r="142" spans="17:19" x14ac:dyDescent="0.35">
      <c r="Q142" s="100"/>
      <c r="R142" s="100"/>
      <c r="S142" s="100"/>
    </row>
    <row r="143" spans="17:19" x14ac:dyDescent="0.35">
      <c r="Q143" s="100"/>
      <c r="R143" s="100"/>
      <c r="S143" s="100"/>
    </row>
    <row r="144" spans="17:19" x14ac:dyDescent="0.35">
      <c r="Q144" s="100"/>
      <c r="R144" s="100"/>
      <c r="S144" s="100"/>
    </row>
    <row r="145" spans="17:19" x14ac:dyDescent="0.35">
      <c r="Q145" s="100"/>
      <c r="R145" s="100"/>
      <c r="S145" s="100"/>
    </row>
    <row r="146" spans="17:19" x14ac:dyDescent="0.35">
      <c r="Q146" s="100"/>
      <c r="R146" s="100"/>
      <c r="S146" s="100"/>
    </row>
    <row r="147" spans="17:19" x14ac:dyDescent="0.35">
      <c r="Q147" s="100"/>
      <c r="R147" s="100"/>
      <c r="S147" s="100"/>
    </row>
    <row r="148" spans="17:19" x14ac:dyDescent="0.35">
      <c r="Q148" s="100"/>
      <c r="R148" s="100"/>
      <c r="S148" s="100"/>
    </row>
    <row r="149" spans="17:19" x14ac:dyDescent="0.35">
      <c r="Q149" s="100"/>
      <c r="R149" s="100"/>
      <c r="S149" s="100"/>
    </row>
    <row r="150" spans="17:19" x14ac:dyDescent="0.35">
      <c r="Q150" s="100"/>
      <c r="R150" s="100"/>
      <c r="S150" s="100"/>
    </row>
    <row r="151" spans="17:19" x14ac:dyDescent="0.35">
      <c r="Q151" s="100"/>
      <c r="R151" s="100"/>
      <c r="S151" s="100"/>
    </row>
    <row r="152" spans="17:19" x14ac:dyDescent="0.35">
      <c r="Q152" s="100"/>
      <c r="R152" s="100"/>
      <c r="S152" s="100"/>
    </row>
    <row r="153" spans="17:19" x14ac:dyDescent="0.35">
      <c r="Q153" s="100"/>
      <c r="R153" s="100"/>
      <c r="S153" s="100"/>
    </row>
    <row r="154" spans="17:19" x14ac:dyDescent="0.35">
      <c r="Q154" s="100"/>
      <c r="R154" s="100"/>
      <c r="S154" s="100"/>
    </row>
    <row r="155" spans="17:19" x14ac:dyDescent="0.35">
      <c r="Q155" s="100"/>
      <c r="R155" s="100"/>
      <c r="S155" s="100"/>
    </row>
    <row r="156" spans="17:19" x14ac:dyDescent="0.35">
      <c r="Q156" s="100"/>
      <c r="R156" s="100"/>
      <c r="S156" s="100"/>
    </row>
    <row r="157" spans="17:19" x14ac:dyDescent="0.35">
      <c r="Q157" s="100"/>
      <c r="R157" s="100"/>
      <c r="S157" s="100"/>
    </row>
    <row r="158" spans="17:19" x14ac:dyDescent="0.35">
      <c r="Q158" s="100"/>
      <c r="R158" s="100"/>
      <c r="S158" s="100"/>
    </row>
    <row r="159" spans="17:19" x14ac:dyDescent="0.35">
      <c r="Q159" s="100"/>
      <c r="R159" s="100"/>
      <c r="S159" s="100"/>
    </row>
    <row r="160" spans="17:19" x14ac:dyDescent="0.35">
      <c r="Q160" s="100"/>
      <c r="R160" s="100"/>
      <c r="S160" s="100"/>
    </row>
    <row r="161" spans="17:19" x14ac:dyDescent="0.35">
      <c r="Q161" s="100"/>
      <c r="R161" s="100"/>
      <c r="S161" s="100"/>
    </row>
    <row r="162" spans="17:19" x14ac:dyDescent="0.35">
      <c r="Q162" s="100"/>
      <c r="R162" s="100"/>
      <c r="S162" s="100"/>
    </row>
    <row r="163" spans="17:19" x14ac:dyDescent="0.35">
      <c r="Q163" s="100"/>
      <c r="R163" s="100"/>
      <c r="S163" s="100"/>
    </row>
    <row r="164" spans="17:19" x14ac:dyDescent="0.35">
      <c r="Q164" s="100"/>
      <c r="R164" s="100"/>
      <c r="S164" s="100"/>
    </row>
    <row r="165" spans="17:19" x14ac:dyDescent="0.35">
      <c r="Q165" s="100"/>
      <c r="R165" s="100"/>
      <c r="S165" s="100"/>
    </row>
    <row r="166" spans="17:19" x14ac:dyDescent="0.35">
      <c r="Q166" s="100"/>
      <c r="R166" s="100"/>
      <c r="S166" s="100"/>
    </row>
    <row r="167" spans="17:19" x14ac:dyDescent="0.35">
      <c r="Q167" s="100"/>
      <c r="R167" s="100"/>
      <c r="S167" s="100"/>
    </row>
    <row r="168" spans="17:19" x14ac:dyDescent="0.35">
      <c r="Q168" s="100"/>
      <c r="R168" s="100"/>
      <c r="S168" s="100"/>
    </row>
    <row r="169" spans="17:19" x14ac:dyDescent="0.35">
      <c r="Q169" s="100"/>
      <c r="R169" s="100"/>
      <c r="S169" s="100"/>
    </row>
    <row r="170" spans="17:19" x14ac:dyDescent="0.35">
      <c r="Q170" s="100"/>
      <c r="R170" s="100"/>
      <c r="S170" s="100"/>
    </row>
    <row r="171" spans="17:19" x14ac:dyDescent="0.35">
      <c r="Q171" s="100"/>
      <c r="R171" s="100"/>
      <c r="S171" s="100"/>
    </row>
    <row r="172" spans="17:19" x14ac:dyDescent="0.35">
      <c r="Q172" s="100"/>
      <c r="R172" s="100"/>
      <c r="S172" s="100"/>
    </row>
    <row r="173" spans="17:19" x14ac:dyDescent="0.35">
      <c r="Q173" s="100"/>
      <c r="R173" s="100"/>
      <c r="S173" s="100"/>
    </row>
    <row r="174" spans="17:19" x14ac:dyDescent="0.35">
      <c r="Q174" s="100"/>
      <c r="R174" s="100"/>
      <c r="S174" s="100"/>
    </row>
    <row r="175" spans="17:19" x14ac:dyDescent="0.35">
      <c r="Q175" s="100"/>
      <c r="R175" s="100"/>
      <c r="S175" s="100"/>
    </row>
    <row r="176" spans="17:19" x14ac:dyDescent="0.35">
      <c r="Q176" s="100"/>
      <c r="R176" s="100"/>
      <c r="S176" s="100"/>
    </row>
    <row r="177" spans="17:19" x14ac:dyDescent="0.35">
      <c r="Q177" s="100"/>
      <c r="R177" s="100"/>
      <c r="S177" s="100"/>
    </row>
    <row r="178" spans="17:19" x14ac:dyDescent="0.35">
      <c r="Q178" s="100"/>
      <c r="R178" s="100"/>
      <c r="S178" s="100"/>
    </row>
    <row r="179" spans="17:19" x14ac:dyDescent="0.35">
      <c r="Q179" s="100"/>
      <c r="R179" s="100"/>
      <c r="S179" s="100"/>
    </row>
    <row r="180" spans="17:19" x14ac:dyDescent="0.35">
      <c r="Q180" s="100"/>
      <c r="R180" s="100"/>
      <c r="S180" s="100"/>
    </row>
    <row r="181" spans="17:19" x14ac:dyDescent="0.35">
      <c r="Q181" s="100"/>
      <c r="R181" s="100"/>
      <c r="S181" s="100"/>
    </row>
    <row r="182" spans="17:19" x14ac:dyDescent="0.35">
      <c r="Q182" s="100"/>
      <c r="R182" s="100"/>
      <c r="S182" s="100"/>
    </row>
    <row r="183" spans="17:19" x14ac:dyDescent="0.35">
      <c r="Q183" s="100"/>
      <c r="R183" s="100"/>
      <c r="S183" s="100"/>
    </row>
    <row r="184" spans="17:19" x14ac:dyDescent="0.35">
      <c r="Q184" s="100"/>
      <c r="R184" s="100"/>
      <c r="S184" s="100"/>
    </row>
    <row r="185" spans="17:19" x14ac:dyDescent="0.35">
      <c r="Q185" s="100"/>
      <c r="R185" s="100"/>
      <c r="S185" s="100"/>
    </row>
    <row r="186" spans="17:19" x14ac:dyDescent="0.35">
      <c r="Q186" s="100"/>
      <c r="R186" s="100"/>
      <c r="S186" s="100"/>
    </row>
    <row r="187" spans="17:19" x14ac:dyDescent="0.35">
      <c r="Q187" s="100"/>
      <c r="R187" s="100"/>
      <c r="S187" s="100"/>
    </row>
    <row r="188" spans="17:19" x14ac:dyDescent="0.35">
      <c r="Q188" s="100"/>
      <c r="R188" s="100"/>
      <c r="S188" s="100"/>
    </row>
    <row r="189" spans="17:19" x14ac:dyDescent="0.35">
      <c r="Q189" s="100"/>
      <c r="R189" s="100"/>
      <c r="S189" s="100"/>
    </row>
    <row r="190" spans="17:19" x14ac:dyDescent="0.35">
      <c r="Q190" s="100"/>
      <c r="R190" s="100"/>
      <c r="S190" s="100"/>
    </row>
    <row r="191" spans="17:19" x14ac:dyDescent="0.35">
      <c r="Q191" s="100"/>
      <c r="R191" s="100"/>
      <c r="S191" s="100"/>
    </row>
    <row r="192" spans="17:19" x14ac:dyDescent="0.35">
      <c r="Q192" s="100"/>
      <c r="R192" s="100"/>
      <c r="S192" s="100"/>
    </row>
    <row r="193" spans="3:19" x14ac:dyDescent="0.35">
      <c r="Q193" s="100"/>
      <c r="R193" s="100"/>
      <c r="S193" s="100"/>
    </row>
    <row r="194" spans="3:19" x14ac:dyDescent="0.35">
      <c r="Q194" s="100"/>
      <c r="R194" s="100"/>
      <c r="S194" s="100"/>
    </row>
    <row r="195" spans="3:19" x14ac:dyDescent="0.35">
      <c r="Q195" s="100"/>
      <c r="R195" s="100"/>
      <c r="S195" s="100"/>
    </row>
    <row r="196" spans="3:19" x14ac:dyDescent="0.35">
      <c r="Q196" s="100"/>
      <c r="R196" s="100"/>
      <c r="S196" s="100"/>
    </row>
    <row r="197" spans="3:19" x14ac:dyDescent="0.35">
      <c r="Q197" s="100"/>
      <c r="R197" s="100"/>
      <c r="S197" s="100"/>
    </row>
    <row r="198" spans="3:19" x14ac:dyDescent="0.35">
      <c r="Q198" s="100"/>
      <c r="R198" s="100"/>
      <c r="S198" s="100"/>
    </row>
    <row r="199" spans="3:19" x14ac:dyDescent="0.35">
      <c r="Q199" s="100"/>
      <c r="R199" s="100"/>
      <c r="S199" s="100"/>
    </row>
    <row r="200" spans="3:19" x14ac:dyDescent="0.35">
      <c r="Q200" s="100"/>
      <c r="R200" s="100"/>
      <c r="S200" s="100"/>
    </row>
    <row r="201" spans="3:19" x14ac:dyDescent="0.35">
      <c r="Q201" s="100"/>
      <c r="R201" s="100"/>
      <c r="S201" s="100"/>
    </row>
    <row r="202" spans="3:19" x14ac:dyDescent="0.35">
      <c r="Q202" s="100"/>
      <c r="R202" s="100"/>
      <c r="S202" s="100"/>
    </row>
    <row r="203" spans="3:19" x14ac:dyDescent="0.35">
      <c r="Q203" s="100"/>
      <c r="R203" s="100"/>
      <c r="S203" s="100"/>
    </row>
    <row r="204" spans="3:19" x14ac:dyDescent="0.35">
      <c r="C204" s="100"/>
      <c r="D204" s="100"/>
      <c r="E204" s="100"/>
      <c r="F204" s="100"/>
      <c r="G204" s="100"/>
      <c r="H204" s="100"/>
      <c r="I204" s="100"/>
      <c r="J204" s="100"/>
      <c r="K204" s="100"/>
      <c r="L204" s="100"/>
      <c r="M204" s="100"/>
      <c r="N204" s="100"/>
      <c r="O204" s="100"/>
      <c r="Q204" s="100"/>
      <c r="R204" s="100"/>
      <c r="S204" s="100"/>
    </row>
    <row r="205" spans="3:19" x14ac:dyDescent="0.35">
      <c r="C205" s="100"/>
      <c r="D205" s="100"/>
      <c r="E205" s="100"/>
      <c r="F205" s="100"/>
      <c r="G205" s="100"/>
      <c r="H205" s="100"/>
      <c r="I205" s="100"/>
      <c r="J205" s="100"/>
      <c r="K205" s="100"/>
      <c r="L205" s="100"/>
      <c r="M205" s="100"/>
      <c r="N205" s="100"/>
      <c r="O205" s="100"/>
      <c r="P205" s="100"/>
      <c r="Q205" s="100"/>
      <c r="R205" s="100"/>
      <c r="S205" s="100"/>
    </row>
    <row r="206" spans="3:19" x14ac:dyDescent="0.35">
      <c r="C206" s="100"/>
      <c r="D206" s="100"/>
      <c r="E206" s="100"/>
      <c r="F206" s="100"/>
      <c r="G206" s="100"/>
      <c r="H206" s="100"/>
      <c r="I206" s="100"/>
      <c r="J206" s="100"/>
      <c r="K206" s="100"/>
      <c r="L206" s="100"/>
      <c r="M206" s="100"/>
      <c r="N206" s="100"/>
      <c r="O206" s="100"/>
      <c r="P206" s="100"/>
      <c r="Q206" s="100"/>
      <c r="R206" s="100"/>
      <c r="S206" s="100"/>
    </row>
    <row r="207" spans="3:19" x14ac:dyDescent="0.35">
      <c r="C207" s="100"/>
      <c r="D207" s="100"/>
      <c r="E207" s="100"/>
      <c r="F207" s="100"/>
      <c r="G207" s="100"/>
      <c r="H207" s="100"/>
      <c r="I207" s="100"/>
      <c r="J207" s="100"/>
      <c r="K207" s="100"/>
      <c r="L207" s="100"/>
      <c r="M207" s="100"/>
      <c r="N207" s="100"/>
      <c r="O207" s="100"/>
      <c r="P207" s="100"/>
      <c r="Q207" s="100"/>
      <c r="R207" s="100"/>
      <c r="S207" s="100"/>
    </row>
    <row r="208" spans="3:19" x14ac:dyDescent="0.35">
      <c r="C208" s="100"/>
      <c r="D208" s="100"/>
      <c r="E208" s="100"/>
      <c r="F208" s="100"/>
      <c r="G208" s="100"/>
      <c r="H208" s="100"/>
      <c r="I208" s="100"/>
      <c r="J208" s="100"/>
      <c r="K208" s="100"/>
      <c r="L208" s="100"/>
      <c r="M208" s="100"/>
      <c r="N208" s="100"/>
      <c r="O208" s="100"/>
      <c r="P208" s="100"/>
      <c r="Q208" s="100"/>
      <c r="R208" s="100"/>
      <c r="S208" s="100"/>
    </row>
    <row r="209" spans="3:19" x14ac:dyDescent="0.35">
      <c r="C209" s="100"/>
      <c r="D209" s="100"/>
      <c r="E209" s="100"/>
      <c r="F209" s="100"/>
      <c r="G209" s="100"/>
      <c r="H209" s="100"/>
      <c r="I209" s="100"/>
      <c r="J209" s="100"/>
      <c r="K209" s="100"/>
      <c r="L209" s="100"/>
      <c r="M209" s="100"/>
      <c r="N209" s="100"/>
      <c r="O209" s="100"/>
      <c r="P209" s="100"/>
      <c r="Q209" s="100"/>
      <c r="R209" s="100"/>
      <c r="S209" s="100"/>
    </row>
    <row r="210" spans="3:19" x14ac:dyDescent="0.35">
      <c r="C210" s="100"/>
      <c r="D210" s="100"/>
      <c r="E210" s="100"/>
      <c r="F210" s="100"/>
      <c r="G210" s="100"/>
      <c r="H210" s="100"/>
      <c r="I210" s="100"/>
      <c r="J210" s="100"/>
      <c r="K210" s="100"/>
      <c r="L210" s="100"/>
      <c r="M210" s="100"/>
      <c r="N210" s="100"/>
      <c r="O210" s="100"/>
      <c r="P210" s="100"/>
      <c r="Q210" s="100"/>
      <c r="R210" s="100"/>
      <c r="S210" s="100"/>
    </row>
    <row r="211" spans="3:19" x14ac:dyDescent="0.35">
      <c r="C211" s="100"/>
      <c r="D211" s="100"/>
      <c r="E211" s="100"/>
      <c r="F211" s="100"/>
      <c r="G211" s="100"/>
      <c r="H211" s="100"/>
      <c r="I211" s="100"/>
      <c r="J211" s="100"/>
      <c r="K211" s="100"/>
      <c r="L211" s="100"/>
      <c r="M211" s="100"/>
      <c r="N211" s="100"/>
      <c r="O211" s="100"/>
      <c r="P211" s="100"/>
      <c r="Q211" s="100"/>
      <c r="R211" s="100"/>
      <c r="S211" s="100"/>
    </row>
    <row r="212" spans="3:19" x14ac:dyDescent="0.35">
      <c r="C212" s="100"/>
      <c r="D212" s="100"/>
      <c r="E212" s="100"/>
      <c r="F212" s="100"/>
      <c r="G212" s="100"/>
      <c r="H212" s="100"/>
      <c r="I212" s="100"/>
      <c r="J212" s="100"/>
      <c r="K212" s="100"/>
      <c r="L212" s="100"/>
      <c r="M212" s="100"/>
      <c r="N212" s="100"/>
      <c r="O212" s="100"/>
      <c r="P212" s="100"/>
      <c r="Q212" s="100"/>
      <c r="R212" s="100"/>
      <c r="S212" s="100"/>
    </row>
    <row r="213" spans="3:19" x14ac:dyDescent="0.35">
      <c r="C213" s="100"/>
      <c r="D213" s="100"/>
      <c r="E213" s="100"/>
      <c r="F213" s="100"/>
      <c r="G213" s="100"/>
      <c r="H213" s="100"/>
      <c r="I213" s="100"/>
      <c r="J213" s="100"/>
      <c r="K213" s="100"/>
      <c r="L213" s="100"/>
      <c r="M213" s="100"/>
      <c r="N213" s="100"/>
      <c r="O213" s="100"/>
      <c r="P213" s="100"/>
      <c r="Q213" s="100"/>
      <c r="R213" s="100"/>
      <c r="S213" s="100"/>
    </row>
    <row r="214" spans="3:19" x14ac:dyDescent="0.35">
      <c r="C214" s="100"/>
      <c r="D214" s="100"/>
      <c r="E214" s="100"/>
      <c r="F214" s="100"/>
      <c r="G214" s="100"/>
      <c r="H214" s="100"/>
      <c r="I214" s="100"/>
      <c r="J214" s="100"/>
      <c r="K214" s="100"/>
      <c r="L214" s="100"/>
      <c r="M214" s="100"/>
      <c r="N214" s="100"/>
      <c r="O214" s="100"/>
      <c r="P214" s="100"/>
      <c r="Q214" s="100"/>
      <c r="R214" s="100"/>
      <c r="S214" s="100"/>
    </row>
    <row r="215" spans="3:19" x14ac:dyDescent="0.35">
      <c r="C215" s="100"/>
      <c r="D215" s="100"/>
      <c r="E215" s="100"/>
      <c r="F215" s="100"/>
      <c r="G215" s="100"/>
      <c r="H215" s="100"/>
      <c r="I215" s="100"/>
      <c r="J215" s="100"/>
      <c r="K215" s="100"/>
      <c r="L215" s="100"/>
      <c r="M215" s="100"/>
      <c r="N215" s="100"/>
      <c r="O215" s="100"/>
      <c r="P215" s="100"/>
      <c r="Q215" s="100"/>
      <c r="R215" s="100"/>
      <c r="S215" s="100"/>
    </row>
    <row r="216" spans="3:19" x14ac:dyDescent="0.35">
      <c r="C216" s="100"/>
      <c r="D216" s="100"/>
      <c r="E216" s="100"/>
      <c r="F216" s="100"/>
      <c r="G216" s="100"/>
      <c r="H216" s="100"/>
      <c r="I216" s="100"/>
      <c r="J216" s="100"/>
      <c r="K216" s="100"/>
      <c r="L216" s="100"/>
      <c r="M216" s="100"/>
      <c r="N216" s="100"/>
      <c r="O216" s="100"/>
      <c r="P216" s="100"/>
      <c r="Q216" s="100"/>
      <c r="R216" s="100"/>
      <c r="S216" s="100"/>
    </row>
    <row r="217" spans="3:19" x14ac:dyDescent="0.35">
      <c r="C217" s="100"/>
      <c r="D217" s="100"/>
      <c r="E217" s="100"/>
      <c r="F217" s="100"/>
      <c r="G217" s="100"/>
      <c r="H217" s="100"/>
      <c r="I217" s="100"/>
      <c r="J217" s="100"/>
      <c r="K217" s="100"/>
      <c r="L217" s="100"/>
      <c r="M217" s="100"/>
      <c r="N217" s="100"/>
      <c r="O217" s="100"/>
      <c r="P217" s="100"/>
      <c r="Q217" s="100"/>
      <c r="R217" s="100"/>
      <c r="S217" s="100"/>
    </row>
    <row r="218" spans="3:19" x14ac:dyDescent="0.35">
      <c r="C218" s="100"/>
      <c r="D218" s="100"/>
      <c r="E218" s="100"/>
      <c r="F218" s="100"/>
      <c r="G218" s="100"/>
      <c r="H218" s="100"/>
      <c r="I218" s="100"/>
      <c r="J218" s="100"/>
      <c r="K218" s="100"/>
      <c r="L218" s="100"/>
      <c r="M218" s="100"/>
      <c r="N218" s="100"/>
      <c r="O218" s="100"/>
      <c r="P218" s="100"/>
      <c r="Q218" s="100"/>
      <c r="R218" s="100"/>
      <c r="S218" s="100"/>
    </row>
    <row r="219" spans="3:19" x14ac:dyDescent="0.35">
      <c r="C219" s="100"/>
      <c r="D219" s="100"/>
      <c r="E219" s="100"/>
      <c r="F219" s="100"/>
      <c r="G219" s="100"/>
      <c r="H219" s="100"/>
      <c r="I219" s="100"/>
      <c r="J219" s="100"/>
      <c r="K219" s="100"/>
      <c r="L219" s="100"/>
      <c r="M219" s="100"/>
      <c r="N219" s="100"/>
      <c r="O219" s="100"/>
      <c r="P219" s="100"/>
      <c r="Q219" s="100"/>
      <c r="R219" s="100"/>
      <c r="S219" s="100"/>
    </row>
    <row r="220" spans="3:19" x14ac:dyDescent="0.35">
      <c r="C220" s="100"/>
      <c r="D220" s="100"/>
      <c r="E220" s="100"/>
      <c r="F220" s="100"/>
      <c r="G220" s="100"/>
      <c r="H220" s="100"/>
      <c r="I220" s="100"/>
      <c r="J220" s="100"/>
      <c r="K220" s="100"/>
      <c r="L220" s="100"/>
      <c r="M220" s="100"/>
      <c r="N220" s="100"/>
      <c r="O220" s="100"/>
      <c r="P220" s="100"/>
      <c r="Q220" s="100"/>
      <c r="R220" s="100"/>
      <c r="S220" s="100"/>
    </row>
    <row r="221" spans="3:19" x14ac:dyDescent="0.35">
      <c r="C221" s="100"/>
      <c r="D221" s="100"/>
      <c r="E221" s="100"/>
      <c r="F221" s="100"/>
      <c r="G221" s="100"/>
      <c r="H221" s="100"/>
      <c r="I221" s="100"/>
      <c r="J221" s="100"/>
      <c r="K221" s="100"/>
      <c r="L221" s="100"/>
      <c r="M221" s="100"/>
      <c r="N221" s="100"/>
      <c r="O221" s="100"/>
      <c r="P221" s="100"/>
      <c r="Q221" s="100"/>
      <c r="R221" s="100"/>
      <c r="S221" s="100"/>
    </row>
    <row r="222" spans="3:19" x14ac:dyDescent="0.35">
      <c r="C222" s="100"/>
      <c r="D222" s="100"/>
      <c r="E222" s="100"/>
      <c r="F222" s="100"/>
      <c r="G222" s="100"/>
      <c r="H222" s="100"/>
      <c r="I222" s="100"/>
      <c r="J222" s="100"/>
      <c r="K222" s="100"/>
      <c r="L222" s="100"/>
      <c r="M222" s="100"/>
      <c r="N222" s="100"/>
      <c r="O222" s="100"/>
      <c r="P222" s="100"/>
      <c r="Q222" s="100"/>
      <c r="R222" s="100"/>
      <c r="S222" s="100"/>
    </row>
    <row r="223" spans="3:19" x14ac:dyDescent="0.35">
      <c r="C223" s="100"/>
      <c r="D223" s="100"/>
      <c r="E223" s="100"/>
      <c r="F223" s="100"/>
      <c r="G223" s="100"/>
      <c r="H223" s="100"/>
      <c r="I223" s="100"/>
      <c r="J223" s="100"/>
      <c r="K223" s="100"/>
      <c r="L223" s="100"/>
      <c r="M223" s="100"/>
      <c r="N223" s="100"/>
      <c r="O223" s="100"/>
      <c r="P223" s="100"/>
      <c r="Q223" s="100"/>
      <c r="R223" s="100"/>
      <c r="S223" s="100"/>
    </row>
    <row r="224" spans="3:19" x14ac:dyDescent="0.35">
      <c r="C224" s="100"/>
      <c r="D224" s="100"/>
      <c r="E224" s="100"/>
      <c r="F224" s="100"/>
      <c r="G224" s="100"/>
      <c r="H224" s="100"/>
      <c r="I224" s="100"/>
      <c r="J224" s="100"/>
      <c r="K224" s="100"/>
      <c r="L224" s="100"/>
      <c r="M224" s="100"/>
      <c r="N224" s="100"/>
      <c r="O224" s="100"/>
      <c r="P224" s="100"/>
      <c r="Q224" s="100"/>
      <c r="R224" s="100"/>
      <c r="S224" s="100"/>
    </row>
    <row r="225" spans="3:19" x14ac:dyDescent="0.35">
      <c r="C225" s="100"/>
      <c r="D225" s="100"/>
      <c r="E225" s="100"/>
      <c r="F225" s="100"/>
      <c r="G225" s="100"/>
      <c r="H225" s="100"/>
      <c r="I225" s="100"/>
      <c r="J225" s="100"/>
      <c r="K225" s="100"/>
      <c r="L225" s="100"/>
      <c r="M225" s="100"/>
      <c r="N225" s="100"/>
      <c r="O225" s="100"/>
      <c r="P225" s="100"/>
      <c r="Q225" s="100"/>
      <c r="R225" s="100"/>
      <c r="S225" s="100"/>
    </row>
    <row r="226" spans="3:19" x14ac:dyDescent="0.35">
      <c r="C226" s="100"/>
      <c r="D226" s="100"/>
      <c r="E226" s="100"/>
      <c r="F226" s="100"/>
      <c r="G226" s="100"/>
      <c r="H226" s="100"/>
      <c r="I226" s="100"/>
      <c r="J226" s="100"/>
      <c r="K226" s="100"/>
      <c r="L226" s="100"/>
      <c r="M226" s="100"/>
      <c r="N226" s="100"/>
      <c r="O226" s="100"/>
      <c r="P226" s="100"/>
      <c r="Q226" s="100"/>
      <c r="R226" s="100"/>
      <c r="S226" s="100"/>
    </row>
    <row r="227" spans="3:19" x14ac:dyDescent="0.35">
      <c r="C227" s="100"/>
      <c r="D227" s="100"/>
      <c r="E227" s="100"/>
      <c r="F227" s="100"/>
      <c r="G227" s="100"/>
      <c r="H227" s="100"/>
      <c r="I227" s="100"/>
      <c r="J227" s="100"/>
      <c r="K227" s="100"/>
      <c r="L227" s="100"/>
      <c r="M227" s="100"/>
      <c r="N227" s="100"/>
      <c r="O227" s="100"/>
      <c r="P227" s="100"/>
      <c r="Q227" s="100"/>
      <c r="R227" s="100"/>
      <c r="S227" s="100"/>
    </row>
    <row r="228" spans="3:19" x14ac:dyDescent="0.35">
      <c r="C228" s="100"/>
      <c r="D228" s="100"/>
      <c r="E228" s="100"/>
      <c r="F228" s="100"/>
      <c r="G228" s="100"/>
      <c r="H228" s="100"/>
      <c r="I228" s="100"/>
      <c r="J228" s="100"/>
      <c r="K228" s="100"/>
      <c r="L228" s="100"/>
      <c r="M228" s="100"/>
      <c r="N228" s="100"/>
      <c r="O228" s="100"/>
      <c r="P228" s="100"/>
      <c r="Q228" s="100"/>
      <c r="R228" s="100"/>
      <c r="S228" s="100"/>
    </row>
    <row r="229" spans="3:19" x14ac:dyDescent="0.35">
      <c r="C229" s="100"/>
      <c r="D229" s="100"/>
      <c r="E229" s="100"/>
      <c r="F229" s="100"/>
      <c r="G229" s="100"/>
      <c r="H229" s="100"/>
      <c r="I229" s="100"/>
      <c r="J229" s="100"/>
      <c r="K229" s="100"/>
      <c r="L229" s="100"/>
      <c r="M229" s="100"/>
      <c r="N229" s="100"/>
      <c r="O229" s="100"/>
      <c r="P229" s="100"/>
      <c r="Q229" s="100"/>
      <c r="R229" s="100"/>
      <c r="S229" s="100"/>
    </row>
    <row r="230" spans="3:19" x14ac:dyDescent="0.35">
      <c r="C230" s="100"/>
      <c r="D230" s="100"/>
      <c r="E230" s="100"/>
      <c r="F230" s="100"/>
      <c r="G230" s="100"/>
      <c r="H230" s="100"/>
      <c r="I230" s="100"/>
      <c r="J230" s="100"/>
      <c r="K230" s="100"/>
      <c r="L230" s="100"/>
      <c r="M230" s="100"/>
      <c r="N230" s="100"/>
      <c r="O230" s="100"/>
      <c r="P230" s="100"/>
      <c r="Q230" s="100"/>
      <c r="R230" s="100"/>
      <c r="S230" s="100"/>
    </row>
    <row r="231" spans="3:19" x14ac:dyDescent="0.35">
      <c r="C231" s="100"/>
      <c r="D231" s="100"/>
      <c r="E231" s="100"/>
      <c r="F231" s="100"/>
      <c r="G231" s="100"/>
      <c r="H231" s="100"/>
      <c r="I231" s="100"/>
      <c r="J231" s="100"/>
      <c r="K231" s="100"/>
      <c r="L231" s="100"/>
      <c r="M231" s="100"/>
      <c r="N231" s="100"/>
      <c r="O231" s="100"/>
      <c r="P231" s="100"/>
      <c r="Q231" s="100"/>
      <c r="R231" s="100"/>
      <c r="S231" s="100"/>
    </row>
    <row r="232" spans="3:19" x14ac:dyDescent="0.35">
      <c r="C232" s="100"/>
      <c r="D232" s="100"/>
      <c r="E232" s="100"/>
      <c r="F232" s="100"/>
      <c r="G232" s="100"/>
      <c r="H232" s="100"/>
      <c r="I232" s="100"/>
      <c r="J232" s="100"/>
      <c r="K232" s="100"/>
      <c r="L232" s="100"/>
      <c r="M232" s="100"/>
      <c r="N232" s="100"/>
      <c r="O232" s="100"/>
      <c r="P232" s="100"/>
      <c r="Q232" s="100"/>
      <c r="R232" s="100"/>
      <c r="S232" s="100"/>
    </row>
    <row r="233" spans="3:19" x14ac:dyDescent="0.35">
      <c r="C233" s="100"/>
      <c r="D233" s="100"/>
      <c r="E233" s="100"/>
      <c r="F233" s="100"/>
      <c r="G233" s="100"/>
      <c r="H233" s="100"/>
      <c r="I233" s="100"/>
      <c r="J233" s="100"/>
      <c r="K233" s="100"/>
      <c r="L233" s="100"/>
      <c r="M233" s="100"/>
      <c r="N233" s="100"/>
      <c r="O233" s="100"/>
      <c r="P233" s="100"/>
      <c r="Q233" s="100"/>
      <c r="R233" s="100"/>
      <c r="S233" s="100"/>
    </row>
    <row r="234" spans="3:19" x14ac:dyDescent="0.35">
      <c r="C234" s="100"/>
      <c r="D234" s="100"/>
      <c r="E234" s="100"/>
      <c r="F234" s="100"/>
      <c r="G234" s="100"/>
      <c r="H234" s="100"/>
      <c r="I234" s="100"/>
      <c r="J234" s="100"/>
      <c r="K234" s="100"/>
      <c r="L234" s="100"/>
      <c r="M234" s="100"/>
      <c r="N234" s="100"/>
      <c r="O234" s="100"/>
      <c r="P234" s="100"/>
      <c r="Q234" s="100"/>
      <c r="R234" s="100"/>
      <c r="S234" s="100"/>
    </row>
    <row r="235" spans="3:19" x14ac:dyDescent="0.35">
      <c r="C235" s="100"/>
      <c r="D235" s="100"/>
      <c r="E235" s="100"/>
      <c r="F235" s="100"/>
      <c r="G235" s="100"/>
      <c r="H235" s="100"/>
      <c r="I235" s="100"/>
      <c r="J235" s="100"/>
      <c r="K235" s="100"/>
      <c r="L235" s="100"/>
      <c r="M235" s="100"/>
      <c r="N235" s="100"/>
      <c r="O235" s="100"/>
      <c r="P235" s="100"/>
      <c r="Q235" s="100"/>
      <c r="R235" s="100"/>
      <c r="S235" s="100"/>
    </row>
    <row r="236" spans="3:19" x14ac:dyDescent="0.35">
      <c r="C236" s="100"/>
      <c r="D236" s="100"/>
      <c r="E236" s="100"/>
      <c r="F236" s="100"/>
      <c r="G236" s="100"/>
      <c r="H236" s="100"/>
      <c r="I236" s="100"/>
      <c r="J236" s="100"/>
      <c r="K236" s="100"/>
      <c r="L236" s="100"/>
      <c r="M236" s="100"/>
      <c r="N236" s="100"/>
      <c r="O236" s="100"/>
      <c r="P236" s="100"/>
      <c r="Q236" s="100"/>
      <c r="R236" s="100"/>
      <c r="S236" s="100"/>
    </row>
    <row r="237" spans="3:19" x14ac:dyDescent="0.35">
      <c r="C237" s="100"/>
      <c r="D237" s="100"/>
      <c r="E237" s="100"/>
      <c r="F237" s="100"/>
      <c r="G237" s="100"/>
      <c r="H237" s="100"/>
      <c r="I237" s="100"/>
      <c r="J237" s="100"/>
      <c r="K237" s="100"/>
      <c r="L237" s="100"/>
      <c r="M237" s="100"/>
      <c r="N237" s="100"/>
      <c r="O237" s="100"/>
      <c r="P237" s="100"/>
      <c r="Q237" s="100"/>
      <c r="R237" s="100"/>
      <c r="S237" s="100"/>
    </row>
    <row r="238" spans="3:19" x14ac:dyDescent="0.35">
      <c r="C238" s="100"/>
      <c r="D238" s="100"/>
      <c r="E238" s="100"/>
      <c r="F238" s="100"/>
      <c r="G238" s="100"/>
      <c r="H238" s="100"/>
      <c r="I238" s="100"/>
      <c r="J238" s="100"/>
      <c r="K238" s="100"/>
      <c r="L238" s="100"/>
      <c r="M238" s="100"/>
      <c r="N238" s="100"/>
      <c r="O238" s="100"/>
      <c r="P238" s="100"/>
      <c r="Q238" s="100"/>
      <c r="R238" s="100"/>
      <c r="S238" s="100"/>
    </row>
    <row r="239" spans="3:19" x14ac:dyDescent="0.35">
      <c r="C239" s="100"/>
      <c r="D239" s="100"/>
      <c r="E239" s="100"/>
      <c r="F239" s="100"/>
      <c r="G239" s="100"/>
      <c r="H239" s="100"/>
      <c r="I239" s="100"/>
      <c r="J239" s="100"/>
      <c r="K239" s="100"/>
      <c r="L239" s="100"/>
      <c r="M239" s="100"/>
      <c r="N239" s="100"/>
      <c r="O239" s="100"/>
      <c r="P239" s="100"/>
      <c r="Q239" s="100"/>
      <c r="R239" s="100"/>
      <c r="S239" s="100"/>
    </row>
    <row r="240" spans="3:19" x14ac:dyDescent="0.35">
      <c r="C240" s="100"/>
      <c r="D240" s="100"/>
      <c r="E240" s="100"/>
      <c r="F240" s="100"/>
      <c r="G240" s="100"/>
      <c r="H240" s="100"/>
      <c r="I240" s="100"/>
      <c r="J240" s="100"/>
      <c r="K240" s="100"/>
      <c r="L240" s="100"/>
      <c r="M240" s="100"/>
      <c r="N240" s="100"/>
      <c r="O240" s="100"/>
      <c r="P240" s="100"/>
      <c r="Q240" s="100"/>
      <c r="R240" s="100"/>
      <c r="S240" s="100"/>
    </row>
    <row r="241" spans="3:19" x14ac:dyDescent="0.35">
      <c r="C241" s="100"/>
      <c r="D241" s="100"/>
      <c r="E241" s="100"/>
      <c r="F241" s="100"/>
      <c r="G241" s="100"/>
      <c r="H241" s="100"/>
      <c r="I241" s="100"/>
      <c r="J241" s="100"/>
      <c r="K241" s="100"/>
      <c r="L241" s="100"/>
      <c r="M241" s="100"/>
      <c r="N241" s="100"/>
      <c r="O241" s="100"/>
      <c r="P241" s="100"/>
      <c r="Q241" s="100"/>
      <c r="R241" s="100"/>
      <c r="S241" s="100"/>
    </row>
    <row r="242" spans="3:19" x14ac:dyDescent="0.35">
      <c r="C242" s="100"/>
      <c r="D242" s="100"/>
      <c r="E242" s="100"/>
      <c r="F242" s="100"/>
      <c r="G242" s="100"/>
      <c r="H242" s="100"/>
      <c r="I242" s="100"/>
      <c r="J242" s="100"/>
      <c r="K242" s="100"/>
      <c r="L242" s="100"/>
      <c r="M242" s="100"/>
      <c r="N242" s="100"/>
      <c r="O242" s="100"/>
      <c r="P242" s="100"/>
      <c r="Q242" s="100"/>
      <c r="R242" s="100"/>
      <c r="S242" s="100"/>
    </row>
    <row r="243" spans="3:19" x14ac:dyDescent="0.35">
      <c r="C243" s="100"/>
      <c r="D243" s="100"/>
      <c r="E243" s="100"/>
      <c r="F243" s="100"/>
      <c r="G243" s="100"/>
      <c r="H243" s="100"/>
      <c r="I243" s="100"/>
      <c r="J243" s="100"/>
      <c r="K243" s="100"/>
      <c r="L243" s="100"/>
      <c r="M243" s="100"/>
      <c r="N243" s="100"/>
      <c r="O243" s="100"/>
      <c r="P243" s="100"/>
      <c r="Q243" s="100"/>
      <c r="R243" s="100"/>
      <c r="S243" s="100"/>
    </row>
    <row r="244" spans="3:19" x14ac:dyDescent="0.35">
      <c r="C244" s="100"/>
      <c r="D244" s="100"/>
      <c r="E244" s="100"/>
      <c r="F244" s="100"/>
      <c r="G244" s="100"/>
      <c r="H244" s="100"/>
      <c r="I244" s="100"/>
      <c r="J244" s="100"/>
      <c r="K244" s="100"/>
      <c r="L244" s="100"/>
      <c r="M244" s="100"/>
      <c r="N244" s="100"/>
      <c r="O244" s="100"/>
      <c r="P244" s="100"/>
      <c r="Q244" s="100"/>
      <c r="R244" s="100"/>
      <c r="S244" s="100"/>
    </row>
    <row r="245" spans="3:19" x14ac:dyDescent="0.35">
      <c r="C245" s="100"/>
      <c r="D245" s="100"/>
      <c r="E245" s="100"/>
      <c r="F245" s="100"/>
      <c r="G245" s="100"/>
      <c r="H245" s="100"/>
      <c r="I245" s="100"/>
      <c r="J245" s="100"/>
      <c r="K245" s="100"/>
      <c r="L245" s="100"/>
      <c r="M245" s="100"/>
      <c r="N245" s="100"/>
      <c r="O245" s="100"/>
      <c r="P245" s="100"/>
      <c r="Q245" s="100"/>
      <c r="R245" s="100"/>
      <c r="S245" s="100"/>
    </row>
    <row r="246" spans="3:19" x14ac:dyDescent="0.35">
      <c r="C246" s="100"/>
      <c r="D246" s="100"/>
      <c r="E246" s="100"/>
      <c r="F246" s="100"/>
      <c r="G246" s="100"/>
      <c r="H246" s="100"/>
      <c r="I246" s="100"/>
      <c r="J246" s="100"/>
      <c r="K246" s="100"/>
      <c r="L246" s="100"/>
      <c r="M246" s="100"/>
      <c r="N246" s="100"/>
      <c r="O246" s="100"/>
      <c r="P246" s="100"/>
      <c r="Q246" s="100"/>
      <c r="R246" s="100"/>
      <c r="S246" s="100"/>
    </row>
    <row r="247" spans="3:19" x14ac:dyDescent="0.35">
      <c r="C247" s="100"/>
      <c r="D247" s="100"/>
      <c r="E247" s="100"/>
      <c r="F247" s="100"/>
      <c r="G247" s="100"/>
      <c r="H247" s="100"/>
      <c r="I247" s="100"/>
      <c r="J247" s="100"/>
      <c r="K247" s="100"/>
      <c r="L247" s="100"/>
      <c r="M247" s="100"/>
      <c r="N247" s="100"/>
      <c r="O247" s="100"/>
      <c r="P247" s="100"/>
      <c r="Q247" s="100"/>
      <c r="R247" s="100"/>
      <c r="S247" s="100"/>
    </row>
    <row r="248" spans="3:19" x14ac:dyDescent="0.35">
      <c r="C248" s="100"/>
      <c r="D248" s="100"/>
      <c r="E248" s="100"/>
      <c r="F248" s="100"/>
      <c r="G248" s="100"/>
      <c r="H248" s="100"/>
      <c r="I248" s="100"/>
      <c r="J248" s="100"/>
      <c r="K248" s="100"/>
      <c r="L248" s="100"/>
      <c r="M248" s="100"/>
      <c r="N248" s="100"/>
      <c r="O248" s="100"/>
      <c r="P248" s="100"/>
      <c r="Q248" s="100"/>
      <c r="R248" s="100"/>
      <c r="S248" s="100"/>
    </row>
    <row r="249" spans="3:19" x14ac:dyDescent="0.35">
      <c r="C249" s="100"/>
      <c r="D249" s="100"/>
      <c r="E249" s="100"/>
      <c r="F249" s="100"/>
      <c r="G249" s="100"/>
      <c r="H249" s="100"/>
      <c r="I249" s="100"/>
      <c r="J249" s="100"/>
      <c r="K249" s="100"/>
      <c r="L249" s="100"/>
      <c r="M249" s="100"/>
      <c r="N249" s="100"/>
      <c r="O249" s="100"/>
      <c r="P249" s="100"/>
      <c r="Q249" s="100"/>
      <c r="R249" s="100"/>
      <c r="S249" s="100"/>
    </row>
    <row r="250" spans="3:19" x14ac:dyDescent="0.35">
      <c r="C250" s="100"/>
      <c r="D250" s="100"/>
      <c r="E250" s="100"/>
      <c r="F250" s="100"/>
      <c r="G250" s="100"/>
      <c r="H250" s="100"/>
      <c r="I250" s="100"/>
      <c r="J250" s="100"/>
      <c r="K250" s="100"/>
      <c r="L250" s="100"/>
      <c r="M250" s="100"/>
      <c r="N250" s="100"/>
      <c r="O250" s="100"/>
      <c r="P250" s="100"/>
      <c r="Q250" s="100"/>
      <c r="R250" s="100"/>
      <c r="S250" s="100"/>
    </row>
    <row r="251" spans="3:19" x14ac:dyDescent="0.35">
      <c r="C251" s="100"/>
      <c r="D251" s="100"/>
      <c r="E251" s="100"/>
      <c r="F251" s="100"/>
      <c r="G251" s="100"/>
      <c r="H251" s="100"/>
      <c r="I251" s="100"/>
      <c r="J251" s="100"/>
      <c r="K251" s="100"/>
      <c r="L251" s="100"/>
      <c r="M251" s="100"/>
      <c r="N251" s="100"/>
      <c r="O251" s="100"/>
      <c r="P251" s="100"/>
      <c r="Q251" s="100"/>
      <c r="R251" s="100"/>
      <c r="S251" s="100"/>
    </row>
    <row r="252" spans="3:19" x14ac:dyDescent="0.35">
      <c r="C252" s="100"/>
      <c r="D252" s="100"/>
      <c r="E252" s="100"/>
      <c r="F252" s="100"/>
      <c r="G252" s="100"/>
      <c r="H252" s="100"/>
      <c r="I252" s="100"/>
      <c r="J252" s="100"/>
      <c r="K252" s="100"/>
      <c r="L252" s="100"/>
      <c r="M252" s="100"/>
      <c r="N252" s="100"/>
      <c r="O252" s="100"/>
      <c r="P252" s="100"/>
      <c r="Q252" s="100"/>
      <c r="R252" s="100"/>
      <c r="S252" s="100"/>
    </row>
    <row r="253" spans="3:19" x14ac:dyDescent="0.35">
      <c r="C253" s="100"/>
      <c r="D253" s="100"/>
      <c r="E253" s="100"/>
      <c r="F253" s="100"/>
      <c r="G253" s="100"/>
      <c r="H253" s="100"/>
      <c r="I253" s="100"/>
      <c r="J253" s="100"/>
      <c r="K253" s="100"/>
      <c r="L253" s="100"/>
      <c r="M253" s="100"/>
      <c r="N253" s="100"/>
      <c r="O253" s="100"/>
      <c r="P253" s="100"/>
      <c r="Q253" s="100"/>
      <c r="R253" s="100"/>
      <c r="S253" s="100"/>
    </row>
    <row r="254" spans="3:19" x14ac:dyDescent="0.35">
      <c r="C254" s="100"/>
      <c r="D254" s="100"/>
      <c r="E254" s="100"/>
      <c r="F254" s="100"/>
      <c r="G254" s="100"/>
      <c r="H254" s="100"/>
      <c r="I254" s="100"/>
      <c r="J254" s="100"/>
      <c r="K254" s="100"/>
      <c r="L254" s="100"/>
      <c r="M254" s="100"/>
      <c r="N254" s="100"/>
      <c r="O254" s="100"/>
      <c r="P254" s="100"/>
      <c r="Q254" s="100"/>
      <c r="R254" s="100"/>
      <c r="S254" s="100"/>
    </row>
    <row r="255" spans="3:19" x14ac:dyDescent="0.35">
      <c r="C255" s="100"/>
      <c r="D255" s="100"/>
      <c r="E255" s="100"/>
      <c r="F255" s="100"/>
      <c r="G255" s="100"/>
      <c r="H255" s="100"/>
      <c r="I255" s="100"/>
      <c r="J255" s="100"/>
      <c r="K255" s="100"/>
      <c r="L255" s="100"/>
      <c r="M255" s="100"/>
      <c r="N255" s="100"/>
      <c r="O255" s="100"/>
      <c r="P255" s="100"/>
      <c r="Q255" s="100"/>
      <c r="R255" s="100"/>
      <c r="S255" s="100"/>
    </row>
    <row r="256" spans="3:19" x14ac:dyDescent="0.35">
      <c r="C256" s="100"/>
      <c r="D256" s="100"/>
      <c r="E256" s="100"/>
      <c r="F256" s="100"/>
      <c r="G256" s="100"/>
      <c r="H256" s="100"/>
      <c r="I256" s="100"/>
      <c r="J256" s="100"/>
      <c r="K256" s="100"/>
      <c r="L256" s="100"/>
      <c r="M256" s="100"/>
      <c r="N256" s="100"/>
      <c r="O256" s="100"/>
      <c r="P256" s="100"/>
      <c r="Q256" s="100"/>
      <c r="R256" s="100"/>
      <c r="S256" s="100"/>
    </row>
    <row r="257" spans="3:19" x14ac:dyDescent="0.35">
      <c r="C257" s="100"/>
      <c r="D257" s="100"/>
      <c r="E257" s="100"/>
      <c r="F257" s="100"/>
      <c r="G257" s="100"/>
      <c r="H257" s="100"/>
      <c r="I257" s="100"/>
      <c r="J257" s="100"/>
      <c r="K257" s="100"/>
      <c r="L257" s="100"/>
      <c r="M257" s="100"/>
      <c r="N257" s="100"/>
      <c r="O257" s="100"/>
      <c r="P257" s="100"/>
      <c r="Q257" s="100"/>
      <c r="R257" s="100"/>
      <c r="S257" s="100"/>
    </row>
    <row r="258" spans="3:19" x14ac:dyDescent="0.35">
      <c r="C258" s="100"/>
      <c r="D258" s="100"/>
      <c r="E258" s="100"/>
      <c r="F258" s="100"/>
      <c r="G258" s="100"/>
      <c r="H258" s="100"/>
      <c r="I258" s="100"/>
      <c r="J258" s="100"/>
      <c r="K258" s="100"/>
      <c r="L258" s="100"/>
      <c r="M258" s="100"/>
      <c r="N258" s="100"/>
      <c r="O258" s="100"/>
      <c r="P258" s="100"/>
      <c r="Q258" s="100"/>
      <c r="R258" s="100"/>
      <c r="S258" s="100"/>
    </row>
    <row r="259" spans="3:19" x14ac:dyDescent="0.35">
      <c r="C259" s="100"/>
      <c r="D259" s="100"/>
      <c r="E259" s="100"/>
      <c r="F259" s="100"/>
      <c r="G259" s="100"/>
      <c r="H259" s="100"/>
      <c r="I259" s="100"/>
      <c r="J259" s="100"/>
      <c r="K259" s="100"/>
      <c r="L259" s="100"/>
      <c r="M259" s="100"/>
      <c r="N259" s="100"/>
      <c r="O259" s="100"/>
      <c r="P259" s="100"/>
      <c r="Q259" s="100"/>
      <c r="R259" s="100"/>
      <c r="S259" s="100"/>
    </row>
    <row r="260" spans="3:19" x14ac:dyDescent="0.35">
      <c r="P260" s="100"/>
      <c r="Q260" s="100"/>
      <c r="R260" s="100"/>
      <c r="S260" s="100"/>
    </row>
  </sheetData>
  <printOptions horizontalCentered="1"/>
  <pageMargins left="0.75" right="0.75" top="0.53" bottom="0.5" header="0.5" footer="0.5"/>
  <pageSetup scale="51" orientation="landscape" r:id="rId1"/>
  <headerFooter alignWithMargins="0"/>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tabColor rgb="FFFFFF99"/>
  </sheetPr>
  <dimension ref="A1:S269"/>
  <sheetViews>
    <sheetView zoomScale="80" zoomScaleNormal="80" workbookViewId="0"/>
  </sheetViews>
  <sheetFormatPr defaultColWidth="9.296875" defaultRowHeight="15.5" x14ac:dyDescent="0.35"/>
  <cols>
    <col min="1" max="1" width="9" style="83" customWidth="1"/>
    <col min="2" max="2" width="2.09765625" style="83" customWidth="1"/>
    <col min="3" max="3" width="40.09765625" style="83" customWidth="1"/>
    <col min="4" max="4" width="31.09765625" style="83" customWidth="1"/>
    <col min="5" max="5" width="23" style="83" customWidth="1"/>
    <col min="6" max="6" width="15" style="83" customWidth="1"/>
    <col min="7" max="7" width="20.69921875" style="83" customWidth="1"/>
    <col min="8" max="8" width="18.3984375" style="83" customWidth="1"/>
    <col min="9" max="9" width="8.69921875" style="83" customWidth="1"/>
    <col min="10" max="10" width="23" style="83" customWidth="1"/>
    <col min="11" max="11" width="9.296875" style="83" customWidth="1"/>
    <col min="12" max="12" width="11.69921875" style="83" customWidth="1"/>
    <col min="13" max="13" width="2.69921875" style="83" customWidth="1"/>
    <col min="14" max="14" width="41" style="83" customWidth="1"/>
    <col min="15" max="15" width="48.69921875" style="83" customWidth="1"/>
    <col min="16" max="16" width="23.3984375" style="83" customWidth="1"/>
    <col min="17" max="17" width="20.3984375" style="83" customWidth="1"/>
    <col min="18" max="18" width="20.69921875" style="83" customWidth="1"/>
    <col min="19" max="19" width="23.69921875" style="83" bestFit="1" customWidth="1"/>
    <col min="20" max="20" width="22.09765625" style="83" bestFit="1" customWidth="1"/>
    <col min="21" max="21" width="23" style="83" bestFit="1" customWidth="1"/>
    <col min="22" max="22" width="19.69921875" style="83" customWidth="1"/>
    <col min="23" max="23" width="20.296875" style="83" customWidth="1"/>
    <col min="24" max="24" width="23.3984375" style="83" bestFit="1" customWidth="1"/>
    <col min="25" max="25" width="21.69921875" style="83" bestFit="1" customWidth="1"/>
    <col min="26" max="26" width="16.09765625" style="83" customWidth="1"/>
    <col min="27" max="28" width="23.3984375" style="83" bestFit="1" customWidth="1"/>
    <col min="29" max="29" width="21.296875" style="83" bestFit="1" customWidth="1"/>
    <col min="30" max="30" width="23.3984375" style="83" bestFit="1" customWidth="1"/>
    <col min="31" max="31" width="21.296875" style="83" bestFit="1" customWidth="1"/>
    <col min="32" max="32" width="20.69921875" style="83" bestFit="1" customWidth="1"/>
    <col min="33" max="16384" width="9.296875" style="83"/>
  </cols>
  <sheetData>
    <row r="1" spans="1:16" x14ac:dyDescent="0.35">
      <c r="A1" s="167" t="s">
        <v>185</v>
      </c>
      <c r="B1" s="168"/>
      <c r="C1" s="169"/>
      <c r="D1" s="169"/>
      <c r="E1" s="169"/>
      <c r="F1" s="169"/>
      <c r="G1" s="169"/>
      <c r="H1" s="169"/>
      <c r="I1" s="169"/>
      <c r="J1" s="169"/>
      <c r="K1" s="169"/>
      <c r="L1" s="169"/>
      <c r="M1" s="181"/>
      <c r="N1" s="90"/>
      <c r="O1" s="90"/>
      <c r="P1" s="134"/>
    </row>
    <row r="2" spans="1:16" x14ac:dyDescent="0.35">
      <c r="A2" s="167" t="s">
        <v>425</v>
      </c>
      <c r="B2" s="168"/>
      <c r="C2" s="169"/>
      <c r="D2" s="169"/>
      <c r="E2" s="169"/>
      <c r="F2" s="169"/>
      <c r="G2" s="169"/>
      <c r="H2" s="169"/>
      <c r="I2" s="169"/>
      <c r="J2" s="169"/>
      <c r="K2" s="169"/>
      <c r="L2" s="169"/>
      <c r="M2" s="620"/>
      <c r="N2" s="90"/>
      <c r="O2" s="90"/>
      <c r="P2" s="90"/>
    </row>
    <row r="3" spans="1:16" x14ac:dyDescent="0.35">
      <c r="A3" s="167" t="s">
        <v>249</v>
      </c>
      <c r="B3" s="168"/>
      <c r="C3" s="169"/>
      <c r="D3" s="169"/>
      <c r="E3" s="169"/>
      <c r="F3" s="169"/>
      <c r="G3" s="169"/>
      <c r="H3" s="169"/>
      <c r="I3" s="169"/>
      <c r="J3" s="169"/>
      <c r="K3" s="169"/>
      <c r="L3" s="169"/>
      <c r="M3" s="134"/>
      <c r="N3" s="90"/>
      <c r="O3" s="90"/>
      <c r="P3" s="90"/>
    </row>
    <row r="4" spans="1:16" x14ac:dyDescent="0.35">
      <c r="A4" s="1"/>
      <c r="B4" s="1"/>
      <c r="C4" s="6"/>
      <c r="D4" s="2"/>
      <c r="E4" s="3"/>
      <c r="F4" s="2"/>
      <c r="G4" s="2"/>
      <c r="H4" s="2"/>
      <c r="I4" s="4"/>
      <c r="J4" s="4"/>
      <c r="K4" s="4"/>
      <c r="L4" s="4"/>
      <c r="M4" s="621"/>
      <c r="N4" s="90"/>
      <c r="O4" s="90"/>
      <c r="P4" s="90"/>
    </row>
    <row r="5" spans="1:16" x14ac:dyDescent="0.35">
      <c r="A5" s="1" t="s">
        <v>186</v>
      </c>
      <c r="B5" s="1"/>
      <c r="C5" s="2"/>
      <c r="D5" s="2"/>
      <c r="E5" s="7"/>
      <c r="F5" s="2"/>
      <c r="G5" s="2"/>
      <c r="H5" s="2"/>
      <c r="I5" s="4"/>
      <c r="J5" s="1"/>
      <c r="K5" s="4"/>
      <c r="L5" s="181" t="str">
        <f>"For the 12 months ended "&amp;TEXT('OATT Input Data'!B4,"MM/DD/YYYY")</f>
        <v>For the 12 months ended 12/31/2019</v>
      </c>
      <c r="M5" s="90"/>
      <c r="N5" s="90"/>
      <c r="O5" s="90"/>
      <c r="P5" s="90"/>
    </row>
    <row r="6" spans="1:16" x14ac:dyDescent="0.35">
      <c r="A6" s="182" t="s">
        <v>187</v>
      </c>
      <c r="B6" s="1"/>
      <c r="C6" s="2"/>
      <c r="D6" s="8"/>
      <c r="E6" s="1"/>
      <c r="F6" s="8"/>
      <c r="G6" s="8"/>
      <c r="H6" s="8"/>
      <c r="I6" s="2"/>
      <c r="J6" s="2"/>
      <c r="K6" s="2"/>
      <c r="L6" s="181" t="s">
        <v>380</v>
      </c>
      <c r="M6" s="90"/>
      <c r="N6" s="90"/>
      <c r="O6" s="90"/>
      <c r="P6" s="90"/>
    </row>
    <row r="7" spans="1:16" x14ac:dyDescent="0.35">
      <c r="A7" s="1"/>
      <c r="B7" s="1"/>
      <c r="C7" s="4"/>
      <c r="D7" s="4"/>
      <c r="E7" s="4"/>
      <c r="F7" s="4"/>
      <c r="G7" s="4"/>
      <c r="H7" s="4"/>
      <c r="I7" s="4"/>
      <c r="J7" s="4"/>
      <c r="K7" s="4"/>
      <c r="L7" s="4"/>
      <c r="M7" s="93"/>
      <c r="N7" s="82"/>
      <c r="O7" s="90"/>
      <c r="P7" s="90"/>
    </row>
    <row r="8" spans="1:16" x14ac:dyDescent="0.35">
      <c r="A8" s="184" t="s">
        <v>130</v>
      </c>
      <c r="B8" s="168"/>
      <c r="C8" s="169"/>
      <c r="D8" s="169"/>
      <c r="E8" s="168"/>
      <c r="F8" s="169"/>
      <c r="G8" s="169"/>
      <c r="H8" s="169"/>
      <c r="I8" s="169"/>
      <c r="J8" s="169"/>
      <c r="K8" s="169"/>
      <c r="L8" s="169"/>
      <c r="M8" s="93"/>
      <c r="N8" s="82"/>
      <c r="O8" s="90"/>
      <c r="P8" s="90"/>
    </row>
    <row r="9" spans="1:16" x14ac:dyDescent="0.35">
      <c r="A9" s="82"/>
      <c r="B9" s="93"/>
      <c r="C9" s="622"/>
      <c r="D9" s="82"/>
      <c r="E9" s="125"/>
      <c r="F9" s="125"/>
      <c r="G9" s="125"/>
      <c r="H9" s="125"/>
      <c r="I9" s="93"/>
      <c r="J9" s="623"/>
      <c r="K9" s="1"/>
      <c r="L9" s="8"/>
      <c r="M9" s="93"/>
      <c r="N9" s="82"/>
      <c r="O9" s="90"/>
      <c r="P9" s="90"/>
    </row>
    <row r="10" spans="1:16" ht="18.5" x14ac:dyDescent="0.45">
      <c r="A10" s="89"/>
      <c r="B10" s="85"/>
      <c r="C10" s="84" t="s">
        <v>424</v>
      </c>
      <c r="D10" s="89"/>
      <c r="E10" s="86"/>
      <c r="F10" s="86"/>
      <c r="G10" s="86"/>
      <c r="H10" s="86"/>
      <c r="I10" s="85"/>
      <c r="J10" s="86"/>
      <c r="K10" s="86"/>
      <c r="L10" s="86"/>
      <c r="M10" s="86"/>
      <c r="N10" s="86"/>
      <c r="O10" s="86"/>
      <c r="P10" s="90"/>
    </row>
    <row r="11" spans="1:16" ht="18.5" x14ac:dyDescent="0.45">
      <c r="A11" s="89"/>
      <c r="B11" s="85"/>
      <c r="C11" s="624" t="s">
        <v>87</v>
      </c>
      <c r="D11" s="89"/>
      <c r="E11" s="86"/>
      <c r="F11" s="86"/>
      <c r="G11" s="86"/>
      <c r="H11" s="86"/>
      <c r="I11" s="85"/>
      <c r="J11" s="86"/>
      <c r="K11" s="86"/>
      <c r="L11" s="86"/>
      <c r="M11" s="86"/>
      <c r="N11" s="86"/>
      <c r="O11" s="86"/>
      <c r="P11" s="90"/>
    </row>
    <row r="12" spans="1:16" ht="18.5" x14ac:dyDescent="0.45">
      <c r="A12" s="89" t="s">
        <v>88</v>
      </c>
      <c r="B12" s="85"/>
      <c r="C12" s="624"/>
      <c r="D12" s="85"/>
      <c r="E12" s="86"/>
      <c r="F12" s="86"/>
      <c r="G12" s="86"/>
      <c r="H12" s="86"/>
      <c r="I12" s="85"/>
      <c r="J12" s="86"/>
      <c r="K12" s="86"/>
      <c r="L12" s="86"/>
      <c r="M12" s="86"/>
      <c r="N12" s="86"/>
      <c r="O12" s="86"/>
      <c r="P12" s="90"/>
    </row>
    <row r="13" spans="1:16" ht="21.5" thickBot="1" x14ac:dyDescent="0.55000000000000004">
      <c r="A13" s="625" t="s">
        <v>89</v>
      </c>
      <c r="B13" s="85"/>
      <c r="C13" s="624"/>
      <c r="D13" s="85"/>
      <c r="E13" s="86"/>
      <c r="F13" s="86"/>
      <c r="G13" s="86"/>
      <c r="H13" s="86"/>
      <c r="I13" s="85"/>
      <c r="J13" s="86"/>
      <c r="K13" s="87"/>
      <c r="L13" s="88"/>
      <c r="M13" s="87"/>
      <c r="N13" s="89"/>
      <c r="O13" s="90"/>
      <c r="P13" s="90"/>
    </row>
    <row r="14" spans="1:16" ht="21" x14ac:dyDescent="0.5">
      <c r="A14" s="89" t="s">
        <v>90</v>
      </c>
      <c r="B14" s="85"/>
      <c r="C14" s="84" t="s">
        <v>384</v>
      </c>
      <c r="D14" s="85"/>
      <c r="E14" s="86"/>
      <c r="F14" s="86"/>
      <c r="G14" s="86"/>
      <c r="H14" s="86"/>
      <c r="I14" s="85"/>
      <c r="J14" s="86"/>
      <c r="K14" s="87"/>
      <c r="L14" s="88"/>
      <c r="M14" s="87"/>
      <c r="N14" s="89"/>
      <c r="O14" s="90"/>
      <c r="P14" s="90"/>
    </row>
    <row r="15" spans="1:16" ht="21" x14ac:dyDescent="0.5">
      <c r="A15" s="89" t="s">
        <v>91</v>
      </c>
      <c r="B15" s="85"/>
      <c r="C15" s="84" t="s">
        <v>418</v>
      </c>
      <c r="D15" s="85"/>
      <c r="E15" s="86"/>
      <c r="F15" s="86"/>
      <c r="G15" s="86"/>
      <c r="H15" s="86"/>
      <c r="I15" s="85"/>
      <c r="J15" s="86"/>
      <c r="K15" s="87"/>
      <c r="L15" s="88"/>
      <c r="M15" s="87"/>
      <c r="N15" s="89"/>
      <c r="O15" s="90"/>
      <c r="P15" s="90"/>
    </row>
    <row r="16" spans="1:16" ht="21" x14ac:dyDescent="0.5">
      <c r="A16" s="89" t="s">
        <v>92</v>
      </c>
      <c r="B16" s="85"/>
      <c r="C16" s="84" t="s">
        <v>385</v>
      </c>
      <c r="D16" s="85"/>
      <c r="E16" s="85"/>
      <c r="F16" s="85"/>
      <c r="G16" s="85"/>
      <c r="H16" s="85"/>
      <c r="I16" s="85"/>
      <c r="J16" s="86"/>
      <c r="K16" s="87"/>
      <c r="L16" s="87"/>
      <c r="M16" s="87"/>
      <c r="N16" s="91"/>
      <c r="O16" s="90"/>
      <c r="P16" s="90"/>
    </row>
    <row r="17" spans="1:17" ht="21" x14ac:dyDescent="0.5">
      <c r="A17" s="89" t="s">
        <v>93</v>
      </c>
      <c r="B17" s="85"/>
      <c r="C17" s="84" t="s">
        <v>250</v>
      </c>
      <c r="D17" s="85"/>
      <c r="E17" s="85"/>
      <c r="F17" s="85"/>
      <c r="G17" s="85"/>
      <c r="H17" s="85"/>
      <c r="I17" s="85"/>
      <c r="J17" s="86"/>
      <c r="K17" s="87"/>
      <c r="L17" s="87"/>
      <c r="M17" s="87"/>
      <c r="N17" s="91"/>
      <c r="O17" s="90"/>
      <c r="P17" s="90"/>
    </row>
    <row r="18" spans="1:17" ht="21" x14ac:dyDescent="0.5">
      <c r="A18" s="89" t="s">
        <v>94</v>
      </c>
      <c r="B18" s="85"/>
      <c r="C18" s="85" t="s">
        <v>95</v>
      </c>
      <c r="D18" s="85"/>
      <c r="E18" s="85"/>
      <c r="F18" s="85"/>
      <c r="G18" s="85"/>
      <c r="H18" s="85"/>
      <c r="I18" s="85"/>
      <c r="J18" s="85"/>
      <c r="K18" s="87"/>
      <c r="L18" s="87"/>
      <c r="M18" s="87"/>
      <c r="N18" s="89"/>
      <c r="O18" s="90"/>
      <c r="P18" s="90"/>
    </row>
    <row r="19" spans="1:17" ht="21" x14ac:dyDescent="0.5">
      <c r="A19" s="89" t="s">
        <v>96</v>
      </c>
      <c r="B19" s="85"/>
      <c r="C19" s="85" t="s">
        <v>350</v>
      </c>
      <c r="D19" s="85"/>
      <c r="E19" s="85"/>
      <c r="F19" s="85"/>
      <c r="G19" s="85"/>
      <c r="H19" s="85"/>
      <c r="I19" s="85"/>
      <c r="J19" s="85"/>
      <c r="K19" s="87"/>
      <c r="L19" s="87"/>
      <c r="M19" s="87"/>
      <c r="N19" s="89"/>
      <c r="O19" s="90"/>
      <c r="P19" s="90"/>
    </row>
    <row r="20" spans="1:17" ht="21" x14ac:dyDescent="0.5">
      <c r="A20" s="89"/>
      <c r="B20" s="85"/>
      <c r="C20" s="84" t="s">
        <v>415</v>
      </c>
      <c r="D20" s="85"/>
      <c r="E20" s="85"/>
      <c r="F20" s="85"/>
      <c r="G20" s="85"/>
      <c r="H20" s="85"/>
      <c r="I20" s="85"/>
      <c r="J20" s="85"/>
      <c r="K20" s="87"/>
      <c r="L20" s="87"/>
      <c r="M20" s="87"/>
      <c r="N20" s="89"/>
      <c r="O20" s="90"/>
      <c r="P20" s="90"/>
    </row>
    <row r="21" spans="1:17" ht="21" x14ac:dyDescent="0.5">
      <c r="A21" s="89"/>
      <c r="B21" s="85"/>
      <c r="C21" s="84" t="s">
        <v>416</v>
      </c>
      <c r="D21" s="85"/>
      <c r="E21" s="85"/>
      <c r="F21" s="85"/>
      <c r="G21" s="85"/>
      <c r="H21" s="85"/>
      <c r="I21" s="85"/>
      <c r="J21" s="85"/>
      <c r="K21" s="87"/>
      <c r="L21" s="87"/>
      <c r="M21" s="87"/>
      <c r="N21" s="89"/>
      <c r="O21" s="90"/>
      <c r="P21" s="90"/>
    </row>
    <row r="22" spans="1:17" ht="21" x14ac:dyDescent="0.5">
      <c r="A22" s="89" t="s">
        <v>97</v>
      </c>
      <c r="B22" s="85"/>
      <c r="C22" s="85" t="s">
        <v>98</v>
      </c>
      <c r="D22" s="85"/>
      <c r="E22" s="85"/>
      <c r="F22" s="85"/>
      <c r="G22" s="85"/>
      <c r="H22" s="85"/>
      <c r="I22" s="85"/>
      <c r="J22" s="85"/>
      <c r="K22" s="87"/>
      <c r="L22" s="87"/>
      <c r="M22" s="87"/>
      <c r="N22" s="89"/>
      <c r="O22" s="90"/>
      <c r="P22" s="90"/>
    </row>
    <row r="23" spans="1:17" ht="21" x14ac:dyDescent="0.5">
      <c r="A23" s="89" t="s">
        <v>99</v>
      </c>
      <c r="B23" s="85"/>
      <c r="C23" s="84" t="s">
        <v>351</v>
      </c>
      <c r="D23" s="85"/>
      <c r="E23" s="85"/>
      <c r="F23" s="85"/>
      <c r="G23" s="85"/>
      <c r="H23" s="85"/>
      <c r="I23" s="85"/>
      <c r="J23" s="85"/>
      <c r="K23" s="87"/>
      <c r="L23" s="87"/>
      <c r="M23" s="87"/>
      <c r="N23" s="89"/>
      <c r="O23" s="90"/>
      <c r="P23" s="90"/>
    </row>
    <row r="24" spans="1:17" ht="21" x14ac:dyDescent="0.5">
      <c r="A24" s="89"/>
      <c r="B24" s="85"/>
      <c r="C24" s="84" t="s">
        <v>352</v>
      </c>
      <c r="D24" s="85"/>
      <c r="E24" s="85"/>
      <c r="F24" s="85"/>
      <c r="G24" s="85"/>
      <c r="H24" s="85"/>
      <c r="I24" s="85"/>
      <c r="J24" s="85"/>
      <c r="K24" s="87"/>
      <c r="L24" s="87"/>
      <c r="M24" s="87"/>
      <c r="N24" s="89"/>
      <c r="O24" s="90"/>
      <c r="P24" s="90"/>
    </row>
    <row r="25" spans="1:17" ht="21" x14ac:dyDescent="0.5">
      <c r="A25" s="89" t="s">
        <v>100</v>
      </c>
      <c r="B25" s="85"/>
      <c r="C25" s="84" t="s">
        <v>353</v>
      </c>
      <c r="D25" s="85"/>
      <c r="E25" s="85"/>
      <c r="F25" s="85"/>
      <c r="G25" s="85"/>
      <c r="H25" s="85"/>
      <c r="I25" s="85"/>
      <c r="J25" s="85"/>
      <c r="K25" s="87"/>
      <c r="L25" s="87"/>
      <c r="M25" s="87"/>
      <c r="N25" s="89"/>
      <c r="O25" s="90"/>
      <c r="P25" s="90"/>
    </row>
    <row r="26" spans="1:17" ht="21" x14ac:dyDescent="0.5">
      <c r="A26" s="89"/>
      <c r="B26" s="85"/>
      <c r="C26" s="120" t="s">
        <v>386</v>
      </c>
      <c r="D26" s="85"/>
      <c r="E26" s="85"/>
      <c r="F26" s="85"/>
      <c r="G26" s="85"/>
      <c r="H26" s="85"/>
      <c r="I26" s="85"/>
      <c r="J26" s="85"/>
      <c r="K26" s="87"/>
      <c r="L26" s="87"/>
      <c r="M26" s="87"/>
      <c r="N26" s="89"/>
      <c r="P26" s="90"/>
    </row>
    <row r="27" spans="1:17" ht="21" x14ac:dyDescent="0.5">
      <c r="A27" s="89"/>
      <c r="B27" s="85"/>
      <c r="C27" s="84" t="s">
        <v>354</v>
      </c>
      <c r="D27" s="85"/>
      <c r="E27" s="85"/>
      <c r="F27" s="85"/>
      <c r="G27" s="85"/>
      <c r="H27" s="85"/>
      <c r="I27" s="85"/>
      <c r="J27" s="85"/>
      <c r="K27" s="87"/>
      <c r="L27" s="87"/>
      <c r="M27" s="87"/>
      <c r="N27" s="89"/>
      <c r="O27" s="90"/>
      <c r="P27" s="90"/>
      <c r="Q27" s="90"/>
    </row>
    <row r="28" spans="1:17" ht="21" x14ac:dyDescent="0.5">
      <c r="A28" s="89" t="s">
        <v>101</v>
      </c>
      <c r="B28" s="85"/>
      <c r="C28" s="84" t="s">
        <v>355</v>
      </c>
      <c r="D28" s="85"/>
      <c r="E28" s="85"/>
      <c r="F28" s="85"/>
      <c r="G28" s="85"/>
      <c r="H28" s="85"/>
      <c r="I28" s="85"/>
      <c r="J28" s="85"/>
      <c r="K28" s="87"/>
      <c r="L28" s="87"/>
      <c r="M28" s="87"/>
      <c r="N28" s="89"/>
      <c r="O28" s="90"/>
      <c r="P28" s="90"/>
    </row>
    <row r="29" spans="1:17" ht="21" x14ac:dyDescent="0.5">
      <c r="A29" s="89" t="s">
        <v>102</v>
      </c>
      <c r="B29" s="85"/>
      <c r="C29" s="85" t="s">
        <v>356</v>
      </c>
      <c r="D29" s="85"/>
      <c r="E29" s="85"/>
      <c r="F29" s="85"/>
      <c r="G29" s="85"/>
      <c r="H29" s="85"/>
      <c r="I29" s="85"/>
      <c r="J29" s="85"/>
      <c r="K29" s="87"/>
      <c r="L29" s="87"/>
      <c r="M29" s="87"/>
      <c r="N29" s="89"/>
      <c r="O29" s="90"/>
      <c r="P29" s="90"/>
    </row>
    <row r="30" spans="1:17" ht="21" x14ac:dyDescent="0.5">
      <c r="A30" s="89"/>
      <c r="B30" s="85"/>
      <c r="C30" s="84" t="s">
        <v>357</v>
      </c>
      <c r="D30" s="85"/>
      <c r="E30" s="85"/>
      <c r="F30" s="85"/>
      <c r="G30" s="85"/>
      <c r="H30" s="85"/>
      <c r="I30" s="85"/>
      <c r="J30" s="85"/>
      <c r="K30" s="87"/>
      <c r="L30" s="87"/>
      <c r="M30" s="87"/>
      <c r="N30" s="89"/>
      <c r="O30" s="90"/>
      <c r="P30" s="90"/>
    </row>
    <row r="31" spans="1:17" ht="21" x14ac:dyDescent="0.5">
      <c r="A31" s="89"/>
      <c r="B31" s="85"/>
      <c r="C31" s="84" t="s">
        <v>358</v>
      </c>
      <c r="D31" s="85"/>
      <c r="E31" s="85"/>
      <c r="F31" s="85"/>
      <c r="G31" s="85"/>
      <c r="H31" s="85"/>
      <c r="I31" s="85"/>
      <c r="J31" s="85"/>
      <c r="K31" s="87"/>
      <c r="L31" s="87"/>
      <c r="M31" s="87"/>
      <c r="N31" s="89"/>
      <c r="O31" s="90"/>
      <c r="P31" s="90"/>
    </row>
    <row r="32" spans="1:17" ht="21" x14ac:dyDescent="0.5">
      <c r="A32" s="89"/>
      <c r="B32" s="85"/>
      <c r="C32" s="85" t="s">
        <v>359</v>
      </c>
      <c r="D32" s="85"/>
      <c r="E32" s="85"/>
      <c r="F32" s="85"/>
      <c r="G32" s="85"/>
      <c r="H32" s="85"/>
      <c r="I32" s="85"/>
      <c r="J32" s="85"/>
      <c r="K32" s="87"/>
      <c r="L32" s="87"/>
      <c r="M32" s="87"/>
      <c r="N32" s="89"/>
      <c r="O32" s="90"/>
      <c r="P32" s="90"/>
    </row>
    <row r="33" spans="1:16" ht="21" x14ac:dyDescent="0.5">
      <c r="A33" s="89"/>
      <c r="B33" s="85"/>
      <c r="C33" s="84" t="s">
        <v>360</v>
      </c>
      <c r="D33" s="85"/>
      <c r="E33" s="85"/>
      <c r="F33" s="85"/>
      <c r="G33" s="85"/>
      <c r="H33" s="85"/>
      <c r="I33" s="85"/>
      <c r="J33" s="85"/>
      <c r="K33" s="87"/>
      <c r="L33" s="87"/>
      <c r="M33" s="87"/>
      <c r="N33" s="89"/>
      <c r="O33" s="90"/>
      <c r="P33" s="90"/>
    </row>
    <row r="34" spans="1:16" ht="21" x14ac:dyDescent="0.5">
      <c r="A34" s="89"/>
      <c r="B34" s="85"/>
      <c r="C34" s="84" t="s">
        <v>361</v>
      </c>
      <c r="D34" s="85"/>
      <c r="E34" s="85"/>
      <c r="F34" s="85"/>
      <c r="G34" s="85"/>
      <c r="H34" s="85"/>
      <c r="I34" s="85"/>
      <c r="J34" s="85"/>
      <c r="K34" s="87"/>
      <c r="L34" s="87"/>
      <c r="M34" s="87"/>
      <c r="N34" s="89"/>
      <c r="O34" s="90"/>
      <c r="P34" s="90"/>
    </row>
    <row r="35" spans="1:16" ht="21" x14ac:dyDescent="0.5">
      <c r="A35" s="89"/>
      <c r="B35" s="85"/>
      <c r="C35" s="84" t="s">
        <v>426</v>
      </c>
      <c r="D35" s="85"/>
      <c r="E35" s="85"/>
      <c r="F35" s="85"/>
      <c r="G35" s="85"/>
      <c r="H35" s="85"/>
      <c r="I35" s="85"/>
      <c r="J35" s="85"/>
      <c r="K35" s="87"/>
      <c r="L35" s="87"/>
      <c r="M35" s="87"/>
      <c r="N35" s="89"/>
      <c r="O35" s="90"/>
      <c r="P35" s="90"/>
    </row>
    <row r="36" spans="1:16" ht="21" x14ac:dyDescent="0.5">
      <c r="A36" s="89" t="s">
        <v>0</v>
      </c>
      <c r="B36" s="85"/>
      <c r="C36" s="85" t="s">
        <v>103</v>
      </c>
      <c r="D36" s="85" t="s">
        <v>104</v>
      </c>
      <c r="E36" s="626">
        <v>0.21</v>
      </c>
      <c r="F36" s="85"/>
      <c r="G36" s="85"/>
      <c r="H36" s="85"/>
      <c r="I36" s="85"/>
      <c r="J36" s="85"/>
      <c r="K36" s="87"/>
      <c r="L36" s="87"/>
      <c r="M36" s="87"/>
      <c r="N36" s="89"/>
      <c r="O36" s="90"/>
      <c r="P36" s="90"/>
    </row>
    <row r="37" spans="1:16" ht="21" x14ac:dyDescent="0.5">
      <c r="A37" s="89"/>
      <c r="B37" s="85"/>
      <c r="C37" s="85"/>
      <c r="D37" s="85" t="s">
        <v>105</v>
      </c>
      <c r="E37" s="626">
        <v>0.05</v>
      </c>
      <c r="F37" s="85" t="s">
        <v>106</v>
      </c>
      <c r="G37" s="85"/>
      <c r="H37" s="85"/>
      <c r="I37" s="85"/>
      <c r="J37" s="85"/>
      <c r="K37" s="87"/>
      <c r="L37" s="87"/>
      <c r="M37" s="87"/>
      <c r="N37" s="89"/>
      <c r="O37" s="90"/>
      <c r="P37" s="90"/>
    </row>
    <row r="38" spans="1:16" ht="21" x14ac:dyDescent="0.5">
      <c r="A38" s="89"/>
      <c r="B38" s="85"/>
      <c r="C38" s="85"/>
      <c r="D38" s="85" t="s">
        <v>107</v>
      </c>
      <c r="E38" s="626">
        <v>0</v>
      </c>
      <c r="F38" s="85" t="s">
        <v>108</v>
      </c>
      <c r="G38" s="85"/>
      <c r="H38" s="85"/>
      <c r="I38" s="85"/>
      <c r="J38" s="85"/>
      <c r="K38" s="87"/>
      <c r="L38" s="87"/>
      <c r="M38" s="87"/>
      <c r="N38" s="89"/>
      <c r="O38" s="90"/>
      <c r="P38" s="173"/>
    </row>
    <row r="39" spans="1:16" ht="21" x14ac:dyDescent="0.5">
      <c r="A39" s="89" t="s">
        <v>109</v>
      </c>
      <c r="B39" s="85"/>
      <c r="C39" s="85" t="s">
        <v>110</v>
      </c>
      <c r="D39" s="85"/>
      <c r="E39" s="85"/>
      <c r="F39" s="85"/>
      <c r="G39" s="85"/>
      <c r="H39" s="85"/>
      <c r="I39" s="85"/>
      <c r="J39" s="85"/>
      <c r="K39" s="87"/>
      <c r="L39" s="87"/>
      <c r="M39" s="87"/>
      <c r="N39" s="89"/>
      <c r="O39" s="90"/>
      <c r="P39" s="90"/>
    </row>
    <row r="40" spans="1:16" ht="21" x14ac:dyDescent="0.5">
      <c r="A40" s="89" t="s">
        <v>111</v>
      </c>
      <c r="B40" s="85"/>
      <c r="C40" s="85" t="s">
        <v>362</v>
      </c>
      <c r="D40" s="85"/>
      <c r="E40" s="85"/>
      <c r="F40" s="85"/>
      <c r="G40" s="85"/>
      <c r="H40" s="85"/>
      <c r="I40" s="85"/>
      <c r="J40" s="85"/>
      <c r="K40" s="87"/>
      <c r="L40" s="87"/>
      <c r="M40" s="87"/>
      <c r="N40" s="89"/>
      <c r="O40" s="90"/>
      <c r="P40" s="90"/>
    </row>
    <row r="41" spans="1:16" ht="21" x14ac:dyDescent="0.5">
      <c r="A41" s="89"/>
      <c r="B41" s="85"/>
      <c r="C41" s="85" t="s">
        <v>363</v>
      </c>
      <c r="D41" s="85"/>
      <c r="E41" s="85"/>
      <c r="F41" s="85"/>
      <c r="G41" s="85"/>
      <c r="H41" s="85"/>
      <c r="I41" s="85"/>
      <c r="J41" s="85"/>
      <c r="K41" s="87"/>
      <c r="L41" s="87"/>
      <c r="M41" s="87"/>
      <c r="N41" s="89"/>
      <c r="O41" s="90"/>
      <c r="P41" s="90"/>
    </row>
    <row r="42" spans="1:16" ht="21" x14ac:dyDescent="0.5">
      <c r="A42" s="89" t="s">
        <v>112</v>
      </c>
      <c r="B42" s="85"/>
      <c r="C42" s="85" t="s">
        <v>364</v>
      </c>
      <c r="D42" s="85"/>
      <c r="E42" s="85"/>
      <c r="F42" s="85"/>
      <c r="G42" s="85"/>
      <c r="H42" s="85"/>
      <c r="I42" s="85"/>
      <c r="J42" s="85"/>
      <c r="K42" s="87"/>
      <c r="L42" s="87"/>
      <c r="M42" s="87"/>
      <c r="N42" s="89"/>
      <c r="O42" s="90"/>
      <c r="P42" s="90"/>
    </row>
    <row r="43" spans="1:16" ht="21" x14ac:dyDescent="0.5">
      <c r="A43" s="89"/>
      <c r="B43" s="85"/>
      <c r="C43" s="84" t="s">
        <v>365</v>
      </c>
      <c r="D43" s="85"/>
      <c r="E43" s="85"/>
      <c r="F43" s="85"/>
      <c r="G43" s="85"/>
      <c r="H43" s="85"/>
      <c r="I43" s="85"/>
      <c r="J43" s="85"/>
      <c r="K43" s="87"/>
      <c r="L43" s="87"/>
      <c r="M43" s="87"/>
      <c r="N43" s="89"/>
      <c r="O43" s="90"/>
      <c r="P43" s="90"/>
    </row>
    <row r="44" spans="1:16" ht="21" x14ac:dyDescent="0.5">
      <c r="A44" s="89"/>
      <c r="B44" s="85"/>
      <c r="C44" s="85" t="s">
        <v>366</v>
      </c>
      <c r="D44" s="85"/>
      <c r="E44" s="85"/>
      <c r="F44" s="85"/>
      <c r="G44" s="85"/>
      <c r="H44" s="85"/>
      <c r="I44" s="85"/>
      <c r="J44" s="85"/>
      <c r="K44" s="87"/>
      <c r="L44" s="87"/>
      <c r="M44" s="87"/>
      <c r="N44" s="89"/>
      <c r="O44" s="90"/>
      <c r="P44" s="90"/>
    </row>
    <row r="45" spans="1:16" ht="21" x14ac:dyDescent="0.5">
      <c r="A45" s="89"/>
      <c r="B45" s="85"/>
      <c r="C45" s="85" t="s">
        <v>367</v>
      </c>
      <c r="D45" s="85"/>
      <c r="E45" s="85"/>
      <c r="F45" s="85"/>
      <c r="G45" s="85"/>
      <c r="H45" s="85"/>
      <c r="I45" s="85"/>
      <c r="J45" s="85"/>
      <c r="K45" s="87"/>
      <c r="L45" s="87"/>
      <c r="M45" s="87"/>
      <c r="N45" s="89"/>
      <c r="O45" s="90"/>
      <c r="P45" s="90"/>
    </row>
    <row r="46" spans="1:16" ht="21" x14ac:dyDescent="0.5">
      <c r="A46" s="89" t="s">
        <v>113</v>
      </c>
      <c r="B46" s="85"/>
      <c r="C46" s="84" t="s">
        <v>394</v>
      </c>
      <c r="D46" s="85"/>
      <c r="E46" s="85"/>
      <c r="F46" s="85"/>
      <c r="G46" s="85"/>
      <c r="H46" s="85"/>
      <c r="I46" s="85"/>
      <c r="J46" s="85"/>
      <c r="K46" s="87"/>
      <c r="L46" s="87"/>
      <c r="M46" s="87"/>
      <c r="N46" s="89"/>
      <c r="O46" s="90"/>
      <c r="P46" s="90"/>
    </row>
    <row r="47" spans="1:16" ht="21" x14ac:dyDescent="0.5">
      <c r="A47" s="89" t="s">
        <v>114</v>
      </c>
      <c r="B47" s="85"/>
      <c r="C47" s="84" t="s">
        <v>395</v>
      </c>
      <c r="D47" s="85"/>
      <c r="E47" s="85"/>
      <c r="F47" s="85"/>
      <c r="G47" s="85"/>
      <c r="H47" s="85"/>
      <c r="I47" s="85"/>
      <c r="J47" s="85"/>
      <c r="K47" s="87"/>
      <c r="L47" s="87"/>
      <c r="M47" s="87"/>
      <c r="N47" s="89"/>
      <c r="O47" s="90"/>
      <c r="P47" s="90"/>
    </row>
    <row r="48" spans="1:16" ht="21" x14ac:dyDescent="0.5">
      <c r="A48" s="89"/>
      <c r="B48" s="85"/>
      <c r="C48" s="85" t="s">
        <v>368</v>
      </c>
      <c r="D48" s="85"/>
      <c r="E48" s="85"/>
      <c r="F48" s="85"/>
      <c r="G48" s="85"/>
      <c r="H48" s="85"/>
      <c r="I48" s="85"/>
      <c r="J48" s="85"/>
      <c r="K48" s="87"/>
      <c r="L48" s="87"/>
      <c r="M48" s="87"/>
      <c r="N48" s="89"/>
      <c r="O48" s="90"/>
      <c r="P48" s="90"/>
    </row>
    <row r="49" spans="1:19" ht="21" x14ac:dyDescent="0.5">
      <c r="A49" s="89" t="s">
        <v>115</v>
      </c>
      <c r="B49" s="85"/>
      <c r="C49" s="84" t="s">
        <v>369</v>
      </c>
      <c r="D49" s="85"/>
      <c r="E49" s="85"/>
      <c r="F49" s="85"/>
      <c r="G49" s="85"/>
      <c r="H49" s="85"/>
      <c r="I49" s="85"/>
      <c r="J49" s="85"/>
      <c r="K49" s="87"/>
      <c r="L49" s="87"/>
      <c r="M49" s="87"/>
      <c r="N49" s="89"/>
      <c r="O49" s="90"/>
      <c r="P49" s="90"/>
    </row>
    <row r="50" spans="1:19" ht="21" x14ac:dyDescent="0.5">
      <c r="A50" s="89"/>
      <c r="B50" s="85"/>
      <c r="C50" s="85" t="s">
        <v>370</v>
      </c>
      <c r="D50" s="85"/>
      <c r="E50" s="85"/>
      <c r="F50" s="85"/>
      <c r="G50" s="85"/>
      <c r="H50" s="85"/>
      <c r="I50" s="85"/>
      <c r="J50" s="85"/>
      <c r="K50" s="87"/>
      <c r="L50" s="87"/>
      <c r="M50" s="87"/>
      <c r="N50" s="89"/>
      <c r="O50" s="90"/>
      <c r="P50" s="90"/>
    </row>
    <row r="51" spans="1:19" ht="21" x14ac:dyDescent="0.5">
      <c r="A51" s="89" t="s">
        <v>116</v>
      </c>
      <c r="B51" s="85"/>
      <c r="C51" s="85" t="s">
        <v>117</v>
      </c>
      <c r="D51" s="85"/>
      <c r="E51" s="85"/>
      <c r="F51" s="85"/>
      <c r="G51" s="85"/>
      <c r="H51" s="85"/>
      <c r="I51" s="85"/>
      <c r="J51" s="85"/>
      <c r="K51" s="87"/>
      <c r="L51" s="87"/>
      <c r="M51" s="87"/>
      <c r="N51" s="89"/>
      <c r="O51" s="90"/>
      <c r="P51" s="90"/>
    </row>
    <row r="52" spans="1:19" ht="18.5" x14ac:dyDescent="0.45">
      <c r="A52" s="89" t="s">
        <v>118</v>
      </c>
      <c r="B52" s="93"/>
      <c r="C52" s="552" t="s">
        <v>1118</v>
      </c>
      <c r="D52" s="93"/>
      <c r="E52" s="93"/>
      <c r="F52" s="93"/>
      <c r="G52" s="93"/>
      <c r="H52" s="93"/>
      <c r="I52" s="93"/>
      <c r="J52" s="93"/>
      <c r="K52" s="93"/>
      <c r="L52" s="93"/>
      <c r="M52" s="93"/>
      <c r="N52" s="82"/>
      <c r="O52" s="90"/>
      <c r="P52" s="90"/>
    </row>
    <row r="53" spans="1:19" ht="18.5" x14ac:dyDescent="0.45">
      <c r="A53" s="99" t="s">
        <v>119</v>
      </c>
      <c r="B53" s="92"/>
      <c r="C53" s="94" t="s">
        <v>371</v>
      </c>
      <c r="D53" s="90"/>
      <c r="E53" s="90"/>
      <c r="F53" s="90"/>
      <c r="G53" s="90"/>
      <c r="H53" s="90"/>
      <c r="I53" s="90"/>
      <c r="J53" s="90"/>
      <c r="K53" s="90"/>
      <c r="L53" s="90"/>
      <c r="M53" s="90"/>
      <c r="N53" s="90"/>
      <c r="O53" s="90"/>
      <c r="P53" s="90"/>
    </row>
    <row r="54" spans="1:19" ht="18.5" x14ac:dyDescent="0.45">
      <c r="A54" s="92"/>
      <c r="B54" s="92"/>
      <c r="C54" s="94" t="s">
        <v>372</v>
      </c>
      <c r="D54" s="95"/>
      <c r="E54" s="90"/>
      <c r="F54" s="90"/>
      <c r="G54" s="90"/>
      <c r="H54" s="90"/>
      <c r="I54" s="90"/>
      <c r="J54" s="90"/>
      <c r="K54" s="90"/>
      <c r="L54" s="90"/>
      <c r="M54" s="90"/>
      <c r="N54" s="90"/>
      <c r="O54" s="90"/>
      <c r="P54" s="90"/>
    </row>
    <row r="55" spans="1:19" ht="18.5" x14ac:dyDescent="0.45">
      <c r="A55" s="92"/>
      <c r="B55" s="92"/>
      <c r="C55" s="94" t="s">
        <v>373</v>
      </c>
      <c r="D55" s="97"/>
      <c r="E55" s="97"/>
      <c r="F55" s="97"/>
      <c r="G55" s="97"/>
      <c r="H55" s="97"/>
      <c r="I55" s="97"/>
      <c r="J55" s="97"/>
      <c r="K55" s="97"/>
      <c r="L55" s="97"/>
      <c r="M55" s="97"/>
      <c r="N55" s="97"/>
      <c r="O55" s="97"/>
      <c r="P55" s="90"/>
    </row>
    <row r="56" spans="1:19" ht="18.5" x14ac:dyDescent="0.45">
      <c r="A56" s="92"/>
      <c r="B56" s="92"/>
      <c r="C56" s="94" t="s">
        <v>374</v>
      </c>
      <c r="D56" s="97"/>
      <c r="E56" s="98"/>
      <c r="F56" s="97"/>
      <c r="G56" s="97"/>
      <c r="H56" s="97"/>
      <c r="I56" s="97"/>
      <c r="J56" s="97"/>
      <c r="K56" s="97"/>
      <c r="L56" s="97"/>
      <c r="M56" s="97"/>
      <c r="N56" s="97"/>
      <c r="O56" s="97"/>
      <c r="P56" s="97"/>
      <c r="Q56" s="100"/>
      <c r="R56" s="100"/>
      <c r="S56" s="100"/>
    </row>
    <row r="57" spans="1:19" ht="18.5" x14ac:dyDescent="0.45">
      <c r="A57" s="99" t="s">
        <v>120</v>
      </c>
      <c r="B57" s="92"/>
      <c r="C57" s="96" t="s">
        <v>121</v>
      </c>
      <c r="D57" s="97"/>
      <c r="E57" s="97"/>
      <c r="F57" s="97"/>
      <c r="G57" s="97"/>
      <c r="H57" s="97"/>
      <c r="I57" s="97"/>
      <c r="J57" s="97"/>
      <c r="K57" s="97"/>
      <c r="L57" s="97"/>
      <c r="M57" s="97"/>
      <c r="P57" s="97"/>
      <c r="Q57" s="100"/>
      <c r="R57" s="100"/>
      <c r="S57" s="100"/>
    </row>
    <row r="58" spans="1:19" ht="18.5" x14ac:dyDescent="0.45">
      <c r="A58" s="99" t="s">
        <v>122</v>
      </c>
      <c r="B58" s="92"/>
      <c r="C58" s="94" t="s">
        <v>375</v>
      </c>
      <c r="D58" s="97"/>
      <c r="E58" s="97"/>
      <c r="F58" s="97"/>
      <c r="G58" s="97"/>
      <c r="H58" s="97"/>
      <c r="I58" s="97"/>
      <c r="J58" s="97"/>
      <c r="K58" s="97"/>
      <c r="L58" s="97"/>
      <c r="M58" s="97"/>
      <c r="N58" s="97"/>
      <c r="O58" s="97"/>
    </row>
    <row r="59" spans="1:19" ht="18.5" x14ac:dyDescent="0.45">
      <c r="A59" s="99"/>
      <c r="B59" s="92"/>
      <c r="C59" s="94" t="s">
        <v>376</v>
      </c>
      <c r="D59" s="97"/>
      <c r="E59" s="97"/>
      <c r="F59" s="97"/>
      <c r="G59" s="97"/>
      <c r="H59" s="97"/>
      <c r="I59" s="97"/>
      <c r="J59" s="97"/>
      <c r="K59" s="97"/>
      <c r="L59" s="97"/>
      <c r="M59" s="97"/>
      <c r="N59" s="97"/>
      <c r="O59" s="97"/>
    </row>
    <row r="60" spans="1:19" ht="18.5" x14ac:dyDescent="0.45">
      <c r="A60" s="99" t="s">
        <v>285</v>
      </c>
      <c r="B60" s="92"/>
      <c r="C60" s="94" t="s">
        <v>406</v>
      </c>
      <c r="D60" s="97"/>
      <c r="E60" s="97"/>
      <c r="F60" s="97"/>
      <c r="G60" s="97"/>
      <c r="H60" s="97"/>
      <c r="I60" s="97"/>
      <c r="J60" s="97"/>
      <c r="K60" s="97"/>
      <c r="L60" s="97"/>
      <c r="M60" s="97"/>
      <c r="N60" s="97"/>
      <c r="O60" s="97"/>
      <c r="P60" s="97"/>
      <c r="Q60" s="100"/>
      <c r="R60" s="100"/>
      <c r="S60" s="100"/>
    </row>
    <row r="61" spans="1:19" ht="18.5" x14ac:dyDescent="0.45">
      <c r="A61" s="99"/>
      <c r="B61" s="92"/>
      <c r="C61" s="94" t="s">
        <v>396</v>
      </c>
      <c r="D61" s="97"/>
      <c r="E61" s="97"/>
      <c r="F61" s="97"/>
      <c r="G61" s="97"/>
      <c r="H61" s="97"/>
      <c r="I61" s="97"/>
      <c r="J61" s="97"/>
      <c r="K61" s="97"/>
      <c r="L61" s="97"/>
      <c r="M61" s="97"/>
      <c r="N61" s="97"/>
      <c r="O61" s="97"/>
      <c r="P61" s="97"/>
      <c r="Q61" s="100"/>
      <c r="R61" s="100"/>
      <c r="S61" s="100"/>
    </row>
    <row r="62" spans="1:19" ht="18.5" x14ac:dyDescent="0.45">
      <c r="A62" s="99" t="s">
        <v>132</v>
      </c>
      <c r="B62" s="92"/>
      <c r="C62" s="94" t="s">
        <v>419</v>
      </c>
      <c r="D62" s="97"/>
      <c r="E62" s="97"/>
      <c r="F62" s="97"/>
      <c r="G62" s="97"/>
      <c r="H62" s="97"/>
      <c r="I62" s="97"/>
      <c r="J62" s="97"/>
      <c r="K62" s="97"/>
      <c r="L62" s="97"/>
      <c r="M62" s="97"/>
      <c r="N62" s="97"/>
      <c r="O62" s="97"/>
      <c r="P62" s="97"/>
      <c r="Q62" s="100"/>
      <c r="R62" s="100"/>
      <c r="S62" s="100"/>
    </row>
    <row r="63" spans="1:19" ht="18.5" x14ac:dyDescent="0.45">
      <c r="A63" s="99"/>
      <c r="B63" s="92"/>
      <c r="C63" s="94" t="s">
        <v>420</v>
      </c>
      <c r="D63" s="97"/>
      <c r="E63" s="97"/>
      <c r="F63" s="97"/>
      <c r="G63" s="97"/>
      <c r="H63" s="97"/>
      <c r="I63" s="97"/>
      <c r="J63" s="97"/>
      <c r="K63" s="97"/>
      <c r="L63" s="97"/>
      <c r="M63" s="97"/>
      <c r="N63" s="97"/>
      <c r="O63" s="97"/>
      <c r="P63" s="97"/>
      <c r="Q63" s="100"/>
      <c r="R63" s="100"/>
      <c r="S63" s="100"/>
    </row>
    <row r="64" spans="1:19" ht="18.5" x14ac:dyDescent="0.45">
      <c r="A64" s="99" t="s">
        <v>251</v>
      </c>
      <c r="B64" s="92"/>
      <c r="C64" s="94" t="s">
        <v>349</v>
      </c>
      <c r="D64" s="97"/>
      <c r="E64" s="97"/>
      <c r="F64" s="97"/>
      <c r="G64" s="97"/>
      <c r="H64" s="97"/>
      <c r="I64" s="97"/>
      <c r="J64" s="97"/>
      <c r="K64" s="97"/>
      <c r="L64" s="97"/>
      <c r="M64" s="97"/>
      <c r="N64" s="97"/>
      <c r="O64" s="97"/>
      <c r="P64" s="97"/>
      <c r="Q64" s="100"/>
      <c r="R64" s="100"/>
      <c r="S64" s="100"/>
    </row>
    <row r="65" spans="1:19" ht="18.5" x14ac:dyDescent="0.45">
      <c r="A65" s="99" t="s">
        <v>303</v>
      </c>
      <c r="B65" s="92"/>
      <c r="C65" s="94" t="s">
        <v>393</v>
      </c>
      <c r="D65" s="100"/>
      <c r="E65" s="100"/>
      <c r="F65" s="100"/>
      <c r="G65" s="100"/>
      <c r="H65" s="100"/>
      <c r="I65" s="100"/>
      <c r="J65" s="100"/>
      <c r="K65" s="100"/>
      <c r="L65" s="100"/>
      <c r="M65" s="100"/>
      <c r="N65" s="100"/>
      <c r="O65" s="100"/>
      <c r="P65" s="97"/>
      <c r="Q65" s="100"/>
      <c r="R65" s="100"/>
      <c r="S65" s="100"/>
    </row>
    <row r="66" spans="1:19" ht="18.5" x14ac:dyDescent="0.45">
      <c r="A66" s="92"/>
      <c r="B66" s="92"/>
      <c r="C66" s="120" t="s">
        <v>397</v>
      </c>
      <c r="D66" s="100"/>
      <c r="E66" s="100"/>
      <c r="F66" s="100"/>
      <c r="G66" s="100"/>
      <c r="H66" s="100"/>
      <c r="I66" s="100"/>
      <c r="J66" s="100"/>
      <c r="K66" s="100"/>
      <c r="L66" s="100"/>
      <c r="M66" s="100"/>
      <c r="N66" s="100"/>
      <c r="O66" s="100"/>
      <c r="P66" s="100"/>
      <c r="Q66" s="100"/>
      <c r="R66" s="100"/>
      <c r="S66" s="100"/>
    </row>
    <row r="67" spans="1:19" ht="18.5" x14ac:dyDescent="0.45">
      <c r="A67" s="92"/>
      <c r="B67" s="92"/>
      <c r="C67" s="92"/>
      <c r="D67" s="100"/>
      <c r="E67" s="100"/>
      <c r="F67" s="100"/>
      <c r="G67" s="100"/>
      <c r="H67" s="100"/>
      <c r="I67" s="100"/>
      <c r="J67" s="100"/>
      <c r="K67" s="100"/>
      <c r="L67" s="100"/>
      <c r="M67" s="100"/>
      <c r="N67" s="100"/>
      <c r="O67" s="100"/>
      <c r="P67" s="100"/>
      <c r="Q67" s="100"/>
      <c r="R67" s="100"/>
      <c r="S67" s="100"/>
    </row>
    <row r="68" spans="1:19" ht="18.5" x14ac:dyDescent="0.45">
      <c r="A68" s="92"/>
      <c r="B68" s="92"/>
      <c r="C68" s="92"/>
      <c r="D68" s="100"/>
      <c r="E68" s="100"/>
      <c r="F68" s="100"/>
      <c r="G68" s="100"/>
      <c r="H68" s="100"/>
      <c r="I68" s="100"/>
      <c r="J68" s="100"/>
      <c r="K68" s="100"/>
      <c r="L68" s="100"/>
      <c r="M68" s="100"/>
      <c r="N68" s="100"/>
      <c r="O68" s="100"/>
      <c r="P68" s="100"/>
      <c r="Q68" s="100"/>
      <c r="R68" s="100"/>
      <c r="S68" s="100"/>
    </row>
    <row r="69" spans="1:19" ht="18.5" x14ac:dyDescent="0.45">
      <c r="A69" s="92"/>
      <c r="B69" s="92"/>
      <c r="C69" s="92"/>
      <c r="D69" s="100"/>
      <c r="E69" s="100"/>
      <c r="F69" s="100"/>
      <c r="G69" s="100"/>
      <c r="H69" s="100"/>
      <c r="I69" s="100"/>
      <c r="J69" s="100"/>
      <c r="K69" s="100"/>
      <c r="L69" s="100"/>
      <c r="M69" s="100"/>
      <c r="N69" s="100"/>
      <c r="O69" s="100"/>
      <c r="P69" s="100"/>
      <c r="Q69" s="100"/>
      <c r="R69" s="100"/>
      <c r="S69" s="100"/>
    </row>
    <row r="70" spans="1:19" ht="18.5" x14ac:dyDescent="0.45">
      <c r="A70" s="92"/>
      <c r="B70" s="92"/>
      <c r="P70" s="100"/>
      <c r="Q70" s="100"/>
      <c r="R70" s="100"/>
      <c r="S70" s="100"/>
    </row>
    <row r="71" spans="1:19" x14ac:dyDescent="0.35">
      <c r="Q71" s="100"/>
      <c r="R71" s="100"/>
      <c r="S71" s="100"/>
    </row>
    <row r="72" spans="1:19" ht="149.25" customHeight="1" x14ac:dyDescent="0.35">
      <c r="Q72" s="100"/>
      <c r="R72" s="100"/>
      <c r="S72" s="100"/>
    </row>
    <row r="73" spans="1:19" x14ac:dyDescent="0.35">
      <c r="Q73" s="100"/>
      <c r="R73" s="100"/>
      <c r="S73" s="100"/>
    </row>
    <row r="74" spans="1:19" x14ac:dyDescent="0.35">
      <c r="Q74" s="100"/>
      <c r="R74" s="100"/>
      <c r="S74" s="100"/>
    </row>
    <row r="75" spans="1:19" x14ac:dyDescent="0.35">
      <c r="Q75" s="100"/>
      <c r="R75" s="100"/>
      <c r="S75" s="100"/>
    </row>
    <row r="76" spans="1:19" x14ac:dyDescent="0.35">
      <c r="Q76" s="100"/>
      <c r="R76" s="100"/>
      <c r="S76" s="100"/>
    </row>
    <row r="77" spans="1:19" x14ac:dyDescent="0.35">
      <c r="Q77" s="100"/>
      <c r="R77" s="100"/>
      <c r="S77" s="100"/>
    </row>
    <row r="78" spans="1:19" x14ac:dyDescent="0.35">
      <c r="Q78" s="100"/>
      <c r="R78" s="100"/>
      <c r="S78" s="100"/>
    </row>
    <row r="79" spans="1:19" x14ac:dyDescent="0.35">
      <c r="Q79" s="100"/>
      <c r="R79" s="100"/>
      <c r="S79" s="100"/>
    </row>
    <row r="80" spans="1:19" x14ac:dyDescent="0.35">
      <c r="Q80" s="100"/>
      <c r="R80" s="100"/>
      <c r="S80" s="100"/>
    </row>
    <row r="81" spans="17:19" x14ac:dyDescent="0.35">
      <c r="Q81" s="100"/>
      <c r="R81" s="100"/>
      <c r="S81" s="100"/>
    </row>
    <row r="82" spans="17:19" x14ac:dyDescent="0.35">
      <c r="Q82" s="100"/>
      <c r="R82" s="100"/>
      <c r="S82" s="100"/>
    </row>
    <row r="83" spans="17:19" x14ac:dyDescent="0.35">
      <c r="Q83" s="100"/>
      <c r="R83" s="100"/>
      <c r="S83" s="100"/>
    </row>
    <row r="84" spans="17:19" x14ac:dyDescent="0.35">
      <c r="Q84" s="100"/>
      <c r="R84" s="100"/>
      <c r="S84" s="100"/>
    </row>
    <row r="85" spans="17:19" x14ac:dyDescent="0.35">
      <c r="Q85" s="100"/>
      <c r="R85" s="100"/>
      <c r="S85" s="100"/>
    </row>
    <row r="86" spans="17:19" x14ac:dyDescent="0.35">
      <c r="Q86" s="100"/>
      <c r="R86" s="100"/>
      <c r="S86" s="100"/>
    </row>
    <row r="87" spans="17:19" x14ac:dyDescent="0.35">
      <c r="Q87" s="100"/>
      <c r="R87" s="100"/>
      <c r="S87" s="100"/>
    </row>
    <row r="88" spans="17:19" x14ac:dyDescent="0.35">
      <c r="Q88" s="100"/>
      <c r="R88" s="100"/>
      <c r="S88" s="100"/>
    </row>
    <row r="89" spans="17:19" x14ac:dyDescent="0.35">
      <c r="Q89" s="100"/>
      <c r="R89" s="100"/>
      <c r="S89" s="100"/>
    </row>
    <row r="90" spans="17:19" x14ac:dyDescent="0.35">
      <c r="Q90" s="100"/>
      <c r="R90" s="100"/>
      <c r="S90" s="100"/>
    </row>
    <row r="91" spans="17:19" x14ac:dyDescent="0.35">
      <c r="Q91" s="100"/>
      <c r="R91" s="100"/>
      <c r="S91" s="100"/>
    </row>
    <row r="92" spans="17:19" x14ac:dyDescent="0.35">
      <c r="Q92" s="100"/>
      <c r="R92" s="100"/>
      <c r="S92" s="100"/>
    </row>
    <row r="93" spans="17:19" x14ac:dyDescent="0.35">
      <c r="Q93" s="100"/>
      <c r="R93" s="100"/>
      <c r="S93" s="100"/>
    </row>
    <row r="94" spans="17:19" x14ac:dyDescent="0.35">
      <c r="Q94" s="100"/>
      <c r="R94" s="100"/>
      <c r="S94" s="100"/>
    </row>
    <row r="95" spans="17:19" x14ac:dyDescent="0.35">
      <c r="Q95" s="100"/>
      <c r="R95" s="100"/>
      <c r="S95" s="100"/>
    </row>
    <row r="96" spans="17:19" x14ac:dyDescent="0.35">
      <c r="Q96" s="100"/>
      <c r="R96" s="100"/>
      <c r="S96" s="100"/>
    </row>
    <row r="97" spans="17:19" x14ac:dyDescent="0.35">
      <c r="Q97" s="100"/>
      <c r="R97" s="100"/>
      <c r="S97" s="100"/>
    </row>
    <row r="98" spans="17:19" x14ac:dyDescent="0.35">
      <c r="Q98" s="100"/>
      <c r="R98" s="100"/>
      <c r="S98" s="100"/>
    </row>
    <row r="99" spans="17:19" x14ac:dyDescent="0.35">
      <c r="Q99" s="100"/>
      <c r="R99" s="100"/>
      <c r="S99" s="100"/>
    </row>
    <row r="100" spans="17:19" x14ac:dyDescent="0.35">
      <c r="Q100" s="100"/>
      <c r="R100" s="100"/>
      <c r="S100" s="100"/>
    </row>
    <row r="101" spans="17:19" x14ac:dyDescent="0.35">
      <c r="Q101" s="100"/>
      <c r="R101" s="100"/>
      <c r="S101" s="100"/>
    </row>
    <row r="102" spans="17:19" x14ac:dyDescent="0.35">
      <c r="Q102" s="100"/>
      <c r="R102" s="100"/>
      <c r="S102" s="100"/>
    </row>
    <row r="103" spans="17:19" x14ac:dyDescent="0.35">
      <c r="Q103" s="100"/>
      <c r="R103" s="100"/>
      <c r="S103" s="100"/>
    </row>
    <row r="104" spans="17:19" x14ac:dyDescent="0.35">
      <c r="Q104" s="100"/>
      <c r="R104" s="100"/>
      <c r="S104" s="100"/>
    </row>
    <row r="105" spans="17:19" x14ac:dyDescent="0.35">
      <c r="Q105" s="100"/>
      <c r="R105" s="100"/>
      <c r="S105" s="100"/>
    </row>
    <row r="106" spans="17:19" x14ac:dyDescent="0.35">
      <c r="Q106" s="100"/>
      <c r="R106" s="100"/>
      <c r="S106" s="100"/>
    </row>
    <row r="107" spans="17:19" x14ac:dyDescent="0.35">
      <c r="Q107" s="100"/>
      <c r="R107" s="100"/>
      <c r="S107" s="100"/>
    </row>
    <row r="108" spans="17:19" x14ac:dyDescent="0.35">
      <c r="Q108" s="100"/>
      <c r="R108" s="100"/>
      <c r="S108" s="100"/>
    </row>
    <row r="109" spans="17:19" x14ac:dyDescent="0.35">
      <c r="Q109" s="100"/>
      <c r="R109" s="100"/>
      <c r="S109" s="100"/>
    </row>
    <row r="110" spans="17:19" x14ac:dyDescent="0.35">
      <c r="Q110" s="100"/>
      <c r="R110" s="100"/>
      <c r="S110" s="100"/>
    </row>
    <row r="111" spans="17:19" x14ac:dyDescent="0.35">
      <c r="Q111" s="100"/>
      <c r="R111" s="100"/>
      <c r="S111" s="100"/>
    </row>
    <row r="112" spans="17:19" x14ac:dyDescent="0.35">
      <c r="Q112" s="100"/>
      <c r="R112" s="100"/>
      <c r="S112" s="100"/>
    </row>
    <row r="113" spans="17:19" x14ac:dyDescent="0.35">
      <c r="Q113" s="100"/>
      <c r="R113" s="100"/>
      <c r="S113" s="100"/>
    </row>
    <row r="114" spans="17:19" x14ac:dyDescent="0.35">
      <c r="Q114" s="100"/>
      <c r="R114" s="100"/>
      <c r="S114" s="100"/>
    </row>
    <row r="115" spans="17:19" x14ac:dyDescent="0.35">
      <c r="Q115" s="100"/>
      <c r="R115" s="100"/>
      <c r="S115" s="100"/>
    </row>
    <row r="116" spans="17:19" x14ac:dyDescent="0.35">
      <c r="Q116" s="100"/>
      <c r="R116" s="100"/>
      <c r="S116" s="100"/>
    </row>
    <row r="117" spans="17:19" x14ac:dyDescent="0.35">
      <c r="Q117" s="100"/>
      <c r="R117" s="100"/>
      <c r="S117" s="100"/>
    </row>
    <row r="118" spans="17:19" x14ac:dyDescent="0.35">
      <c r="Q118" s="100"/>
      <c r="R118" s="100"/>
      <c r="S118" s="100"/>
    </row>
    <row r="119" spans="17:19" x14ac:dyDescent="0.35">
      <c r="Q119" s="100"/>
      <c r="R119" s="100"/>
      <c r="S119" s="100"/>
    </row>
    <row r="120" spans="17:19" x14ac:dyDescent="0.35">
      <c r="Q120" s="100"/>
      <c r="R120" s="100"/>
      <c r="S120" s="100"/>
    </row>
    <row r="121" spans="17:19" x14ac:dyDescent="0.35">
      <c r="Q121" s="100"/>
      <c r="R121" s="100"/>
      <c r="S121" s="100"/>
    </row>
    <row r="122" spans="17:19" x14ac:dyDescent="0.35">
      <c r="Q122" s="100"/>
      <c r="R122" s="100"/>
      <c r="S122" s="100"/>
    </row>
    <row r="123" spans="17:19" x14ac:dyDescent="0.35">
      <c r="Q123" s="100"/>
      <c r="R123" s="100"/>
      <c r="S123" s="100"/>
    </row>
    <row r="124" spans="17:19" x14ac:dyDescent="0.35">
      <c r="Q124" s="100"/>
      <c r="R124" s="100"/>
      <c r="S124" s="100"/>
    </row>
    <row r="125" spans="17:19" x14ac:dyDescent="0.35">
      <c r="Q125" s="100"/>
      <c r="R125" s="100"/>
      <c r="S125" s="100"/>
    </row>
    <row r="126" spans="17:19" x14ac:dyDescent="0.35">
      <c r="Q126" s="100"/>
      <c r="R126" s="100"/>
      <c r="S126" s="100"/>
    </row>
    <row r="127" spans="17:19" x14ac:dyDescent="0.35">
      <c r="Q127" s="100"/>
      <c r="R127" s="100"/>
      <c r="S127" s="100"/>
    </row>
    <row r="128" spans="17:19" x14ac:dyDescent="0.35">
      <c r="Q128" s="100"/>
      <c r="R128" s="100"/>
      <c r="S128" s="100"/>
    </row>
    <row r="129" spans="17:19" x14ac:dyDescent="0.35">
      <c r="Q129" s="100"/>
      <c r="R129" s="100"/>
      <c r="S129" s="100"/>
    </row>
    <row r="130" spans="17:19" x14ac:dyDescent="0.35">
      <c r="Q130" s="100"/>
      <c r="R130" s="100"/>
      <c r="S130" s="100"/>
    </row>
    <row r="131" spans="17:19" x14ac:dyDescent="0.35">
      <c r="Q131" s="100"/>
      <c r="R131" s="100"/>
      <c r="S131" s="100"/>
    </row>
    <row r="132" spans="17:19" x14ac:dyDescent="0.35">
      <c r="Q132" s="100"/>
      <c r="R132" s="100"/>
      <c r="S132" s="100"/>
    </row>
    <row r="133" spans="17:19" x14ac:dyDescent="0.35">
      <c r="Q133" s="100"/>
      <c r="R133" s="100"/>
      <c r="S133" s="100"/>
    </row>
    <row r="134" spans="17:19" x14ac:dyDescent="0.35">
      <c r="Q134" s="100"/>
      <c r="R134" s="100"/>
      <c r="S134" s="100"/>
    </row>
    <row r="135" spans="17:19" x14ac:dyDescent="0.35">
      <c r="Q135" s="100"/>
      <c r="R135" s="100"/>
      <c r="S135" s="100"/>
    </row>
    <row r="136" spans="17:19" x14ac:dyDescent="0.35">
      <c r="Q136" s="100"/>
      <c r="R136" s="100"/>
      <c r="S136" s="100"/>
    </row>
    <row r="137" spans="17:19" x14ac:dyDescent="0.35">
      <c r="Q137" s="100"/>
      <c r="R137" s="100"/>
      <c r="S137" s="100"/>
    </row>
    <row r="138" spans="17:19" x14ac:dyDescent="0.35">
      <c r="Q138" s="100"/>
      <c r="R138" s="100"/>
      <c r="S138" s="100"/>
    </row>
    <row r="139" spans="17:19" x14ac:dyDescent="0.35">
      <c r="Q139" s="100"/>
      <c r="R139" s="100"/>
      <c r="S139" s="100"/>
    </row>
    <row r="140" spans="17:19" x14ac:dyDescent="0.35">
      <c r="Q140" s="100"/>
      <c r="R140" s="100"/>
      <c r="S140" s="100"/>
    </row>
    <row r="141" spans="17:19" x14ac:dyDescent="0.35">
      <c r="Q141" s="100"/>
      <c r="R141" s="100"/>
      <c r="S141" s="100"/>
    </row>
    <row r="142" spans="17:19" x14ac:dyDescent="0.35">
      <c r="Q142" s="100"/>
      <c r="R142" s="100"/>
      <c r="S142" s="100"/>
    </row>
    <row r="143" spans="17:19" x14ac:dyDescent="0.35">
      <c r="Q143" s="100"/>
      <c r="R143" s="100"/>
      <c r="S143" s="100"/>
    </row>
    <row r="144" spans="17:19" x14ac:dyDescent="0.35">
      <c r="Q144" s="100"/>
      <c r="R144" s="100"/>
      <c r="S144" s="100"/>
    </row>
    <row r="145" spans="17:19" x14ac:dyDescent="0.35">
      <c r="Q145" s="100"/>
      <c r="R145" s="100"/>
      <c r="S145" s="100"/>
    </row>
    <row r="146" spans="17:19" x14ac:dyDescent="0.35">
      <c r="Q146" s="100"/>
      <c r="R146" s="100"/>
      <c r="S146" s="100"/>
    </row>
    <row r="147" spans="17:19" x14ac:dyDescent="0.35">
      <c r="Q147" s="100"/>
      <c r="R147" s="100"/>
      <c r="S147" s="100"/>
    </row>
    <row r="148" spans="17:19" x14ac:dyDescent="0.35">
      <c r="Q148" s="100"/>
      <c r="R148" s="100"/>
      <c r="S148" s="100"/>
    </row>
    <row r="149" spans="17:19" x14ac:dyDescent="0.35">
      <c r="Q149" s="100"/>
      <c r="R149" s="100"/>
      <c r="S149" s="100"/>
    </row>
    <row r="150" spans="17:19" x14ac:dyDescent="0.35">
      <c r="Q150" s="100"/>
      <c r="R150" s="100"/>
      <c r="S150" s="100"/>
    </row>
    <row r="151" spans="17:19" x14ac:dyDescent="0.35">
      <c r="Q151" s="100"/>
      <c r="R151" s="100"/>
      <c r="S151" s="100"/>
    </row>
    <row r="152" spans="17:19" x14ac:dyDescent="0.35">
      <c r="Q152" s="100"/>
      <c r="R152" s="100"/>
      <c r="S152" s="100"/>
    </row>
    <row r="153" spans="17:19" x14ac:dyDescent="0.35">
      <c r="Q153" s="100"/>
      <c r="R153" s="100"/>
      <c r="S153" s="100"/>
    </row>
    <row r="154" spans="17:19" x14ac:dyDescent="0.35">
      <c r="Q154" s="100"/>
      <c r="R154" s="100"/>
      <c r="S154" s="100"/>
    </row>
    <row r="155" spans="17:19" x14ac:dyDescent="0.35">
      <c r="Q155" s="100"/>
      <c r="R155" s="100"/>
      <c r="S155" s="100"/>
    </row>
    <row r="156" spans="17:19" x14ac:dyDescent="0.35">
      <c r="Q156" s="100"/>
      <c r="R156" s="100"/>
      <c r="S156" s="100"/>
    </row>
    <row r="157" spans="17:19" x14ac:dyDescent="0.35">
      <c r="Q157" s="100"/>
      <c r="R157" s="100"/>
      <c r="S157" s="100"/>
    </row>
    <row r="158" spans="17:19" x14ac:dyDescent="0.35">
      <c r="Q158" s="100"/>
      <c r="R158" s="100"/>
      <c r="S158" s="100"/>
    </row>
    <row r="159" spans="17:19" x14ac:dyDescent="0.35">
      <c r="Q159" s="100"/>
      <c r="R159" s="100"/>
      <c r="S159" s="100"/>
    </row>
    <row r="160" spans="17:19" x14ac:dyDescent="0.35">
      <c r="Q160" s="100"/>
      <c r="R160" s="100"/>
      <c r="S160" s="100"/>
    </row>
    <row r="161" spans="17:19" x14ac:dyDescent="0.35">
      <c r="Q161" s="100"/>
      <c r="R161" s="100"/>
      <c r="S161" s="100"/>
    </row>
    <row r="162" spans="17:19" x14ac:dyDescent="0.35">
      <c r="Q162" s="100"/>
      <c r="R162" s="100"/>
      <c r="S162" s="100"/>
    </row>
    <row r="163" spans="17:19" x14ac:dyDescent="0.35">
      <c r="Q163" s="100"/>
      <c r="R163" s="100"/>
      <c r="S163" s="100"/>
    </row>
    <row r="164" spans="17:19" x14ac:dyDescent="0.35">
      <c r="Q164" s="100"/>
      <c r="R164" s="100"/>
      <c r="S164" s="100"/>
    </row>
    <row r="165" spans="17:19" x14ac:dyDescent="0.35">
      <c r="Q165" s="100"/>
      <c r="R165" s="100"/>
      <c r="S165" s="100"/>
    </row>
    <row r="166" spans="17:19" x14ac:dyDescent="0.35">
      <c r="Q166" s="100"/>
      <c r="R166" s="100"/>
      <c r="S166" s="100"/>
    </row>
    <row r="167" spans="17:19" x14ac:dyDescent="0.35">
      <c r="Q167" s="100"/>
      <c r="R167" s="100"/>
      <c r="S167" s="100"/>
    </row>
    <row r="168" spans="17:19" x14ac:dyDescent="0.35">
      <c r="Q168" s="100"/>
      <c r="R168" s="100"/>
      <c r="S168" s="100"/>
    </row>
    <row r="169" spans="17:19" x14ac:dyDescent="0.35">
      <c r="Q169" s="100"/>
      <c r="R169" s="100"/>
      <c r="S169" s="100"/>
    </row>
    <row r="170" spans="17:19" x14ac:dyDescent="0.35">
      <c r="Q170" s="100"/>
      <c r="R170" s="100"/>
      <c r="S170" s="100"/>
    </row>
    <row r="171" spans="17:19" x14ac:dyDescent="0.35">
      <c r="Q171" s="100"/>
      <c r="R171" s="100"/>
      <c r="S171" s="100"/>
    </row>
    <row r="172" spans="17:19" x14ac:dyDescent="0.35">
      <c r="Q172" s="100"/>
      <c r="R172" s="100"/>
      <c r="S172" s="100"/>
    </row>
    <row r="173" spans="17:19" x14ac:dyDescent="0.35">
      <c r="Q173" s="100"/>
      <c r="R173" s="100"/>
      <c r="S173" s="100"/>
    </row>
    <row r="174" spans="17:19" x14ac:dyDescent="0.35">
      <c r="Q174" s="100"/>
      <c r="R174" s="100"/>
      <c r="S174" s="100"/>
    </row>
    <row r="175" spans="17:19" x14ac:dyDescent="0.35">
      <c r="Q175" s="100"/>
      <c r="R175" s="100"/>
      <c r="S175" s="100"/>
    </row>
    <row r="176" spans="17:19" x14ac:dyDescent="0.35">
      <c r="Q176" s="100"/>
      <c r="R176" s="100"/>
      <c r="S176" s="100"/>
    </row>
    <row r="177" spans="17:19" x14ac:dyDescent="0.35">
      <c r="Q177" s="100"/>
      <c r="R177" s="100"/>
      <c r="S177" s="100"/>
    </row>
    <row r="178" spans="17:19" x14ac:dyDescent="0.35">
      <c r="Q178" s="100"/>
      <c r="R178" s="100"/>
      <c r="S178" s="100"/>
    </row>
    <row r="179" spans="17:19" x14ac:dyDescent="0.35">
      <c r="Q179" s="100"/>
      <c r="R179" s="100"/>
      <c r="S179" s="100"/>
    </row>
    <row r="180" spans="17:19" x14ac:dyDescent="0.35">
      <c r="Q180" s="100"/>
      <c r="R180" s="100"/>
      <c r="S180" s="100"/>
    </row>
    <row r="181" spans="17:19" x14ac:dyDescent="0.35">
      <c r="Q181" s="100"/>
      <c r="R181" s="100"/>
      <c r="S181" s="100"/>
    </row>
    <row r="182" spans="17:19" x14ac:dyDescent="0.35">
      <c r="Q182" s="100"/>
      <c r="R182" s="100"/>
      <c r="S182" s="100"/>
    </row>
    <row r="183" spans="17:19" x14ac:dyDescent="0.35">
      <c r="Q183" s="100"/>
      <c r="R183" s="100"/>
      <c r="S183" s="100"/>
    </row>
    <row r="184" spans="17:19" x14ac:dyDescent="0.35">
      <c r="Q184" s="100"/>
      <c r="R184" s="100"/>
      <c r="S184" s="100"/>
    </row>
    <row r="185" spans="17:19" x14ac:dyDescent="0.35">
      <c r="Q185" s="100"/>
      <c r="R185" s="100"/>
      <c r="S185" s="100"/>
    </row>
    <row r="186" spans="17:19" x14ac:dyDescent="0.35">
      <c r="Q186" s="100"/>
      <c r="R186" s="100"/>
      <c r="S186" s="100"/>
    </row>
    <row r="187" spans="17:19" x14ac:dyDescent="0.35">
      <c r="Q187" s="100"/>
      <c r="R187" s="100"/>
      <c r="S187" s="100"/>
    </row>
    <row r="188" spans="17:19" x14ac:dyDescent="0.35">
      <c r="Q188" s="100"/>
      <c r="R188" s="100"/>
      <c r="S188" s="100"/>
    </row>
    <row r="189" spans="17:19" x14ac:dyDescent="0.35">
      <c r="Q189" s="100"/>
      <c r="R189" s="100"/>
      <c r="S189" s="100"/>
    </row>
    <row r="190" spans="17:19" x14ac:dyDescent="0.35">
      <c r="Q190" s="100"/>
      <c r="R190" s="100"/>
      <c r="S190" s="100"/>
    </row>
    <row r="191" spans="17:19" x14ac:dyDescent="0.35">
      <c r="Q191" s="100"/>
      <c r="R191" s="100"/>
      <c r="S191" s="100"/>
    </row>
    <row r="192" spans="17:19" x14ac:dyDescent="0.35">
      <c r="Q192" s="100"/>
      <c r="R192" s="100"/>
      <c r="S192" s="100"/>
    </row>
    <row r="193" spans="17:19" x14ac:dyDescent="0.35">
      <c r="Q193" s="100"/>
      <c r="R193" s="100"/>
      <c r="S193" s="100"/>
    </row>
    <row r="194" spans="17:19" x14ac:dyDescent="0.35">
      <c r="Q194" s="100"/>
      <c r="R194" s="100"/>
      <c r="S194" s="100"/>
    </row>
    <row r="195" spans="17:19" x14ac:dyDescent="0.35">
      <c r="Q195" s="100"/>
      <c r="R195" s="100"/>
      <c r="S195" s="100"/>
    </row>
    <row r="196" spans="17:19" x14ac:dyDescent="0.35">
      <c r="Q196" s="100"/>
      <c r="R196" s="100"/>
      <c r="S196" s="100"/>
    </row>
    <row r="197" spans="17:19" x14ac:dyDescent="0.35">
      <c r="Q197" s="100"/>
      <c r="R197" s="100"/>
      <c r="S197" s="100"/>
    </row>
    <row r="198" spans="17:19" x14ac:dyDescent="0.35">
      <c r="Q198" s="100"/>
      <c r="R198" s="100"/>
      <c r="S198" s="100"/>
    </row>
    <row r="199" spans="17:19" x14ac:dyDescent="0.35">
      <c r="Q199" s="100"/>
      <c r="R199" s="100"/>
      <c r="S199" s="100"/>
    </row>
    <row r="200" spans="17:19" x14ac:dyDescent="0.35">
      <c r="Q200" s="100"/>
      <c r="R200" s="100"/>
      <c r="S200" s="100"/>
    </row>
    <row r="201" spans="17:19" x14ac:dyDescent="0.35">
      <c r="Q201" s="100"/>
      <c r="R201" s="100"/>
      <c r="S201" s="100"/>
    </row>
    <row r="202" spans="17:19" x14ac:dyDescent="0.35">
      <c r="Q202" s="100"/>
      <c r="R202" s="100"/>
      <c r="S202" s="100"/>
    </row>
    <row r="203" spans="17:19" x14ac:dyDescent="0.35">
      <c r="Q203" s="100"/>
      <c r="R203" s="100"/>
      <c r="S203" s="100"/>
    </row>
    <row r="204" spans="17:19" x14ac:dyDescent="0.35">
      <c r="Q204" s="100"/>
      <c r="R204" s="100"/>
      <c r="S204" s="100"/>
    </row>
    <row r="205" spans="17:19" x14ac:dyDescent="0.35">
      <c r="Q205" s="100"/>
      <c r="R205" s="100"/>
      <c r="S205" s="100"/>
    </row>
    <row r="206" spans="17:19" x14ac:dyDescent="0.35">
      <c r="Q206" s="100"/>
      <c r="R206" s="100"/>
      <c r="S206" s="100"/>
    </row>
    <row r="207" spans="17:19" x14ac:dyDescent="0.35">
      <c r="Q207" s="100"/>
      <c r="R207" s="100"/>
      <c r="S207" s="100"/>
    </row>
    <row r="208" spans="17:19" x14ac:dyDescent="0.35">
      <c r="Q208" s="100"/>
      <c r="R208" s="100"/>
      <c r="S208" s="100"/>
    </row>
    <row r="209" spans="3:19" x14ac:dyDescent="0.35">
      <c r="Q209" s="100"/>
      <c r="R209" s="100"/>
      <c r="S209" s="100"/>
    </row>
    <row r="210" spans="3:19" x14ac:dyDescent="0.35">
      <c r="Q210" s="100"/>
      <c r="R210" s="100"/>
      <c r="S210" s="100"/>
    </row>
    <row r="211" spans="3:19" x14ac:dyDescent="0.35">
      <c r="Q211" s="100"/>
      <c r="R211" s="100"/>
      <c r="S211" s="100"/>
    </row>
    <row r="212" spans="3:19" x14ac:dyDescent="0.35">
      <c r="Q212" s="100"/>
      <c r="R212" s="100"/>
      <c r="S212" s="100"/>
    </row>
    <row r="213" spans="3:19" x14ac:dyDescent="0.35">
      <c r="C213" s="100"/>
      <c r="D213" s="100"/>
      <c r="E213" s="100"/>
      <c r="F213" s="100"/>
      <c r="G213" s="100"/>
      <c r="H213" s="100"/>
      <c r="I213" s="100"/>
      <c r="J213" s="100"/>
      <c r="K213" s="100"/>
      <c r="L213" s="100"/>
      <c r="M213" s="100"/>
      <c r="N213" s="100"/>
      <c r="O213" s="100"/>
      <c r="Q213" s="100"/>
      <c r="R213" s="100"/>
      <c r="S213" s="100"/>
    </row>
    <row r="214" spans="3:19" x14ac:dyDescent="0.35">
      <c r="C214" s="100"/>
      <c r="D214" s="100"/>
      <c r="E214" s="100"/>
      <c r="F214" s="100"/>
      <c r="G214" s="100"/>
      <c r="H214" s="100"/>
      <c r="I214" s="100"/>
      <c r="J214" s="100"/>
      <c r="K214" s="100"/>
      <c r="L214" s="100"/>
      <c r="M214" s="100"/>
      <c r="N214" s="100"/>
      <c r="O214" s="100"/>
      <c r="P214" s="100"/>
      <c r="Q214" s="100"/>
      <c r="R214" s="100"/>
      <c r="S214" s="100"/>
    </row>
    <row r="215" spans="3:19" x14ac:dyDescent="0.35">
      <c r="C215" s="100"/>
      <c r="D215" s="100"/>
      <c r="E215" s="100"/>
      <c r="F215" s="100"/>
      <c r="G215" s="100"/>
      <c r="H215" s="100"/>
      <c r="I215" s="100"/>
      <c r="J215" s="100"/>
      <c r="K215" s="100"/>
      <c r="L215" s="100"/>
      <c r="M215" s="100"/>
      <c r="N215" s="100"/>
      <c r="O215" s="100"/>
      <c r="P215" s="100"/>
      <c r="Q215" s="100"/>
      <c r="R215" s="100"/>
      <c r="S215" s="100"/>
    </row>
    <row r="216" spans="3:19" x14ac:dyDescent="0.35">
      <c r="C216" s="100"/>
      <c r="D216" s="100"/>
      <c r="E216" s="100"/>
      <c r="F216" s="100"/>
      <c r="G216" s="100"/>
      <c r="H216" s="100"/>
      <c r="I216" s="100"/>
      <c r="J216" s="100"/>
      <c r="K216" s="100"/>
      <c r="L216" s="100"/>
      <c r="M216" s="100"/>
      <c r="N216" s="100"/>
      <c r="O216" s="100"/>
      <c r="P216" s="100"/>
      <c r="Q216" s="100"/>
      <c r="R216" s="100"/>
      <c r="S216" s="100"/>
    </row>
    <row r="217" spans="3:19" x14ac:dyDescent="0.35">
      <c r="C217" s="100"/>
      <c r="D217" s="100"/>
      <c r="E217" s="100"/>
      <c r="F217" s="100"/>
      <c r="G217" s="100"/>
      <c r="H217" s="100"/>
      <c r="I217" s="100"/>
      <c r="J217" s="100"/>
      <c r="K217" s="100"/>
      <c r="L217" s="100"/>
      <c r="M217" s="100"/>
      <c r="N217" s="100"/>
      <c r="O217" s="100"/>
      <c r="P217" s="100"/>
      <c r="Q217" s="100"/>
      <c r="R217" s="100"/>
      <c r="S217" s="100"/>
    </row>
    <row r="218" spans="3:19" x14ac:dyDescent="0.35">
      <c r="C218" s="100"/>
      <c r="D218" s="100"/>
      <c r="E218" s="100"/>
      <c r="F218" s="100"/>
      <c r="G218" s="100"/>
      <c r="H218" s="100"/>
      <c r="I218" s="100"/>
      <c r="J218" s="100"/>
      <c r="K218" s="100"/>
      <c r="L218" s="100"/>
      <c r="M218" s="100"/>
      <c r="N218" s="100"/>
      <c r="O218" s="100"/>
      <c r="P218" s="100"/>
      <c r="Q218" s="100"/>
      <c r="R218" s="100"/>
      <c r="S218" s="100"/>
    </row>
    <row r="219" spans="3:19" x14ac:dyDescent="0.35">
      <c r="C219" s="100"/>
      <c r="D219" s="100"/>
      <c r="E219" s="100"/>
      <c r="F219" s="100"/>
      <c r="G219" s="100"/>
      <c r="H219" s="100"/>
      <c r="I219" s="100"/>
      <c r="J219" s="100"/>
      <c r="K219" s="100"/>
      <c r="L219" s="100"/>
      <c r="M219" s="100"/>
      <c r="N219" s="100"/>
      <c r="O219" s="100"/>
      <c r="P219" s="100"/>
      <c r="Q219" s="100"/>
      <c r="R219" s="100"/>
      <c r="S219" s="100"/>
    </row>
    <row r="220" spans="3:19" x14ac:dyDescent="0.35">
      <c r="C220" s="100"/>
      <c r="D220" s="100"/>
      <c r="E220" s="100"/>
      <c r="F220" s="100"/>
      <c r="G220" s="100"/>
      <c r="H220" s="100"/>
      <c r="I220" s="100"/>
      <c r="J220" s="100"/>
      <c r="K220" s="100"/>
      <c r="L220" s="100"/>
      <c r="M220" s="100"/>
      <c r="N220" s="100"/>
      <c r="O220" s="100"/>
      <c r="P220" s="100"/>
      <c r="Q220" s="100"/>
      <c r="R220" s="100"/>
      <c r="S220" s="100"/>
    </row>
    <row r="221" spans="3:19" x14ac:dyDescent="0.35">
      <c r="C221" s="100"/>
      <c r="D221" s="100"/>
      <c r="E221" s="100"/>
      <c r="F221" s="100"/>
      <c r="G221" s="100"/>
      <c r="H221" s="100"/>
      <c r="I221" s="100"/>
      <c r="J221" s="100"/>
      <c r="K221" s="100"/>
      <c r="L221" s="100"/>
      <c r="M221" s="100"/>
      <c r="N221" s="100"/>
      <c r="O221" s="100"/>
      <c r="P221" s="100"/>
      <c r="Q221" s="100"/>
      <c r="R221" s="100"/>
      <c r="S221" s="100"/>
    </row>
    <row r="222" spans="3:19" x14ac:dyDescent="0.35">
      <c r="C222" s="100"/>
      <c r="D222" s="100"/>
      <c r="E222" s="100"/>
      <c r="F222" s="100"/>
      <c r="G222" s="100"/>
      <c r="H222" s="100"/>
      <c r="I222" s="100"/>
      <c r="J222" s="100"/>
      <c r="K222" s="100"/>
      <c r="L222" s="100"/>
      <c r="M222" s="100"/>
      <c r="N222" s="100"/>
      <c r="O222" s="100"/>
      <c r="P222" s="100"/>
      <c r="Q222" s="100"/>
      <c r="R222" s="100"/>
      <c r="S222" s="100"/>
    </row>
    <row r="223" spans="3:19" x14ac:dyDescent="0.35">
      <c r="C223" s="100"/>
      <c r="D223" s="100"/>
      <c r="E223" s="100"/>
      <c r="F223" s="100"/>
      <c r="G223" s="100"/>
      <c r="H223" s="100"/>
      <c r="I223" s="100"/>
      <c r="J223" s="100"/>
      <c r="K223" s="100"/>
      <c r="L223" s="100"/>
      <c r="M223" s="100"/>
      <c r="N223" s="100"/>
      <c r="O223" s="100"/>
      <c r="P223" s="100"/>
      <c r="Q223" s="100"/>
      <c r="R223" s="100"/>
      <c r="S223" s="100"/>
    </row>
    <row r="224" spans="3:19" x14ac:dyDescent="0.35">
      <c r="C224" s="100"/>
      <c r="D224" s="100"/>
      <c r="E224" s="100"/>
      <c r="F224" s="100"/>
      <c r="G224" s="100"/>
      <c r="H224" s="100"/>
      <c r="I224" s="100"/>
      <c r="J224" s="100"/>
      <c r="K224" s="100"/>
      <c r="L224" s="100"/>
      <c r="M224" s="100"/>
      <c r="N224" s="100"/>
      <c r="O224" s="100"/>
      <c r="P224" s="100"/>
      <c r="Q224" s="100"/>
      <c r="R224" s="100"/>
      <c r="S224" s="100"/>
    </row>
    <row r="225" spans="3:19" x14ac:dyDescent="0.35">
      <c r="C225" s="100"/>
      <c r="D225" s="100"/>
      <c r="E225" s="100"/>
      <c r="F225" s="100"/>
      <c r="G225" s="100"/>
      <c r="H225" s="100"/>
      <c r="I225" s="100"/>
      <c r="J225" s="100"/>
      <c r="K225" s="100"/>
      <c r="L225" s="100"/>
      <c r="M225" s="100"/>
      <c r="N225" s="100"/>
      <c r="O225" s="100"/>
      <c r="P225" s="100"/>
      <c r="Q225" s="100"/>
      <c r="R225" s="100"/>
      <c r="S225" s="100"/>
    </row>
    <row r="226" spans="3:19" x14ac:dyDescent="0.35">
      <c r="C226" s="100"/>
      <c r="D226" s="100"/>
      <c r="E226" s="100"/>
      <c r="F226" s="100"/>
      <c r="G226" s="100"/>
      <c r="H226" s="100"/>
      <c r="I226" s="100"/>
      <c r="J226" s="100"/>
      <c r="K226" s="100"/>
      <c r="L226" s="100"/>
      <c r="M226" s="100"/>
      <c r="N226" s="100"/>
      <c r="O226" s="100"/>
      <c r="P226" s="100"/>
      <c r="Q226" s="100"/>
      <c r="R226" s="100"/>
      <c r="S226" s="100"/>
    </row>
    <row r="227" spans="3:19" x14ac:dyDescent="0.35">
      <c r="C227" s="100"/>
      <c r="D227" s="100"/>
      <c r="E227" s="100"/>
      <c r="F227" s="100"/>
      <c r="G227" s="100"/>
      <c r="H227" s="100"/>
      <c r="I227" s="100"/>
      <c r="J227" s="100"/>
      <c r="K227" s="100"/>
      <c r="L227" s="100"/>
      <c r="M227" s="100"/>
      <c r="N227" s="100"/>
      <c r="O227" s="100"/>
      <c r="P227" s="100"/>
      <c r="Q227" s="100"/>
      <c r="R227" s="100"/>
      <c r="S227" s="100"/>
    </row>
    <row r="228" spans="3:19" x14ac:dyDescent="0.35">
      <c r="C228" s="100"/>
      <c r="D228" s="100"/>
      <c r="E228" s="100"/>
      <c r="F228" s="100"/>
      <c r="G228" s="100"/>
      <c r="H228" s="100"/>
      <c r="I228" s="100"/>
      <c r="J228" s="100"/>
      <c r="K228" s="100"/>
      <c r="L228" s="100"/>
      <c r="M228" s="100"/>
      <c r="N228" s="100"/>
      <c r="O228" s="100"/>
      <c r="P228" s="100"/>
      <c r="Q228" s="100"/>
      <c r="R228" s="100"/>
      <c r="S228" s="100"/>
    </row>
    <row r="229" spans="3:19" x14ac:dyDescent="0.35">
      <c r="C229" s="100"/>
      <c r="D229" s="100"/>
      <c r="E229" s="100"/>
      <c r="F229" s="100"/>
      <c r="G229" s="100"/>
      <c r="H229" s="100"/>
      <c r="I229" s="100"/>
      <c r="J229" s="100"/>
      <c r="K229" s="100"/>
      <c r="L229" s="100"/>
      <c r="M229" s="100"/>
      <c r="N229" s="100"/>
      <c r="O229" s="100"/>
      <c r="P229" s="100"/>
      <c r="Q229" s="100"/>
      <c r="R229" s="100"/>
      <c r="S229" s="100"/>
    </row>
    <row r="230" spans="3:19" x14ac:dyDescent="0.35">
      <c r="C230" s="100"/>
      <c r="D230" s="100"/>
      <c r="E230" s="100"/>
      <c r="F230" s="100"/>
      <c r="G230" s="100"/>
      <c r="H230" s="100"/>
      <c r="I230" s="100"/>
      <c r="J230" s="100"/>
      <c r="K230" s="100"/>
      <c r="L230" s="100"/>
      <c r="M230" s="100"/>
      <c r="N230" s="100"/>
      <c r="O230" s="100"/>
      <c r="P230" s="100"/>
      <c r="Q230" s="100"/>
      <c r="R230" s="100"/>
      <c r="S230" s="100"/>
    </row>
    <row r="231" spans="3:19" x14ac:dyDescent="0.35">
      <c r="C231" s="100"/>
      <c r="D231" s="100"/>
      <c r="E231" s="100"/>
      <c r="F231" s="100"/>
      <c r="G231" s="100"/>
      <c r="H231" s="100"/>
      <c r="I231" s="100"/>
      <c r="J231" s="100"/>
      <c r="K231" s="100"/>
      <c r="L231" s="100"/>
      <c r="M231" s="100"/>
      <c r="N231" s="100"/>
      <c r="O231" s="100"/>
      <c r="P231" s="100"/>
      <c r="Q231" s="100"/>
      <c r="R231" s="100"/>
      <c r="S231" s="100"/>
    </row>
    <row r="232" spans="3:19" x14ac:dyDescent="0.35">
      <c r="C232" s="100"/>
      <c r="D232" s="100"/>
      <c r="E232" s="100"/>
      <c r="F232" s="100"/>
      <c r="G232" s="100"/>
      <c r="H232" s="100"/>
      <c r="I232" s="100"/>
      <c r="J232" s="100"/>
      <c r="K232" s="100"/>
      <c r="L232" s="100"/>
      <c r="M232" s="100"/>
      <c r="N232" s="100"/>
      <c r="O232" s="100"/>
      <c r="P232" s="100"/>
      <c r="Q232" s="100"/>
      <c r="R232" s="100"/>
      <c r="S232" s="100"/>
    </row>
    <row r="233" spans="3:19" x14ac:dyDescent="0.35">
      <c r="C233" s="100"/>
      <c r="D233" s="100"/>
      <c r="E233" s="100"/>
      <c r="F233" s="100"/>
      <c r="G233" s="100"/>
      <c r="H233" s="100"/>
      <c r="I233" s="100"/>
      <c r="J233" s="100"/>
      <c r="K233" s="100"/>
      <c r="L233" s="100"/>
      <c r="M233" s="100"/>
      <c r="N233" s="100"/>
      <c r="O233" s="100"/>
      <c r="P233" s="100"/>
      <c r="Q233" s="100"/>
      <c r="R233" s="100"/>
      <c r="S233" s="100"/>
    </row>
    <row r="234" spans="3:19" x14ac:dyDescent="0.35">
      <c r="C234" s="100"/>
      <c r="D234" s="100"/>
      <c r="E234" s="100"/>
      <c r="F234" s="100"/>
      <c r="G234" s="100"/>
      <c r="H234" s="100"/>
      <c r="I234" s="100"/>
      <c r="J234" s="100"/>
      <c r="K234" s="100"/>
      <c r="L234" s="100"/>
      <c r="M234" s="100"/>
      <c r="N234" s="100"/>
      <c r="O234" s="100"/>
      <c r="P234" s="100"/>
      <c r="Q234" s="100"/>
      <c r="R234" s="100"/>
      <c r="S234" s="100"/>
    </row>
    <row r="235" spans="3:19" x14ac:dyDescent="0.35">
      <c r="C235" s="100"/>
      <c r="D235" s="100"/>
      <c r="E235" s="100"/>
      <c r="F235" s="100"/>
      <c r="G235" s="100"/>
      <c r="H235" s="100"/>
      <c r="I235" s="100"/>
      <c r="J235" s="100"/>
      <c r="K235" s="100"/>
      <c r="L235" s="100"/>
      <c r="M235" s="100"/>
      <c r="N235" s="100"/>
      <c r="O235" s="100"/>
      <c r="P235" s="100"/>
      <c r="Q235" s="100"/>
      <c r="R235" s="100"/>
      <c r="S235" s="100"/>
    </row>
    <row r="236" spans="3:19" x14ac:dyDescent="0.35">
      <c r="C236" s="100"/>
      <c r="D236" s="100"/>
      <c r="E236" s="100"/>
      <c r="F236" s="100"/>
      <c r="G236" s="100"/>
      <c r="H236" s="100"/>
      <c r="I236" s="100"/>
      <c r="J236" s="100"/>
      <c r="K236" s="100"/>
      <c r="L236" s="100"/>
      <c r="M236" s="100"/>
      <c r="N236" s="100"/>
      <c r="O236" s="100"/>
      <c r="P236" s="100"/>
      <c r="Q236" s="100"/>
      <c r="R236" s="100"/>
      <c r="S236" s="100"/>
    </row>
    <row r="237" spans="3:19" x14ac:dyDescent="0.35">
      <c r="C237" s="100"/>
      <c r="D237" s="100"/>
      <c r="E237" s="100"/>
      <c r="F237" s="100"/>
      <c r="G237" s="100"/>
      <c r="H237" s="100"/>
      <c r="I237" s="100"/>
      <c r="J237" s="100"/>
      <c r="K237" s="100"/>
      <c r="L237" s="100"/>
      <c r="M237" s="100"/>
      <c r="N237" s="100"/>
      <c r="O237" s="100"/>
      <c r="P237" s="100"/>
      <c r="Q237" s="100"/>
      <c r="R237" s="100"/>
      <c r="S237" s="100"/>
    </row>
    <row r="238" spans="3:19" x14ac:dyDescent="0.35">
      <c r="C238" s="100"/>
      <c r="D238" s="100"/>
      <c r="E238" s="100"/>
      <c r="F238" s="100"/>
      <c r="G238" s="100"/>
      <c r="H238" s="100"/>
      <c r="I238" s="100"/>
      <c r="J238" s="100"/>
      <c r="K238" s="100"/>
      <c r="L238" s="100"/>
      <c r="M238" s="100"/>
      <c r="N238" s="100"/>
      <c r="O238" s="100"/>
      <c r="P238" s="100"/>
      <c r="Q238" s="100"/>
      <c r="R238" s="100"/>
      <c r="S238" s="100"/>
    </row>
    <row r="239" spans="3:19" x14ac:dyDescent="0.35">
      <c r="C239" s="100"/>
      <c r="D239" s="100"/>
      <c r="E239" s="100"/>
      <c r="F239" s="100"/>
      <c r="G239" s="100"/>
      <c r="H239" s="100"/>
      <c r="I239" s="100"/>
      <c r="J239" s="100"/>
      <c r="K239" s="100"/>
      <c r="L239" s="100"/>
      <c r="M239" s="100"/>
      <c r="N239" s="100"/>
      <c r="O239" s="100"/>
      <c r="P239" s="100"/>
      <c r="Q239" s="100"/>
      <c r="R239" s="100"/>
      <c r="S239" s="100"/>
    </row>
    <row r="240" spans="3:19" x14ac:dyDescent="0.35">
      <c r="C240" s="100"/>
      <c r="D240" s="100"/>
      <c r="E240" s="100"/>
      <c r="F240" s="100"/>
      <c r="G240" s="100"/>
      <c r="H240" s="100"/>
      <c r="I240" s="100"/>
      <c r="J240" s="100"/>
      <c r="K240" s="100"/>
      <c r="L240" s="100"/>
      <c r="M240" s="100"/>
      <c r="N240" s="100"/>
      <c r="O240" s="100"/>
      <c r="P240" s="100"/>
      <c r="Q240" s="100"/>
      <c r="R240" s="100"/>
      <c r="S240" s="100"/>
    </row>
    <row r="241" spans="3:19" x14ac:dyDescent="0.35">
      <c r="C241" s="100"/>
      <c r="D241" s="100"/>
      <c r="E241" s="100"/>
      <c r="F241" s="100"/>
      <c r="G241" s="100"/>
      <c r="H241" s="100"/>
      <c r="I241" s="100"/>
      <c r="J241" s="100"/>
      <c r="K241" s="100"/>
      <c r="L241" s="100"/>
      <c r="M241" s="100"/>
      <c r="N241" s="100"/>
      <c r="O241" s="100"/>
      <c r="P241" s="100"/>
      <c r="Q241" s="100"/>
      <c r="R241" s="100"/>
      <c r="S241" s="100"/>
    </row>
    <row r="242" spans="3:19" x14ac:dyDescent="0.35">
      <c r="C242" s="100"/>
      <c r="D242" s="100"/>
      <c r="E242" s="100"/>
      <c r="F242" s="100"/>
      <c r="G242" s="100"/>
      <c r="H242" s="100"/>
      <c r="I242" s="100"/>
      <c r="J242" s="100"/>
      <c r="K242" s="100"/>
      <c r="L242" s="100"/>
      <c r="M242" s="100"/>
      <c r="N242" s="100"/>
      <c r="O242" s="100"/>
      <c r="P242" s="100"/>
      <c r="Q242" s="100"/>
      <c r="R242" s="100"/>
      <c r="S242" s="100"/>
    </row>
    <row r="243" spans="3:19" x14ac:dyDescent="0.35">
      <c r="C243" s="100"/>
      <c r="D243" s="100"/>
      <c r="E243" s="100"/>
      <c r="F243" s="100"/>
      <c r="G243" s="100"/>
      <c r="H243" s="100"/>
      <c r="I243" s="100"/>
      <c r="J243" s="100"/>
      <c r="K243" s="100"/>
      <c r="L243" s="100"/>
      <c r="M243" s="100"/>
      <c r="N243" s="100"/>
      <c r="O243" s="100"/>
      <c r="P243" s="100"/>
      <c r="Q243" s="100"/>
      <c r="R243" s="100"/>
      <c r="S243" s="100"/>
    </row>
    <row r="244" spans="3:19" x14ac:dyDescent="0.35">
      <c r="C244" s="100"/>
      <c r="D244" s="100"/>
      <c r="E244" s="100"/>
      <c r="F244" s="100"/>
      <c r="G244" s="100"/>
      <c r="H244" s="100"/>
      <c r="I244" s="100"/>
      <c r="J244" s="100"/>
      <c r="K244" s="100"/>
      <c r="L244" s="100"/>
      <c r="M244" s="100"/>
      <c r="N244" s="100"/>
      <c r="O244" s="100"/>
      <c r="P244" s="100"/>
      <c r="Q244" s="100"/>
      <c r="R244" s="100"/>
      <c r="S244" s="100"/>
    </row>
    <row r="245" spans="3:19" x14ac:dyDescent="0.35">
      <c r="C245" s="100"/>
      <c r="D245" s="100"/>
      <c r="E245" s="100"/>
      <c r="F245" s="100"/>
      <c r="G245" s="100"/>
      <c r="H245" s="100"/>
      <c r="I245" s="100"/>
      <c r="J245" s="100"/>
      <c r="K245" s="100"/>
      <c r="L245" s="100"/>
      <c r="M245" s="100"/>
      <c r="N245" s="100"/>
      <c r="O245" s="100"/>
      <c r="P245" s="100"/>
      <c r="Q245" s="100"/>
      <c r="R245" s="100"/>
      <c r="S245" s="100"/>
    </row>
    <row r="246" spans="3:19" x14ac:dyDescent="0.35">
      <c r="C246" s="100"/>
      <c r="D246" s="100"/>
      <c r="E246" s="100"/>
      <c r="F246" s="100"/>
      <c r="G246" s="100"/>
      <c r="H246" s="100"/>
      <c r="I246" s="100"/>
      <c r="J246" s="100"/>
      <c r="K246" s="100"/>
      <c r="L246" s="100"/>
      <c r="M246" s="100"/>
      <c r="N246" s="100"/>
      <c r="O246" s="100"/>
      <c r="P246" s="100"/>
      <c r="Q246" s="100"/>
      <c r="R246" s="100"/>
      <c r="S246" s="100"/>
    </row>
    <row r="247" spans="3:19" x14ac:dyDescent="0.35">
      <c r="C247" s="100"/>
      <c r="D247" s="100"/>
      <c r="E247" s="100"/>
      <c r="F247" s="100"/>
      <c r="G247" s="100"/>
      <c r="H247" s="100"/>
      <c r="I247" s="100"/>
      <c r="J247" s="100"/>
      <c r="K247" s="100"/>
      <c r="L247" s="100"/>
      <c r="M247" s="100"/>
      <c r="N247" s="100"/>
      <c r="O247" s="100"/>
      <c r="P247" s="100"/>
      <c r="Q247" s="100"/>
      <c r="R247" s="100"/>
      <c r="S247" s="100"/>
    </row>
    <row r="248" spans="3:19" x14ac:dyDescent="0.35">
      <c r="C248" s="100"/>
      <c r="D248" s="100"/>
      <c r="E248" s="100"/>
      <c r="F248" s="100"/>
      <c r="G248" s="100"/>
      <c r="H248" s="100"/>
      <c r="I248" s="100"/>
      <c r="J248" s="100"/>
      <c r="K248" s="100"/>
      <c r="L248" s="100"/>
      <c r="M248" s="100"/>
      <c r="N248" s="100"/>
      <c r="O248" s="100"/>
      <c r="P248" s="100"/>
      <c r="Q248" s="100"/>
      <c r="R248" s="100"/>
      <c r="S248" s="100"/>
    </row>
    <row r="249" spans="3:19" x14ac:dyDescent="0.35">
      <c r="C249" s="100"/>
      <c r="D249" s="100"/>
      <c r="E249" s="100"/>
      <c r="F249" s="100"/>
      <c r="G249" s="100"/>
      <c r="H249" s="100"/>
      <c r="I249" s="100"/>
      <c r="J249" s="100"/>
      <c r="K249" s="100"/>
      <c r="L249" s="100"/>
      <c r="M249" s="100"/>
      <c r="N249" s="100"/>
      <c r="O249" s="100"/>
      <c r="P249" s="100"/>
      <c r="Q249" s="100"/>
      <c r="R249" s="100"/>
      <c r="S249" s="100"/>
    </row>
    <row r="250" spans="3:19" x14ac:dyDescent="0.35">
      <c r="C250" s="100"/>
      <c r="D250" s="100"/>
      <c r="E250" s="100"/>
      <c r="F250" s="100"/>
      <c r="G250" s="100"/>
      <c r="H250" s="100"/>
      <c r="I250" s="100"/>
      <c r="J250" s="100"/>
      <c r="K250" s="100"/>
      <c r="L250" s="100"/>
      <c r="M250" s="100"/>
      <c r="N250" s="100"/>
      <c r="O250" s="100"/>
      <c r="P250" s="100"/>
      <c r="Q250" s="100"/>
      <c r="R250" s="100"/>
      <c r="S250" s="100"/>
    </row>
    <row r="251" spans="3:19" x14ac:dyDescent="0.35">
      <c r="C251" s="100"/>
      <c r="D251" s="100"/>
      <c r="E251" s="100"/>
      <c r="F251" s="100"/>
      <c r="G251" s="100"/>
      <c r="H251" s="100"/>
      <c r="I251" s="100"/>
      <c r="J251" s="100"/>
      <c r="K251" s="100"/>
      <c r="L251" s="100"/>
      <c r="M251" s="100"/>
      <c r="N251" s="100"/>
      <c r="O251" s="100"/>
      <c r="P251" s="100"/>
      <c r="Q251" s="100"/>
      <c r="R251" s="100"/>
      <c r="S251" s="100"/>
    </row>
    <row r="252" spans="3:19" x14ac:dyDescent="0.35">
      <c r="C252" s="100"/>
      <c r="D252" s="100"/>
      <c r="E252" s="100"/>
      <c r="F252" s="100"/>
      <c r="G252" s="100"/>
      <c r="H252" s="100"/>
      <c r="I252" s="100"/>
      <c r="J252" s="100"/>
      <c r="K252" s="100"/>
      <c r="L252" s="100"/>
      <c r="M252" s="100"/>
      <c r="N252" s="100"/>
      <c r="O252" s="100"/>
      <c r="P252" s="100"/>
      <c r="Q252" s="100"/>
      <c r="R252" s="100"/>
      <c r="S252" s="100"/>
    </row>
    <row r="253" spans="3:19" x14ac:dyDescent="0.35">
      <c r="C253" s="100"/>
      <c r="D253" s="100"/>
      <c r="E253" s="100"/>
      <c r="F253" s="100"/>
      <c r="G253" s="100"/>
      <c r="H253" s="100"/>
      <c r="I253" s="100"/>
      <c r="J253" s="100"/>
      <c r="K253" s="100"/>
      <c r="L253" s="100"/>
      <c r="M253" s="100"/>
      <c r="N253" s="100"/>
      <c r="O253" s="100"/>
      <c r="P253" s="100"/>
      <c r="Q253" s="100"/>
      <c r="R253" s="100"/>
      <c r="S253" s="100"/>
    </row>
    <row r="254" spans="3:19" x14ac:dyDescent="0.35">
      <c r="C254" s="100"/>
      <c r="D254" s="100"/>
      <c r="E254" s="100"/>
      <c r="F254" s="100"/>
      <c r="G254" s="100"/>
      <c r="H254" s="100"/>
      <c r="I254" s="100"/>
      <c r="J254" s="100"/>
      <c r="K254" s="100"/>
      <c r="L254" s="100"/>
      <c r="M254" s="100"/>
      <c r="N254" s="100"/>
      <c r="O254" s="100"/>
      <c r="P254" s="100"/>
      <c r="Q254" s="100"/>
      <c r="R254" s="100"/>
      <c r="S254" s="100"/>
    </row>
    <row r="255" spans="3:19" x14ac:dyDescent="0.35">
      <c r="C255" s="100"/>
      <c r="D255" s="100"/>
      <c r="E255" s="100"/>
      <c r="F255" s="100"/>
      <c r="G255" s="100"/>
      <c r="H255" s="100"/>
      <c r="I255" s="100"/>
      <c r="J255" s="100"/>
      <c r="K255" s="100"/>
      <c r="L255" s="100"/>
      <c r="M255" s="100"/>
      <c r="N255" s="100"/>
      <c r="O255" s="100"/>
      <c r="P255" s="100"/>
      <c r="Q255" s="100"/>
      <c r="R255" s="100"/>
      <c r="S255" s="100"/>
    </row>
    <row r="256" spans="3:19" x14ac:dyDescent="0.35">
      <c r="C256" s="100"/>
      <c r="D256" s="100"/>
      <c r="E256" s="100"/>
      <c r="F256" s="100"/>
      <c r="G256" s="100"/>
      <c r="H256" s="100"/>
      <c r="I256" s="100"/>
      <c r="J256" s="100"/>
      <c r="K256" s="100"/>
      <c r="L256" s="100"/>
      <c r="M256" s="100"/>
      <c r="N256" s="100"/>
      <c r="O256" s="100"/>
      <c r="P256" s="100"/>
      <c r="Q256" s="100"/>
      <c r="R256" s="100"/>
      <c r="S256" s="100"/>
    </row>
    <row r="257" spans="3:19" x14ac:dyDescent="0.35">
      <c r="C257" s="100"/>
      <c r="D257" s="100"/>
      <c r="E257" s="100"/>
      <c r="F257" s="100"/>
      <c r="G257" s="100"/>
      <c r="H257" s="100"/>
      <c r="I257" s="100"/>
      <c r="J257" s="100"/>
      <c r="K257" s="100"/>
      <c r="L257" s="100"/>
      <c r="M257" s="100"/>
      <c r="N257" s="100"/>
      <c r="O257" s="100"/>
      <c r="P257" s="100"/>
      <c r="Q257" s="100"/>
      <c r="R257" s="100"/>
      <c r="S257" s="100"/>
    </row>
    <row r="258" spans="3:19" x14ac:dyDescent="0.35">
      <c r="C258" s="100"/>
      <c r="D258" s="100"/>
      <c r="E258" s="100"/>
      <c r="F258" s="100"/>
      <c r="G258" s="100"/>
      <c r="H258" s="100"/>
      <c r="I258" s="100"/>
      <c r="J258" s="100"/>
      <c r="K258" s="100"/>
      <c r="L258" s="100"/>
      <c r="M258" s="100"/>
      <c r="N258" s="100"/>
      <c r="O258" s="100"/>
      <c r="P258" s="100"/>
      <c r="Q258" s="100"/>
      <c r="R258" s="100"/>
      <c r="S258" s="100"/>
    </row>
    <row r="259" spans="3:19" x14ac:dyDescent="0.35">
      <c r="C259" s="100"/>
      <c r="D259" s="100"/>
      <c r="E259" s="100"/>
      <c r="F259" s="100"/>
      <c r="G259" s="100"/>
      <c r="H259" s="100"/>
      <c r="I259" s="100"/>
      <c r="J259" s="100"/>
      <c r="K259" s="100"/>
      <c r="L259" s="100"/>
      <c r="M259" s="100"/>
      <c r="N259" s="100"/>
      <c r="O259" s="100"/>
      <c r="P259" s="100"/>
      <c r="Q259" s="100"/>
      <c r="R259" s="100"/>
      <c r="S259" s="100"/>
    </row>
    <row r="260" spans="3:19" x14ac:dyDescent="0.35">
      <c r="C260" s="100"/>
      <c r="D260" s="100"/>
      <c r="E260" s="100"/>
      <c r="F260" s="100"/>
      <c r="G260" s="100"/>
      <c r="H260" s="100"/>
      <c r="I260" s="100"/>
      <c r="J260" s="100"/>
      <c r="K260" s="100"/>
      <c r="L260" s="100"/>
      <c r="M260" s="100"/>
      <c r="N260" s="100"/>
      <c r="O260" s="100"/>
      <c r="P260" s="100"/>
      <c r="Q260" s="100"/>
      <c r="R260" s="100"/>
      <c r="S260" s="100"/>
    </row>
    <row r="261" spans="3:19" x14ac:dyDescent="0.35">
      <c r="C261" s="100"/>
      <c r="D261" s="100"/>
      <c r="E261" s="100"/>
      <c r="F261" s="100"/>
      <c r="G261" s="100"/>
      <c r="H261" s="100"/>
      <c r="I261" s="100"/>
      <c r="J261" s="100"/>
      <c r="K261" s="100"/>
      <c r="L261" s="100"/>
      <c r="M261" s="100"/>
      <c r="N261" s="100"/>
      <c r="O261" s="100"/>
      <c r="P261" s="100"/>
      <c r="Q261" s="100"/>
      <c r="R261" s="100"/>
      <c r="S261" s="100"/>
    </row>
    <row r="262" spans="3:19" x14ac:dyDescent="0.35">
      <c r="C262" s="100"/>
      <c r="D262" s="100"/>
      <c r="E262" s="100"/>
      <c r="F262" s="100"/>
      <c r="G262" s="100"/>
      <c r="H262" s="100"/>
      <c r="I262" s="100"/>
      <c r="J262" s="100"/>
      <c r="K262" s="100"/>
      <c r="L262" s="100"/>
      <c r="M262" s="100"/>
      <c r="N262" s="100"/>
      <c r="O262" s="100"/>
      <c r="P262" s="100"/>
      <c r="Q262" s="100"/>
      <c r="R262" s="100"/>
      <c r="S262" s="100"/>
    </row>
    <row r="263" spans="3:19" x14ac:dyDescent="0.35">
      <c r="C263" s="100"/>
      <c r="D263" s="100"/>
      <c r="E263" s="100"/>
      <c r="F263" s="100"/>
      <c r="G263" s="100"/>
      <c r="H263" s="100"/>
      <c r="I263" s="100"/>
      <c r="J263" s="100"/>
      <c r="K263" s="100"/>
      <c r="L263" s="100"/>
      <c r="M263" s="100"/>
      <c r="N263" s="100"/>
      <c r="O263" s="100"/>
      <c r="P263" s="100"/>
      <c r="Q263" s="100"/>
      <c r="R263" s="100"/>
      <c r="S263" s="100"/>
    </row>
    <row r="264" spans="3:19" x14ac:dyDescent="0.35">
      <c r="C264" s="100"/>
      <c r="D264" s="100"/>
      <c r="E264" s="100"/>
      <c r="F264" s="100"/>
      <c r="G264" s="100"/>
      <c r="H264" s="100"/>
      <c r="I264" s="100"/>
      <c r="J264" s="100"/>
      <c r="K264" s="100"/>
      <c r="L264" s="100"/>
      <c r="M264" s="100"/>
      <c r="N264" s="100"/>
      <c r="O264" s="100"/>
      <c r="P264" s="100"/>
      <c r="Q264" s="100"/>
      <c r="R264" s="100"/>
      <c r="S264" s="100"/>
    </row>
    <row r="265" spans="3:19" x14ac:dyDescent="0.35">
      <c r="C265" s="100"/>
      <c r="D265" s="100"/>
      <c r="E265" s="100"/>
      <c r="F265" s="100"/>
      <c r="G265" s="100"/>
      <c r="H265" s="100"/>
      <c r="I265" s="100"/>
      <c r="J265" s="100"/>
      <c r="K265" s="100"/>
      <c r="L265" s="100"/>
      <c r="M265" s="100"/>
      <c r="N265" s="100"/>
      <c r="O265" s="100"/>
      <c r="P265" s="100"/>
      <c r="Q265" s="100"/>
      <c r="R265" s="100"/>
      <c r="S265" s="100"/>
    </row>
    <row r="266" spans="3:19" x14ac:dyDescent="0.35">
      <c r="C266" s="100"/>
      <c r="D266" s="100"/>
      <c r="E266" s="100"/>
      <c r="F266" s="100"/>
      <c r="G266" s="100"/>
      <c r="H266" s="100"/>
      <c r="I266" s="100"/>
      <c r="J266" s="100"/>
      <c r="K266" s="100"/>
      <c r="L266" s="100"/>
      <c r="M266" s="100"/>
      <c r="N266" s="100"/>
      <c r="O266" s="100"/>
      <c r="P266" s="100"/>
      <c r="Q266" s="100"/>
      <c r="R266" s="100"/>
      <c r="S266" s="100"/>
    </row>
    <row r="267" spans="3:19" x14ac:dyDescent="0.35">
      <c r="C267" s="100"/>
      <c r="D267" s="100"/>
      <c r="E267" s="100"/>
      <c r="F267" s="100"/>
      <c r="G267" s="100"/>
      <c r="H267" s="100"/>
      <c r="I267" s="100"/>
      <c r="J267" s="100"/>
      <c r="K267" s="100"/>
      <c r="L267" s="100"/>
      <c r="M267" s="100"/>
      <c r="N267" s="100"/>
      <c r="O267" s="100"/>
      <c r="P267" s="100"/>
      <c r="Q267" s="100"/>
      <c r="R267" s="100"/>
      <c r="S267" s="100"/>
    </row>
    <row r="268" spans="3:19" x14ac:dyDescent="0.35">
      <c r="C268" s="100"/>
      <c r="D268" s="100"/>
      <c r="E268" s="100"/>
      <c r="F268" s="100"/>
      <c r="G268" s="100"/>
      <c r="H268" s="100"/>
      <c r="I268" s="100"/>
      <c r="J268" s="100"/>
      <c r="K268" s="100"/>
      <c r="L268" s="100"/>
      <c r="M268" s="100"/>
      <c r="N268" s="100"/>
      <c r="O268" s="100"/>
      <c r="P268" s="100"/>
      <c r="Q268" s="100"/>
      <c r="R268" s="100"/>
      <c r="S268" s="100"/>
    </row>
    <row r="269" spans="3:19" x14ac:dyDescent="0.35">
      <c r="P269" s="100"/>
      <c r="Q269" s="100"/>
      <c r="R269" s="100"/>
      <c r="S269" s="100"/>
    </row>
  </sheetData>
  <printOptions horizontalCentered="1"/>
  <pageMargins left="0.75" right="0.25" top="0.52" bottom="0.49" header="0.5" footer="0.5"/>
  <pageSetup scale="47" orientation="portrait"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65C1-15D8-4D63-BBA9-C808AD1993BD}">
  <sheetPr>
    <tabColor rgb="FFFFFF99"/>
  </sheetPr>
  <dimension ref="A1:O86"/>
  <sheetViews>
    <sheetView zoomScale="80" zoomScaleNormal="80" workbookViewId="0"/>
  </sheetViews>
  <sheetFormatPr defaultColWidth="9.09765625" defaultRowHeight="13" x14ac:dyDescent="0.3"/>
  <cols>
    <col min="1" max="1" width="5.296875" style="538" customWidth="1"/>
    <col min="2" max="2" width="60.3984375" style="534" bestFit="1" customWidth="1"/>
    <col min="3" max="3" width="17.69921875" style="534" bestFit="1" customWidth="1"/>
    <col min="4" max="13" width="22.3984375" style="533" customWidth="1"/>
    <col min="14" max="15" width="22" style="533" customWidth="1"/>
    <col min="16" max="16384" width="9.09765625" style="532"/>
  </cols>
  <sheetData>
    <row r="1" spans="1:15" ht="14" x14ac:dyDescent="0.3">
      <c r="B1" s="543" t="s">
        <v>1107</v>
      </c>
      <c r="C1" s="543"/>
    </row>
    <row r="2" spans="1:15" ht="39" customHeight="1" x14ac:dyDescent="0.3">
      <c r="A2" s="544" t="s">
        <v>1071</v>
      </c>
      <c r="I2" s="535"/>
      <c r="J2" s="535"/>
      <c r="K2" s="535"/>
      <c r="L2" s="535"/>
      <c r="M2" s="535"/>
    </row>
    <row r="3" spans="1:15" x14ac:dyDescent="0.3">
      <c r="A3" s="538">
        <v>1</v>
      </c>
      <c r="B3" s="534" t="s">
        <v>1080</v>
      </c>
      <c r="C3" s="533">
        <f>N22+L22</f>
        <v>-36660167</v>
      </c>
      <c r="I3" s="535"/>
      <c r="J3" s="535"/>
      <c r="K3" s="535"/>
      <c r="L3" s="535"/>
      <c r="M3" s="535"/>
    </row>
    <row r="4" spans="1:15" x14ac:dyDescent="0.3">
      <c r="A4" s="538">
        <f>A3+1</f>
        <v>2</v>
      </c>
      <c r="B4" s="534" t="s">
        <v>1081</v>
      </c>
      <c r="C4" s="533">
        <f>N70+L70</f>
        <v>-4056978</v>
      </c>
      <c r="I4" s="535"/>
      <c r="J4" s="535"/>
      <c r="K4" s="535"/>
      <c r="L4" s="535"/>
      <c r="M4" s="535"/>
    </row>
    <row r="5" spans="1:15" x14ac:dyDescent="0.3">
      <c r="C5" s="533"/>
      <c r="I5" s="535"/>
      <c r="J5" s="535"/>
      <c r="K5" s="535"/>
      <c r="L5" s="535"/>
      <c r="M5" s="535"/>
    </row>
    <row r="6" spans="1:15" x14ac:dyDescent="0.3">
      <c r="I6" s="535"/>
      <c r="J6" s="535"/>
      <c r="K6" s="535"/>
      <c r="L6" s="535"/>
      <c r="M6" s="535"/>
    </row>
    <row r="7" spans="1:15" x14ac:dyDescent="0.3">
      <c r="D7" s="645" t="s">
        <v>1052</v>
      </c>
      <c r="E7" s="646"/>
      <c r="F7" s="647"/>
      <c r="G7" s="645" t="s">
        <v>1070</v>
      </c>
      <c r="H7" s="647"/>
      <c r="I7" s="535"/>
      <c r="J7" s="535"/>
      <c r="K7" s="535"/>
      <c r="L7" s="535"/>
      <c r="M7" s="535"/>
    </row>
    <row r="8" spans="1:15" ht="58" x14ac:dyDescent="0.45">
      <c r="A8" s="532"/>
      <c r="B8" s="536" t="s">
        <v>867</v>
      </c>
      <c r="C8" s="546" t="s">
        <v>1121</v>
      </c>
      <c r="D8" s="537" t="s">
        <v>1108</v>
      </c>
      <c r="E8" s="537" t="s">
        <v>431</v>
      </c>
      <c r="F8" s="537" t="s">
        <v>1065</v>
      </c>
      <c r="G8" s="537" t="s">
        <v>1063</v>
      </c>
      <c r="H8" s="537" t="s">
        <v>1064</v>
      </c>
      <c r="I8" s="537" t="s">
        <v>1109</v>
      </c>
      <c r="J8" s="537" t="s">
        <v>1110</v>
      </c>
      <c r="K8" s="537" t="s">
        <v>1124</v>
      </c>
      <c r="L8" s="537" t="s">
        <v>1122</v>
      </c>
      <c r="M8" s="537" t="s">
        <v>1113</v>
      </c>
      <c r="N8" s="537" t="s">
        <v>1127</v>
      </c>
      <c r="O8" s="537" t="s">
        <v>1128</v>
      </c>
    </row>
    <row r="9" spans="1:15" s="542" customFormat="1" x14ac:dyDescent="0.3">
      <c r="A9" s="540"/>
      <c r="B9" s="539" t="s">
        <v>1068</v>
      </c>
      <c r="C9" s="541" t="s">
        <v>1069</v>
      </c>
      <c r="D9" s="541" t="s">
        <v>1089</v>
      </c>
      <c r="E9" s="541" t="s">
        <v>1072</v>
      </c>
      <c r="F9" s="541" t="s">
        <v>1088</v>
      </c>
      <c r="G9" s="541" t="s">
        <v>1073</v>
      </c>
      <c r="H9" s="541" t="s">
        <v>1074</v>
      </c>
      <c r="I9" s="541" t="s">
        <v>1075</v>
      </c>
      <c r="J9" s="541" t="s">
        <v>1076</v>
      </c>
      <c r="K9" s="541" t="s">
        <v>1090</v>
      </c>
      <c r="L9" s="541" t="s">
        <v>1111</v>
      </c>
      <c r="M9" s="541" t="s">
        <v>1112</v>
      </c>
      <c r="N9" s="541" t="s">
        <v>1129</v>
      </c>
      <c r="O9" s="541" t="s">
        <v>1130</v>
      </c>
    </row>
    <row r="10" spans="1:15" x14ac:dyDescent="0.3">
      <c r="B10" s="539"/>
      <c r="C10" s="539"/>
    </row>
    <row r="11" spans="1:15" ht="12.9" customHeight="1" x14ac:dyDescent="0.3">
      <c r="A11" s="538">
        <f>A4+1</f>
        <v>3</v>
      </c>
      <c r="B11" s="578" t="s">
        <v>1009</v>
      </c>
      <c r="C11" s="578"/>
    </row>
    <row r="12" spans="1:15" ht="12.9" customHeight="1" x14ac:dyDescent="0.3">
      <c r="A12" s="538">
        <f>A11+1</f>
        <v>4</v>
      </c>
      <c r="B12" s="579" t="s">
        <v>1010</v>
      </c>
      <c r="C12" s="579"/>
      <c r="D12" s="533">
        <v>-42912386</v>
      </c>
      <c r="E12" s="533">
        <v>-75297522</v>
      </c>
      <c r="F12" s="533">
        <f>SUM(D12:E12)</f>
        <v>-118209908</v>
      </c>
      <c r="G12" s="533">
        <f>ROUND(F12*0.389,0)</f>
        <v>-45983654</v>
      </c>
      <c r="H12" s="533">
        <f>ROUND(F12*0.2495,0)</f>
        <v>-29493372</v>
      </c>
      <c r="I12" s="533">
        <f>+H12-G12</f>
        <v>16490282</v>
      </c>
      <c r="K12" s="533">
        <f>SUM(I12:J12)</f>
        <v>16490282</v>
      </c>
      <c r="L12" s="533">
        <v>-1713162</v>
      </c>
      <c r="M12" s="533">
        <f>SUM(K12:L12)</f>
        <v>14777120</v>
      </c>
      <c r="N12" s="533">
        <v>-1169550</v>
      </c>
      <c r="O12" s="533">
        <f>SUM(M12:N12)</f>
        <v>13607570</v>
      </c>
    </row>
    <row r="13" spans="1:15" ht="12.9" customHeight="1" x14ac:dyDescent="0.3">
      <c r="A13" s="538">
        <f t="shared" ref="A13:A75" si="0">A12+1</f>
        <v>5</v>
      </c>
      <c r="B13" s="579" t="s">
        <v>1011</v>
      </c>
      <c r="C13" s="579"/>
      <c r="D13" s="533">
        <v>43562776</v>
      </c>
      <c r="E13" s="533">
        <v>27183311</v>
      </c>
      <c r="F13" s="533">
        <f>SUM(D13:E13)</f>
        <v>70746087</v>
      </c>
      <c r="G13" s="533">
        <f t="shared" ref="G13:G15" si="1">ROUND(F13*0.389,0)</f>
        <v>27520228</v>
      </c>
      <c r="H13" s="533">
        <f t="shared" ref="H13:H15" si="2">ROUND(F13*0.2495,0)</f>
        <v>17651149</v>
      </c>
      <c r="I13" s="533">
        <f>+H13-G13</f>
        <v>-9869079</v>
      </c>
      <c r="K13" s="533">
        <f t="shared" ref="K13:K23" si="3">SUM(I13:J13)</f>
        <v>-9869079</v>
      </c>
      <c r="L13" s="533">
        <v>1192810</v>
      </c>
      <c r="M13" s="533">
        <f t="shared" ref="M13:M23" si="4">SUM(K13:L13)</f>
        <v>-8676269</v>
      </c>
      <c r="N13" s="533">
        <v>979736</v>
      </c>
      <c r="O13" s="533">
        <f t="shared" ref="O13:O23" si="5">SUM(M13:N13)</f>
        <v>-7696533</v>
      </c>
    </row>
    <row r="14" spans="1:15" ht="12.9" customHeight="1" x14ac:dyDescent="0.3">
      <c r="A14" s="538">
        <f t="shared" si="0"/>
        <v>6</v>
      </c>
      <c r="B14" s="579" t="s">
        <v>1012</v>
      </c>
      <c r="C14" s="579"/>
      <c r="D14" s="533">
        <v>83805960</v>
      </c>
      <c r="E14" s="533">
        <v>190243804</v>
      </c>
      <c r="F14" s="533">
        <f>SUM(D14:E14)</f>
        <v>274049764</v>
      </c>
      <c r="G14" s="533">
        <f t="shared" si="1"/>
        <v>106605358</v>
      </c>
      <c r="H14" s="533">
        <f t="shared" si="2"/>
        <v>68375416</v>
      </c>
      <c r="I14" s="533">
        <f t="shared" ref="I14:I15" si="6">+H14-G14</f>
        <v>-38229942</v>
      </c>
      <c r="K14" s="533">
        <f t="shared" si="3"/>
        <v>-38229942</v>
      </c>
      <c r="L14" s="533">
        <v>3825786</v>
      </c>
      <c r="M14" s="533">
        <f t="shared" si="4"/>
        <v>-34404156</v>
      </c>
      <c r="N14" s="533">
        <v>4696451</v>
      </c>
      <c r="O14" s="533">
        <f t="shared" si="5"/>
        <v>-29707705</v>
      </c>
    </row>
    <row r="15" spans="1:15" ht="12.9" customHeight="1" x14ac:dyDescent="0.3">
      <c r="A15" s="538">
        <f t="shared" si="0"/>
        <v>7</v>
      </c>
      <c r="B15" s="579" t="s">
        <v>1013</v>
      </c>
      <c r="C15" s="579"/>
      <c r="D15" s="580">
        <v>-3719813</v>
      </c>
      <c r="E15" s="580">
        <v>-37277917</v>
      </c>
      <c r="F15" s="580">
        <f>SUM(D15:E15)</f>
        <v>-40997730</v>
      </c>
      <c r="G15" s="580">
        <f t="shared" si="1"/>
        <v>-15948117</v>
      </c>
      <c r="H15" s="580">
        <f t="shared" si="2"/>
        <v>-10228934</v>
      </c>
      <c r="I15" s="580">
        <f t="shared" si="6"/>
        <v>5719183</v>
      </c>
      <c r="J15" s="580"/>
      <c r="K15" s="580">
        <f t="shared" si="3"/>
        <v>5719183</v>
      </c>
      <c r="L15" s="580">
        <v>-727197</v>
      </c>
      <c r="M15" s="580">
        <f t="shared" si="4"/>
        <v>4991986</v>
      </c>
      <c r="N15" s="580">
        <v>-2137933</v>
      </c>
      <c r="O15" s="580">
        <f t="shared" si="5"/>
        <v>2854053</v>
      </c>
    </row>
    <row r="16" spans="1:15" ht="12.9" customHeight="1" x14ac:dyDescent="0.3">
      <c r="A16" s="538">
        <f t="shared" si="0"/>
        <v>8</v>
      </c>
      <c r="B16" s="579" t="s">
        <v>1014</v>
      </c>
      <c r="C16" s="579"/>
      <c r="D16" s="533">
        <f t="shared" ref="D16:O16" si="7">SUM(D12:D15)</f>
        <v>80736537</v>
      </c>
      <c r="E16" s="533">
        <f t="shared" si="7"/>
        <v>104851676</v>
      </c>
      <c r="F16" s="533">
        <f t="shared" si="7"/>
        <v>185588213</v>
      </c>
      <c r="G16" s="533">
        <f t="shared" si="7"/>
        <v>72193815</v>
      </c>
      <c r="H16" s="533">
        <f t="shared" si="7"/>
        <v>46304259</v>
      </c>
      <c r="I16" s="533">
        <f t="shared" si="7"/>
        <v>-25889556</v>
      </c>
      <c r="J16" s="533">
        <f t="shared" si="7"/>
        <v>0</v>
      </c>
      <c r="K16" s="533">
        <f t="shared" si="7"/>
        <v>-25889556</v>
      </c>
      <c r="L16" s="533">
        <f t="shared" si="7"/>
        <v>2578237</v>
      </c>
      <c r="M16" s="533">
        <f t="shared" si="7"/>
        <v>-23311319</v>
      </c>
      <c r="N16" s="533">
        <f t="shared" si="7"/>
        <v>2368704</v>
      </c>
      <c r="O16" s="533">
        <f t="shared" si="7"/>
        <v>-20942615</v>
      </c>
    </row>
    <row r="17" spans="1:15" ht="12.9" customHeight="1" x14ac:dyDescent="0.3">
      <c r="A17" s="538">
        <f t="shared" si="0"/>
        <v>9</v>
      </c>
      <c r="B17" s="579" t="s">
        <v>1015</v>
      </c>
      <c r="C17" s="579"/>
      <c r="D17" s="533">
        <v>-2462030064</v>
      </c>
      <c r="E17" s="533">
        <v>-3580374863</v>
      </c>
      <c r="F17" s="533">
        <f>SUM(D17:E17)</f>
        <v>-6042404927</v>
      </c>
      <c r="G17" s="533">
        <f>ROUND(F17*0.35,0)</f>
        <v>-2114841724</v>
      </c>
      <c r="H17" s="533">
        <f>ROUND(F17*0.21,0)</f>
        <v>-1268905035</v>
      </c>
      <c r="I17" s="533">
        <f>+H17-G17</f>
        <v>845936689</v>
      </c>
      <c r="J17" s="533">
        <v>1545275</v>
      </c>
      <c r="K17" s="533">
        <f t="shared" si="3"/>
        <v>847481964</v>
      </c>
      <c r="L17" s="533">
        <v>-18911415</v>
      </c>
      <c r="M17" s="533">
        <f t="shared" si="4"/>
        <v>828570549</v>
      </c>
      <c r="N17" s="533">
        <v>-21978904</v>
      </c>
      <c r="O17" s="533">
        <f t="shared" si="5"/>
        <v>806591645</v>
      </c>
    </row>
    <row r="18" spans="1:15" ht="12.9" customHeight="1" x14ac:dyDescent="0.3">
      <c r="A18" s="538">
        <f t="shared" si="0"/>
        <v>10</v>
      </c>
      <c r="B18" s="579" t="s">
        <v>1016</v>
      </c>
      <c r="C18" s="579"/>
      <c r="D18" s="533">
        <v>-1575963874</v>
      </c>
      <c r="E18" s="533">
        <v>-2473218700</v>
      </c>
      <c r="F18" s="533">
        <f>SUM(D18:E18)</f>
        <v>-4049182574</v>
      </c>
      <c r="G18" s="533">
        <f>ROUND(F18*(0.06),0)</f>
        <v>-242950954</v>
      </c>
      <c r="H18" s="533">
        <f>ROUND(F18*(0.05),0)</f>
        <v>-202459129</v>
      </c>
      <c r="I18" s="533">
        <f>+H18-G18</f>
        <v>40491825</v>
      </c>
      <c r="J18" s="533">
        <v>13808184</v>
      </c>
      <c r="K18" s="533">
        <f t="shared" si="3"/>
        <v>54300009</v>
      </c>
      <c r="L18" s="533">
        <v>-1889287</v>
      </c>
      <c r="M18" s="533">
        <f t="shared" si="4"/>
        <v>52410722</v>
      </c>
      <c r="N18" s="533">
        <v>-2563067</v>
      </c>
      <c r="O18" s="533">
        <f t="shared" si="5"/>
        <v>49847655</v>
      </c>
    </row>
    <row r="19" spans="1:15" ht="12.9" customHeight="1" x14ac:dyDescent="0.3">
      <c r="A19" s="538">
        <f t="shared" si="0"/>
        <v>11</v>
      </c>
      <c r="B19" s="579" t="s">
        <v>1067</v>
      </c>
      <c r="C19" s="579"/>
      <c r="D19" s="533">
        <v>-1575963874</v>
      </c>
      <c r="E19" s="533">
        <v>-2473218700</v>
      </c>
      <c r="F19" s="533">
        <f>SUM(D19:E19)</f>
        <v>-4049182574</v>
      </c>
      <c r="G19" s="533">
        <f>ROUND(F19*(0.06*-0.35),0)</f>
        <v>85032834</v>
      </c>
      <c r="H19" s="533">
        <f>ROUND(F19*(0.05*-0.21),0)</f>
        <v>42516417</v>
      </c>
      <c r="I19" s="533">
        <f>+H19-G19</f>
        <v>-42516417</v>
      </c>
      <c r="J19" s="533">
        <v>-4873086</v>
      </c>
      <c r="K19" s="533">
        <f t="shared" si="3"/>
        <v>-47389503</v>
      </c>
      <c r="L19" s="533">
        <v>1464722</v>
      </c>
      <c r="M19" s="533">
        <f t="shared" si="4"/>
        <v>-45924781</v>
      </c>
      <c r="N19" s="533">
        <v>1783382</v>
      </c>
      <c r="O19" s="533">
        <f t="shared" si="5"/>
        <v>-44141399</v>
      </c>
    </row>
    <row r="20" spans="1:15" ht="12.9" customHeight="1" x14ac:dyDescent="0.3">
      <c r="A20" s="538">
        <f t="shared" si="0"/>
        <v>12</v>
      </c>
      <c r="B20" s="579" t="s">
        <v>1017</v>
      </c>
      <c r="C20" s="579"/>
      <c r="D20" s="533">
        <v>137956165</v>
      </c>
      <c r="E20" s="533">
        <v>73474760</v>
      </c>
      <c r="F20" s="533">
        <f>SUM(D20:E20)</f>
        <v>211430925</v>
      </c>
      <c r="G20" s="533">
        <f>ROUND(F20*0.35,0)</f>
        <v>74000824</v>
      </c>
      <c r="H20" s="533">
        <f>ROUND(F20*0.21,0)</f>
        <v>44400494</v>
      </c>
      <c r="I20" s="533">
        <f>+H20-G20</f>
        <v>-29600330</v>
      </c>
      <c r="J20" s="533">
        <v>0</v>
      </c>
      <c r="K20" s="533">
        <f t="shared" si="3"/>
        <v>-29600330</v>
      </c>
      <c r="L20" s="533">
        <v>521201</v>
      </c>
      <c r="M20" s="533">
        <f t="shared" si="4"/>
        <v>-29079129</v>
      </c>
      <c r="N20" s="533">
        <v>683096</v>
      </c>
      <c r="O20" s="533">
        <f t="shared" si="5"/>
        <v>-28396033</v>
      </c>
    </row>
    <row r="21" spans="1:15" ht="12.9" customHeight="1" x14ac:dyDescent="0.3">
      <c r="A21" s="538">
        <f t="shared" si="0"/>
        <v>13</v>
      </c>
      <c r="B21" s="534" t="s">
        <v>1066</v>
      </c>
      <c r="C21" s="579"/>
      <c r="D21" s="581">
        <v>-8908774</v>
      </c>
      <c r="E21" s="533">
        <v>-29213841</v>
      </c>
      <c r="F21" s="533">
        <f>SUM(D21:E21)</f>
        <v>-38122615</v>
      </c>
      <c r="G21" s="580">
        <f>ROUND(F21*0.389,0)</f>
        <v>-14829697</v>
      </c>
      <c r="H21" s="580">
        <f>ROUND(F21*0.2495,0)</f>
        <v>-9511592</v>
      </c>
      <c r="I21" s="580">
        <f t="shared" ref="I21:I23" si="8">+H21-G21</f>
        <v>5318105</v>
      </c>
      <c r="J21" s="580">
        <v>0</v>
      </c>
      <c r="K21" s="580">
        <f t="shared" si="3"/>
        <v>5318105</v>
      </c>
      <c r="L21" s="580">
        <v>-358418</v>
      </c>
      <c r="M21" s="580">
        <f t="shared" si="4"/>
        <v>4959687</v>
      </c>
      <c r="N21" s="580">
        <v>-358418</v>
      </c>
      <c r="O21" s="580">
        <f t="shared" si="5"/>
        <v>4601269</v>
      </c>
    </row>
    <row r="22" spans="1:15" s="584" customFormat="1" ht="12.9" customHeight="1" x14ac:dyDescent="0.3">
      <c r="A22" s="538">
        <f t="shared" si="0"/>
        <v>14</v>
      </c>
      <c r="B22" s="582" t="s">
        <v>1099</v>
      </c>
      <c r="C22" s="582" t="s">
        <v>1114</v>
      </c>
      <c r="D22" s="583"/>
      <c r="E22" s="533"/>
      <c r="F22" s="583"/>
      <c r="G22" s="583">
        <f t="shared" ref="G22:H22" si="9">SUM(G16:G21)</f>
        <v>-2141394902</v>
      </c>
      <c r="H22" s="583">
        <f t="shared" si="9"/>
        <v>-1347654586</v>
      </c>
      <c r="I22" s="583">
        <f>SUM(I16:I21)</f>
        <v>793740316</v>
      </c>
      <c r="J22" s="583">
        <f t="shared" ref="J22:K22" si="10">SUM(J16:J21)</f>
        <v>10480373</v>
      </c>
      <c r="K22" s="583">
        <f t="shared" si="10"/>
        <v>804220689</v>
      </c>
      <c r="L22" s="583">
        <f>SUM(L16:L21)</f>
        <v>-16594960</v>
      </c>
      <c r="M22" s="583">
        <f>SUM(M16:M21)</f>
        <v>787625729</v>
      </c>
      <c r="N22" s="583">
        <f>SUM(N16:N21)</f>
        <v>-20065207</v>
      </c>
      <c r="O22" s="583">
        <f>SUM(O16:O21)</f>
        <v>767560522</v>
      </c>
    </row>
    <row r="23" spans="1:15" ht="12.9" customHeight="1" x14ac:dyDescent="0.3">
      <c r="A23" s="538">
        <f t="shared" si="0"/>
        <v>15</v>
      </c>
      <c r="B23" s="579" t="s">
        <v>1115</v>
      </c>
      <c r="C23" s="579"/>
      <c r="G23" s="580">
        <v>-214936889</v>
      </c>
      <c r="H23" s="580">
        <v>-135216609</v>
      </c>
      <c r="I23" s="580">
        <f t="shared" si="8"/>
        <v>79720280</v>
      </c>
      <c r="J23" s="580">
        <v>1451681</v>
      </c>
      <c r="K23" s="580">
        <f t="shared" si="3"/>
        <v>81171961</v>
      </c>
      <c r="L23" s="580">
        <v>-1255151</v>
      </c>
      <c r="M23" s="580">
        <f t="shared" si="4"/>
        <v>79916810</v>
      </c>
      <c r="N23" s="580">
        <v>-148761</v>
      </c>
      <c r="O23" s="580">
        <f t="shared" si="5"/>
        <v>79768049</v>
      </c>
    </row>
    <row r="24" spans="1:15" ht="12.9" customHeight="1" x14ac:dyDescent="0.3">
      <c r="A24" s="538">
        <f t="shared" si="0"/>
        <v>16</v>
      </c>
      <c r="B24" s="585" t="s">
        <v>1100</v>
      </c>
      <c r="C24" s="585"/>
      <c r="G24" s="586">
        <f t="shared" ref="G24:H24" si="11">SUM(G22:G23)</f>
        <v>-2356331791</v>
      </c>
      <c r="H24" s="586">
        <f t="shared" si="11"/>
        <v>-1482871195</v>
      </c>
      <c r="I24" s="586">
        <f>SUM(I22:I23)</f>
        <v>873460596</v>
      </c>
      <c r="J24" s="586">
        <f t="shared" ref="J24:K24" si="12">SUM(J22:J23)</f>
        <v>11932054</v>
      </c>
      <c r="K24" s="586">
        <f t="shared" si="12"/>
        <v>885392650</v>
      </c>
      <c r="L24" s="586">
        <f>SUM(L22:L23)</f>
        <v>-17850111</v>
      </c>
      <c r="M24" s="586">
        <f>SUM(M22:M23)</f>
        <v>867542539</v>
      </c>
      <c r="N24" s="586">
        <f>SUM(N22:N23)</f>
        <v>-20213968</v>
      </c>
      <c r="O24" s="586">
        <f>SUM(O22:O23)</f>
        <v>847328571</v>
      </c>
    </row>
    <row r="25" spans="1:15" ht="12.9" customHeight="1" x14ac:dyDescent="0.3">
      <c r="A25" s="538">
        <f t="shared" si="0"/>
        <v>17</v>
      </c>
      <c r="B25" s="579"/>
      <c r="C25" s="579"/>
    </row>
    <row r="26" spans="1:15" ht="12.9" customHeight="1" x14ac:dyDescent="0.3">
      <c r="A26" s="538">
        <f t="shared" si="0"/>
        <v>18</v>
      </c>
      <c r="B26" s="578" t="s">
        <v>1018</v>
      </c>
      <c r="C26" s="578"/>
    </row>
    <row r="27" spans="1:15" ht="12.9" customHeight="1" x14ac:dyDescent="0.3">
      <c r="A27" s="538">
        <f t="shared" si="0"/>
        <v>19</v>
      </c>
      <c r="B27" s="579" t="s">
        <v>1019</v>
      </c>
      <c r="C27" s="579"/>
      <c r="D27" s="581">
        <v>-6081253</v>
      </c>
      <c r="E27" s="533">
        <v>-567175</v>
      </c>
      <c r="F27" s="533">
        <f t="shared" ref="F27:F69" si="13">SUM(D27:E27)</f>
        <v>-6648428</v>
      </c>
      <c r="G27" s="533">
        <f>ROUND(F27*0.389,0)</f>
        <v>-2586238</v>
      </c>
      <c r="H27" s="533">
        <f>ROUND(F27*0.2495,0)</f>
        <v>-1658783</v>
      </c>
      <c r="I27" s="533">
        <f t="shared" ref="I27:I71" si="14">+H27-G27</f>
        <v>927455</v>
      </c>
      <c r="K27" s="533">
        <f t="shared" ref="K27:K71" si="15">SUM(I27:J27)</f>
        <v>927455</v>
      </c>
      <c r="L27" s="533">
        <f>ROUND(-I27/15,0)</f>
        <v>-61830</v>
      </c>
      <c r="M27" s="533">
        <f t="shared" ref="M27:M74" si="16">SUM(K27:L27)</f>
        <v>865625</v>
      </c>
      <c r="N27" s="533">
        <v>-61830</v>
      </c>
      <c r="O27" s="533">
        <f t="shared" ref="O27:O74" si="17">SUM(M27:N27)</f>
        <v>803795</v>
      </c>
    </row>
    <row r="28" spans="1:15" ht="12.9" customHeight="1" x14ac:dyDescent="0.3">
      <c r="A28" s="538">
        <f t="shared" si="0"/>
        <v>20</v>
      </c>
      <c r="B28" s="579" t="s">
        <v>1020</v>
      </c>
      <c r="C28" s="579"/>
      <c r="D28" s="581">
        <v>-11281598</v>
      </c>
      <c r="E28" s="533">
        <v>-14786163</v>
      </c>
      <c r="F28" s="533">
        <f t="shared" si="13"/>
        <v>-26067761</v>
      </c>
      <c r="G28" s="533">
        <f t="shared" ref="G28:G69" si="18">ROUND(F28*0.389,0)</f>
        <v>-10140359</v>
      </c>
      <c r="H28" s="533">
        <f t="shared" ref="H28:H69" si="19">ROUND(F28*0.2495,0)</f>
        <v>-6503906</v>
      </c>
      <c r="I28" s="533">
        <f t="shared" si="14"/>
        <v>3636453</v>
      </c>
      <c r="K28" s="533">
        <f t="shared" si="15"/>
        <v>3636453</v>
      </c>
      <c r="L28" s="533">
        <f t="shared" ref="L28:L68" si="20">ROUND(-I28/15,0)</f>
        <v>-242430</v>
      </c>
      <c r="M28" s="533">
        <f t="shared" si="16"/>
        <v>3394023</v>
      </c>
      <c r="N28" s="533">
        <v>-242430</v>
      </c>
      <c r="O28" s="533">
        <f t="shared" si="17"/>
        <v>3151593</v>
      </c>
    </row>
    <row r="29" spans="1:15" ht="12.9" customHeight="1" x14ac:dyDescent="0.3">
      <c r="A29" s="538">
        <f t="shared" si="0"/>
        <v>21</v>
      </c>
      <c r="B29" s="579" t="s">
        <v>1021</v>
      </c>
      <c r="C29" s="579"/>
      <c r="D29" s="581">
        <v>-402606</v>
      </c>
      <c r="E29" s="533">
        <v>0</v>
      </c>
      <c r="F29" s="533">
        <f t="shared" si="13"/>
        <v>-402606</v>
      </c>
      <c r="G29" s="533">
        <f t="shared" si="18"/>
        <v>-156614</v>
      </c>
      <c r="H29" s="533">
        <f t="shared" si="19"/>
        <v>-100450</v>
      </c>
      <c r="I29" s="533">
        <f t="shared" si="14"/>
        <v>56164</v>
      </c>
      <c r="K29" s="533">
        <f t="shared" si="15"/>
        <v>56164</v>
      </c>
      <c r="L29" s="533">
        <f t="shared" si="20"/>
        <v>-3744</v>
      </c>
      <c r="M29" s="533">
        <f t="shared" si="16"/>
        <v>52420</v>
      </c>
      <c r="N29" s="533">
        <v>-3744</v>
      </c>
      <c r="O29" s="533">
        <f t="shared" si="17"/>
        <v>48676</v>
      </c>
    </row>
    <row r="30" spans="1:15" ht="12.9" customHeight="1" x14ac:dyDescent="0.3">
      <c r="A30" s="538">
        <f t="shared" si="0"/>
        <v>22</v>
      </c>
      <c r="B30" s="579" t="s">
        <v>1022</v>
      </c>
      <c r="C30" s="579"/>
      <c r="D30" s="581">
        <v>97777</v>
      </c>
      <c r="E30" s="533">
        <v>0</v>
      </c>
      <c r="F30" s="533">
        <f t="shared" si="13"/>
        <v>97777</v>
      </c>
      <c r="G30" s="533">
        <f t="shared" si="18"/>
        <v>38035</v>
      </c>
      <c r="H30" s="533">
        <f t="shared" si="19"/>
        <v>24395</v>
      </c>
      <c r="I30" s="533">
        <f t="shared" si="14"/>
        <v>-13640</v>
      </c>
      <c r="K30" s="533">
        <f t="shared" si="15"/>
        <v>-13640</v>
      </c>
      <c r="L30" s="533">
        <f t="shared" si="20"/>
        <v>909</v>
      </c>
      <c r="M30" s="533">
        <f t="shared" si="16"/>
        <v>-12731</v>
      </c>
      <c r="N30" s="533">
        <v>909</v>
      </c>
      <c r="O30" s="533">
        <f t="shared" si="17"/>
        <v>-11822</v>
      </c>
    </row>
    <row r="31" spans="1:15" ht="12.9" customHeight="1" x14ac:dyDescent="0.3">
      <c r="A31" s="538">
        <f t="shared" si="0"/>
        <v>23</v>
      </c>
      <c r="B31" s="579" t="s">
        <v>1023</v>
      </c>
      <c r="C31" s="579"/>
      <c r="D31" s="581">
        <v>-14570064</v>
      </c>
      <c r="E31" s="533">
        <v>-8826063</v>
      </c>
      <c r="F31" s="533">
        <f t="shared" si="13"/>
        <v>-23396127</v>
      </c>
      <c r="G31" s="533">
        <f t="shared" si="18"/>
        <v>-9101093</v>
      </c>
      <c r="H31" s="533">
        <f t="shared" si="19"/>
        <v>-5837334</v>
      </c>
      <c r="I31" s="533">
        <f t="shared" si="14"/>
        <v>3263759</v>
      </c>
      <c r="K31" s="533">
        <f t="shared" si="15"/>
        <v>3263759</v>
      </c>
      <c r="L31" s="533">
        <f t="shared" si="20"/>
        <v>-217584</v>
      </c>
      <c r="M31" s="533">
        <f t="shared" si="16"/>
        <v>3046175</v>
      </c>
      <c r="N31" s="533">
        <v>-217584</v>
      </c>
      <c r="O31" s="533">
        <f t="shared" si="17"/>
        <v>2828591</v>
      </c>
    </row>
    <row r="32" spans="1:15" ht="12.9" customHeight="1" x14ac:dyDescent="0.3">
      <c r="A32" s="538">
        <f t="shared" si="0"/>
        <v>24</v>
      </c>
      <c r="B32" s="579" t="s">
        <v>1024</v>
      </c>
      <c r="C32" s="579"/>
      <c r="D32" s="581">
        <v>794485</v>
      </c>
      <c r="E32" s="533">
        <v>1478120</v>
      </c>
      <c r="F32" s="533">
        <f t="shared" si="13"/>
        <v>2272605</v>
      </c>
      <c r="G32" s="533">
        <f t="shared" si="18"/>
        <v>884043</v>
      </c>
      <c r="H32" s="533">
        <f t="shared" si="19"/>
        <v>567015</v>
      </c>
      <c r="I32" s="533">
        <f t="shared" si="14"/>
        <v>-317028</v>
      </c>
      <c r="K32" s="533">
        <f t="shared" si="15"/>
        <v>-317028</v>
      </c>
      <c r="L32" s="533">
        <f t="shared" si="20"/>
        <v>21135</v>
      </c>
      <c r="M32" s="533">
        <f t="shared" si="16"/>
        <v>-295893</v>
      </c>
      <c r="N32" s="533">
        <v>21135</v>
      </c>
      <c r="O32" s="533">
        <f>SUM(M32:N32)</f>
        <v>-274758</v>
      </c>
    </row>
    <row r="33" spans="1:15" ht="12.9" customHeight="1" x14ac:dyDescent="0.3">
      <c r="A33" s="538">
        <f t="shared" si="0"/>
        <v>25</v>
      </c>
      <c r="B33" s="579" t="s">
        <v>1025</v>
      </c>
      <c r="C33" s="579"/>
      <c r="D33" s="581">
        <v>12734100</v>
      </c>
      <c r="E33" s="533">
        <v>842194</v>
      </c>
      <c r="F33" s="533">
        <f t="shared" si="13"/>
        <v>13576294</v>
      </c>
      <c r="G33" s="533">
        <f>ROUND(F33*0.35,0)</f>
        <v>4751703</v>
      </c>
      <c r="H33" s="533">
        <f>ROUND(F33*0.21,0)</f>
        <v>2851022</v>
      </c>
      <c r="I33" s="533">
        <f t="shared" si="14"/>
        <v>-1900681</v>
      </c>
      <c r="K33" s="533">
        <f t="shared" si="15"/>
        <v>-1900681</v>
      </c>
      <c r="L33" s="533">
        <f t="shared" si="20"/>
        <v>126712</v>
      </c>
      <c r="M33" s="533">
        <f t="shared" si="16"/>
        <v>-1773969</v>
      </c>
      <c r="N33" s="533">
        <v>126712</v>
      </c>
      <c r="O33" s="533">
        <f t="shared" si="17"/>
        <v>-1647257</v>
      </c>
    </row>
    <row r="34" spans="1:15" ht="12.9" customHeight="1" x14ac:dyDescent="0.3">
      <c r="A34" s="538">
        <f t="shared" si="0"/>
        <v>26</v>
      </c>
      <c r="B34" s="579" t="s">
        <v>1026</v>
      </c>
      <c r="C34" s="579"/>
      <c r="D34" s="581">
        <v>11856973</v>
      </c>
      <c r="E34" s="533">
        <v>842194</v>
      </c>
      <c r="F34" s="533">
        <f t="shared" si="13"/>
        <v>12699167</v>
      </c>
      <c r="G34" s="533">
        <f>ROUND(F34*0.06*0.65,0)</f>
        <v>495268</v>
      </c>
      <c r="H34" s="533">
        <f>ROUND(F34*0.05*0.79,0)</f>
        <v>501617</v>
      </c>
      <c r="I34" s="533">
        <f t="shared" si="14"/>
        <v>6349</v>
      </c>
      <c r="K34" s="533">
        <f t="shared" si="15"/>
        <v>6349</v>
      </c>
      <c r="L34" s="533">
        <f t="shared" si="20"/>
        <v>-423</v>
      </c>
      <c r="M34" s="533">
        <f t="shared" si="16"/>
        <v>5926</v>
      </c>
      <c r="N34" s="533">
        <v>-423</v>
      </c>
      <c r="O34" s="533">
        <f t="shared" si="17"/>
        <v>5503</v>
      </c>
    </row>
    <row r="35" spans="1:15" ht="12.9" customHeight="1" x14ac:dyDescent="0.3">
      <c r="A35" s="538">
        <f t="shared" si="0"/>
        <v>27</v>
      </c>
      <c r="B35" s="579" t="s">
        <v>1027</v>
      </c>
      <c r="C35" s="579"/>
      <c r="D35" s="581">
        <v>0</v>
      </c>
      <c r="E35" s="533">
        <v>0</v>
      </c>
      <c r="F35" s="533">
        <f t="shared" si="13"/>
        <v>0</v>
      </c>
      <c r="G35" s="533">
        <f t="shared" si="18"/>
        <v>0</v>
      </c>
      <c r="H35" s="533">
        <f t="shared" si="19"/>
        <v>0</v>
      </c>
      <c r="I35" s="533">
        <f t="shared" si="14"/>
        <v>0</v>
      </c>
      <c r="K35" s="533">
        <f t="shared" si="15"/>
        <v>0</v>
      </c>
      <c r="L35" s="533">
        <f t="shared" si="20"/>
        <v>0</v>
      </c>
      <c r="M35" s="533">
        <f t="shared" si="16"/>
        <v>0</v>
      </c>
      <c r="N35" s="533">
        <v>0</v>
      </c>
      <c r="O35" s="533">
        <f t="shared" si="17"/>
        <v>0</v>
      </c>
    </row>
    <row r="36" spans="1:15" ht="12.9" customHeight="1" x14ac:dyDescent="0.3">
      <c r="A36" s="538">
        <f t="shared" si="0"/>
        <v>28</v>
      </c>
      <c r="B36" s="579" t="s">
        <v>1028</v>
      </c>
      <c r="C36" s="579"/>
      <c r="D36" s="581">
        <v>-154470</v>
      </c>
      <c r="E36" s="533">
        <v>-162196</v>
      </c>
      <c r="F36" s="533">
        <f t="shared" si="13"/>
        <v>-316666</v>
      </c>
      <c r="G36" s="533">
        <f t="shared" si="18"/>
        <v>-123183</v>
      </c>
      <c r="H36" s="533">
        <f t="shared" si="19"/>
        <v>-79008</v>
      </c>
      <c r="I36" s="533">
        <f t="shared" si="14"/>
        <v>44175</v>
      </c>
      <c r="K36" s="533">
        <f t="shared" si="15"/>
        <v>44175</v>
      </c>
      <c r="L36" s="533">
        <f t="shared" si="20"/>
        <v>-2945</v>
      </c>
      <c r="M36" s="533">
        <f t="shared" si="16"/>
        <v>41230</v>
      </c>
      <c r="N36" s="533">
        <v>-2945</v>
      </c>
      <c r="O36" s="533">
        <f t="shared" si="17"/>
        <v>38285</v>
      </c>
    </row>
    <row r="37" spans="1:15" ht="12.9" customHeight="1" x14ac:dyDescent="0.3">
      <c r="A37" s="538">
        <f t="shared" si="0"/>
        <v>29</v>
      </c>
      <c r="B37" s="579" t="s">
        <v>1029</v>
      </c>
      <c r="C37" s="579"/>
      <c r="D37" s="581">
        <v>2769727</v>
      </c>
      <c r="E37" s="533">
        <v>2433539</v>
      </c>
      <c r="F37" s="533">
        <f t="shared" si="13"/>
        <v>5203266</v>
      </c>
      <c r="G37" s="533">
        <f t="shared" si="18"/>
        <v>2024070</v>
      </c>
      <c r="H37" s="533">
        <f t="shared" si="19"/>
        <v>1298215</v>
      </c>
      <c r="I37" s="533">
        <f t="shared" si="14"/>
        <v>-725855</v>
      </c>
      <c r="K37" s="533">
        <f t="shared" si="15"/>
        <v>-725855</v>
      </c>
      <c r="L37" s="533">
        <f t="shared" si="20"/>
        <v>48390</v>
      </c>
      <c r="M37" s="533">
        <f t="shared" si="16"/>
        <v>-677465</v>
      </c>
      <c r="N37" s="533">
        <v>48390</v>
      </c>
      <c r="O37" s="533">
        <f t="shared" si="17"/>
        <v>-629075</v>
      </c>
    </row>
    <row r="38" spans="1:15" ht="12.9" customHeight="1" x14ac:dyDescent="0.3">
      <c r="A38" s="538">
        <f t="shared" si="0"/>
        <v>30</v>
      </c>
      <c r="B38" s="579" t="s">
        <v>1053</v>
      </c>
      <c r="C38" s="579"/>
      <c r="D38" s="581">
        <v>956286</v>
      </c>
      <c r="E38" s="533">
        <v>1330378</v>
      </c>
      <c r="F38" s="533">
        <f t="shared" si="13"/>
        <v>2286664</v>
      </c>
      <c r="G38" s="533">
        <f t="shared" si="18"/>
        <v>889512</v>
      </c>
      <c r="H38" s="533">
        <f t="shared" si="19"/>
        <v>570523</v>
      </c>
      <c r="I38" s="533">
        <f t="shared" si="14"/>
        <v>-318989</v>
      </c>
      <c r="K38" s="533">
        <f t="shared" si="15"/>
        <v>-318989</v>
      </c>
      <c r="L38" s="533">
        <f t="shared" si="20"/>
        <v>21266</v>
      </c>
      <c r="M38" s="533">
        <f t="shared" si="16"/>
        <v>-297723</v>
      </c>
      <c r="N38" s="533">
        <v>21266</v>
      </c>
      <c r="O38" s="533">
        <f t="shared" si="17"/>
        <v>-276457</v>
      </c>
    </row>
    <row r="39" spans="1:15" ht="12.9" customHeight="1" x14ac:dyDescent="0.3">
      <c r="A39" s="538">
        <f t="shared" si="0"/>
        <v>31</v>
      </c>
      <c r="B39" s="579" t="s">
        <v>1030</v>
      </c>
      <c r="C39" s="579"/>
      <c r="D39" s="581">
        <v>11692</v>
      </c>
      <c r="E39" s="533">
        <v>-482957</v>
      </c>
      <c r="F39" s="533">
        <f t="shared" si="13"/>
        <v>-471265</v>
      </c>
      <c r="G39" s="533">
        <f t="shared" si="18"/>
        <v>-183322</v>
      </c>
      <c r="H39" s="533">
        <f t="shared" si="19"/>
        <v>-117581</v>
      </c>
      <c r="I39" s="533">
        <f t="shared" si="14"/>
        <v>65741</v>
      </c>
      <c r="K39" s="533">
        <f t="shared" si="15"/>
        <v>65741</v>
      </c>
      <c r="L39" s="533">
        <f t="shared" si="20"/>
        <v>-4383</v>
      </c>
      <c r="M39" s="533">
        <f t="shared" si="16"/>
        <v>61358</v>
      </c>
      <c r="N39" s="533">
        <v>-4383</v>
      </c>
      <c r="O39" s="533">
        <f t="shared" si="17"/>
        <v>56975</v>
      </c>
    </row>
    <row r="40" spans="1:15" ht="12.9" customHeight="1" x14ac:dyDescent="0.3">
      <c r="A40" s="538">
        <f t="shared" si="0"/>
        <v>32</v>
      </c>
      <c r="B40" s="579" t="s">
        <v>1031</v>
      </c>
      <c r="C40" s="579"/>
      <c r="D40" s="581">
        <v>-144</v>
      </c>
      <c r="E40" s="533">
        <v>-131237</v>
      </c>
      <c r="F40" s="533">
        <f t="shared" si="13"/>
        <v>-131381</v>
      </c>
      <c r="G40" s="533">
        <f t="shared" si="18"/>
        <v>-51107</v>
      </c>
      <c r="H40" s="533">
        <f t="shared" si="19"/>
        <v>-32780</v>
      </c>
      <c r="I40" s="533">
        <f t="shared" si="14"/>
        <v>18327</v>
      </c>
      <c r="K40" s="533">
        <f t="shared" si="15"/>
        <v>18327</v>
      </c>
      <c r="L40" s="533">
        <f t="shared" si="20"/>
        <v>-1222</v>
      </c>
      <c r="M40" s="533">
        <f t="shared" si="16"/>
        <v>17105</v>
      </c>
      <c r="N40" s="533">
        <v>-1222</v>
      </c>
      <c r="O40" s="533">
        <f t="shared" si="17"/>
        <v>15883</v>
      </c>
    </row>
    <row r="41" spans="1:15" ht="12.9" customHeight="1" x14ac:dyDescent="0.3">
      <c r="A41" s="538">
        <f t="shared" si="0"/>
        <v>33</v>
      </c>
      <c r="B41" s="579" t="s">
        <v>1062</v>
      </c>
      <c r="C41" s="579"/>
      <c r="D41" s="581">
        <v>-4700000</v>
      </c>
      <c r="E41" s="533">
        <v>1118000</v>
      </c>
      <c r="F41" s="533">
        <f t="shared" si="13"/>
        <v>-3582000</v>
      </c>
      <c r="G41" s="533">
        <f t="shared" si="18"/>
        <v>-1393398</v>
      </c>
      <c r="H41" s="533">
        <f t="shared" si="19"/>
        <v>-893709</v>
      </c>
      <c r="I41" s="533">
        <f t="shared" si="14"/>
        <v>499689</v>
      </c>
      <c r="K41" s="533">
        <f t="shared" si="15"/>
        <v>499689</v>
      </c>
      <c r="L41" s="533">
        <f t="shared" si="20"/>
        <v>-33313</v>
      </c>
      <c r="M41" s="533">
        <f t="shared" si="16"/>
        <v>466376</v>
      </c>
      <c r="N41" s="533">
        <v>-33313</v>
      </c>
      <c r="O41" s="533">
        <f t="shared" si="17"/>
        <v>433063</v>
      </c>
    </row>
    <row r="42" spans="1:15" ht="12.9" customHeight="1" x14ac:dyDescent="0.3">
      <c r="A42" s="538">
        <f t="shared" si="0"/>
        <v>34</v>
      </c>
      <c r="B42" s="579" t="s">
        <v>1054</v>
      </c>
      <c r="C42" s="579"/>
      <c r="D42" s="581">
        <v>409000</v>
      </c>
      <c r="E42" s="533">
        <v>2965000</v>
      </c>
      <c r="F42" s="533">
        <f t="shared" si="13"/>
        <v>3374000</v>
      </c>
      <c r="G42" s="533">
        <f t="shared" si="18"/>
        <v>1312486</v>
      </c>
      <c r="H42" s="533">
        <f t="shared" si="19"/>
        <v>841813</v>
      </c>
      <c r="I42" s="533">
        <f t="shared" si="14"/>
        <v>-470673</v>
      </c>
      <c r="K42" s="533">
        <f t="shared" si="15"/>
        <v>-470673</v>
      </c>
      <c r="L42" s="533">
        <f t="shared" si="20"/>
        <v>31378</v>
      </c>
      <c r="M42" s="533">
        <f t="shared" si="16"/>
        <v>-439295</v>
      </c>
      <c r="N42" s="533">
        <v>31378</v>
      </c>
      <c r="O42" s="533">
        <f t="shared" si="17"/>
        <v>-407917</v>
      </c>
    </row>
    <row r="43" spans="1:15" ht="12.9" customHeight="1" x14ac:dyDescent="0.3">
      <c r="A43" s="538">
        <f t="shared" si="0"/>
        <v>35</v>
      </c>
      <c r="B43" s="579" t="s">
        <v>1032</v>
      </c>
      <c r="C43" s="579"/>
      <c r="D43" s="581">
        <v>40947898</v>
      </c>
      <c r="E43" s="533">
        <v>48109451</v>
      </c>
      <c r="F43" s="533">
        <f t="shared" si="13"/>
        <v>89057349</v>
      </c>
      <c r="G43" s="533">
        <f t="shared" si="18"/>
        <v>34643309</v>
      </c>
      <c r="H43" s="533">
        <f t="shared" si="19"/>
        <v>22219809</v>
      </c>
      <c r="I43" s="533">
        <f t="shared" si="14"/>
        <v>-12423500</v>
      </c>
      <c r="K43" s="533">
        <f t="shared" si="15"/>
        <v>-12423500</v>
      </c>
      <c r="L43" s="533">
        <f t="shared" si="20"/>
        <v>828233</v>
      </c>
      <c r="M43" s="533">
        <f t="shared" si="16"/>
        <v>-11595267</v>
      </c>
      <c r="N43" s="533">
        <v>828233</v>
      </c>
      <c r="O43" s="533">
        <f t="shared" si="17"/>
        <v>-10767034</v>
      </c>
    </row>
    <row r="44" spans="1:15" ht="12.9" customHeight="1" x14ac:dyDescent="0.3">
      <c r="A44" s="538">
        <f t="shared" si="0"/>
        <v>36</v>
      </c>
      <c r="B44" s="579" t="s">
        <v>1033</v>
      </c>
      <c r="C44" s="579"/>
      <c r="D44" s="581">
        <v>3089894</v>
      </c>
      <c r="E44" s="533">
        <v>6891417</v>
      </c>
      <c r="F44" s="533">
        <f t="shared" si="13"/>
        <v>9981311</v>
      </c>
      <c r="G44" s="533">
        <f t="shared" si="18"/>
        <v>3882730</v>
      </c>
      <c r="H44" s="533">
        <f t="shared" si="19"/>
        <v>2490337</v>
      </c>
      <c r="I44" s="533">
        <f t="shared" si="14"/>
        <v>-1392393</v>
      </c>
      <c r="K44" s="533">
        <f t="shared" si="15"/>
        <v>-1392393</v>
      </c>
      <c r="L44" s="533">
        <f t="shared" si="20"/>
        <v>92826</v>
      </c>
      <c r="M44" s="533">
        <f t="shared" si="16"/>
        <v>-1299567</v>
      </c>
      <c r="N44" s="533">
        <v>92826</v>
      </c>
      <c r="O44" s="533">
        <f t="shared" si="17"/>
        <v>-1206741</v>
      </c>
    </row>
    <row r="45" spans="1:15" ht="12.9" customHeight="1" x14ac:dyDescent="0.3">
      <c r="A45" s="538">
        <f t="shared" si="0"/>
        <v>37</v>
      </c>
      <c r="B45" s="587" t="s">
        <v>1034</v>
      </c>
      <c r="C45" s="587"/>
      <c r="D45" s="581">
        <v>-146796751</v>
      </c>
      <c r="E45" s="533">
        <v>-121096089</v>
      </c>
      <c r="F45" s="533">
        <f t="shared" si="13"/>
        <v>-267892840</v>
      </c>
      <c r="G45" s="533">
        <f t="shared" si="18"/>
        <v>-104210315</v>
      </c>
      <c r="H45" s="533">
        <f t="shared" si="19"/>
        <v>-66839264</v>
      </c>
      <c r="I45" s="533">
        <f t="shared" si="14"/>
        <v>37371051</v>
      </c>
      <c r="K45" s="533">
        <f t="shared" si="15"/>
        <v>37371051</v>
      </c>
      <c r="L45" s="533">
        <f t="shared" si="20"/>
        <v>-2491403</v>
      </c>
      <c r="M45" s="533">
        <f t="shared" si="16"/>
        <v>34879648</v>
      </c>
      <c r="N45" s="533">
        <v>-2491403</v>
      </c>
      <c r="O45" s="533">
        <f t="shared" si="17"/>
        <v>32388245</v>
      </c>
    </row>
    <row r="46" spans="1:15" ht="12.9" customHeight="1" x14ac:dyDescent="0.3">
      <c r="A46" s="538">
        <f t="shared" si="0"/>
        <v>38</v>
      </c>
      <c r="B46" s="579" t="s">
        <v>1035</v>
      </c>
      <c r="C46" s="579"/>
      <c r="D46" s="581">
        <v>0</v>
      </c>
      <c r="E46" s="533">
        <v>0</v>
      </c>
      <c r="F46" s="533">
        <f t="shared" si="13"/>
        <v>0</v>
      </c>
      <c r="G46" s="533">
        <f t="shared" si="18"/>
        <v>0</v>
      </c>
      <c r="H46" s="533">
        <f t="shared" si="19"/>
        <v>0</v>
      </c>
      <c r="I46" s="533">
        <f t="shared" si="14"/>
        <v>0</v>
      </c>
      <c r="K46" s="533">
        <f t="shared" si="15"/>
        <v>0</v>
      </c>
      <c r="L46" s="533">
        <f t="shared" si="20"/>
        <v>0</v>
      </c>
      <c r="M46" s="533">
        <f t="shared" si="16"/>
        <v>0</v>
      </c>
      <c r="N46" s="533">
        <v>0</v>
      </c>
      <c r="O46" s="533">
        <f t="shared" si="17"/>
        <v>0</v>
      </c>
    </row>
    <row r="47" spans="1:15" ht="12.9" customHeight="1" x14ac:dyDescent="0.3">
      <c r="A47" s="538">
        <f t="shared" si="0"/>
        <v>39</v>
      </c>
      <c r="B47" s="579" t="s">
        <v>1055</v>
      </c>
      <c r="C47" s="579"/>
      <c r="D47" s="581">
        <v>0</v>
      </c>
      <c r="E47" s="533">
        <v>-1878581</v>
      </c>
      <c r="F47" s="533">
        <f t="shared" si="13"/>
        <v>-1878581</v>
      </c>
      <c r="G47" s="533">
        <f t="shared" si="18"/>
        <v>-730768</v>
      </c>
      <c r="H47" s="533">
        <f t="shared" si="19"/>
        <v>-468706</v>
      </c>
      <c r="I47" s="533">
        <f t="shared" si="14"/>
        <v>262062</v>
      </c>
      <c r="K47" s="533">
        <f t="shared" si="15"/>
        <v>262062</v>
      </c>
      <c r="L47" s="533">
        <f t="shared" si="20"/>
        <v>-17471</v>
      </c>
      <c r="M47" s="533">
        <f t="shared" si="16"/>
        <v>244591</v>
      </c>
      <c r="N47" s="533">
        <v>-17471</v>
      </c>
      <c r="O47" s="533">
        <f t="shared" si="17"/>
        <v>227120</v>
      </c>
    </row>
    <row r="48" spans="1:15" ht="12.9" customHeight="1" x14ac:dyDescent="0.3">
      <c r="A48" s="538">
        <f t="shared" si="0"/>
        <v>40</v>
      </c>
      <c r="B48" s="579" t="s">
        <v>1036</v>
      </c>
      <c r="C48" s="579"/>
      <c r="D48" s="581">
        <v>-933252</v>
      </c>
      <c r="E48" s="533">
        <v>-1166592</v>
      </c>
      <c r="F48" s="533">
        <f t="shared" si="13"/>
        <v>-2099844</v>
      </c>
      <c r="G48" s="533">
        <f t="shared" si="18"/>
        <v>-816839</v>
      </c>
      <c r="H48" s="533">
        <f t="shared" si="19"/>
        <v>-523911</v>
      </c>
      <c r="I48" s="533">
        <f t="shared" si="14"/>
        <v>292928</v>
      </c>
      <c r="K48" s="533">
        <f t="shared" si="15"/>
        <v>292928</v>
      </c>
      <c r="L48" s="533">
        <f t="shared" si="20"/>
        <v>-19529</v>
      </c>
      <c r="M48" s="533">
        <f t="shared" si="16"/>
        <v>273399</v>
      </c>
      <c r="N48" s="533">
        <v>-19529</v>
      </c>
      <c r="O48" s="533">
        <f t="shared" si="17"/>
        <v>253870</v>
      </c>
    </row>
    <row r="49" spans="1:15" ht="12.9" customHeight="1" x14ac:dyDescent="0.3">
      <c r="A49" s="538">
        <f t="shared" si="0"/>
        <v>41</v>
      </c>
      <c r="B49" s="579" t="s">
        <v>1037</v>
      </c>
      <c r="C49" s="579"/>
      <c r="D49" s="581">
        <v>0</v>
      </c>
      <c r="E49" s="533">
        <v>0</v>
      </c>
      <c r="F49" s="533">
        <f t="shared" si="13"/>
        <v>0</v>
      </c>
      <c r="G49" s="533">
        <f t="shared" si="18"/>
        <v>0</v>
      </c>
      <c r="H49" s="533">
        <f t="shared" si="19"/>
        <v>0</v>
      </c>
      <c r="I49" s="533">
        <f t="shared" si="14"/>
        <v>0</v>
      </c>
      <c r="K49" s="533">
        <f t="shared" si="15"/>
        <v>0</v>
      </c>
      <c r="L49" s="533">
        <f t="shared" si="20"/>
        <v>0</v>
      </c>
      <c r="M49" s="533">
        <f t="shared" si="16"/>
        <v>0</v>
      </c>
      <c r="N49" s="533">
        <v>0</v>
      </c>
      <c r="O49" s="533">
        <f t="shared" si="17"/>
        <v>0</v>
      </c>
    </row>
    <row r="50" spans="1:15" ht="12.9" customHeight="1" x14ac:dyDescent="0.3">
      <c r="A50" s="538">
        <f t="shared" si="0"/>
        <v>42</v>
      </c>
      <c r="B50" s="579" t="s">
        <v>1056</v>
      </c>
      <c r="C50" s="579"/>
      <c r="D50" s="581">
        <v>0</v>
      </c>
      <c r="E50" s="533">
        <v>-5673389</v>
      </c>
      <c r="F50" s="533">
        <f t="shared" si="13"/>
        <v>-5673389</v>
      </c>
      <c r="G50" s="533">
        <f t="shared" si="18"/>
        <v>-2206948</v>
      </c>
      <c r="H50" s="533">
        <f t="shared" si="19"/>
        <v>-1415511</v>
      </c>
      <c r="I50" s="533">
        <f t="shared" si="14"/>
        <v>791437</v>
      </c>
      <c r="K50" s="533">
        <f t="shared" si="15"/>
        <v>791437</v>
      </c>
      <c r="L50" s="533">
        <f t="shared" si="20"/>
        <v>-52762</v>
      </c>
      <c r="M50" s="533">
        <f t="shared" si="16"/>
        <v>738675</v>
      </c>
      <c r="N50" s="533">
        <v>-52762</v>
      </c>
      <c r="O50" s="533">
        <f t="shared" si="17"/>
        <v>685913</v>
      </c>
    </row>
    <row r="51" spans="1:15" ht="12.9" customHeight="1" x14ac:dyDescent="0.3">
      <c r="A51" s="538">
        <f t="shared" si="0"/>
        <v>43</v>
      </c>
      <c r="B51" s="579" t="s">
        <v>1038</v>
      </c>
      <c r="C51" s="579"/>
      <c r="D51" s="581">
        <v>231803</v>
      </c>
      <c r="E51" s="533">
        <v>6219</v>
      </c>
      <c r="F51" s="533">
        <f t="shared" si="13"/>
        <v>238022</v>
      </c>
      <c r="G51" s="533">
        <f t="shared" si="18"/>
        <v>92591</v>
      </c>
      <c r="H51" s="533">
        <f t="shared" si="19"/>
        <v>59386</v>
      </c>
      <c r="I51" s="533">
        <f t="shared" si="14"/>
        <v>-33205</v>
      </c>
      <c r="K51" s="533">
        <f t="shared" si="15"/>
        <v>-33205</v>
      </c>
      <c r="L51" s="533">
        <f t="shared" si="20"/>
        <v>2214</v>
      </c>
      <c r="M51" s="533">
        <f t="shared" si="16"/>
        <v>-30991</v>
      </c>
      <c r="N51" s="533">
        <v>2214</v>
      </c>
      <c r="O51" s="533">
        <f t="shared" si="17"/>
        <v>-28777</v>
      </c>
    </row>
    <row r="52" spans="1:15" ht="12.9" customHeight="1" x14ac:dyDescent="0.3">
      <c r="A52" s="538">
        <f t="shared" si="0"/>
        <v>44</v>
      </c>
      <c r="B52" s="579" t="s">
        <v>1057</v>
      </c>
      <c r="C52" s="579"/>
      <c r="D52" s="581">
        <v>0</v>
      </c>
      <c r="E52" s="533">
        <v>634533</v>
      </c>
      <c r="F52" s="533">
        <f t="shared" si="13"/>
        <v>634533</v>
      </c>
      <c r="G52" s="533">
        <f t="shared" si="18"/>
        <v>246833</v>
      </c>
      <c r="H52" s="533">
        <f t="shared" si="19"/>
        <v>158316</v>
      </c>
      <c r="I52" s="533">
        <f t="shared" si="14"/>
        <v>-88517</v>
      </c>
      <c r="K52" s="533">
        <f t="shared" si="15"/>
        <v>-88517</v>
      </c>
      <c r="L52" s="533">
        <f t="shared" si="20"/>
        <v>5901</v>
      </c>
      <c r="M52" s="533">
        <f t="shared" si="16"/>
        <v>-82616</v>
      </c>
      <c r="N52" s="533">
        <v>5901</v>
      </c>
      <c r="O52" s="533">
        <f t="shared" si="17"/>
        <v>-76715</v>
      </c>
    </row>
    <row r="53" spans="1:15" ht="12.9" customHeight="1" x14ac:dyDescent="0.3">
      <c r="A53" s="538">
        <f t="shared" si="0"/>
        <v>45</v>
      </c>
      <c r="B53" s="579" t="s">
        <v>1058</v>
      </c>
      <c r="C53" s="579"/>
      <c r="D53" s="581">
        <v>0</v>
      </c>
      <c r="E53" s="533">
        <v>-1642701</v>
      </c>
      <c r="F53" s="533">
        <f t="shared" si="13"/>
        <v>-1642701</v>
      </c>
      <c r="G53" s="533">
        <f t="shared" si="18"/>
        <v>-639011</v>
      </c>
      <c r="H53" s="533">
        <f t="shared" si="19"/>
        <v>-409854</v>
      </c>
      <c r="I53" s="533">
        <f t="shared" si="14"/>
        <v>229157</v>
      </c>
      <c r="K53" s="533">
        <f t="shared" si="15"/>
        <v>229157</v>
      </c>
      <c r="L53" s="533">
        <f t="shared" si="20"/>
        <v>-15277</v>
      </c>
      <c r="M53" s="533">
        <f t="shared" si="16"/>
        <v>213880</v>
      </c>
      <c r="N53" s="533">
        <v>-15277</v>
      </c>
      <c r="O53" s="533">
        <f t="shared" si="17"/>
        <v>198603</v>
      </c>
    </row>
    <row r="54" spans="1:15" ht="12.9" customHeight="1" x14ac:dyDescent="0.3">
      <c r="A54" s="538">
        <f t="shared" si="0"/>
        <v>46</v>
      </c>
      <c r="B54" s="579" t="s">
        <v>1059</v>
      </c>
      <c r="C54" s="579"/>
      <c r="D54" s="581">
        <v>0</v>
      </c>
      <c r="E54" s="533">
        <v>18695</v>
      </c>
      <c r="F54" s="533">
        <f t="shared" si="13"/>
        <v>18695</v>
      </c>
      <c r="G54" s="533">
        <f t="shared" si="18"/>
        <v>7272</v>
      </c>
      <c r="H54" s="533">
        <f t="shared" si="19"/>
        <v>4664</v>
      </c>
      <c r="I54" s="533">
        <f t="shared" si="14"/>
        <v>-2608</v>
      </c>
      <c r="K54" s="533">
        <f t="shared" si="15"/>
        <v>-2608</v>
      </c>
      <c r="L54" s="533">
        <f t="shared" si="20"/>
        <v>174</v>
      </c>
      <c r="M54" s="533">
        <f t="shared" si="16"/>
        <v>-2434</v>
      </c>
      <c r="N54" s="533">
        <v>174</v>
      </c>
      <c r="O54" s="533">
        <f t="shared" si="17"/>
        <v>-2260</v>
      </c>
    </row>
    <row r="55" spans="1:15" ht="12.9" customHeight="1" x14ac:dyDescent="0.3">
      <c r="A55" s="538">
        <f t="shared" si="0"/>
        <v>47</v>
      </c>
      <c r="B55" s="579" t="s">
        <v>1039</v>
      </c>
      <c r="C55" s="579"/>
      <c r="D55" s="581">
        <v>-280070</v>
      </c>
      <c r="E55" s="533">
        <v>-442281</v>
      </c>
      <c r="F55" s="533">
        <f t="shared" si="13"/>
        <v>-722351</v>
      </c>
      <c r="G55" s="533">
        <f t="shared" si="18"/>
        <v>-280995</v>
      </c>
      <c r="H55" s="533">
        <f t="shared" si="19"/>
        <v>-180227</v>
      </c>
      <c r="I55" s="533">
        <f t="shared" si="14"/>
        <v>100768</v>
      </c>
      <c r="K55" s="533">
        <f t="shared" si="15"/>
        <v>100768</v>
      </c>
      <c r="L55" s="533">
        <f t="shared" si="20"/>
        <v>-6718</v>
      </c>
      <c r="M55" s="533">
        <f t="shared" si="16"/>
        <v>94050</v>
      </c>
      <c r="N55" s="533">
        <v>-6718</v>
      </c>
      <c r="O55" s="533">
        <f t="shared" si="17"/>
        <v>87332</v>
      </c>
    </row>
    <row r="56" spans="1:15" ht="12.9" customHeight="1" x14ac:dyDescent="0.3">
      <c r="A56" s="538">
        <f t="shared" si="0"/>
        <v>48</v>
      </c>
      <c r="B56" s="579" t="s">
        <v>1040</v>
      </c>
      <c r="C56" s="579"/>
      <c r="D56" s="581">
        <v>-3043316</v>
      </c>
      <c r="E56" s="533">
        <v>1220138</v>
      </c>
      <c r="F56" s="533">
        <f t="shared" si="13"/>
        <v>-1823178</v>
      </c>
      <c r="G56" s="533">
        <f t="shared" si="18"/>
        <v>-709216</v>
      </c>
      <c r="H56" s="533">
        <f t="shared" si="19"/>
        <v>-454883</v>
      </c>
      <c r="I56" s="533">
        <f t="shared" si="14"/>
        <v>254333</v>
      </c>
      <c r="K56" s="533">
        <f t="shared" si="15"/>
        <v>254333</v>
      </c>
      <c r="L56" s="533">
        <f t="shared" si="20"/>
        <v>-16956</v>
      </c>
      <c r="M56" s="533">
        <f t="shared" si="16"/>
        <v>237377</v>
      </c>
      <c r="N56" s="533">
        <v>-16956</v>
      </c>
      <c r="O56" s="533">
        <f t="shared" si="17"/>
        <v>220421</v>
      </c>
    </row>
    <row r="57" spans="1:15" ht="12.9" customHeight="1" x14ac:dyDescent="0.3">
      <c r="A57" s="538">
        <f t="shared" si="0"/>
        <v>49</v>
      </c>
      <c r="B57" s="579" t="s">
        <v>1041</v>
      </c>
      <c r="C57" s="579"/>
      <c r="D57" s="581">
        <v>-1364049</v>
      </c>
      <c r="E57" s="533">
        <v>0</v>
      </c>
      <c r="F57" s="533">
        <f t="shared" si="13"/>
        <v>-1364049</v>
      </c>
      <c r="G57" s="533">
        <f t="shared" si="18"/>
        <v>-530615</v>
      </c>
      <c r="H57" s="533">
        <f t="shared" si="19"/>
        <v>-340330</v>
      </c>
      <c r="I57" s="533">
        <f t="shared" si="14"/>
        <v>190285</v>
      </c>
      <c r="K57" s="533">
        <f t="shared" si="15"/>
        <v>190285</v>
      </c>
      <c r="L57" s="533">
        <f t="shared" si="20"/>
        <v>-12686</v>
      </c>
      <c r="M57" s="533">
        <f t="shared" si="16"/>
        <v>177599</v>
      </c>
      <c r="N57" s="533">
        <v>-12686</v>
      </c>
      <c r="O57" s="533">
        <f t="shared" si="17"/>
        <v>164913</v>
      </c>
    </row>
    <row r="58" spans="1:15" ht="12.9" customHeight="1" x14ac:dyDescent="0.3">
      <c r="A58" s="538">
        <f t="shared" si="0"/>
        <v>50</v>
      </c>
      <c r="B58" s="579" t="s">
        <v>1042</v>
      </c>
      <c r="C58" s="579"/>
      <c r="D58" s="581">
        <v>0</v>
      </c>
      <c r="E58" s="533">
        <v>0</v>
      </c>
      <c r="F58" s="533">
        <f t="shared" si="13"/>
        <v>0</v>
      </c>
      <c r="G58" s="533">
        <f t="shared" si="18"/>
        <v>0</v>
      </c>
      <c r="H58" s="533">
        <f t="shared" si="19"/>
        <v>0</v>
      </c>
      <c r="I58" s="533">
        <f t="shared" si="14"/>
        <v>0</v>
      </c>
      <c r="K58" s="533">
        <f t="shared" si="15"/>
        <v>0</v>
      </c>
      <c r="L58" s="533">
        <f t="shared" si="20"/>
        <v>0</v>
      </c>
      <c r="M58" s="533">
        <f t="shared" si="16"/>
        <v>0</v>
      </c>
      <c r="N58" s="533">
        <v>0</v>
      </c>
      <c r="O58" s="533">
        <f t="shared" si="17"/>
        <v>0</v>
      </c>
    </row>
    <row r="59" spans="1:15" ht="12.9" customHeight="1" x14ac:dyDescent="0.3">
      <c r="A59" s="538">
        <f t="shared" si="0"/>
        <v>51</v>
      </c>
      <c r="B59" s="579" t="s">
        <v>1043</v>
      </c>
      <c r="C59" s="579"/>
      <c r="D59" s="581">
        <v>722646</v>
      </c>
      <c r="E59" s="533">
        <v>2882885</v>
      </c>
      <c r="F59" s="533">
        <f t="shared" si="13"/>
        <v>3605531</v>
      </c>
      <c r="G59" s="533">
        <f t="shared" si="18"/>
        <v>1402552</v>
      </c>
      <c r="H59" s="533">
        <f t="shared" si="19"/>
        <v>899580</v>
      </c>
      <c r="I59" s="533">
        <f t="shared" si="14"/>
        <v>-502972</v>
      </c>
      <c r="K59" s="533">
        <f t="shared" si="15"/>
        <v>-502972</v>
      </c>
      <c r="L59" s="533">
        <f t="shared" si="20"/>
        <v>33531</v>
      </c>
      <c r="M59" s="533">
        <f t="shared" si="16"/>
        <v>-469441</v>
      </c>
      <c r="N59" s="533">
        <v>33531</v>
      </c>
      <c r="O59" s="533">
        <f t="shared" si="17"/>
        <v>-435910</v>
      </c>
    </row>
    <row r="60" spans="1:15" ht="12.9" customHeight="1" x14ac:dyDescent="0.3">
      <c r="A60" s="538">
        <f t="shared" si="0"/>
        <v>52</v>
      </c>
      <c r="B60" s="579" t="s">
        <v>1060</v>
      </c>
      <c r="C60" s="579"/>
      <c r="D60" s="581">
        <v>0</v>
      </c>
      <c r="E60" s="533">
        <v>313709</v>
      </c>
      <c r="F60" s="533">
        <f t="shared" si="13"/>
        <v>313709</v>
      </c>
      <c r="G60" s="533">
        <f t="shared" si="18"/>
        <v>122033</v>
      </c>
      <c r="H60" s="533">
        <f t="shared" si="19"/>
        <v>78270</v>
      </c>
      <c r="I60" s="533">
        <f t="shared" si="14"/>
        <v>-43763</v>
      </c>
      <c r="K60" s="533">
        <f t="shared" si="15"/>
        <v>-43763</v>
      </c>
      <c r="L60" s="533">
        <f t="shared" si="20"/>
        <v>2918</v>
      </c>
      <c r="M60" s="533">
        <f t="shared" si="16"/>
        <v>-40845</v>
      </c>
      <c r="N60" s="533">
        <v>2918</v>
      </c>
      <c r="O60" s="533">
        <f t="shared" si="17"/>
        <v>-37927</v>
      </c>
    </row>
    <row r="61" spans="1:15" ht="12.9" customHeight="1" x14ac:dyDescent="0.3">
      <c r="A61" s="538">
        <f t="shared" si="0"/>
        <v>53</v>
      </c>
      <c r="B61" s="579" t="s">
        <v>1044</v>
      </c>
      <c r="C61" s="579"/>
      <c r="D61" s="581">
        <v>-1651858</v>
      </c>
      <c r="E61" s="533">
        <v>-3111003</v>
      </c>
      <c r="F61" s="533">
        <f t="shared" si="13"/>
        <v>-4762861</v>
      </c>
      <c r="G61" s="533">
        <f t="shared" si="18"/>
        <v>-1852753</v>
      </c>
      <c r="H61" s="533">
        <f t="shared" si="19"/>
        <v>-1188334</v>
      </c>
      <c r="I61" s="533">
        <f t="shared" si="14"/>
        <v>664419</v>
      </c>
      <c r="K61" s="533">
        <f t="shared" si="15"/>
        <v>664419</v>
      </c>
      <c r="L61" s="533">
        <f t="shared" si="20"/>
        <v>-44295</v>
      </c>
      <c r="M61" s="533">
        <f t="shared" si="16"/>
        <v>620124</v>
      </c>
      <c r="N61" s="533">
        <v>-44295</v>
      </c>
      <c r="O61" s="533">
        <f t="shared" si="17"/>
        <v>575829</v>
      </c>
    </row>
    <row r="62" spans="1:15" ht="12.9" customHeight="1" x14ac:dyDescent="0.3">
      <c r="A62" s="538">
        <f t="shared" si="0"/>
        <v>54</v>
      </c>
      <c r="B62" s="579" t="s">
        <v>1045</v>
      </c>
      <c r="C62" s="579"/>
      <c r="D62" s="581">
        <v>-753306</v>
      </c>
      <c r="E62" s="533">
        <v>-1286609</v>
      </c>
      <c r="F62" s="533">
        <f t="shared" si="13"/>
        <v>-2039915</v>
      </c>
      <c r="G62" s="533">
        <f t="shared" si="18"/>
        <v>-793527</v>
      </c>
      <c r="H62" s="533">
        <f t="shared" si="19"/>
        <v>-508959</v>
      </c>
      <c r="I62" s="533">
        <f t="shared" si="14"/>
        <v>284568</v>
      </c>
      <c r="K62" s="533">
        <f t="shared" si="15"/>
        <v>284568</v>
      </c>
      <c r="L62" s="533">
        <f t="shared" si="20"/>
        <v>-18971</v>
      </c>
      <c r="M62" s="533">
        <f t="shared" si="16"/>
        <v>265597</v>
      </c>
      <c r="N62" s="533">
        <v>-18971</v>
      </c>
      <c r="O62" s="533">
        <f t="shared" si="17"/>
        <v>246626</v>
      </c>
    </row>
    <row r="63" spans="1:15" ht="12.9" customHeight="1" x14ac:dyDescent="0.3">
      <c r="A63" s="538">
        <f t="shared" si="0"/>
        <v>55</v>
      </c>
      <c r="B63" s="579" t="s">
        <v>1046</v>
      </c>
      <c r="C63" s="579"/>
      <c r="D63" s="581">
        <v>2425585</v>
      </c>
      <c r="E63" s="533">
        <v>1760237</v>
      </c>
      <c r="F63" s="533">
        <f t="shared" si="13"/>
        <v>4185822</v>
      </c>
      <c r="G63" s="533">
        <f>ROUND(F63*0.35,0)</f>
        <v>1465038</v>
      </c>
      <c r="H63" s="533">
        <f>ROUND(F63*0.21,0)</f>
        <v>879023</v>
      </c>
      <c r="I63" s="533">
        <f t="shared" si="14"/>
        <v>-586015</v>
      </c>
      <c r="K63" s="533">
        <f t="shared" si="15"/>
        <v>-586015</v>
      </c>
      <c r="L63" s="533">
        <f t="shared" si="20"/>
        <v>39068</v>
      </c>
      <c r="M63" s="533">
        <f t="shared" si="16"/>
        <v>-546947</v>
      </c>
      <c r="N63" s="533">
        <v>39068</v>
      </c>
      <c r="O63" s="533">
        <f t="shared" si="17"/>
        <v>-507879</v>
      </c>
    </row>
    <row r="64" spans="1:15" ht="12.9" customHeight="1" x14ac:dyDescent="0.3">
      <c r="A64" s="538">
        <f t="shared" si="0"/>
        <v>56</v>
      </c>
      <c r="B64" s="579" t="s">
        <v>1047</v>
      </c>
      <c r="C64" s="579"/>
      <c r="D64" s="581">
        <v>-15864976</v>
      </c>
      <c r="E64" s="533">
        <v>0</v>
      </c>
      <c r="F64" s="533">
        <f t="shared" si="13"/>
        <v>-15864976</v>
      </c>
      <c r="G64" s="533">
        <f t="shared" si="18"/>
        <v>-6171476</v>
      </c>
      <c r="H64" s="533">
        <f t="shared" si="19"/>
        <v>-3958312</v>
      </c>
      <c r="I64" s="533">
        <f t="shared" si="14"/>
        <v>2213164</v>
      </c>
      <c r="K64" s="533">
        <f t="shared" si="15"/>
        <v>2213164</v>
      </c>
      <c r="L64" s="533">
        <f t="shared" si="20"/>
        <v>-147544</v>
      </c>
      <c r="M64" s="533">
        <f t="shared" si="16"/>
        <v>2065620</v>
      </c>
      <c r="N64" s="533">
        <v>-147544</v>
      </c>
      <c r="O64" s="533">
        <f t="shared" si="17"/>
        <v>1918076</v>
      </c>
    </row>
    <row r="65" spans="1:15" ht="12.9" customHeight="1" x14ac:dyDescent="0.3">
      <c r="A65" s="538">
        <f t="shared" si="0"/>
        <v>57</v>
      </c>
      <c r="B65" s="579" t="s">
        <v>1048</v>
      </c>
      <c r="C65" s="579"/>
      <c r="D65" s="581">
        <v>-796573</v>
      </c>
      <c r="E65" s="533">
        <v>-940337</v>
      </c>
      <c r="F65" s="533">
        <f t="shared" si="13"/>
        <v>-1736910</v>
      </c>
      <c r="G65" s="533">
        <f t="shared" si="18"/>
        <v>-675658</v>
      </c>
      <c r="H65" s="533">
        <f t="shared" si="19"/>
        <v>-433359</v>
      </c>
      <c r="I65" s="533">
        <f t="shared" si="14"/>
        <v>242299</v>
      </c>
      <c r="K65" s="533">
        <f t="shared" si="15"/>
        <v>242299</v>
      </c>
      <c r="L65" s="533">
        <f t="shared" si="20"/>
        <v>-16153</v>
      </c>
      <c r="M65" s="533">
        <f t="shared" si="16"/>
        <v>226146</v>
      </c>
      <c r="N65" s="533">
        <v>-16153</v>
      </c>
      <c r="O65" s="533">
        <f t="shared" si="17"/>
        <v>209993</v>
      </c>
    </row>
    <row r="66" spans="1:15" ht="12.9" customHeight="1" x14ac:dyDescent="0.3">
      <c r="A66" s="538">
        <f t="shared" si="0"/>
        <v>58</v>
      </c>
      <c r="B66" s="579" t="s">
        <v>1049</v>
      </c>
      <c r="C66" s="579"/>
      <c r="D66" s="581">
        <v>306713</v>
      </c>
      <c r="E66" s="533">
        <v>0</v>
      </c>
      <c r="F66" s="533">
        <f t="shared" si="13"/>
        <v>306713</v>
      </c>
      <c r="G66" s="533">
        <f t="shared" si="18"/>
        <v>119311</v>
      </c>
      <c r="H66" s="533">
        <f t="shared" si="19"/>
        <v>76525</v>
      </c>
      <c r="I66" s="533">
        <f t="shared" si="14"/>
        <v>-42786</v>
      </c>
      <c r="K66" s="533">
        <f t="shared" si="15"/>
        <v>-42786</v>
      </c>
      <c r="L66" s="533">
        <f t="shared" si="20"/>
        <v>2852</v>
      </c>
      <c r="M66" s="533">
        <f t="shared" si="16"/>
        <v>-39934</v>
      </c>
      <c r="N66" s="533">
        <v>2852</v>
      </c>
      <c r="O66" s="533">
        <f t="shared" si="17"/>
        <v>-37082</v>
      </c>
    </row>
    <row r="67" spans="1:15" ht="12.9" customHeight="1" x14ac:dyDescent="0.3">
      <c r="A67" s="538">
        <f t="shared" si="0"/>
        <v>59</v>
      </c>
      <c r="B67" s="579" t="s">
        <v>1061</v>
      </c>
      <c r="C67" s="579"/>
      <c r="D67" s="581">
        <v>0</v>
      </c>
      <c r="E67" s="533">
        <v>856000</v>
      </c>
      <c r="F67" s="533">
        <f t="shared" si="13"/>
        <v>856000</v>
      </c>
      <c r="G67" s="533">
        <f t="shared" si="18"/>
        <v>332984</v>
      </c>
      <c r="H67" s="533">
        <f t="shared" si="19"/>
        <v>213572</v>
      </c>
      <c r="I67" s="533">
        <f t="shared" si="14"/>
        <v>-119412</v>
      </c>
      <c r="K67" s="533">
        <f t="shared" si="15"/>
        <v>-119412</v>
      </c>
      <c r="L67" s="533">
        <f t="shared" si="20"/>
        <v>7961</v>
      </c>
      <c r="M67" s="533">
        <f t="shared" si="16"/>
        <v>-111451</v>
      </c>
      <c r="N67" s="533">
        <v>7961</v>
      </c>
      <c r="O67" s="533">
        <f t="shared" si="17"/>
        <v>-103490</v>
      </c>
    </row>
    <row r="68" spans="1:15" ht="12.9" customHeight="1" x14ac:dyDescent="0.3">
      <c r="A68" s="538">
        <f t="shared" si="0"/>
        <v>60</v>
      </c>
      <c r="B68" s="579" t="s">
        <v>1050</v>
      </c>
      <c r="C68" s="579"/>
      <c r="D68" s="581">
        <v>3556964</v>
      </c>
      <c r="E68" s="533">
        <v>4880425</v>
      </c>
      <c r="F68" s="533">
        <f t="shared" si="13"/>
        <v>8437389</v>
      </c>
      <c r="G68" s="533">
        <f t="shared" si="18"/>
        <v>3282144</v>
      </c>
      <c r="H68" s="533">
        <f t="shared" si="19"/>
        <v>2105129</v>
      </c>
      <c r="I68" s="533">
        <f t="shared" si="14"/>
        <v>-1177015</v>
      </c>
      <c r="K68" s="533">
        <f t="shared" si="15"/>
        <v>-1177015</v>
      </c>
      <c r="L68" s="533">
        <f t="shared" si="20"/>
        <v>78468</v>
      </c>
      <c r="M68" s="533">
        <f t="shared" si="16"/>
        <v>-1098547</v>
      </c>
      <c r="N68" s="533">
        <v>78468</v>
      </c>
      <c r="O68" s="533">
        <f t="shared" si="17"/>
        <v>-1020079</v>
      </c>
    </row>
    <row r="69" spans="1:15" ht="12.9" customHeight="1" x14ac:dyDescent="0.3">
      <c r="A69" s="538">
        <f t="shared" si="0"/>
        <v>61</v>
      </c>
      <c r="B69" s="579" t="s">
        <v>1051</v>
      </c>
      <c r="C69" s="579"/>
      <c r="D69" s="581">
        <v>2515231</v>
      </c>
      <c r="E69" s="533">
        <v>3421711</v>
      </c>
      <c r="F69" s="533">
        <f t="shared" si="13"/>
        <v>5936942</v>
      </c>
      <c r="G69" s="580">
        <f t="shared" si="18"/>
        <v>2309470</v>
      </c>
      <c r="H69" s="580">
        <f t="shared" si="19"/>
        <v>1481267</v>
      </c>
      <c r="I69" s="580">
        <f t="shared" si="14"/>
        <v>-828203</v>
      </c>
      <c r="J69" s="580"/>
      <c r="K69" s="580">
        <f t="shared" si="15"/>
        <v>-828203</v>
      </c>
      <c r="L69" s="580">
        <f>ROUND(-I69/15,0)</f>
        <v>55214</v>
      </c>
      <c r="M69" s="580">
        <f t="shared" si="16"/>
        <v>-772989</v>
      </c>
      <c r="N69" s="580">
        <v>55214</v>
      </c>
      <c r="O69" s="580">
        <f t="shared" si="17"/>
        <v>-717775</v>
      </c>
    </row>
    <row r="70" spans="1:15" s="584" customFormat="1" ht="12.9" customHeight="1" x14ac:dyDescent="0.3">
      <c r="A70" s="538">
        <f t="shared" si="0"/>
        <v>62</v>
      </c>
      <c r="B70" s="582" t="s">
        <v>1097</v>
      </c>
      <c r="C70" s="582" t="s">
        <v>1116</v>
      </c>
      <c r="D70" s="583"/>
      <c r="E70" s="583"/>
      <c r="F70" s="583"/>
      <c r="G70" s="583">
        <f>SUM(G27:G69)</f>
        <v>-85052051</v>
      </c>
      <c r="H70" s="583">
        <f t="shared" ref="H70:O70" si="21">SUM(H27:H69)</f>
        <v>-54624723</v>
      </c>
      <c r="I70" s="583">
        <f t="shared" si="21"/>
        <v>30427328</v>
      </c>
      <c r="J70" s="583">
        <f t="shared" si="21"/>
        <v>0</v>
      </c>
      <c r="K70" s="583">
        <f t="shared" si="21"/>
        <v>30427328</v>
      </c>
      <c r="L70" s="583">
        <f t="shared" si="21"/>
        <v>-2028489</v>
      </c>
      <c r="M70" s="583">
        <f t="shared" si="21"/>
        <v>28398839</v>
      </c>
      <c r="N70" s="583">
        <f t="shared" si="21"/>
        <v>-2028489</v>
      </c>
      <c r="O70" s="583">
        <f t="shared" si="21"/>
        <v>26370350</v>
      </c>
    </row>
    <row r="71" spans="1:15" s="584" customFormat="1" ht="12.9" customHeight="1" x14ac:dyDescent="0.3">
      <c r="A71" s="538">
        <f t="shared" si="0"/>
        <v>63</v>
      </c>
      <c r="B71" s="579" t="s">
        <v>1117</v>
      </c>
      <c r="C71" s="582"/>
      <c r="D71" s="583"/>
      <c r="E71" s="583"/>
      <c r="F71" s="583"/>
      <c r="G71" s="581">
        <v>-7294959</v>
      </c>
      <c r="H71" s="581">
        <v>-4664806</v>
      </c>
      <c r="I71" s="533">
        <f t="shared" si="14"/>
        <v>2630153</v>
      </c>
      <c r="J71" s="581"/>
      <c r="K71" s="533">
        <f t="shared" si="15"/>
        <v>2630153</v>
      </c>
      <c r="L71" s="533">
        <f>ROUND(-I71/15,0)</f>
        <v>-175344</v>
      </c>
      <c r="M71" s="533">
        <f t="shared" si="16"/>
        <v>2454809</v>
      </c>
      <c r="N71" s="533">
        <v>-175344</v>
      </c>
      <c r="O71" s="533">
        <f t="shared" si="17"/>
        <v>2279465</v>
      </c>
    </row>
    <row r="72" spans="1:15" x14ac:dyDescent="0.3">
      <c r="A72" s="538">
        <f t="shared" si="0"/>
        <v>64</v>
      </c>
      <c r="B72" s="534" t="s">
        <v>1091</v>
      </c>
      <c r="L72" s="533">
        <v>126968</v>
      </c>
      <c r="M72" s="533">
        <f t="shared" si="16"/>
        <v>126968</v>
      </c>
      <c r="N72" s="533">
        <v>42322</v>
      </c>
      <c r="O72" s="533">
        <f t="shared" si="17"/>
        <v>169290</v>
      </c>
    </row>
    <row r="73" spans="1:15" x14ac:dyDescent="0.3">
      <c r="A73" s="538">
        <f t="shared" si="0"/>
        <v>65</v>
      </c>
      <c r="B73" s="534" t="s">
        <v>1093</v>
      </c>
      <c r="L73" s="533">
        <v>-57839</v>
      </c>
      <c r="M73" s="533">
        <f t="shared" si="16"/>
        <v>-57839</v>
      </c>
      <c r="N73" s="533">
        <v>-37056</v>
      </c>
      <c r="O73" s="533">
        <f t="shared" si="17"/>
        <v>-94895</v>
      </c>
    </row>
    <row r="74" spans="1:15" x14ac:dyDescent="0.3">
      <c r="A74" s="538">
        <f t="shared" si="0"/>
        <v>66</v>
      </c>
      <c r="B74" s="534" t="s">
        <v>1094</v>
      </c>
      <c r="G74" s="580"/>
      <c r="H74" s="580"/>
      <c r="I74" s="580"/>
      <c r="J74" s="580"/>
      <c r="K74" s="580"/>
      <c r="L74" s="580">
        <v>41154</v>
      </c>
      <c r="M74" s="580">
        <f t="shared" si="16"/>
        <v>41154</v>
      </c>
      <c r="N74" s="580">
        <v>41154</v>
      </c>
      <c r="O74" s="580">
        <f t="shared" si="17"/>
        <v>82308</v>
      </c>
    </row>
    <row r="75" spans="1:15" x14ac:dyDescent="0.3">
      <c r="A75" s="538">
        <f t="shared" si="0"/>
        <v>67</v>
      </c>
      <c r="B75" s="588" t="s">
        <v>1098</v>
      </c>
      <c r="C75" s="588"/>
      <c r="G75" s="586">
        <f t="shared" ref="G75:H75" si="22">SUM(G70:G74)</f>
        <v>-92347010</v>
      </c>
      <c r="H75" s="586">
        <f t="shared" si="22"/>
        <v>-59289529</v>
      </c>
      <c r="I75" s="586">
        <f>SUM(I70:I74)</f>
        <v>33057481</v>
      </c>
      <c r="J75" s="586">
        <f t="shared" ref="J75:K75" si="23">SUM(J70:J74)</f>
        <v>0</v>
      </c>
      <c r="K75" s="586">
        <f t="shared" si="23"/>
        <v>33057481</v>
      </c>
      <c r="L75" s="586">
        <f>SUM(L70:L74)</f>
        <v>-2093550</v>
      </c>
      <c r="M75" s="586">
        <f t="shared" ref="M75" si="24">SUM(M70:M74)</f>
        <v>30963931</v>
      </c>
      <c r="N75" s="586">
        <f>SUM(N70:N74)</f>
        <v>-2157413</v>
      </c>
      <c r="O75" s="586">
        <f t="shared" ref="O75" si="25">SUM(O70:O74)</f>
        <v>28806518</v>
      </c>
    </row>
    <row r="76" spans="1:15" x14ac:dyDescent="0.3">
      <c r="D76" s="534"/>
      <c r="E76" s="534"/>
    </row>
    <row r="77" spans="1:15" ht="16" x14ac:dyDescent="0.3">
      <c r="A77" s="532"/>
      <c r="B77" s="545" t="s">
        <v>1087</v>
      </c>
      <c r="E77" s="534"/>
    </row>
    <row r="78" spans="1:15" x14ac:dyDescent="0.3">
      <c r="A78" s="589" t="s">
        <v>90</v>
      </c>
      <c r="B78" s="590" t="s">
        <v>1119</v>
      </c>
      <c r="E78" s="534"/>
    </row>
    <row r="79" spans="1:15" x14ac:dyDescent="0.3">
      <c r="A79" s="589" t="s">
        <v>91</v>
      </c>
      <c r="B79" s="590" t="s">
        <v>1120</v>
      </c>
      <c r="E79" s="534"/>
    </row>
    <row r="80" spans="1:15" x14ac:dyDescent="0.3">
      <c r="A80" s="589" t="s">
        <v>92</v>
      </c>
      <c r="B80" s="591" t="s">
        <v>1123</v>
      </c>
    </row>
    <row r="81" spans="1:2" x14ac:dyDescent="0.3">
      <c r="A81" s="589" t="s">
        <v>93</v>
      </c>
      <c r="B81" s="533" t="s">
        <v>1092</v>
      </c>
    </row>
    <row r="82" spans="1:2" x14ac:dyDescent="0.3">
      <c r="A82" s="592"/>
      <c r="B82" s="533" t="s">
        <v>1084</v>
      </c>
    </row>
    <row r="83" spans="1:2" x14ac:dyDescent="0.3">
      <c r="A83" s="589" t="s">
        <v>94</v>
      </c>
      <c r="B83" s="533" t="s">
        <v>1095</v>
      </c>
    </row>
    <row r="84" spans="1:2" x14ac:dyDescent="0.3">
      <c r="A84" s="592"/>
      <c r="B84" s="533" t="s">
        <v>1085</v>
      </c>
    </row>
    <row r="85" spans="1:2" x14ac:dyDescent="0.3">
      <c r="A85" s="589" t="s">
        <v>96</v>
      </c>
      <c r="B85" s="533" t="s">
        <v>1096</v>
      </c>
    </row>
    <row r="86" spans="1:2" x14ac:dyDescent="0.3">
      <c r="A86" s="534"/>
      <c r="B86" s="533" t="s">
        <v>1086</v>
      </c>
    </row>
  </sheetData>
  <mergeCells count="2">
    <mergeCell ref="D7:F7"/>
    <mergeCell ref="G7:H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sheetPr>
  <dimension ref="A1:E49"/>
  <sheetViews>
    <sheetView workbookViewId="0"/>
  </sheetViews>
  <sheetFormatPr defaultColWidth="9.296875" defaultRowHeight="13" x14ac:dyDescent="0.3"/>
  <cols>
    <col min="1" max="1" width="9.296875" style="101"/>
    <col min="2" max="2" width="54" style="101" bestFit="1" customWidth="1"/>
    <col min="3" max="3" width="10.3984375" style="101" bestFit="1" customWidth="1"/>
    <col min="4" max="16384" width="9.296875" style="101"/>
  </cols>
  <sheetData>
    <row r="1" spans="1:5" ht="15.5" x14ac:dyDescent="0.35">
      <c r="A1" s="187" t="s">
        <v>139</v>
      </c>
    </row>
    <row r="3" spans="1:5" ht="15.5" x14ac:dyDescent="0.35">
      <c r="A3" s="188" t="s">
        <v>140</v>
      </c>
    </row>
    <row r="5" spans="1:5" ht="15.5" x14ac:dyDescent="0.35">
      <c r="A5" s="189"/>
      <c r="B5" s="189"/>
      <c r="C5" s="190" t="s">
        <v>141</v>
      </c>
    </row>
    <row r="6" spans="1:5" ht="15.5" x14ac:dyDescent="0.35">
      <c r="A6" s="189"/>
      <c r="B6" s="189"/>
      <c r="C6" s="190" t="s">
        <v>142</v>
      </c>
    </row>
    <row r="7" spans="1:5" ht="15.5" x14ac:dyDescent="0.35">
      <c r="A7" s="648" t="s">
        <v>143</v>
      </c>
      <c r="B7" s="648"/>
      <c r="C7" s="191" t="s">
        <v>144</v>
      </c>
    </row>
    <row r="8" spans="1:5" ht="15.5" x14ac:dyDescent="0.35">
      <c r="A8" s="192"/>
      <c r="B8" s="192"/>
      <c r="C8" s="193"/>
    </row>
    <row r="9" spans="1:5" ht="15.5" x14ac:dyDescent="0.35">
      <c r="A9" s="130"/>
      <c r="B9" s="189"/>
      <c r="C9" s="189"/>
    </row>
    <row r="10" spans="1:5" ht="15.5" x14ac:dyDescent="0.35">
      <c r="A10" s="194" t="s">
        <v>145</v>
      </c>
      <c r="B10" s="189"/>
      <c r="C10" s="195"/>
    </row>
    <row r="11" spans="1:5" ht="15.5" x14ac:dyDescent="0.35">
      <c r="A11" s="189"/>
      <c r="B11" s="189" t="s">
        <v>146</v>
      </c>
      <c r="C11" s="460">
        <v>9.7999999999999997E-3</v>
      </c>
      <c r="E11" s="176"/>
    </row>
    <row r="12" spans="1:5" ht="15.5" x14ac:dyDescent="0.35">
      <c r="A12" s="189"/>
      <c r="B12" s="189" t="s">
        <v>147</v>
      </c>
      <c r="C12" s="460">
        <v>0</v>
      </c>
      <c r="E12" s="176"/>
    </row>
    <row r="13" spans="1:5" ht="15.5" x14ac:dyDescent="0.35">
      <c r="A13" s="189"/>
      <c r="B13" s="189" t="s">
        <v>148</v>
      </c>
      <c r="C13" s="195">
        <v>1.54E-2</v>
      </c>
      <c r="E13" s="177"/>
    </row>
    <row r="14" spans="1:5" ht="15.5" x14ac:dyDescent="0.35">
      <c r="A14" s="189"/>
      <c r="B14" s="189" t="s">
        <v>149</v>
      </c>
      <c r="C14" s="195">
        <v>1.43E-2</v>
      </c>
      <c r="E14" s="177"/>
    </row>
    <row r="15" spans="1:5" ht="15.5" x14ac:dyDescent="0.35">
      <c r="A15" s="189"/>
      <c r="B15" s="189" t="s">
        <v>150</v>
      </c>
      <c r="C15" s="195">
        <v>1.9800000000000002E-2</v>
      </c>
      <c r="E15" s="176"/>
    </row>
    <row r="16" spans="1:5" ht="15.5" x14ac:dyDescent="0.35">
      <c r="A16" s="189"/>
      <c r="B16" s="189" t="s">
        <v>151</v>
      </c>
      <c r="C16" s="195">
        <v>4.5999999999999999E-3</v>
      </c>
      <c r="E16" s="176"/>
    </row>
    <row r="17" spans="1:5" ht="15.5" x14ac:dyDescent="0.35">
      <c r="A17" s="189"/>
      <c r="B17" s="196" t="s">
        <v>152</v>
      </c>
      <c r="C17" s="195">
        <v>1.21E-2</v>
      </c>
      <c r="E17" s="176"/>
    </row>
    <row r="18" spans="1:5" ht="15.5" x14ac:dyDescent="0.35">
      <c r="A18" s="189"/>
      <c r="B18" s="196" t="s">
        <v>153</v>
      </c>
      <c r="C18" s="195">
        <v>2.2800000000000001E-2</v>
      </c>
      <c r="E18" s="176"/>
    </row>
    <row r="19" spans="1:5" ht="15.5" x14ac:dyDescent="0.35">
      <c r="A19" s="189"/>
      <c r="B19" s="189" t="s">
        <v>154</v>
      </c>
      <c r="C19" s="195">
        <v>1.7899999999999999E-2</v>
      </c>
      <c r="E19" s="176"/>
    </row>
    <row r="20" spans="1:5" ht="15.5" x14ac:dyDescent="0.35">
      <c r="A20" s="189"/>
      <c r="B20" s="189" t="s">
        <v>155</v>
      </c>
      <c r="C20" s="195">
        <v>2.5999999999999999E-2</v>
      </c>
      <c r="E20" s="176"/>
    </row>
    <row r="21" spans="1:5" ht="15.5" x14ac:dyDescent="0.35">
      <c r="A21" s="189"/>
      <c r="B21" s="196" t="s">
        <v>156</v>
      </c>
      <c r="C21" s="195">
        <v>1.26E-2</v>
      </c>
      <c r="E21" s="176"/>
    </row>
    <row r="22" spans="1:5" ht="15.5" x14ac:dyDescent="0.35">
      <c r="A22" s="189"/>
      <c r="B22" s="204" t="s">
        <v>421</v>
      </c>
      <c r="C22" s="197"/>
    </row>
    <row r="23" spans="1:5" ht="15.5" x14ac:dyDescent="0.35">
      <c r="A23" s="189"/>
      <c r="B23" s="194" t="s">
        <v>157</v>
      </c>
      <c r="C23" s="195"/>
    </row>
    <row r="26" spans="1:5" ht="15.5" x14ac:dyDescent="0.35">
      <c r="A26" s="188" t="s">
        <v>158</v>
      </c>
    </row>
    <row r="28" spans="1:5" ht="15.5" x14ac:dyDescent="0.35">
      <c r="A28" s="198"/>
      <c r="B28" s="198"/>
      <c r="C28" s="190" t="s">
        <v>141</v>
      </c>
    </row>
    <row r="29" spans="1:5" ht="15.5" x14ac:dyDescent="0.35">
      <c r="A29" s="198"/>
      <c r="B29" s="186"/>
      <c r="C29" s="190" t="s">
        <v>142</v>
      </c>
    </row>
    <row r="30" spans="1:5" ht="15.5" x14ac:dyDescent="0.35">
      <c r="A30" s="648" t="s">
        <v>143</v>
      </c>
      <c r="B30" s="648"/>
      <c r="C30" s="191" t="s">
        <v>144</v>
      </c>
    </row>
    <row r="31" spans="1:5" ht="15.5" x14ac:dyDescent="0.35">
      <c r="A31" s="198"/>
      <c r="B31" s="198"/>
      <c r="C31" s="193"/>
    </row>
    <row r="32" spans="1:5" ht="15.5" x14ac:dyDescent="0.35">
      <c r="A32" s="199" t="s">
        <v>159</v>
      </c>
      <c r="B32" s="198"/>
      <c r="C32" s="200"/>
    </row>
    <row r="33" spans="1:5" ht="15.5" x14ac:dyDescent="0.35">
      <c r="A33" s="201" t="s">
        <v>160</v>
      </c>
      <c r="B33" s="202"/>
      <c r="C33" s="203"/>
    </row>
    <row r="34" spans="1:5" ht="15.5" x14ac:dyDescent="0.35">
      <c r="A34" s="198"/>
      <c r="B34" s="204" t="s">
        <v>161</v>
      </c>
      <c r="C34" s="205">
        <v>0</v>
      </c>
      <c r="E34" s="178"/>
    </row>
    <row r="35" spans="1:5" ht="15.5" x14ac:dyDescent="0.35">
      <c r="A35" s="198"/>
      <c r="B35" s="204" t="s">
        <v>146</v>
      </c>
      <c r="C35" s="206">
        <v>3.9199999999999999E-2</v>
      </c>
      <c r="E35" s="178"/>
    </row>
    <row r="36" spans="1:5" ht="15.5" x14ac:dyDescent="0.35">
      <c r="A36" s="198"/>
      <c r="B36" s="204" t="s">
        <v>162</v>
      </c>
      <c r="C36" s="206">
        <v>1.17E-2</v>
      </c>
      <c r="E36" s="178"/>
    </row>
    <row r="37" spans="1:5" ht="15.5" x14ac:dyDescent="0.35">
      <c r="A37" s="198"/>
      <c r="B37" s="204" t="s">
        <v>150</v>
      </c>
      <c r="C37" s="461">
        <v>1.32E-2</v>
      </c>
      <c r="E37" s="178"/>
    </row>
    <row r="38" spans="1:5" ht="15.5" x14ac:dyDescent="0.35">
      <c r="A38" s="198"/>
      <c r="B38" s="204" t="s">
        <v>152</v>
      </c>
      <c r="C38" s="206">
        <v>1.38E-2</v>
      </c>
      <c r="E38" s="178"/>
    </row>
    <row r="39" spans="1:5" ht="15.5" x14ac:dyDescent="0.35">
      <c r="A39" s="198"/>
      <c r="B39" s="204" t="s">
        <v>153</v>
      </c>
      <c r="C39" s="206">
        <v>2.9499999999999998E-2</v>
      </c>
      <c r="E39" s="178"/>
    </row>
    <row r="40" spans="1:5" ht="15.5" x14ac:dyDescent="0.35">
      <c r="A40" s="198"/>
      <c r="B40" s="204" t="s">
        <v>163</v>
      </c>
      <c r="C40" s="206">
        <v>2.52E-2</v>
      </c>
      <c r="E40" s="178"/>
    </row>
    <row r="41" spans="1:5" ht="15.5" x14ac:dyDescent="0.35">
      <c r="A41" s="198"/>
      <c r="B41" s="204" t="s">
        <v>155</v>
      </c>
      <c r="C41" s="206">
        <v>1.8499999999999999E-2</v>
      </c>
      <c r="E41" s="178"/>
    </row>
    <row r="42" spans="1:5" ht="15.5" x14ac:dyDescent="0.35">
      <c r="A42" s="198"/>
      <c r="B42" s="204" t="s">
        <v>156</v>
      </c>
      <c r="C42" s="206">
        <v>3.6499999999999998E-2</v>
      </c>
      <c r="E42" s="178"/>
    </row>
    <row r="43" spans="1:5" ht="15.5" x14ac:dyDescent="0.35">
      <c r="A43" s="198"/>
      <c r="B43" s="204" t="s">
        <v>421</v>
      </c>
      <c r="C43" s="206"/>
    </row>
    <row r="44" spans="1:5" ht="15.5" x14ac:dyDescent="0.35">
      <c r="A44" s="202"/>
      <c r="B44" s="194" t="s">
        <v>157</v>
      </c>
      <c r="C44" s="205"/>
    </row>
    <row r="47" spans="1:5" x14ac:dyDescent="0.3">
      <c r="B47" s="207" t="s">
        <v>947</v>
      </c>
    </row>
    <row r="48" spans="1:5" x14ac:dyDescent="0.3">
      <c r="B48" s="101" t="s">
        <v>422</v>
      </c>
    </row>
    <row r="49" spans="2:2" x14ac:dyDescent="0.3">
      <c r="B49" s="101" t="s">
        <v>423</v>
      </c>
    </row>
  </sheetData>
  <mergeCells count="2">
    <mergeCell ref="A7:B7"/>
    <mergeCell ref="A30:B30"/>
  </mergeCells>
  <pageMargins left="0.7" right="0.7" top="0.75" bottom="0.75" header="0.3" footer="0.3"/>
  <pageSetup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3:F223"/>
  <sheetViews>
    <sheetView zoomScale="85" zoomScaleNormal="85" workbookViewId="0"/>
  </sheetViews>
  <sheetFormatPr defaultColWidth="9.296875" defaultRowHeight="14.5" x14ac:dyDescent="0.35"/>
  <cols>
    <col min="1" max="1" width="9.296875" style="274"/>
    <col min="2" max="2" width="61" style="283" customWidth="1"/>
    <col min="3" max="3" width="20.69921875" style="277" bestFit="1" customWidth="1"/>
    <col min="4" max="4" width="13.69921875" style="277" bestFit="1" customWidth="1"/>
    <col min="5" max="5" width="15.69921875" style="277" customWidth="1"/>
    <col min="6" max="6" width="14.296875" style="282" customWidth="1"/>
    <col min="7" max="16384" width="9.296875" style="277"/>
  </cols>
  <sheetData>
    <row r="3" spans="1:6" x14ac:dyDescent="0.35">
      <c r="A3" s="274" t="s">
        <v>130</v>
      </c>
      <c r="B3" s="275"/>
      <c r="C3" s="276"/>
      <c r="D3" s="276"/>
      <c r="E3" s="276"/>
      <c r="F3" s="276"/>
    </row>
    <row r="4" spans="1:6" x14ac:dyDescent="0.35">
      <c r="A4" s="278" t="s">
        <v>865</v>
      </c>
      <c r="B4" s="275"/>
      <c r="C4" s="276"/>
      <c r="D4" s="276"/>
      <c r="E4" s="276"/>
      <c r="F4" s="276"/>
    </row>
    <row r="5" spans="1:6" x14ac:dyDescent="0.35">
      <c r="B5" s="275"/>
      <c r="C5" s="276"/>
      <c r="D5" s="276"/>
      <c r="E5" s="276"/>
      <c r="F5" s="276"/>
    </row>
    <row r="8" spans="1:6" x14ac:dyDescent="0.35">
      <c r="B8" s="275"/>
      <c r="C8" s="276"/>
      <c r="D8" s="276"/>
      <c r="E8" s="276"/>
      <c r="F8" s="279"/>
    </row>
    <row r="9" spans="1:6" x14ac:dyDescent="0.35">
      <c r="A9" s="274" t="s">
        <v>866</v>
      </c>
      <c r="B9" s="280" t="s">
        <v>867</v>
      </c>
      <c r="C9" s="281" t="s">
        <v>868</v>
      </c>
      <c r="D9" s="281" t="s">
        <v>6</v>
      </c>
    </row>
    <row r="10" spans="1:6" x14ac:dyDescent="0.35">
      <c r="A10" s="274" t="s">
        <v>869</v>
      </c>
      <c r="C10" s="277" t="s">
        <v>870</v>
      </c>
    </row>
    <row r="11" spans="1:6" x14ac:dyDescent="0.35">
      <c r="A11" s="284">
        <v>1</v>
      </c>
      <c r="B11" s="283" t="s">
        <v>871</v>
      </c>
      <c r="C11" s="285"/>
      <c r="D11" s="288"/>
      <c r="E11" s="282"/>
    </row>
    <row r="12" spans="1:6" x14ac:dyDescent="0.35">
      <c r="A12" s="284">
        <v>2</v>
      </c>
      <c r="B12" s="286" t="s">
        <v>872</v>
      </c>
      <c r="C12" s="291" t="s">
        <v>873</v>
      </c>
      <c r="D12" s="288">
        <f>'OATT Input Data'!E272</f>
        <v>1485242</v>
      </c>
      <c r="E12" s="282"/>
    </row>
    <row r="13" spans="1:6" ht="16.5" customHeight="1" x14ac:dyDescent="0.35">
      <c r="A13" s="284">
        <v>3</v>
      </c>
      <c r="B13" s="286" t="s">
        <v>874</v>
      </c>
      <c r="C13" s="291" t="s">
        <v>875</v>
      </c>
      <c r="D13" s="288">
        <f>'OATT Input Data'!E273</f>
        <v>3157860</v>
      </c>
      <c r="E13" s="282"/>
    </row>
    <row r="14" spans="1:6" x14ac:dyDescent="0.35">
      <c r="A14" s="284">
        <v>4</v>
      </c>
      <c r="B14" s="286" t="s">
        <v>876</v>
      </c>
      <c r="C14" s="291" t="s">
        <v>877</v>
      </c>
      <c r="D14" s="288">
        <f>'OATT Input Data'!E274</f>
        <v>932353</v>
      </c>
      <c r="E14" s="282"/>
    </row>
    <row r="15" spans="1:6" x14ac:dyDescent="0.35">
      <c r="A15" s="284">
        <v>5</v>
      </c>
      <c r="B15" s="286" t="s">
        <v>878</v>
      </c>
      <c r="C15" s="291" t="s">
        <v>879</v>
      </c>
      <c r="D15" s="288">
        <f>'OATT Input Data'!E275</f>
        <v>0</v>
      </c>
      <c r="E15" s="282"/>
    </row>
    <row r="16" spans="1:6" x14ac:dyDescent="0.35">
      <c r="A16" s="284">
        <v>6</v>
      </c>
      <c r="B16" s="286" t="s">
        <v>880</v>
      </c>
      <c r="C16" s="291" t="s">
        <v>881</v>
      </c>
      <c r="D16" s="288">
        <f>'OATT Input Data'!E276</f>
        <v>785094</v>
      </c>
      <c r="E16" s="282"/>
    </row>
    <row r="17" spans="1:6" x14ac:dyDescent="0.35">
      <c r="A17" s="284">
        <v>7</v>
      </c>
      <c r="B17" s="286" t="s">
        <v>882</v>
      </c>
      <c r="C17" s="291" t="s">
        <v>883</v>
      </c>
      <c r="D17" s="288">
        <f>'OATT Input Data'!E277</f>
        <v>35810</v>
      </c>
      <c r="E17" s="282"/>
    </row>
    <row r="18" spans="1:6" x14ac:dyDescent="0.35">
      <c r="A18" s="284">
        <v>8</v>
      </c>
      <c r="B18" s="286" t="s">
        <v>884</v>
      </c>
      <c r="C18" s="291" t="s">
        <v>885</v>
      </c>
      <c r="D18" s="288">
        <f>'OATT Input Data'!E278</f>
        <v>-51086</v>
      </c>
      <c r="E18" s="282"/>
    </row>
    <row r="19" spans="1:6" ht="12.75" customHeight="1" x14ac:dyDescent="0.35">
      <c r="A19" s="284">
        <v>9</v>
      </c>
      <c r="B19" s="286" t="s">
        <v>886</v>
      </c>
      <c r="C19" s="291" t="s">
        <v>887</v>
      </c>
      <c r="D19" s="288">
        <f>'OATT Input Data'!E279</f>
        <v>0</v>
      </c>
      <c r="E19" s="282"/>
    </row>
    <row r="20" spans="1:6" x14ac:dyDescent="0.35">
      <c r="A20" s="284"/>
      <c r="B20" s="287"/>
      <c r="C20" s="279"/>
      <c r="D20" s="288"/>
      <c r="E20" s="282"/>
    </row>
    <row r="21" spans="1:6" x14ac:dyDescent="0.35">
      <c r="A21" s="284">
        <v>10</v>
      </c>
      <c r="B21" s="286" t="s">
        <v>888</v>
      </c>
      <c r="C21" s="291"/>
      <c r="D21" s="288">
        <f>SUM(D11:D19)</f>
        <v>6345273</v>
      </c>
      <c r="E21" s="282"/>
    </row>
    <row r="22" spans="1:6" x14ac:dyDescent="0.35">
      <c r="A22" s="274" t="s">
        <v>803</v>
      </c>
      <c r="B22" s="286"/>
      <c r="C22" s="462"/>
      <c r="D22" s="288"/>
      <c r="E22" s="288"/>
      <c r="F22" s="288"/>
    </row>
    <row r="23" spans="1:6" x14ac:dyDescent="0.35">
      <c r="A23" s="284">
        <v>11</v>
      </c>
      <c r="B23" s="286" t="s">
        <v>804</v>
      </c>
      <c r="C23" s="291">
        <v>398</v>
      </c>
      <c r="D23" s="288">
        <f>'OATT Input Data'!E421</f>
        <v>1120867</v>
      </c>
      <c r="E23" s="282"/>
    </row>
    <row r="24" spans="1:6" x14ac:dyDescent="0.35">
      <c r="A24" s="284">
        <v>12</v>
      </c>
      <c r="B24" s="286" t="s">
        <v>806</v>
      </c>
      <c r="C24" s="462"/>
      <c r="D24" s="288">
        <f>'OATT Input Data'!E422</f>
        <v>-1063237</v>
      </c>
      <c r="E24" s="282"/>
    </row>
    <row r="25" spans="1:6" x14ac:dyDescent="0.35">
      <c r="A25" s="284"/>
      <c r="B25" s="286"/>
      <c r="C25" s="291"/>
      <c r="D25" s="288"/>
      <c r="E25" s="282"/>
    </row>
    <row r="26" spans="1:6" x14ac:dyDescent="0.35">
      <c r="A26" s="284">
        <v>13</v>
      </c>
      <c r="B26" s="286" t="s">
        <v>809</v>
      </c>
      <c r="C26" s="291" t="s">
        <v>889</v>
      </c>
      <c r="D26" s="288">
        <f>SUM(D23:D24)</f>
        <v>57630</v>
      </c>
      <c r="E26" s="282"/>
    </row>
    <row r="27" spans="1:6" x14ac:dyDescent="0.35">
      <c r="A27" s="284"/>
      <c r="B27" s="286"/>
      <c r="C27" s="291"/>
      <c r="D27" s="288"/>
      <c r="E27" s="288"/>
      <c r="F27" s="288"/>
    </row>
    <row r="28" spans="1:6" x14ac:dyDescent="0.35">
      <c r="A28" s="284">
        <v>14</v>
      </c>
      <c r="B28" s="286" t="s">
        <v>890</v>
      </c>
      <c r="C28" s="291" t="s">
        <v>891</v>
      </c>
      <c r="D28" s="463">
        <f>D21-D26</f>
        <v>6287643</v>
      </c>
      <c r="E28" s="463"/>
      <c r="F28" s="289"/>
    </row>
    <row r="29" spans="1:6" x14ac:dyDescent="0.35">
      <c r="A29" s="284"/>
      <c r="B29" s="286"/>
      <c r="C29" s="291"/>
      <c r="D29" s="282"/>
      <c r="E29" s="282"/>
      <c r="F29" s="288"/>
    </row>
    <row r="30" spans="1:6" x14ac:dyDescent="0.35">
      <c r="A30" s="284">
        <v>15</v>
      </c>
      <c r="B30" s="287" t="s">
        <v>892</v>
      </c>
      <c r="C30" s="279" t="s">
        <v>893</v>
      </c>
      <c r="D30" s="288">
        <f>'NITS Pg 1 of 5'!$J$30</f>
        <v>6720667</v>
      </c>
      <c r="E30" s="288"/>
      <c r="F30" s="288"/>
    </row>
    <row r="31" spans="1:6" x14ac:dyDescent="0.35">
      <c r="A31" s="284"/>
      <c r="B31" s="290"/>
      <c r="C31" s="291"/>
      <c r="D31" s="282"/>
      <c r="E31" s="292"/>
      <c r="F31" s="288"/>
    </row>
    <row r="32" spans="1:6" x14ac:dyDescent="0.35">
      <c r="A32" s="284">
        <v>16</v>
      </c>
      <c r="B32" s="287" t="s">
        <v>894</v>
      </c>
      <c r="C32" s="279" t="s">
        <v>895</v>
      </c>
      <c r="D32" s="488">
        <f>ROUND(D28/D30,3)</f>
        <v>0.93600000000000005</v>
      </c>
      <c r="E32" s="282" t="s">
        <v>970</v>
      </c>
    </row>
    <row r="33" spans="1:6" x14ac:dyDescent="0.35">
      <c r="A33" s="284">
        <v>17</v>
      </c>
      <c r="B33" s="287" t="s">
        <v>967</v>
      </c>
      <c r="C33" s="291" t="s">
        <v>896</v>
      </c>
      <c r="D33" s="464">
        <f>ROUND(D32/12,4)</f>
        <v>7.8E-2</v>
      </c>
      <c r="E33" s="282" t="s">
        <v>971</v>
      </c>
    </row>
    <row r="34" spans="1:6" x14ac:dyDescent="0.35">
      <c r="A34" s="284">
        <v>18</v>
      </c>
      <c r="B34" s="290" t="s">
        <v>968</v>
      </c>
      <c r="C34" s="291" t="s">
        <v>969</v>
      </c>
      <c r="D34" s="489">
        <f>D32/52</f>
        <v>1.8000000000000002E-2</v>
      </c>
      <c r="E34" s="282" t="s">
        <v>972</v>
      </c>
      <c r="F34" s="288"/>
    </row>
    <row r="35" spans="1:6" x14ac:dyDescent="0.35">
      <c r="A35" s="284">
        <v>19</v>
      </c>
      <c r="B35" s="290" t="s">
        <v>1154</v>
      </c>
      <c r="C35" s="291" t="s">
        <v>1152</v>
      </c>
      <c r="D35" s="489">
        <f>D32/365</f>
        <v>2.564383561643836E-3</v>
      </c>
      <c r="E35" s="292" t="s">
        <v>973</v>
      </c>
      <c r="F35" s="288"/>
    </row>
    <row r="36" spans="1:6" x14ac:dyDescent="0.35">
      <c r="A36" s="284">
        <v>20</v>
      </c>
      <c r="B36" s="287" t="s">
        <v>1155</v>
      </c>
      <c r="C36" s="291" t="s">
        <v>1153</v>
      </c>
      <c r="D36" s="489">
        <f>D32/8760</f>
        <v>1.0684931506849315E-4</v>
      </c>
      <c r="E36" s="292" t="s">
        <v>974</v>
      </c>
      <c r="F36" s="288"/>
    </row>
    <row r="37" spans="1:6" x14ac:dyDescent="0.35">
      <c r="A37" s="284"/>
      <c r="B37" s="293"/>
      <c r="C37" s="294"/>
      <c r="D37" s="295"/>
      <c r="E37" s="295"/>
      <c r="F37" s="296"/>
    </row>
    <row r="38" spans="1:6" x14ac:dyDescent="0.35">
      <c r="A38" s="284"/>
      <c r="B38" s="297"/>
      <c r="C38" s="294"/>
      <c r="D38" s="295"/>
      <c r="E38" s="298"/>
      <c r="F38" s="296"/>
    </row>
    <row r="39" spans="1:6" x14ac:dyDescent="0.35">
      <c r="A39" s="284"/>
      <c r="B39" s="287"/>
      <c r="C39" s="291"/>
      <c r="D39" s="282"/>
      <c r="E39" s="282"/>
      <c r="F39" s="288"/>
    </row>
    <row r="40" spans="1:6" x14ac:dyDescent="0.35">
      <c r="A40" s="284"/>
      <c r="B40" s="287"/>
      <c r="C40" s="291"/>
      <c r="D40" s="632"/>
      <c r="E40" s="288"/>
      <c r="F40" s="288"/>
    </row>
    <row r="41" spans="1:6" x14ac:dyDescent="0.35">
      <c r="A41" s="284"/>
      <c r="B41" s="287"/>
      <c r="C41" s="291"/>
      <c r="D41" s="632"/>
      <c r="E41" s="288"/>
      <c r="F41" s="288"/>
    </row>
    <row r="42" spans="1:6" x14ac:dyDescent="0.35">
      <c r="A42" s="284"/>
      <c r="B42" s="287"/>
      <c r="C42" s="291"/>
      <c r="D42" s="288"/>
      <c r="E42" s="288"/>
      <c r="F42" s="288"/>
    </row>
    <row r="43" spans="1:6" x14ac:dyDescent="0.35">
      <c r="A43" s="284"/>
      <c r="B43" s="287"/>
      <c r="C43" s="291"/>
      <c r="D43" s="288"/>
      <c r="E43" s="288"/>
      <c r="F43" s="288"/>
    </row>
    <row r="44" spans="1:6" x14ac:dyDescent="0.35">
      <c r="A44" s="284"/>
      <c r="B44" s="287"/>
      <c r="C44" s="279"/>
      <c r="D44" s="299"/>
      <c r="E44" s="299"/>
      <c r="F44" s="299"/>
    </row>
    <row r="45" spans="1:6" x14ac:dyDescent="0.35">
      <c r="A45" s="284"/>
      <c r="B45" s="287"/>
      <c r="C45" s="279"/>
      <c r="D45" s="300"/>
      <c r="E45" s="300"/>
      <c r="F45" s="300"/>
    </row>
    <row r="46" spans="1:6" x14ac:dyDescent="0.35">
      <c r="A46" s="284"/>
      <c r="B46" s="287"/>
      <c r="C46" s="291"/>
      <c r="D46" s="282"/>
      <c r="E46" s="282"/>
    </row>
    <row r="47" spans="1:6" x14ac:dyDescent="0.35">
      <c r="A47" s="284"/>
      <c r="B47" s="287"/>
      <c r="C47" s="279"/>
      <c r="D47" s="288"/>
      <c r="E47" s="288"/>
      <c r="F47" s="288"/>
    </row>
    <row r="48" spans="1:6" x14ac:dyDescent="0.35">
      <c r="A48" s="284"/>
      <c r="B48" s="287"/>
      <c r="C48" s="279"/>
      <c r="D48" s="288"/>
      <c r="E48" s="288"/>
      <c r="F48" s="288"/>
    </row>
    <row r="49" spans="1:6" x14ac:dyDescent="0.35">
      <c r="A49" s="284"/>
      <c r="B49" s="287"/>
      <c r="C49" s="279"/>
      <c r="D49" s="288"/>
      <c r="E49" s="288"/>
      <c r="F49" s="288"/>
    </row>
    <row r="50" spans="1:6" x14ac:dyDescent="0.35">
      <c r="A50" s="284"/>
      <c r="B50" s="287"/>
      <c r="C50" s="279"/>
      <c r="D50" s="288"/>
      <c r="E50" s="288"/>
      <c r="F50" s="288"/>
    </row>
    <row r="51" spans="1:6" x14ac:dyDescent="0.35">
      <c r="A51" s="284"/>
      <c r="B51" s="287"/>
      <c r="C51" s="279"/>
      <c r="D51" s="299"/>
      <c r="E51" s="299"/>
      <c r="F51" s="299"/>
    </row>
    <row r="52" spans="1:6" x14ac:dyDescent="0.35">
      <c r="A52" s="284"/>
      <c r="B52" s="287"/>
      <c r="C52" s="291"/>
      <c r="D52" s="288"/>
      <c r="E52" s="288"/>
      <c r="F52" s="288"/>
    </row>
    <row r="53" spans="1:6" x14ac:dyDescent="0.35">
      <c r="A53" s="284"/>
      <c r="B53" s="287"/>
      <c r="C53" s="291"/>
      <c r="D53" s="282"/>
      <c r="E53" s="282"/>
    </row>
    <row r="54" spans="1:6" x14ac:dyDescent="0.35">
      <c r="A54" s="284"/>
      <c r="B54" s="287"/>
      <c r="C54" s="291"/>
      <c r="D54" s="288"/>
      <c r="E54" s="288"/>
      <c r="F54" s="288"/>
    </row>
    <row r="55" spans="1:6" x14ac:dyDescent="0.35">
      <c r="A55" s="284"/>
      <c r="B55" s="287"/>
      <c r="C55" s="291"/>
      <c r="D55" s="288"/>
      <c r="E55" s="288"/>
      <c r="F55" s="288"/>
    </row>
    <row r="56" spans="1:6" x14ac:dyDescent="0.35">
      <c r="A56" s="284"/>
      <c r="B56" s="287"/>
      <c r="C56" s="291"/>
      <c r="D56" s="288"/>
      <c r="E56" s="288"/>
      <c r="F56" s="288"/>
    </row>
    <row r="57" spans="1:6" x14ac:dyDescent="0.35">
      <c r="A57" s="284"/>
      <c r="B57" s="287"/>
      <c r="C57" s="291"/>
      <c r="D57" s="288"/>
      <c r="E57" s="288"/>
      <c r="F57" s="288"/>
    </row>
    <row r="58" spans="1:6" x14ac:dyDescent="0.35">
      <c r="A58" s="284"/>
      <c r="B58" s="287"/>
      <c r="C58" s="291"/>
      <c r="D58" s="299"/>
      <c r="E58" s="299"/>
      <c r="F58" s="299"/>
    </row>
    <row r="59" spans="1:6" x14ac:dyDescent="0.35">
      <c r="A59" s="284"/>
      <c r="B59" s="290"/>
      <c r="C59" s="291"/>
      <c r="D59" s="288"/>
      <c r="E59" s="288"/>
      <c r="F59" s="288"/>
    </row>
    <row r="60" spans="1:6" x14ac:dyDescent="0.35">
      <c r="A60" s="284"/>
      <c r="B60" s="287"/>
      <c r="C60" s="291"/>
      <c r="D60" s="282"/>
      <c r="E60" s="282"/>
    </row>
    <row r="61" spans="1:6" x14ac:dyDescent="0.35">
      <c r="A61" s="284"/>
      <c r="B61" s="290"/>
      <c r="C61" s="279"/>
      <c r="D61" s="288"/>
      <c r="E61" s="288"/>
      <c r="F61" s="288"/>
    </row>
    <row r="62" spans="1:6" x14ac:dyDescent="0.35">
      <c r="A62" s="284"/>
      <c r="B62" s="287"/>
      <c r="C62" s="279"/>
      <c r="D62" s="288"/>
      <c r="E62" s="288"/>
      <c r="F62" s="288"/>
    </row>
    <row r="63" spans="1:6" x14ac:dyDescent="0.35">
      <c r="A63" s="284"/>
      <c r="B63" s="287"/>
      <c r="C63" s="279"/>
      <c r="D63" s="288"/>
      <c r="E63" s="288"/>
      <c r="F63" s="288"/>
    </row>
    <row r="64" spans="1:6" x14ac:dyDescent="0.35">
      <c r="A64" s="284"/>
      <c r="B64" s="287"/>
      <c r="C64" s="279"/>
      <c r="D64" s="288"/>
      <c r="E64" s="288"/>
      <c r="F64" s="288"/>
    </row>
    <row r="65" spans="1:6" x14ac:dyDescent="0.35">
      <c r="A65" s="284"/>
      <c r="B65" s="287"/>
      <c r="C65" s="279"/>
      <c r="D65" s="299"/>
      <c r="E65" s="299"/>
      <c r="F65" s="299"/>
    </row>
    <row r="66" spans="1:6" x14ac:dyDescent="0.35">
      <c r="A66" s="284"/>
      <c r="B66" s="287"/>
      <c r="C66" s="291"/>
      <c r="D66" s="288"/>
      <c r="E66" s="288"/>
      <c r="F66" s="288"/>
    </row>
    <row r="67" spans="1:6" x14ac:dyDescent="0.35">
      <c r="A67" s="284"/>
      <c r="B67" s="287"/>
      <c r="C67" s="279"/>
      <c r="D67" s="288"/>
      <c r="E67" s="288"/>
      <c r="F67" s="288"/>
    </row>
    <row r="68" spans="1:6" x14ac:dyDescent="0.35">
      <c r="A68" s="284"/>
      <c r="B68" s="287"/>
      <c r="C68" s="291"/>
      <c r="D68" s="282"/>
      <c r="E68" s="282"/>
    </row>
    <row r="69" spans="1:6" x14ac:dyDescent="0.35">
      <c r="A69" s="284"/>
      <c r="B69" s="287"/>
      <c r="C69" s="279"/>
      <c r="D69" s="288"/>
      <c r="E69" s="288"/>
      <c r="F69" s="288"/>
    </row>
    <row r="70" spans="1:6" x14ac:dyDescent="0.35">
      <c r="A70" s="284"/>
      <c r="B70" s="287"/>
      <c r="C70" s="279"/>
      <c r="D70" s="288"/>
      <c r="E70" s="288"/>
      <c r="F70" s="288"/>
    </row>
    <row r="71" spans="1:6" ht="16" x14ac:dyDescent="0.5">
      <c r="A71" s="284"/>
      <c r="B71" s="287"/>
      <c r="C71" s="279"/>
      <c r="D71" s="299"/>
      <c r="E71" s="299"/>
      <c r="F71" s="301"/>
    </row>
    <row r="72" spans="1:6" x14ac:dyDescent="0.35">
      <c r="A72" s="284"/>
      <c r="B72" s="287"/>
      <c r="C72" s="291"/>
      <c r="D72" s="300"/>
      <c r="E72" s="300"/>
      <c r="F72" s="300"/>
    </row>
    <row r="73" spans="1:6" ht="15" thickBot="1" x14ac:dyDescent="0.4">
      <c r="A73" s="284"/>
      <c r="B73" s="302"/>
      <c r="C73" s="303"/>
      <c r="D73" s="304"/>
      <c r="E73" s="304"/>
      <c r="F73" s="304"/>
    </row>
    <row r="74" spans="1:6" x14ac:dyDescent="0.35">
      <c r="B74" s="305"/>
      <c r="C74" s="282"/>
      <c r="D74" s="282"/>
      <c r="E74" s="282"/>
    </row>
    <row r="75" spans="1:6" x14ac:dyDescent="0.35">
      <c r="A75" s="284"/>
      <c r="B75" s="287"/>
      <c r="C75" s="282"/>
      <c r="D75" s="288"/>
      <c r="E75" s="288"/>
      <c r="F75" s="288"/>
    </row>
    <row r="76" spans="1:6" x14ac:dyDescent="0.35">
      <c r="A76" s="284"/>
      <c r="B76" s="287"/>
      <c r="C76" s="282"/>
      <c r="D76" s="288"/>
      <c r="E76" s="288"/>
      <c r="F76" s="288"/>
    </row>
    <row r="77" spans="1:6" x14ac:dyDescent="0.35">
      <c r="A77" s="284"/>
      <c r="B77" s="287"/>
      <c r="C77" s="282"/>
      <c r="D77" s="288"/>
      <c r="E77" s="288"/>
      <c r="F77" s="288"/>
    </row>
    <row r="78" spans="1:6" x14ac:dyDescent="0.35">
      <c r="A78" s="284"/>
      <c r="B78" s="287"/>
      <c r="C78" s="282"/>
      <c r="D78" s="288"/>
      <c r="E78" s="288"/>
      <c r="F78" s="288"/>
    </row>
    <row r="79" spans="1:6" x14ac:dyDescent="0.35">
      <c r="A79" s="284"/>
      <c r="B79" s="287"/>
      <c r="C79" s="282"/>
      <c r="D79" s="288"/>
      <c r="E79" s="288"/>
      <c r="F79" s="288"/>
    </row>
    <row r="80" spans="1:6" x14ac:dyDescent="0.35">
      <c r="A80" s="284"/>
      <c r="B80" s="287"/>
      <c r="C80" s="282"/>
      <c r="D80" s="288"/>
      <c r="E80" s="288"/>
      <c r="F80" s="288"/>
    </row>
    <row r="81" spans="1:6" x14ac:dyDescent="0.35">
      <c r="A81" s="284"/>
      <c r="B81" s="287"/>
      <c r="C81" s="282"/>
      <c r="D81" s="288"/>
      <c r="E81" s="288"/>
      <c r="F81" s="288"/>
    </row>
    <row r="82" spans="1:6" ht="16" x14ac:dyDescent="0.5">
      <c r="A82" s="284"/>
      <c r="B82" s="287"/>
      <c r="C82" s="282"/>
      <c r="D82" s="301"/>
      <c r="E82" s="301"/>
      <c r="F82" s="301"/>
    </row>
    <row r="83" spans="1:6" x14ac:dyDescent="0.35">
      <c r="A83" s="284"/>
      <c r="B83" s="287"/>
      <c r="C83" s="282"/>
      <c r="D83" s="300"/>
      <c r="E83" s="300"/>
      <c r="F83" s="300"/>
    </row>
    <row r="84" spans="1:6" x14ac:dyDescent="0.35">
      <c r="B84" s="287"/>
      <c r="C84" s="282"/>
      <c r="D84" s="282"/>
      <c r="E84" s="282"/>
    </row>
    <row r="85" spans="1:6" x14ac:dyDescent="0.35">
      <c r="A85" s="284"/>
      <c r="B85" s="290"/>
      <c r="C85" s="282"/>
      <c r="D85" s="288"/>
      <c r="E85" s="288"/>
      <c r="F85" s="288"/>
    </row>
    <row r="86" spans="1:6" x14ac:dyDescent="0.35">
      <c r="A86" s="284"/>
      <c r="B86" s="287"/>
      <c r="C86" s="282"/>
      <c r="D86" s="288"/>
      <c r="E86" s="288"/>
      <c r="F86" s="288"/>
    </row>
    <row r="87" spans="1:6" ht="16" x14ac:dyDescent="0.5">
      <c r="A87" s="284"/>
      <c r="B87" s="287"/>
      <c r="C87" s="282"/>
      <c r="D87" s="299"/>
      <c r="E87" s="301"/>
      <c r="F87" s="301"/>
    </row>
    <row r="88" spans="1:6" x14ac:dyDescent="0.35">
      <c r="A88" s="284"/>
      <c r="B88" s="287"/>
      <c r="C88" s="282"/>
      <c r="D88" s="300"/>
      <c r="E88" s="300"/>
      <c r="F88" s="300"/>
    </row>
    <row r="89" spans="1:6" x14ac:dyDescent="0.35">
      <c r="A89" s="284"/>
      <c r="B89" s="287"/>
      <c r="C89" s="282"/>
      <c r="D89" s="282"/>
      <c r="E89" s="282"/>
    </row>
    <row r="90" spans="1:6" x14ac:dyDescent="0.35">
      <c r="B90" s="287"/>
      <c r="C90" s="282"/>
      <c r="D90" s="282"/>
      <c r="E90" s="282"/>
    </row>
    <row r="91" spans="1:6" x14ac:dyDescent="0.35">
      <c r="A91" s="284"/>
      <c r="B91" s="287"/>
      <c r="C91" s="282"/>
      <c r="D91" s="288"/>
      <c r="E91" s="288"/>
      <c r="F91" s="288"/>
    </row>
    <row r="92" spans="1:6" x14ac:dyDescent="0.35">
      <c r="A92" s="284"/>
      <c r="B92" s="287"/>
      <c r="C92" s="282"/>
      <c r="D92" s="288"/>
      <c r="E92" s="288"/>
      <c r="F92" s="288"/>
    </row>
    <row r="93" spans="1:6" x14ac:dyDescent="0.35">
      <c r="A93" s="284"/>
      <c r="B93" s="287"/>
      <c r="C93" s="282"/>
      <c r="D93" s="282"/>
      <c r="E93" s="282"/>
    </row>
    <row r="94" spans="1:6" x14ac:dyDescent="0.35">
      <c r="A94" s="284"/>
      <c r="B94" s="287"/>
      <c r="C94" s="282"/>
      <c r="D94" s="288"/>
      <c r="E94" s="288"/>
      <c r="F94" s="288"/>
    </row>
    <row r="95" spans="1:6" x14ac:dyDescent="0.35">
      <c r="A95" s="284"/>
      <c r="B95" s="287"/>
      <c r="C95" s="282"/>
      <c r="D95" s="288"/>
      <c r="E95" s="288"/>
      <c r="F95" s="288"/>
    </row>
    <row r="96" spans="1:6" x14ac:dyDescent="0.35">
      <c r="A96" s="284"/>
      <c r="B96" s="287"/>
      <c r="C96" s="282"/>
      <c r="D96" s="288"/>
      <c r="E96" s="288"/>
      <c r="F96" s="288"/>
    </row>
    <row r="97" spans="1:6" ht="16" x14ac:dyDescent="0.5">
      <c r="A97" s="284"/>
      <c r="B97" s="287"/>
      <c r="C97" s="282"/>
      <c r="D97" s="299"/>
      <c r="E97" s="299"/>
      <c r="F97" s="301"/>
    </row>
    <row r="98" spans="1:6" x14ac:dyDescent="0.35">
      <c r="A98" s="284"/>
      <c r="B98" s="287"/>
      <c r="C98" s="282"/>
      <c r="D98" s="288"/>
      <c r="E98" s="288"/>
      <c r="F98" s="288"/>
    </row>
    <row r="99" spans="1:6" x14ac:dyDescent="0.35">
      <c r="B99" s="287"/>
      <c r="C99" s="282"/>
      <c r="D99" s="282"/>
      <c r="E99" s="282"/>
    </row>
    <row r="100" spans="1:6" x14ac:dyDescent="0.35">
      <c r="A100" s="284"/>
      <c r="B100" s="290"/>
      <c r="C100" s="282"/>
      <c r="D100" s="282"/>
      <c r="E100" s="282"/>
    </row>
    <row r="101" spans="1:6" x14ac:dyDescent="0.35">
      <c r="A101" s="284"/>
      <c r="B101" s="290"/>
      <c r="C101" s="282"/>
      <c r="D101" s="282"/>
      <c r="E101" s="282"/>
    </row>
    <row r="102" spans="1:6" x14ac:dyDescent="0.35">
      <c r="A102" s="284"/>
      <c r="B102" s="287"/>
      <c r="C102" s="282"/>
      <c r="D102" s="282"/>
      <c r="E102" s="282"/>
    </row>
    <row r="103" spans="1:6" x14ac:dyDescent="0.35">
      <c r="A103" s="284"/>
      <c r="B103" s="287"/>
      <c r="C103" s="282"/>
      <c r="D103" s="288"/>
      <c r="E103" s="288"/>
      <c r="F103" s="288"/>
    </row>
    <row r="104" spans="1:6" x14ac:dyDescent="0.35">
      <c r="A104" s="284"/>
      <c r="B104" s="287"/>
      <c r="C104" s="282"/>
      <c r="D104" s="288"/>
      <c r="E104" s="288"/>
      <c r="F104" s="288"/>
    </row>
    <row r="105" spans="1:6" x14ac:dyDescent="0.35">
      <c r="A105" s="284"/>
      <c r="B105" s="287"/>
      <c r="C105" s="282"/>
      <c r="D105" s="288"/>
      <c r="E105" s="288"/>
      <c r="F105" s="288"/>
    </row>
    <row r="106" spans="1:6" x14ac:dyDescent="0.35">
      <c r="A106" s="284"/>
      <c r="B106" s="287"/>
      <c r="C106" s="282"/>
      <c r="D106" s="288"/>
      <c r="E106" s="288"/>
      <c r="F106" s="288"/>
    </row>
    <row r="107" spans="1:6" x14ac:dyDescent="0.35">
      <c r="A107" s="284"/>
      <c r="B107" s="290"/>
      <c r="C107" s="291"/>
      <c r="D107" s="288"/>
      <c r="E107" s="288"/>
      <c r="F107" s="288"/>
    </row>
    <row r="108" spans="1:6" x14ac:dyDescent="0.35">
      <c r="A108" s="284"/>
      <c r="B108" s="287"/>
      <c r="C108" s="282"/>
      <c r="D108" s="300"/>
      <c r="E108" s="300"/>
      <c r="F108" s="300"/>
    </row>
    <row r="109" spans="1:6" x14ac:dyDescent="0.35">
      <c r="B109" s="287"/>
      <c r="C109" s="282"/>
      <c r="D109" s="282"/>
      <c r="E109" s="282"/>
    </row>
    <row r="110" spans="1:6" x14ac:dyDescent="0.35">
      <c r="A110" s="284"/>
      <c r="B110" s="287"/>
      <c r="C110" s="291"/>
      <c r="D110" s="300"/>
      <c r="E110" s="300"/>
      <c r="F110" s="300"/>
    </row>
    <row r="111" spans="1:6" x14ac:dyDescent="0.35">
      <c r="A111" s="284"/>
      <c r="B111" s="287"/>
      <c r="C111" s="282"/>
      <c r="D111" s="282"/>
      <c r="E111" s="282"/>
    </row>
    <row r="112" spans="1:6" ht="16" x14ac:dyDescent="0.5">
      <c r="A112" s="284"/>
      <c r="B112" s="287"/>
      <c r="C112" s="282"/>
      <c r="D112" s="299"/>
      <c r="E112" s="301"/>
      <c r="F112" s="301"/>
    </row>
    <row r="113" spans="1:6" x14ac:dyDescent="0.35">
      <c r="A113" s="284"/>
      <c r="B113" s="287"/>
      <c r="C113" s="282"/>
      <c r="D113" s="288"/>
      <c r="E113" s="288"/>
      <c r="F113" s="288"/>
    </row>
    <row r="114" spans="1:6" x14ac:dyDescent="0.35">
      <c r="A114" s="284"/>
      <c r="B114" s="287"/>
      <c r="C114" s="282"/>
      <c r="D114" s="282"/>
      <c r="E114" s="282"/>
    </row>
    <row r="115" spans="1:6" x14ac:dyDescent="0.35">
      <c r="B115" s="287"/>
      <c r="C115" s="282"/>
      <c r="D115" s="282"/>
      <c r="E115" s="282"/>
    </row>
    <row r="116" spans="1:6" x14ac:dyDescent="0.35">
      <c r="A116" s="284"/>
      <c r="B116" s="290"/>
      <c r="C116" s="291"/>
      <c r="D116" s="300"/>
      <c r="E116" s="300"/>
      <c r="F116" s="300"/>
    </row>
    <row r="117" spans="1:6" x14ac:dyDescent="0.35">
      <c r="A117" s="284"/>
      <c r="B117" s="287"/>
      <c r="C117" s="282"/>
      <c r="D117" s="306"/>
      <c r="E117" s="299"/>
      <c r="F117" s="299"/>
    </row>
    <row r="118" spans="1:6" x14ac:dyDescent="0.35">
      <c r="A118" s="284"/>
      <c r="B118" s="287"/>
      <c r="C118" s="307"/>
      <c r="D118" s="300"/>
      <c r="E118" s="300"/>
      <c r="F118" s="300"/>
    </row>
    <row r="119" spans="1:6" x14ac:dyDescent="0.35">
      <c r="A119" s="284"/>
      <c r="B119" s="287"/>
      <c r="C119" s="282"/>
      <c r="D119" s="282"/>
      <c r="E119" s="282"/>
    </row>
    <row r="120" spans="1:6" x14ac:dyDescent="0.35">
      <c r="A120" s="284"/>
      <c r="B120" s="287"/>
      <c r="C120" s="282"/>
      <c r="D120" s="282"/>
      <c r="E120" s="282"/>
    </row>
    <row r="121" spans="1:6" x14ac:dyDescent="0.35">
      <c r="A121" s="284"/>
      <c r="B121" s="287"/>
      <c r="C121" s="282"/>
      <c r="D121" s="282"/>
      <c r="E121" s="282"/>
    </row>
    <row r="122" spans="1:6" x14ac:dyDescent="0.35">
      <c r="B122" s="287"/>
      <c r="C122" s="282"/>
      <c r="D122" s="282"/>
      <c r="E122" s="282"/>
    </row>
    <row r="123" spans="1:6" x14ac:dyDescent="0.35">
      <c r="A123" s="284"/>
      <c r="B123" s="287"/>
      <c r="C123" s="282"/>
      <c r="D123" s="288"/>
      <c r="E123" s="288"/>
      <c r="F123" s="288"/>
    </row>
    <row r="124" spans="1:6" x14ac:dyDescent="0.35">
      <c r="A124" s="284"/>
      <c r="B124" s="287"/>
      <c r="C124" s="282"/>
      <c r="D124" s="288"/>
      <c r="E124" s="288"/>
      <c r="F124" s="288"/>
    </row>
    <row r="125" spans="1:6" x14ac:dyDescent="0.35">
      <c r="A125" s="284"/>
      <c r="B125" s="287"/>
      <c r="C125" s="282"/>
      <c r="D125" s="288"/>
      <c r="E125" s="288"/>
      <c r="F125" s="288"/>
    </row>
    <row r="126" spans="1:6" ht="16" x14ac:dyDescent="0.5">
      <c r="A126" s="284"/>
      <c r="B126" s="287"/>
      <c r="C126" s="282"/>
      <c r="D126" s="301"/>
      <c r="E126" s="301"/>
      <c r="F126" s="301"/>
    </row>
    <row r="127" spans="1:6" x14ac:dyDescent="0.35">
      <c r="A127" s="284"/>
      <c r="B127" s="287"/>
      <c r="C127" s="282"/>
      <c r="D127" s="288"/>
      <c r="E127" s="288"/>
      <c r="F127" s="288"/>
    </row>
    <row r="128" spans="1:6" x14ac:dyDescent="0.35">
      <c r="B128" s="290"/>
      <c r="C128" s="282"/>
      <c r="D128" s="282"/>
      <c r="E128" s="282"/>
    </row>
    <row r="129" spans="1:6" x14ac:dyDescent="0.35">
      <c r="B129" s="287"/>
      <c r="C129" s="282"/>
      <c r="D129" s="282"/>
      <c r="E129" s="282"/>
    </row>
    <row r="130" spans="1:6" x14ac:dyDescent="0.35">
      <c r="A130" s="284"/>
      <c r="B130" s="287"/>
      <c r="C130" s="282"/>
      <c r="D130" s="288"/>
      <c r="E130" s="288"/>
      <c r="F130" s="288"/>
    </row>
    <row r="131" spans="1:6" x14ac:dyDescent="0.35">
      <c r="A131" s="284"/>
      <c r="B131" s="287"/>
      <c r="C131" s="282"/>
      <c r="D131" s="288"/>
      <c r="E131" s="288"/>
      <c r="F131" s="288"/>
    </row>
    <row r="132" spans="1:6" ht="16" x14ac:dyDescent="0.5">
      <c r="A132" s="284"/>
      <c r="B132" s="287"/>
      <c r="C132" s="282"/>
      <c r="D132" s="299"/>
      <c r="E132" s="301"/>
      <c r="F132" s="301"/>
    </row>
    <row r="133" spans="1:6" x14ac:dyDescent="0.35">
      <c r="A133" s="284"/>
      <c r="B133" s="287"/>
      <c r="C133" s="282"/>
      <c r="D133" s="288"/>
      <c r="E133" s="288"/>
      <c r="F133" s="288"/>
    </row>
    <row r="134" spans="1:6" x14ac:dyDescent="0.35">
      <c r="B134" s="305"/>
      <c r="C134" s="282"/>
      <c r="D134" s="282"/>
      <c r="E134" s="282"/>
    </row>
    <row r="135" spans="1:6" x14ac:dyDescent="0.35">
      <c r="A135" s="284"/>
      <c r="B135" s="305"/>
      <c r="C135" s="282"/>
      <c r="D135" s="288"/>
      <c r="E135" s="288"/>
      <c r="F135" s="288"/>
    </row>
    <row r="136" spans="1:6" x14ac:dyDescent="0.35">
      <c r="A136" s="284"/>
      <c r="B136" s="305"/>
      <c r="C136" s="307"/>
      <c r="D136" s="288"/>
      <c r="E136" s="288"/>
      <c r="F136" s="288"/>
    </row>
    <row r="137" spans="1:6" x14ac:dyDescent="0.35">
      <c r="B137" s="287"/>
      <c r="C137" s="282"/>
      <c r="D137" s="282"/>
      <c r="E137" s="282"/>
    </row>
    <row r="138" spans="1:6" x14ac:dyDescent="0.35">
      <c r="A138" s="284"/>
      <c r="B138" s="287"/>
      <c r="C138" s="307"/>
      <c r="D138" s="288"/>
      <c r="E138" s="288"/>
      <c r="F138" s="288"/>
    </row>
    <row r="139" spans="1:6" x14ac:dyDescent="0.35">
      <c r="A139" s="284"/>
      <c r="B139" s="287"/>
      <c r="C139" s="282"/>
      <c r="D139" s="288"/>
      <c r="E139" s="288"/>
      <c r="F139" s="288"/>
    </row>
    <row r="140" spans="1:6" ht="16" x14ac:dyDescent="0.5">
      <c r="A140" s="284"/>
      <c r="B140" s="290"/>
      <c r="C140" s="282"/>
      <c r="D140" s="299"/>
      <c r="E140" s="301"/>
      <c r="F140" s="301"/>
    </row>
    <row r="141" spans="1:6" x14ac:dyDescent="0.35">
      <c r="A141" s="284"/>
      <c r="B141" s="287"/>
      <c r="C141" s="282"/>
      <c r="D141" s="288"/>
      <c r="E141" s="288"/>
      <c r="F141" s="288"/>
    </row>
    <row r="142" spans="1:6" x14ac:dyDescent="0.35">
      <c r="B142" s="287"/>
      <c r="C142" s="282"/>
      <c r="D142" s="282"/>
      <c r="E142" s="282"/>
    </row>
    <row r="143" spans="1:6" x14ac:dyDescent="0.35">
      <c r="A143" s="284"/>
      <c r="B143" s="287"/>
      <c r="C143" s="282"/>
      <c r="D143" s="288"/>
      <c r="E143" s="288"/>
      <c r="F143" s="288"/>
    </row>
    <row r="144" spans="1:6" x14ac:dyDescent="0.35">
      <c r="A144" s="284"/>
      <c r="B144" s="287"/>
      <c r="C144" s="282"/>
      <c r="D144" s="288"/>
      <c r="E144" s="288"/>
      <c r="F144" s="288"/>
    </row>
    <row r="145" spans="1:6" ht="16" x14ac:dyDescent="0.5">
      <c r="A145" s="284"/>
      <c r="B145" s="287"/>
      <c r="C145" s="282"/>
      <c r="D145" s="299"/>
      <c r="E145" s="301"/>
      <c r="F145" s="301"/>
    </row>
    <row r="146" spans="1:6" x14ac:dyDescent="0.35">
      <c r="A146" s="284"/>
      <c r="B146" s="287"/>
      <c r="C146" s="282"/>
      <c r="D146" s="288"/>
      <c r="E146" s="288"/>
      <c r="F146" s="288"/>
    </row>
    <row r="147" spans="1:6" x14ac:dyDescent="0.35">
      <c r="B147" s="287"/>
      <c r="C147" s="282"/>
      <c r="D147" s="282"/>
      <c r="E147" s="282"/>
    </row>
    <row r="148" spans="1:6" x14ac:dyDescent="0.35">
      <c r="B148" s="287"/>
      <c r="C148" s="282"/>
      <c r="D148" s="282"/>
      <c r="E148" s="282"/>
    </row>
    <row r="149" spans="1:6" x14ac:dyDescent="0.35">
      <c r="A149" s="284"/>
      <c r="B149" s="287"/>
      <c r="C149" s="282"/>
      <c r="D149" s="282"/>
      <c r="E149" s="282"/>
    </row>
    <row r="150" spans="1:6" x14ac:dyDescent="0.35">
      <c r="A150" s="284"/>
      <c r="B150" s="287"/>
      <c r="C150" s="282"/>
      <c r="D150" s="288"/>
      <c r="E150" s="288"/>
      <c r="F150" s="288"/>
    </row>
    <row r="151" spans="1:6" ht="16" x14ac:dyDescent="0.5">
      <c r="A151" s="284"/>
      <c r="B151" s="287"/>
      <c r="C151" s="282"/>
      <c r="D151" s="301"/>
      <c r="E151" s="301"/>
      <c r="F151" s="301"/>
    </row>
    <row r="152" spans="1:6" x14ac:dyDescent="0.35">
      <c r="A152" s="284"/>
      <c r="B152" s="287"/>
      <c r="C152" s="282"/>
      <c r="D152" s="288"/>
      <c r="E152" s="288"/>
      <c r="F152" s="288"/>
    </row>
    <row r="153" spans="1:6" x14ac:dyDescent="0.35">
      <c r="A153" s="284"/>
      <c r="B153" s="287"/>
      <c r="C153" s="282"/>
      <c r="D153" s="288"/>
      <c r="E153" s="288"/>
      <c r="F153" s="288"/>
    </row>
    <row r="154" spans="1:6" x14ac:dyDescent="0.35">
      <c r="A154" s="284"/>
      <c r="B154" s="287"/>
      <c r="C154" s="282"/>
      <c r="D154" s="282"/>
      <c r="E154" s="282"/>
    </row>
    <row r="155" spans="1:6" x14ac:dyDescent="0.35">
      <c r="A155" s="284"/>
      <c r="B155" s="287"/>
      <c r="C155" s="282"/>
      <c r="D155" s="288"/>
      <c r="E155" s="288"/>
      <c r="F155" s="288"/>
    </row>
    <row r="156" spans="1:6" ht="16" x14ac:dyDescent="0.5">
      <c r="A156" s="284"/>
      <c r="B156" s="287"/>
      <c r="C156" s="282"/>
      <c r="D156" s="301"/>
      <c r="E156" s="301"/>
      <c r="F156" s="301"/>
    </row>
    <row r="157" spans="1:6" x14ac:dyDescent="0.35">
      <c r="A157" s="284"/>
      <c r="B157" s="287"/>
      <c r="C157" s="282"/>
      <c r="D157" s="288"/>
      <c r="E157" s="288"/>
      <c r="F157" s="288"/>
    </row>
    <row r="158" spans="1:6" x14ac:dyDescent="0.35">
      <c r="B158" s="290"/>
      <c r="C158" s="282"/>
      <c r="D158" s="282"/>
      <c r="E158" s="282"/>
    </row>
    <row r="159" spans="1:6" x14ac:dyDescent="0.35">
      <c r="B159" s="287"/>
      <c r="C159" s="282"/>
      <c r="D159" s="282"/>
      <c r="E159" s="282"/>
    </row>
    <row r="160" spans="1:6" x14ac:dyDescent="0.35">
      <c r="B160" s="290"/>
      <c r="C160" s="282"/>
      <c r="D160" s="282"/>
      <c r="E160" s="282"/>
    </row>
    <row r="161" spans="2:5" x14ac:dyDescent="0.35">
      <c r="B161" s="287"/>
      <c r="C161" s="282"/>
      <c r="D161" s="282"/>
      <c r="E161" s="282"/>
    </row>
    <row r="162" spans="2:5" x14ac:dyDescent="0.35">
      <c r="B162" s="287"/>
      <c r="C162" s="282"/>
      <c r="D162" s="282"/>
      <c r="E162" s="282"/>
    </row>
    <row r="163" spans="2:5" x14ac:dyDescent="0.35">
      <c r="B163" s="290"/>
      <c r="C163" s="282"/>
      <c r="D163" s="282"/>
      <c r="E163" s="282"/>
    </row>
    <row r="164" spans="2:5" x14ac:dyDescent="0.35">
      <c r="B164" s="287"/>
      <c r="C164" s="282"/>
      <c r="D164" s="282"/>
      <c r="E164" s="282"/>
    </row>
    <row r="165" spans="2:5" x14ac:dyDescent="0.35">
      <c r="B165" s="290"/>
      <c r="C165" s="282"/>
      <c r="D165" s="282"/>
      <c r="E165" s="282"/>
    </row>
    <row r="166" spans="2:5" x14ac:dyDescent="0.35">
      <c r="B166" s="290"/>
      <c r="C166" s="282"/>
      <c r="D166" s="282"/>
      <c r="E166" s="282"/>
    </row>
    <row r="167" spans="2:5" x14ac:dyDescent="0.35">
      <c r="B167" s="287"/>
      <c r="C167" s="282"/>
      <c r="D167" s="282"/>
      <c r="E167" s="282"/>
    </row>
    <row r="168" spans="2:5" x14ac:dyDescent="0.35">
      <c r="B168" s="290"/>
      <c r="C168" s="282"/>
      <c r="D168" s="282"/>
      <c r="E168" s="282"/>
    </row>
    <row r="169" spans="2:5" x14ac:dyDescent="0.35">
      <c r="B169" s="287"/>
      <c r="C169" s="282"/>
      <c r="D169" s="282"/>
      <c r="E169" s="282"/>
    </row>
    <row r="170" spans="2:5" x14ac:dyDescent="0.35">
      <c r="B170" s="290"/>
      <c r="C170" s="282"/>
      <c r="D170" s="282"/>
      <c r="E170" s="282"/>
    </row>
    <row r="171" spans="2:5" x14ac:dyDescent="0.35">
      <c r="B171" s="290"/>
      <c r="C171" s="282"/>
      <c r="D171" s="282"/>
      <c r="E171" s="282"/>
    </row>
    <row r="172" spans="2:5" x14ac:dyDescent="0.35">
      <c r="B172" s="290"/>
      <c r="C172" s="282"/>
      <c r="D172" s="282"/>
      <c r="E172" s="282"/>
    </row>
    <row r="173" spans="2:5" x14ac:dyDescent="0.35">
      <c r="B173" s="290"/>
      <c r="C173" s="282"/>
      <c r="D173" s="282"/>
      <c r="E173" s="282"/>
    </row>
    <row r="174" spans="2:5" x14ac:dyDescent="0.35">
      <c r="B174" s="287"/>
      <c r="C174" s="282"/>
      <c r="D174" s="282"/>
      <c r="E174" s="282"/>
    </row>
    <row r="175" spans="2:5" x14ac:dyDescent="0.35">
      <c r="B175" s="290"/>
      <c r="C175" s="282"/>
      <c r="D175" s="282"/>
      <c r="E175" s="282"/>
    </row>
    <row r="176" spans="2:5" x14ac:dyDescent="0.35">
      <c r="B176" s="287"/>
      <c r="C176" s="282"/>
      <c r="D176" s="282"/>
      <c r="E176" s="282"/>
    </row>
    <row r="177" spans="2:5" x14ac:dyDescent="0.35">
      <c r="B177" s="287"/>
      <c r="C177" s="282"/>
      <c r="D177" s="282"/>
      <c r="E177" s="282"/>
    </row>
    <row r="178" spans="2:5" x14ac:dyDescent="0.35">
      <c r="B178" s="290"/>
      <c r="C178" s="282"/>
      <c r="D178" s="282"/>
      <c r="E178" s="282"/>
    </row>
    <row r="179" spans="2:5" x14ac:dyDescent="0.35">
      <c r="B179" s="287"/>
      <c r="C179" s="282"/>
      <c r="D179" s="282"/>
      <c r="E179" s="282"/>
    </row>
    <row r="180" spans="2:5" x14ac:dyDescent="0.35">
      <c r="B180" s="290"/>
      <c r="C180" s="282"/>
      <c r="D180" s="282"/>
      <c r="E180" s="282"/>
    </row>
    <row r="181" spans="2:5" x14ac:dyDescent="0.35">
      <c r="B181" s="290"/>
      <c r="C181" s="282"/>
      <c r="D181" s="282"/>
      <c r="E181" s="282"/>
    </row>
    <row r="182" spans="2:5" x14ac:dyDescent="0.35">
      <c r="B182" s="287"/>
      <c r="C182" s="282"/>
      <c r="D182" s="282"/>
      <c r="E182" s="282"/>
    </row>
    <row r="183" spans="2:5" x14ac:dyDescent="0.35">
      <c r="B183" s="290"/>
      <c r="C183" s="282"/>
      <c r="D183" s="282"/>
      <c r="E183" s="282"/>
    </row>
    <row r="184" spans="2:5" x14ac:dyDescent="0.35">
      <c r="B184" s="287"/>
      <c r="C184" s="282"/>
      <c r="D184" s="282"/>
      <c r="E184" s="282"/>
    </row>
    <row r="185" spans="2:5" x14ac:dyDescent="0.35">
      <c r="B185" s="290"/>
      <c r="C185" s="282"/>
      <c r="D185" s="282"/>
      <c r="E185" s="282"/>
    </row>
    <row r="186" spans="2:5" x14ac:dyDescent="0.35">
      <c r="B186" s="290"/>
      <c r="C186" s="282"/>
      <c r="D186" s="282"/>
      <c r="E186" s="282"/>
    </row>
    <row r="187" spans="2:5" x14ac:dyDescent="0.35">
      <c r="B187" s="287"/>
      <c r="C187" s="282"/>
      <c r="D187" s="282"/>
      <c r="E187" s="282"/>
    </row>
    <row r="188" spans="2:5" x14ac:dyDescent="0.35">
      <c r="B188" s="290"/>
      <c r="C188" s="282"/>
      <c r="D188" s="282"/>
      <c r="E188" s="282"/>
    </row>
    <row r="189" spans="2:5" x14ac:dyDescent="0.35">
      <c r="B189" s="287"/>
      <c r="C189" s="282"/>
      <c r="D189" s="282"/>
      <c r="E189" s="282"/>
    </row>
    <row r="190" spans="2:5" x14ac:dyDescent="0.35">
      <c r="B190" s="290"/>
      <c r="C190" s="282"/>
      <c r="D190" s="282"/>
      <c r="E190" s="282"/>
    </row>
    <row r="191" spans="2:5" x14ac:dyDescent="0.35">
      <c r="B191" s="290"/>
      <c r="C191" s="282"/>
      <c r="D191" s="282"/>
      <c r="E191" s="282"/>
    </row>
    <row r="192" spans="2:5" x14ac:dyDescent="0.35">
      <c r="B192" s="287"/>
      <c r="C192" s="282"/>
      <c r="D192" s="282"/>
      <c r="E192" s="282"/>
    </row>
    <row r="193" spans="2:5" x14ac:dyDescent="0.35">
      <c r="B193" s="290"/>
      <c r="C193" s="282"/>
      <c r="D193" s="282"/>
      <c r="E193" s="282"/>
    </row>
    <row r="194" spans="2:5" x14ac:dyDescent="0.35">
      <c r="B194" s="287"/>
      <c r="C194" s="282"/>
      <c r="D194" s="282"/>
      <c r="E194" s="282"/>
    </row>
    <row r="195" spans="2:5" x14ac:dyDescent="0.35">
      <c r="B195" s="290"/>
      <c r="C195" s="282"/>
      <c r="D195" s="282"/>
      <c r="E195" s="282"/>
    </row>
    <row r="196" spans="2:5" x14ac:dyDescent="0.35">
      <c r="B196" s="290"/>
      <c r="C196" s="282"/>
      <c r="D196" s="282"/>
      <c r="E196" s="282"/>
    </row>
    <row r="197" spans="2:5" x14ac:dyDescent="0.35">
      <c r="B197" s="305"/>
      <c r="C197" s="282"/>
      <c r="D197" s="282"/>
      <c r="E197" s="282"/>
    </row>
    <row r="198" spans="2:5" x14ac:dyDescent="0.35">
      <c r="B198" s="305"/>
      <c r="C198" s="282"/>
      <c r="D198" s="282"/>
      <c r="E198" s="282"/>
    </row>
    <row r="199" spans="2:5" x14ac:dyDescent="0.35">
      <c r="B199" s="305"/>
      <c r="C199" s="282"/>
      <c r="D199" s="282"/>
      <c r="E199" s="282"/>
    </row>
    <row r="200" spans="2:5" x14ac:dyDescent="0.35">
      <c r="B200" s="305"/>
      <c r="C200" s="282"/>
      <c r="D200" s="282"/>
      <c r="E200" s="282"/>
    </row>
    <row r="201" spans="2:5" x14ac:dyDescent="0.35">
      <c r="B201" s="305"/>
      <c r="C201" s="282"/>
      <c r="D201" s="282"/>
      <c r="E201" s="282"/>
    </row>
    <row r="202" spans="2:5" x14ac:dyDescent="0.35">
      <c r="B202" s="305"/>
      <c r="C202" s="282"/>
      <c r="D202" s="282"/>
      <c r="E202" s="282"/>
    </row>
    <row r="203" spans="2:5" x14ac:dyDescent="0.35">
      <c r="B203" s="305"/>
      <c r="C203" s="282"/>
      <c r="D203" s="282"/>
      <c r="E203" s="282"/>
    </row>
    <row r="204" spans="2:5" x14ac:dyDescent="0.35">
      <c r="B204" s="305"/>
      <c r="C204" s="282"/>
      <c r="D204" s="282"/>
      <c r="E204" s="282"/>
    </row>
    <row r="205" spans="2:5" x14ac:dyDescent="0.35">
      <c r="B205" s="305"/>
      <c r="C205" s="282"/>
      <c r="D205" s="282"/>
      <c r="E205" s="282"/>
    </row>
    <row r="206" spans="2:5" x14ac:dyDescent="0.35">
      <c r="B206" s="305"/>
      <c r="C206" s="282"/>
      <c r="D206" s="282"/>
      <c r="E206" s="282"/>
    </row>
    <row r="207" spans="2:5" x14ac:dyDescent="0.35">
      <c r="B207" s="305"/>
      <c r="C207" s="282"/>
      <c r="D207" s="282"/>
      <c r="E207" s="282"/>
    </row>
    <row r="208" spans="2:5" x14ac:dyDescent="0.35">
      <c r="B208" s="305"/>
      <c r="C208" s="282"/>
      <c r="D208" s="282"/>
      <c r="E208" s="282"/>
    </row>
    <row r="209" spans="2:5" x14ac:dyDescent="0.35">
      <c r="B209" s="305"/>
      <c r="C209" s="282"/>
      <c r="D209" s="282"/>
      <c r="E209" s="282"/>
    </row>
    <row r="210" spans="2:5" x14ac:dyDescent="0.35">
      <c r="B210" s="305"/>
      <c r="C210" s="282"/>
      <c r="D210" s="282"/>
      <c r="E210" s="282"/>
    </row>
    <row r="211" spans="2:5" x14ac:dyDescent="0.35">
      <c r="B211" s="305"/>
      <c r="C211" s="282"/>
      <c r="D211" s="282"/>
      <c r="E211" s="282"/>
    </row>
    <row r="212" spans="2:5" x14ac:dyDescent="0.35">
      <c r="B212" s="305"/>
      <c r="C212" s="282"/>
      <c r="D212" s="282"/>
      <c r="E212" s="282"/>
    </row>
    <row r="213" spans="2:5" x14ac:dyDescent="0.35">
      <c r="B213" s="305"/>
      <c r="C213" s="282"/>
      <c r="D213" s="282"/>
      <c r="E213" s="282"/>
    </row>
    <row r="214" spans="2:5" x14ac:dyDescent="0.35">
      <c r="B214" s="305"/>
      <c r="C214" s="282"/>
      <c r="D214" s="282"/>
      <c r="E214" s="282"/>
    </row>
    <row r="215" spans="2:5" x14ac:dyDescent="0.35">
      <c r="B215" s="305"/>
      <c r="C215" s="282"/>
      <c r="D215" s="282"/>
      <c r="E215" s="282"/>
    </row>
    <row r="216" spans="2:5" x14ac:dyDescent="0.35">
      <c r="B216" s="305"/>
      <c r="C216" s="282"/>
      <c r="D216" s="282"/>
      <c r="E216" s="282"/>
    </row>
    <row r="217" spans="2:5" x14ac:dyDescent="0.35">
      <c r="B217" s="305"/>
      <c r="C217" s="282"/>
      <c r="D217" s="282"/>
      <c r="E217" s="282"/>
    </row>
    <row r="218" spans="2:5" x14ac:dyDescent="0.35">
      <c r="B218" s="305"/>
      <c r="C218" s="282"/>
      <c r="D218" s="282"/>
      <c r="E218" s="282"/>
    </row>
    <row r="219" spans="2:5" x14ac:dyDescent="0.35">
      <c r="B219" s="305"/>
      <c r="C219" s="282"/>
      <c r="D219" s="282"/>
      <c r="E219" s="282"/>
    </row>
    <row r="220" spans="2:5" x14ac:dyDescent="0.35">
      <c r="B220" s="305"/>
      <c r="C220" s="282"/>
      <c r="D220" s="282"/>
      <c r="E220" s="282"/>
    </row>
    <row r="221" spans="2:5" x14ac:dyDescent="0.35">
      <c r="B221" s="305"/>
      <c r="C221" s="282"/>
      <c r="D221" s="282"/>
      <c r="E221" s="282"/>
    </row>
    <row r="222" spans="2:5" x14ac:dyDescent="0.35">
      <c r="B222" s="305"/>
      <c r="C222" s="282"/>
      <c r="D222" s="282"/>
      <c r="E222" s="282"/>
    </row>
    <row r="223" spans="2:5" x14ac:dyDescent="0.35">
      <c r="B223" s="305"/>
      <c r="C223" s="282"/>
      <c r="D223" s="282"/>
      <c r="E223" s="282"/>
    </row>
  </sheetData>
  <printOptions horizontalCentered="1"/>
  <pageMargins left="0.75" right="0.75" top="1" bottom="1" header="0.5" footer="0.5"/>
  <pageSetup scale="95" orientation="portrait" r:id="rId1"/>
  <headerFooter alignWithMargins="0"/>
  <rowBreaks count="1" manualBreakCount="1">
    <brk id="105" min="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O424"/>
  <sheetViews>
    <sheetView showGridLines="0" zoomScale="115" zoomScaleNormal="115" workbookViewId="0">
      <pane xSplit="2" ySplit="6" topLeftCell="C7" activePane="bottomRight" state="frozen"/>
      <selection pane="topRight" activeCell="C1" sqref="C1"/>
      <selection pane="bottomLeft" activeCell="A7" sqref="A7"/>
      <selection pane="bottomRight" activeCell="C7" sqref="C7"/>
    </sheetView>
  </sheetViews>
  <sheetFormatPr defaultColWidth="9.296875" defaultRowHeight="13" x14ac:dyDescent="0.3"/>
  <cols>
    <col min="1" max="1" width="43.296875" style="16" customWidth="1"/>
    <col min="2" max="2" width="44.69921875" style="16" customWidth="1"/>
    <col min="3" max="3" width="23.69921875" style="16" customWidth="1"/>
    <col min="4" max="4" width="21.296875" style="16" customWidth="1"/>
    <col min="5" max="5" width="18.69921875" style="16" customWidth="1"/>
    <col min="6" max="6" width="20.296875" style="16" customWidth="1"/>
    <col min="7" max="7" width="9.296875" style="16"/>
    <col min="8" max="8" width="79.3984375" style="16" customWidth="1"/>
    <col min="9" max="9" width="13.69921875" style="16" customWidth="1"/>
    <col min="10" max="11" width="18.296875" style="16" customWidth="1"/>
    <col min="12" max="12" width="9.3984375" style="16" bestFit="1" customWidth="1"/>
    <col min="13" max="13" width="13.3984375" style="16" bestFit="1" customWidth="1"/>
    <col min="14" max="14" width="14.09765625" style="16" bestFit="1" customWidth="1"/>
    <col min="15" max="15" width="13.3984375" style="16" bestFit="1" customWidth="1"/>
    <col min="16" max="16" width="10.69921875" style="16" bestFit="1" customWidth="1"/>
    <col min="17" max="16384" width="9.296875" style="16"/>
  </cols>
  <sheetData>
    <row r="1" spans="1:9" ht="18.5" x14ac:dyDescent="0.45">
      <c r="A1" s="323" t="s">
        <v>909</v>
      </c>
      <c r="H1" s="213"/>
      <c r="I1" s="213"/>
    </row>
    <row r="2" spans="1:9" x14ac:dyDescent="0.3">
      <c r="A2" s="569"/>
      <c r="B2" s="569"/>
      <c r="C2" s="569"/>
      <c r="D2" s="569"/>
      <c r="E2" s="569"/>
      <c r="F2" s="569"/>
      <c r="G2" s="569"/>
      <c r="H2" s="569"/>
      <c r="I2" s="569"/>
    </row>
    <row r="3" spans="1:9" x14ac:dyDescent="0.3">
      <c r="A3" s="16" t="s">
        <v>428</v>
      </c>
      <c r="H3" s="310" t="s">
        <v>911</v>
      </c>
    </row>
    <row r="4" spans="1:9" x14ac:dyDescent="0.3">
      <c r="A4" s="213" t="s">
        <v>429</v>
      </c>
      <c r="B4" s="556">
        <v>43830</v>
      </c>
      <c r="H4" s="557" t="s">
        <v>450</v>
      </c>
    </row>
    <row r="5" spans="1:9" x14ac:dyDescent="0.3">
      <c r="B5" s="213"/>
      <c r="H5" s="568" t="s">
        <v>452</v>
      </c>
    </row>
    <row r="6" spans="1:9" ht="14.5" x14ac:dyDescent="0.45">
      <c r="A6" s="16" t="s">
        <v>430</v>
      </c>
      <c r="C6" s="324" t="s">
        <v>431</v>
      </c>
      <c r="D6" s="324" t="s">
        <v>432</v>
      </c>
      <c r="E6" s="324" t="s">
        <v>433</v>
      </c>
      <c r="H6" s="213"/>
    </row>
    <row r="7" spans="1:9" x14ac:dyDescent="0.3">
      <c r="A7" s="16" t="s">
        <v>434</v>
      </c>
      <c r="C7" s="567">
        <v>0</v>
      </c>
      <c r="D7" s="567">
        <v>0</v>
      </c>
      <c r="E7" s="16">
        <f>C7+D7</f>
        <v>0</v>
      </c>
      <c r="F7" s="313" t="s">
        <v>435</v>
      </c>
      <c r="H7" s="313" t="s">
        <v>436</v>
      </c>
    </row>
    <row r="8" spans="1:9" x14ac:dyDescent="0.3">
      <c r="A8" s="16" t="s">
        <v>437</v>
      </c>
      <c r="C8" s="567">
        <v>0</v>
      </c>
      <c r="D8" s="567">
        <v>0</v>
      </c>
      <c r="E8" s="16">
        <f>C8+D8</f>
        <v>0</v>
      </c>
      <c r="F8" s="314" t="s">
        <v>438</v>
      </c>
      <c r="H8" s="314" t="s">
        <v>439</v>
      </c>
    </row>
    <row r="9" spans="1:9" x14ac:dyDescent="0.3">
      <c r="C9" s="210"/>
      <c r="D9" s="210"/>
      <c r="F9" s="209"/>
      <c r="H9" s="314" t="s">
        <v>440</v>
      </c>
    </row>
    <row r="10" spans="1:9" x14ac:dyDescent="0.3">
      <c r="B10" s="213"/>
      <c r="H10" s="313" t="s">
        <v>441</v>
      </c>
    </row>
    <row r="11" spans="1:9" ht="14.5" x14ac:dyDescent="0.45">
      <c r="A11" s="208" t="s">
        <v>442</v>
      </c>
      <c r="B11" s="212" t="s">
        <v>443</v>
      </c>
      <c r="C11" s="324" t="s">
        <v>431</v>
      </c>
      <c r="D11" s="324" t="s">
        <v>432</v>
      </c>
      <c r="E11" s="324" t="s">
        <v>433</v>
      </c>
    </row>
    <row r="12" spans="1:9" x14ac:dyDescent="0.3">
      <c r="A12" s="221" t="s">
        <v>444</v>
      </c>
      <c r="B12" s="213" t="s">
        <v>445</v>
      </c>
      <c r="C12" s="555">
        <v>4298000</v>
      </c>
      <c r="D12" s="555">
        <v>1934000</v>
      </c>
      <c r="E12" s="16">
        <f>C12+D12</f>
        <v>6232000</v>
      </c>
      <c r="G12" s="213"/>
    </row>
    <row r="13" spans="1:9" x14ac:dyDescent="0.3">
      <c r="A13" s="221" t="s">
        <v>446</v>
      </c>
      <c r="B13" s="212"/>
      <c r="C13" s="555">
        <v>3436000</v>
      </c>
      <c r="D13" s="555">
        <v>1647000</v>
      </c>
      <c r="E13" s="16">
        <f t="shared" ref="E13:E23" si="0">C13+D13</f>
        <v>5083000</v>
      </c>
      <c r="G13" s="213"/>
    </row>
    <row r="14" spans="1:9" x14ac:dyDescent="0.3">
      <c r="A14" s="221" t="s">
        <v>447</v>
      </c>
      <c r="B14" s="213"/>
      <c r="C14" s="555">
        <v>3994000</v>
      </c>
      <c r="D14" s="555">
        <v>1750000</v>
      </c>
      <c r="E14" s="16">
        <f t="shared" si="0"/>
        <v>5744000</v>
      </c>
      <c r="G14" s="213"/>
    </row>
    <row r="15" spans="1:9" x14ac:dyDescent="0.3">
      <c r="A15" s="221" t="s">
        <v>448</v>
      </c>
      <c r="B15" s="213"/>
      <c r="C15" s="555">
        <v>3113000</v>
      </c>
      <c r="D15" s="555">
        <v>1439000</v>
      </c>
      <c r="E15" s="16">
        <f t="shared" si="0"/>
        <v>4552000</v>
      </c>
      <c r="G15" s="213"/>
    </row>
    <row r="16" spans="1:9" x14ac:dyDescent="0.3">
      <c r="A16" s="221" t="s">
        <v>449</v>
      </c>
      <c r="B16" s="213"/>
      <c r="C16" s="555">
        <v>3195000</v>
      </c>
      <c r="D16" s="555">
        <v>2195000</v>
      </c>
      <c r="E16" s="16">
        <f t="shared" si="0"/>
        <v>5390000</v>
      </c>
      <c r="G16" s="213"/>
    </row>
    <row r="17" spans="1:8" x14ac:dyDescent="0.3">
      <c r="A17" s="221" t="s">
        <v>451</v>
      </c>
      <c r="B17" s="213"/>
      <c r="C17" s="555">
        <v>3250000</v>
      </c>
      <c r="D17" s="555">
        <v>2340000</v>
      </c>
      <c r="E17" s="16">
        <f t="shared" si="0"/>
        <v>5590000</v>
      </c>
      <c r="G17" s="213"/>
    </row>
    <row r="18" spans="1:8" x14ac:dyDescent="0.3">
      <c r="A18" s="221" t="s">
        <v>453</v>
      </c>
      <c r="B18" s="213"/>
      <c r="C18" s="555">
        <v>3531000</v>
      </c>
      <c r="D18" s="555">
        <v>2555000</v>
      </c>
      <c r="E18" s="16">
        <f t="shared" si="0"/>
        <v>6086000</v>
      </c>
      <c r="G18" s="213"/>
    </row>
    <row r="19" spans="1:8" x14ac:dyDescent="0.3">
      <c r="A19" s="221" t="s">
        <v>454</v>
      </c>
      <c r="B19" s="213"/>
      <c r="C19" s="555">
        <v>3671000</v>
      </c>
      <c r="D19" s="555">
        <v>2607000</v>
      </c>
      <c r="E19" s="16">
        <f t="shared" si="0"/>
        <v>6278000</v>
      </c>
      <c r="G19" s="213"/>
    </row>
    <row r="20" spans="1:8" x14ac:dyDescent="0.3">
      <c r="A20" s="221" t="s">
        <v>455</v>
      </c>
      <c r="B20" s="213"/>
      <c r="C20" s="555">
        <v>3596000</v>
      </c>
      <c r="D20" s="555">
        <v>2460000</v>
      </c>
      <c r="E20" s="16">
        <f t="shared" si="0"/>
        <v>6056000</v>
      </c>
      <c r="G20" s="213"/>
    </row>
    <row r="21" spans="1:8" x14ac:dyDescent="0.3">
      <c r="A21" s="221" t="s">
        <v>456</v>
      </c>
      <c r="B21" s="213"/>
      <c r="C21" s="555">
        <v>3505000</v>
      </c>
      <c r="D21" s="555">
        <v>2424000</v>
      </c>
      <c r="E21" s="16">
        <f t="shared" si="0"/>
        <v>5929000</v>
      </c>
      <c r="G21" s="213"/>
    </row>
    <row r="22" spans="1:8" x14ac:dyDescent="0.3">
      <c r="A22" s="221" t="s">
        <v>457</v>
      </c>
      <c r="B22" s="213"/>
      <c r="C22" s="555">
        <v>3693000</v>
      </c>
      <c r="D22" s="555">
        <v>1658000</v>
      </c>
      <c r="E22" s="16">
        <f t="shared" si="0"/>
        <v>5351000</v>
      </c>
      <c r="G22" s="213"/>
    </row>
    <row r="23" spans="1:8" x14ac:dyDescent="0.3">
      <c r="A23" s="221" t="s">
        <v>458</v>
      </c>
      <c r="B23" s="213"/>
      <c r="C23" s="555">
        <v>3643000</v>
      </c>
      <c r="D23" s="555">
        <v>1678000</v>
      </c>
      <c r="E23" s="16">
        <f t="shared" si="0"/>
        <v>5321000</v>
      </c>
      <c r="G23" s="213"/>
    </row>
    <row r="24" spans="1:8" x14ac:dyDescent="0.3">
      <c r="A24" s="221"/>
      <c r="B24" s="213"/>
      <c r="C24" s="213"/>
      <c r="D24" s="213"/>
      <c r="E24" s="213"/>
      <c r="G24" s="213"/>
    </row>
    <row r="25" spans="1:8" x14ac:dyDescent="0.3">
      <c r="A25" s="221" t="s">
        <v>459</v>
      </c>
      <c r="B25" s="213"/>
      <c r="C25" s="213">
        <f>AVERAGE(C12:C23)</f>
        <v>3577083.3333333335</v>
      </c>
      <c r="D25" s="213">
        <f>AVERAGE(D12:D23)</f>
        <v>2057250</v>
      </c>
      <c r="E25" s="213">
        <f>ROUND(AVERAGE(E12:E23),-3)</f>
        <v>5634000</v>
      </c>
      <c r="F25" s="314" t="s">
        <v>460</v>
      </c>
      <c r="G25" s="213"/>
    </row>
    <row r="26" spans="1:8" x14ac:dyDescent="0.3">
      <c r="B26" s="213"/>
      <c r="D26" s="310" t="s">
        <v>904</v>
      </c>
      <c r="E26" s="311" t="str">
        <f>IF($E$25='NITS Pg 1 of 5'!$J$23,"ok","err on NITS pg 1")</f>
        <v>ok</v>
      </c>
      <c r="F26" s="209"/>
      <c r="G26" s="213"/>
    </row>
    <row r="27" spans="1:8" x14ac:dyDescent="0.3">
      <c r="B27" s="213"/>
      <c r="D27" s="310" t="s">
        <v>905</v>
      </c>
      <c r="E27" s="311" t="str">
        <f>IF($E$25='PTP Pg 1 of 5'!$J$23,"ok","err on PTP pg 1")</f>
        <v>ok</v>
      </c>
      <c r="F27" s="209"/>
      <c r="G27" s="213"/>
    </row>
    <row r="28" spans="1:8" x14ac:dyDescent="0.3">
      <c r="B28" s="213"/>
      <c r="G28" s="213"/>
    </row>
    <row r="29" spans="1:8" ht="14.5" x14ac:dyDescent="0.45">
      <c r="A29" s="208" t="s">
        <v>461</v>
      </c>
      <c r="B29" s="212" t="s">
        <v>953</v>
      </c>
      <c r="C29" s="324" t="s">
        <v>431</v>
      </c>
      <c r="D29" s="324" t="s">
        <v>432</v>
      </c>
      <c r="E29" s="324" t="s">
        <v>433</v>
      </c>
      <c r="G29" s="213"/>
    </row>
    <row r="30" spans="1:8" x14ac:dyDescent="0.3">
      <c r="A30" s="221" t="s">
        <v>444</v>
      </c>
      <c r="B30" s="212" t="s">
        <v>462</v>
      </c>
      <c r="C30" s="555">
        <v>0</v>
      </c>
      <c r="D30" s="555">
        <v>0</v>
      </c>
      <c r="E30" s="16">
        <f>C30+D30</f>
        <v>0</v>
      </c>
      <c r="G30" s="213"/>
      <c r="H30" s="431" t="s">
        <v>924</v>
      </c>
    </row>
    <row r="31" spans="1:8" x14ac:dyDescent="0.3">
      <c r="A31" s="221" t="s">
        <v>446</v>
      </c>
      <c r="B31" s="212" t="s">
        <v>463</v>
      </c>
      <c r="C31" s="555">
        <v>0</v>
      </c>
      <c r="D31" s="555">
        <v>0</v>
      </c>
      <c r="E31" s="16">
        <f t="shared" ref="E31:E41" si="1">C31+D31</f>
        <v>0</v>
      </c>
      <c r="G31" s="213"/>
    </row>
    <row r="32" spans="1:8" x14ac:dyDescent="0.3">
      <c r="A32" s="221" t="s">
        <v>447</v>
      </c>
      <c r="B32" s="468" t="s">
        <v>464</v>
      </c>
      <c r="C32" s="555">
        <v>0</v>
      </c>
      <c r="D32" s="555">
        <v>0</v>
      </c>
      <c r="E32" s="16">
        <f t="shared" si="1"/>
        <v>0</v>
      </c>
      <c r="G32" s="213"/>
    </row>
    <row r="33" spans="1:8" x14ac:dyDescent="0.3">
      <c r="A33" s="221" t="s">
        <v>448</v>
      </c>
      <c r="B33" s="213" t="s">
        <v>445</v>
      </c>
      <c r="C33" s="555">
        <v>0</v>
      </c>
      <c r="D33" s="555">
        <v>0</v>
      </c>
      <c r="E33" s="16">
        <f t="shared" si="1"/>
        <v>0</v>
      </c>
      <c r="G33" s="213"/>
    </row>
    <row r="34" spans="1:8" x14ac:dyDescent="0.3">
      <c r="A34" s="221" t="s">
        <v>449</v>
      </c>
      <c r="B34" s="213"/>
      <c r="C34" s="555">
        <v>0</v>
      </c>
      <c r="D34" s="555">
        <v>0</v>
      </c>
      <c r="E34" s="16">
        <f t="shared" si="1"/>
        <v>0</v>
      </c>
      <c r="G34" s="213"/>
    </row>
    <row r="35" spans="1:8" x14ac:dyDescent="0.3">
      <c r="A35" s="221" t="s">
        <v>451</v>
      </c>
      <c r="B35" s="213"/>
      <c r="C35" s="555">
        <v>0</v>
      </c>
      <c r="D35" s="555">
        <v>0</v>
      </c>
      <c r="E35" s="16">
        <f t="shared" si="1"/>
        <v>0</v>
      </c>
      <c r="G35" s="213"/>
    </row>
    <row r="36" spans="1:8" x14ac:dyDescent="0.3">
      <c r="A36" s="221" t="s">
        <v>453</v>
      </c>
      <c r="B36" s="213"/>
      <c r="C36" s="555">
        <v>0</v>
      </c>
      <c r="D36" s="555">
        <v>0</v>
      </c>
      <c r="E36" s="16">
        <f t="shared" si="1"/>
        <v>0</v>
      </c>
      <c r="G36" s="213"/>
    </row>
    <row r="37" spans="1:8" x14ac:dyDescent="0.3">
      <c r="A37" s="221" t="s">
        <v>454</v>
      </c>
      <c r="B37" s="213"/>
      <c r="C37" s="555">
        <v>0</v>
      </c>
      <c r="D37" s="555">
        <v>0</v>
      </c>
      <c r="E37" s="16">
        <f t="shared" si="1"/>
        <v>0</v>
      </c>
      <c r="G37" s="213"/>
    </row>
    <row r="38" spans="1:8" x14ac:dyDescent="0.3">
      <c r="A38" s="221" t="s">
        <v>455</v>
      </c>
      <c r="B38" s="213"/>
      <c r="C38" s="555">
        <v>0</v>
      </c>
      <c r="D38" s="555">
        <v>0</v>
      </c>
      <c r="E38" s="16">
        <f t="shared" si="1"/>
        <v>0</v>
      </c>
      <c r="G38" s="213"/>
    </row>
    <row r="39" spans="1:8" x14ac:dyDescent="0.3">
      <c r="A39" s="221" t="s">
        <v>456</v>
      </c>
      <c r="B39" s="213"/>
      <c r="C39" s="555">
        <v>0</v>
      </c>
      <c r="D39" s="555">
        <v>0</v>
      </c>
      <c r="E39" s="213">
        <f t="shared" si="1"/>
        <v>0</v>
      </c>
      <c r="F39" s="213"/>
      <c r="G39" s="213"/>
      <c r="H39" s="213"/>
    </row>
    <row r="40" spans="1:8" x14ac:dyDescent="0.3">
      <c r="A40" s="221" t="s">
        <v>457</v>
      </c>
      <c r="B40" s="213"/>
      <c r="C40" s="555">
        <v>0</v>
      </c>
      <c r="D40" s="555">
        <v>0</v>
      </c>
      <c r="E40" s="213">
        <f t="shared" si="1"/>
        <v>0</v>
      </c>
      <c r="F40" s="213"/>
      <c r="G40" s="213"/>
      <c r="H40" s="213"/>
    </row>
    <row r="41" spans="1:8" x14ac:dyDescent="0.3">
      <c r="A41" s="221" t="s">
        <v>458</v>
      </c>
      <c r="B41" s="213"/>
      <c r="C41" s="555">
        <v>0</v>
      </c>
      <c r="D41" s="555">
        <v>0</v>
      </c>
      <c r="E41" s="213">
        <f t="shared" si="1"/>
        <v>0</v>
      </c>
      <c r="F41" s="213"/>
      <c r="G41" s="213"/>
      <c r="H41" s="213"/>
    </row>
    <row r="42" spans="1:8" x14ac:dyDescent="0.3">
      <c r="A42" s="221"/>
      <c r="B42" s="213"/>
      <c r="C42" s="213"/>
      <c r="D42" s="213"/>
      <c r="E42" s="213"/>
      <c r="F42" s="213"/>
      <c r="G42" s="213"/>
      <c r="H42" s="213"/>
    </row>
    <row r="43" spans="1:8" x14ac:dyDescent="0.3">
      <c r="A43" s="221" t="s">
        <v>6</v>
      </c>
      <c r="B43" s="213"/>
      <c r="C43" s="213">
        <f>SUM(C30:C41)</f>
        <v>0</v>
      </c>
      <c r="D43" s="213">
        <f>SUM(D30:D41)</f>
        <v>0</v>
      </c>
      <c r="E43" s="213">
        <f>SUM(E30:E41)</f>
        <v>0</v>
      </c>
      <c r="F43" s="314" t="s">
        <v>465</v>
      </c>
      <c r="G43" s="213"/>
    </row>
    <row r="44" spans="1:8" x14ac:dyDescent="0.3">
      <c r="B44" s="213"/>
      <c r="D44" s="310" t="s">
        <v>904</v>
      </c>
      <c r="E44" s="311" t="str">
        <f>IF($E$43='NITS Pg 1 of 5'!$J$24,"ok","err on NITS pg 1")</f>
        <v>ok</v>
      </c>
      <c r="F44" s="209"/>
      <c r="G44" s="213"/>
    </row>
    <row r="45" spans="1:8" x14ac:dyDescent="0.3">
      <c r="D45" s="310" t="s">
        <v>905</v>
      </c>
      <c r="E45" s="311" t="str">
        <f>IF($E$43='PTP Pg 1 of 5'!$J$24,"ok","err on PTP pg 1")</f>
        <v>ok</v>
      </c>
      <c r="F45" s="209"/>
      <c r="G45" s="213"/>
    </row>
    <row r="46" spans="1:8" x14ac:dyDescent="0.3">
      <c r="G46" s="213"/>
    </row>
    <row r="47" spans="1:8" ht="14.5" x14ac:dyDescent="0.45">
      <c r="A47" s="208" t="s">
        <v>466</v>
      </c>
      <c r="B47" s="212" t="s">
        <v>467</v>
      </c>
      <c r="C47" s="324" t="s">
        <v>468</v>
      </c>
      <c r="D47" s="324" t="s">
        <v>469</v>
      </c>
      <c r="E47" s="324" t="s">
        <v>470</v>
      </c>
      <c r="F47" s="324" t="s">
        <v>433</v>
      </c>
      <c r="G47" s="213"/>
    </row>
    <row r="48" spans="1:8" x14ac:dyDescent="0.3">
      <c r="A48" s="221" t="s">
        <v>444</v>
      </c>
      <c r="B48" s="213" t="s">
        <v>445</v>
      </c>
      <c r="C48" s="555">
        <v>596000</v>
      </c>
      <c r="D48" s="555">
        <v>0</v>
      </c>
      <c r="E48" s="555">
        <v>285000</v>
      </c>
      <c r="F48" s="16">
        <f>C48+D48+E48</f>
        <v>881000</v>
      </c>
      <c r="G48" s="213"/>
    </row>
    <row r="49" spans="1:7" x14ac:dyDescent="0.3">
      <c r="A49" s="221" t="s">
        <v>446</v>
      </c>
      <c r="B49" s="212" t="s">
        <v>1125</v>
      </c>
      <c r="C49" s="555">
        <v>469000</v>
      </c>
      <c r="D49" s="555">
        <v>0</v>
      </c>
      <c r="E49" s="555">
        <v>225000</v>
      </c>
      <c r="F49" s="16">
        <f t="shared" ref="F49:F59" si="2">C49+D49+E49</f>
        <v>694000</v>
      </c>
      <c r="G49" s="213"/>
    </row>
    <row r="50" spans="1:7" x14ac:dyDescent="0.3">
      <c r="A50" s="221" t="s">
        <v>447</v>
      </c>
      <c r="B50" s="468"/>
      <c r="C50" s="555">
        <v>559000</v>
      </c>
      <c r="D50" s="555">
        <v>0</v>
      </c>
      <c r="E50" s="555">
        <v>267000</v>
      </c>
      <c r="F50" s="16">
        <f t="shared" si="2"/>
        <v>826000</v>
      </c>
      <c r="G50" s="213"/>
    </row>
    <row r="51" spans="1:7" x14ac:dyDescent="0.3">
      <c r="A51" s="221" t="s">
        <v>448</v>
      </c>
      <c r="B51" s="213"/>
      <c r="C51" s="555">
        <v>385000</v>
      </c>
      <c r="D51" s="555">
        <v>0</v>
      </c>
      <c r="E51" s="555">
        <v>184000</v>
      </c>
      <c r="F51" s="16">
        <f t="shared" si="2"/>
        <v>569000</v>
      </c>
      <c r="G51" s="213"/>
    </row>
    <row r="52" spans="1:7" x14ac:dyDescent="0.3">
      <c r="A52" s="221" t="s">
        <v>449</v>
      </c>
      <c r="B52" s="213"/>
      <c r="C52" s="555">
        <v>660000</v>
      </c>
      <c r="D52" s="555">
        <v>0</v>
      </c>
      <c r="E52" s="555">
        <v>312000</v>
      </c>
      <c r="F52" s="16">
        <f t="shared" si="2"/>
        <v>972000</v>
      </c>
      <c r="G52" s="213"/>
    </row>
    <row r="53" spans="1:7" x14ac:dyDescent="0.3">
      <c r="A53" s="221" t="s">
        <v>451</v>
      </c>
      <c r="B53" s="213"/>
      <c r="C53" s="555">
        <v>705000</v>
      </c>
      <c r="D53" s="555">
        <v>0</v>
      </c>
      <c r="E53" s="555">
        <v>313000</v>
      </c>
      <c r="F53" s="16">
        <f t="shared" si="2"/>
        <v>1018000</v>
      </c>
      <c r="G53" s="213"/>
    </row>
    <row r="54" spans="1:7" x14ac:dyDescent="0.3">
      <c r="A54" s="221" t="s">
        <v>453</v>
      </c>
      <c r="B54" s="213"/>
      <c r="C54" s="555">
        <v>754000</v>
      </c>
      <c r="D54" s="555">
        <v>0</v>
      </c>
      <c r="E54" s="555">
        <v>336000</v>
      </c>
      <c r="F54" s="16">
        <f t="shared" si="2"/>
        <v>1090000</v>
      </c>
      <c r="G54" s="213"/>
    </row>
    <row r="55" spans="1:7" x14ac:dyDescent="0.3">
      <c r="A55" s="221" t="s">
        <v>454</v>
      </c>
      <c r="B55" s="213"/>
      <c r="C55" s="555">
        <v>704000</v>
      </c>
      <c r="D55" s="555">
        <v>0</v>
      </c>
      <c r="E55" s="555">
        <v>314000</v>
      </c>
      <c r="F55" s="16">
        <f t="shared" si="2"/>
        <v>1018000</v>
      </c>
      <c r="G55" s="213"/>
    </row>
    <row r="56" spans="1:7" x14ac:dyDescent="0.3">
      <c r="A56" s="221" t="s">
        <v>455</v>
      </c>
      <c r="B56" s="213"/>
      <c r="C56" s="555">
        <v>735000</v>
      </c>
      <c r="D56" s="555">
        <v>0</v>
      </c>
      <c r="E56" s="555">
        <v>328000</v>
      </c>
      <c r="F56" s="16">
        <f t="shared" si="2"/>
        <v>1063000</v>
      </c>
      <c r="G56" s="213"/>
    </row>
    <row r="57" spans="1:7" x14ac:dyDescent="0.3">
      <c r="A57" s="221" t="s">
        <v>456</v>
      </c>
      <c r="B57" s="213"/>
      <c r="C57" s="555">
        <v>652000</v>
      </c>
      <c r="D57" s="555">
        <v>0</v>
      </c>
      <c r="E57" s="555">
        <v>292000</v>
      </c>
      <c r="F57" s="16">
        <f t="shared" si="2"/>
        <v>944000</v>
      </c>
      <c r="G57" s="213"/>
    </row>
    <row r="58" spans="1:7" x14ac:dyDescent="0.3">
      <c r="A58" s="221" t="s">
        <v>457</v>
      </c>
      <c r="B58" s="213"/>
      <c r="C58" s="555">
        <v>618000</v>
      </c>
      <c r="D58" s="555">
        <v>0</v>
      </c>
      <c r="E58" s="555">
        <v>276000</v>
      </c>
      <c r="F58" s="16">
        <f t="shared" si="2"/>
        <v>894000</v>
      </c>
      <c r="G58" s="213"/>
    </row>
    <row r="59" spans="1:7" x14ac:dyDescent="0.3">
      <c r="A59" s="221" t="s">
        <v>458</v>
      </c>
      <c r="B59" s="213"/>
      <c r="C59" s="555">
        <v>682000</v>
      </c>
      <c r="D59" s="555">
        <v>0</v>
      </c>
      <c r="E59" s="555">
        <v>305000</v>
      </c>
      <c r="F59" s="16">
        <f t="shared" si="2"/>
        <v>987000</v>
      </c>
      <c r="G59" s="213"/>
    </row>
    <row r="60" spans="1:7" x14ac:dyDescent="0.3">
      <c r="A60" s="221"/>
      <c r="B60" s="213"/>
      <c r="C60" s="213"/>
      <c r="D60" s="213"/>
      <c r="E60" s="213"/>
      <c r="F60" s="213"/>
      <c r="G60" s="213"/>
    </row>
    <row r="61" spans="1:7" x14ac:dyDescent="0.3">
      <c r="A61" s="221" t="s">
        <v>459</v>
      </c>
      <c r="B61" s="213"/>
      <c r="C61" s="213">
        <f>AVERAGE(C48:C59)</f>
        <v>626583.33333333337</v>
      </c>
      <c r="D61" s="213">
        <f>AVERAGE(D48:D59)</f>
        <v>0</v>
      </c>
      <c r="E61" s="213">
        <f>AVERAGE(E48:E59)</f>
        <v>286416.66666666669</v>
      </c>
      <c r="F61" s="213">
        <f>ROUND(AVERAGE(F48:F59),-3)</f>
        <v>913000</v>
      </c>
      <c r="G61" s="315" t="s">
        <v>471</v>
      </c>
    </row>
    <row r="62" spans="1:7" x14ac:dyDescent="0.3">
      <c r="B62" s="213"/>
      <c r="E62" s="310" t="s">
        <v>904</v>
      </c>
      <c r="F62" s="311" t="str">
        <f>IF($F$61='NITS Pg 1 of 5'!$J$25,"ok","err on NITS pg 1")</f>
        <v>ok</v>
      </c>
      <c r="G62" s="212"/>
    </row>
    <row r="63" spans="1:7" x14ac:dyDescent="0.3">
      <c r="E63" s="310" t="s">
        <v>905</v>
      </c>
      <c r="F63" s="311" t="str">
        <f>IF($F$61='PTP Pg 1 of 5'!$J$25,"ok","err on PTP pg 1")</f>
        <v>ok</v>
      </c>
      <c r="G63" s="212"/>
    </row>
    <row r="64" spans="1:7" x14ac:dyDescent="0.3">
      <c r="G64" s="213"/>
    </row>
    <row r="65" spans="1:8" ht="14.5" x14ac:dyDescent="0.45">
      <c r="A65" s="208" t="s">
        <v>910</v>
      </c>
      <c r="B65" s="212"/>
      <c r="C65" s="324" t="s">
        <v>431</v>
      </c>
      <c r="D65" s="324" t="s">
        <v>432</v>
      </c>
      <c r="E65" s="324" t="s">
        <v>433</v>
      </c>
      <c r="G65" s="213"/>
      <c r="H65" s="313" t="s">
        <v>472</v>
      </c>
    </row>
    <row r="66" spans="1:8" x14ac:dyDescent="0.3">
      <c r="A66" s="221" t="s">
        <v>444</v>
      </c>
      <c r="B66" s="213"/>
      <c r="C66" s="555">
        <v>0</v>
      </c>
      <c r="D66" s="555">
        <v>0</v>
      </c>
      <c r="E66" s="16">
        <f>C66+D66</f>
        <v>0</v>
      </c>
      <c r="G66" s="213"/>
      <c r="H66" s="314" t="s">
        <v>473</v>
      </c>
    </row>
    <row r="67" spans="1:8" x14ac:dyDescent="0.3">
      <c r="A67" s="221" t="s">
        <v>446</v>
      </c>
      <c r="B67" s="212"/>
      <c r="C67" s="555">
        <v>0</v>
      </c>
      <c r="D67" s="555">
        <v>0</v>
      </c>
      <c r="E67" s="16">
        <f t="shared" ref="E67:E77" si="3">C67+D67</f>
        <v>0</v>
      </c>
      <c r="G67" s="213"/>
      <c r="H67" s="313" t="s">
        <v>474</v>
      </c>
    </row>
    <row r="68" spans="1:8" x14ac:dyDescent="0.3">
      <c r="A68" s="221" t="s">
        <v>447</v>
      </c>
      <c r="B68" s="468"/>
      <c r="C68" s="555">
        <v>0</v>
      </c>
      <c r="D68" s="555">
        <v>0</v>
      </c>
      <c r="E68" s="16">
        <f t="shared" si="3"/>
        <v>0</v>
      </c>
      <c r="G68" s="213"/>
      <c r="H68" s="313" t="s">
        <v>475</v>
      </c>
    </row>
    <row r="69" spans="1:8" x14ac:dyDescent="0.3">
      <c r="A69" s="221" t="s">
        <v>448</v>
      </c>
      <c r="B69" s="213"/>
      <c r="C69" s="555">
        <v>0</v>
      </c>
      <c r="D69" s="555">
        <v>0</v>
      </c>
      <c r="E69" s="16">
        <f t="shared" si="3"/>
        <v>0</v>
      </c>
      <c r="G69" s="213"/>
      <c r="H69" s="313" t="s">
        <v>476</v>
      </c>
    </row>
    <row r="70" spans="1:8" x14ac:dyDescent="0.3">
      <c r="A70" s="221" t="s">
        <v>449</v>
      </c>
      <c r="B70" s="213"/>
      <c r="C70" s="555">
        <v>0</v>
      </c>
      <c r="D70" s="555">
        <v>0</v>
      </c>
      <c r="E70" s="16">
        <f t="shared" si="3"/>
        <v>0</v>
      </c>
      <c r="G70" s="213"/>
      <c r="H70" s="314" t="s">
        <v>477</v>
      </c>
    </row>
    <row r="71" spans="1:8" x14ac:dyDescent="0.3">
      <c r="A71" s="221" t="s">
        <v>451</v>
      </c>
      <c r="B71" s="213"/>
      <c r="C71" s="555">
        <v>0</v>
      </c>
      <c r="D71" s="555">
        <v>0</v>
      </c>
      <c r="E71" s="16">
        <f t="shared" si="3"/>
        <v>0</v>
      </c>
      <c r="G71" s="213"/>
      <c r="H71" s="313" t="s">
        <v>478</v>
      </c>
    </row>
    <row r="72" spans="1:8" x14ac:dyDescent="0.3">
      <c r="A72" s="221" t="s">
        <v>453</v>
      </c>
      <c r="B72" s="213"/>
      <c r="C72" s="555">
        <v>0</v>
      </c>
      <c r="D72" s="555">
        <v>0</v>
      </c>
      <c r="E72" s="16">
        <f t="shared" si="3"/>
        <v>0</v>
      </c>
      <c r="G72" s="213"/>
    </row>
    <row r="73" spans="1:8" x14ac:dyDescent="0.3">
      <c r="A73" s="221" t="s">
        <v>454</v>
      </c>
      <c r="B73" s="213"/>
      <c r="C73" s="555">
        <v>0</v>
      </c>
      <c r="D73" s="555">
        <v>0</v>
      </c>
      <c r="E73" s="16">
        <f t="shared" si="3"/>
        <v>0</v>
      </c>
      <c r="G73" s="213"/>
    </row>
    <row r="74" spans="1:8" x14ac:dyDescent="0.3">
      <c r="A74" s="221" t="s">
        <v>455</v>
      </c>
      <c r="B74" s="213"/>
      <c r="C74" s="555">
        <v>0</v>
      </c>
      <c r="D74" s="555">
        <v>0</v>
      </c>
      <c r="E74" s="16">
        <f t="shared" si="3"/>
        <v>0</v>
      </c>
      <c r="G74" s="213"/>
    </row>
    <row r="75" spans="1:8" x14ac:dyDescent="0.3">
      <c r="A75" s="221" t="s">
        <v>456</v>
      </c>
      <c r="B75" s="213"/>
      <c r="C75" s="555">
        <v>0</v>
      </c>
      <c r="D75" s="555">
        <v>0</v>
      </c>
      <c r="E75" s="16">
        <f t="shared" si="3"/>
        <v>0</v>
      </c>
      <c r="G75" s="213"/>
    </row>
    <row r="76" spans="1:8" x14ac:dyDescent="0.3">
      <c r="A76" s="221" t="s">
        <v>457</v>
      </c>
      <c r="B76" s="213"/>
      <c r="C76" s="555">
        <v>0</v>
      </c>
      <c r="D76" s="555">
        <v>0</v>
      </c>
      <c r="E76" s="16">
        <f t="shared" si="3"/>
        <v>0</v>
      </c>
      <c r="G76" s="213"/>
    </row>
    <row r="77" spans="1:8" x14ac:dyDescent="0.3">
      <c r="A77" s="221" t="s">
        <v>458</v>
      </c>
      <c r="B77" s="213"/>
      <c r="C77" s="555">
        <v>0</v>
      </c>
      <c r="D77" s="555">
        <v>0</v>
      </c>
      <c r="E77" s="16">
        <f t="shared" si="3"/>
        <v>0</v>
      </c>
      <c r="G77" s="213"/>
    </row>
    <row r="78" spans="1:8" x14ac:dyDescent="0.3">
      <c r="A78" s="221"/>
      <c r="B78" s="213"/>
      <c r="D78" s="16" t="s">
        <v>0</v>
      </c>
      <c r="G78" s="213"/>
    </row>
    <row r="79" spans="1:8" x14ac:dyDescent="0.3">
      <c r="A79" s="221" t="s">
        <v>459</v>
      </c>
      <c r="B79" s="213"/>
      <c r="C79" s="16">
        <f>IFERROR(AVERAGE(C66:C77),"")</f>
        <v>0</v>
      </c>
      <c r="D79" s="16">
        <f>IFERROR(AVERAGE(D66:D77),"")</f>
        <v>0</v>
      </c>
      <c r="E79" s="16">
        <f>ROUND(AVERAGE(E66:E77),-3)</f>
        <v>0</v>
      </c>
      <c r="F79" s="314" t="s">
        <v>479</v>
      </c>
      <c r="G79" s="213"/>
    </row>
    <row r="80" spans="1:8" x14ac:dyDescent="0.3">
      <c r="B80" s="213"/>
      <c r="D80" s="310" t="s">
        <v>904</v>
      </c>
      <c r="E80" s="311" t="str">
        <f>IF($E$79='NITS Pg 1 of 5'!$J$26,"ok","err on NITS pg 1")</f>
        <v>ok</v>
      </c>
      <c r="F80" s="209"/>
      <c r="G80" s="213"/>
    </row>
    <row r="81" spans="1:7" x14ac:dyDescent="0.3">
      <c r="B81" s="213"/>
      <c r="D81" s="310" t="s">
        <v>905</v>
      </c>
      <c r="E81" s="311" t="str">
        <f>IF($E$79='PTP Pg 1 of 5'!$J$26,"ok","err on PTP pg 1")</f>
        <v>ok</v>
      </c>
      <c r="F81" s="209"/>
      <c r="G81" s="213"/>
    </row>
    <row r="82" spans="1:7" x14ac:dyDescent="0.3">
      <c r="B82" s="213"/>
      <c r="G82" s="213"/>
    </row>
    <row r="83" spans="1:7" ht="27.5" x14ac:dyDescent="0.45">
      <c r="A83" s="208" t="s">
        <v>480</v>
      </c>
      <c r="B83" s="212" t="s">
        <v>481</v>
      </c>
      <c r="C83" s="324" t="s">
        <v>431</v>
      </c>
      <c r="D83" s="324" t="s">
        <v>432</v>
      </c>
      <c r="E83" s="324" t="s">
        <v>433</v>
      </c>
      <c r="G83" s="213"/>
    </row>
    <row r="84" spans="1:7" x14ac:dyDescent="0.3">
      <c r="A84" s="221" t="s">
        <v>444</v>
      </c>
      <c r="B84" s="213" t="s">
        <v>445</v>
      </c>
      <c r="C84" s="555">
        <v>415000</v>
      </c>
      <c r="D84" s="555">
        <v>194000</v>
      </c>
      <c r="E84" s="16">
        <f>C84+D84</f>
        <v>609000</v>
      </c>
      <c r="G84" s="213"/>
    </row>
    <row r="85" spans="1:7" x14ac:dyDescent="0.3">
      <c r="A85" s="221" t="s">
        <v>446</v>
      </c>
      <c r="B85" s="212"/>
      <c r="C85" s="555">
        <v>415000</v>
      </c>
      <c r="D85" s="555">
        <v>194000</v>
      </c>
      <c r="E85" s="16">
        <f t="shared" ref="E85:E95" si="4">C85+D85</f>
        <v>609000</v>
      </c>
      <c r="G85" s="213"/>
    </row>
    <row r="86" spans="1:7" x14ac:dyDescent="0.3">
      <c r="A86" s="221" t="s">
        <v>447</v>
      </c>
      <c r="B86" s="468"/>
      <c r="C86" s="555">
        <v>415000</v>
      </c>
      <c r="D86" s="555">
        <v>194000</v>
      </c>
      <c r="E86" s="16">
        <f t="shared" si="4"/>
        <v>609000</v>
      </c>
      <c r="G86" s="213"/>
    </row>
    <row r="87" spans="1:7" x14ac:dyDescent="0.3">
      <c r="A87" s="221" t="s">
        <v>448</v>
      </c>
      <c r="B87" s="213"/>
      <c r="C87" s="555">
        <v>415000</v>
      </c>
      <c r="D87" s="555">
        <v>194000</v>
      </c>
      <c r="E87" s="16">
        <f t="shared" si="4"/>
        <v>609000</v>
      </c>
      <c r="G87" s="213"/>
    </row>
    <row r="88" spans="1:7" x14ac:dyDescent="0.3">
      <c r="A88" s="221" t="s">
        <v>449</v>
      </c>
      <c r="B88" s="213"/>
      <c r="C88" s="555">
        <v>380000</v>
      </c>
      <c r="D88" s="555">
        <v>178000</v>
      </c>
      <c r="E88" s="16">
        <f t="shared" si="4"/>
        <v>558000</v>
      </c>
      <c r="G88" s="213"/>
    </row>
    <row r="89" spans="1:7" x14ac:dyDescent="0.3">
      <c r="A89" s="221" t="s">
        <v>451</v>
      </c>
      <c r="B89" s="213"/>
      <c r="C89" s="555">
        <v>387000</v>
      </c>
      <c r="D89" s="555">
        <v>171000</v>
      </c>
      <c r="E89" s="16">
        <f t="shared" si="4"/>
        <v>558000</v>
      </c>
      <c r="G89" s="213"/>
    </row>
    <row r="90" spans="1:7" x14ac:dyDescent="0.3">
      <c r="A90" s="221" t="s">
        <v>453</v>
      </c>
      <c r="B90" s="213"/>
      <c r="C90" s="555">
        <v>387000</v>
      </c>
      <c r="D90" s="555">
        <v>171000</v>
      </c>
      <c r="E90" s="16">
        <f t="shared" si="4"/>
        <v>558000</v>
      </c>
      <c r="G90" s="213"/>
    </row>
    <row r="91" spans="1:7" x14ac:dyDescent="0.3">
      <c r="A91" s="221" t="s">
        <v>454</v>
      </c>
      <c r="B91" s="213"/>
      <c r="C91" s="555">
        <v>387000</v>
      </c>
      <c r="D91" s="555">
        <v>171000</v>
      </c>
      <c r="E91" s="16">
        <f t="shared" si="4"/>
        <v>558000</v>
      </c>
      <c r="G91" s="213"/>
    </row>
    <row r="92" spans="1:7" x14ac:dyDescent="0.3">
      <c r="A92" s="221" t="s">
        <v>455</v>
      </c>
      <c r="B92" s="213"/>
      <c r="C92" s="555">
        <v>370000</v>
      </c>
      <c r="D92" s="555">
        <v>163000</v>
      </c>
      <c r="E92" s="16">
        <f t="shared" si="4"/>
        <v>533000</v>
      </c>
      <c r="G92" s="213"/>
    </row>
    <row r="93" spans="1:7" x14ac:dyDescent="0.3">
      <c r="A93" s="221" t="s">
        <v>456</v>
      </c>
      <c r="B93" s="213"/>
      <c r="C93" s="555">
        <v>370000</v>
      </c>
      <c r="D93" s="555">
        <v>163000</v>
      </c>
      <c r="E93" s="16">
        <f t="shared" si="4"/>
        <v>533000</v>
      </c>
      <c r="G93" s="213"/>
    </row>
    <row r="94" spans="1:7" x14ac:dyDescent="0.3">
      <c r="A94" s="221" t="s">
        <v>457</v>
      </c>
      <c r="B94" s="213"/>
      <c r="C94" s="555">
        <v>370000</v>
      </c>
      <c r="D94" s="555">
        <v>163000</v>
      </c>
      <c r="E94" s="16">
        <f t="shared" si="4"/>
        <v>533000</v>
      </c>
      <c r="G94" s="213"/>
    </row>
    <row r="95" spans="1:7" x14ac:dyDescent="0.3">
      <c r="A95" s="221" t="s">
        <v>458</v>
      </c>
      <c r="B95" s="213"/>
      <c r="C95" s="555">
        <v>370000</v>
      </c>
      <c r="D95" s="555">
        <v>163000</v>
      </c>
      <c r="E95" s="16">
        <f t="shared" si="4"/>
        <v>533000</v>
      </c>
      <c r="G95" s="213"/>
    </row>
    <row r="96" spans="1:7" x14ac:dyDescent="0.3">
      <c r="A96" s="221"/>
      <c r="B96" s="213"/>
      <c r="C96" s="213"/>
      <c r="D96" s="213"/>
      <c r="E96" s="213"/>
      <c r="G96" s="213"/>
    </row>
    <row r="97" spans="1:11" x14ac:dyDescent="0.3">
      <c r="A97" s="221" t="s">
        <v>459</v>
      </c>
      <c r="B97" s="213"/>
      <c r="C97" s="213">
        <f>AVERAGE(C84:C95)</f>
        <v>390083.33333333331</v>
      </c>
      <c r="D97" s="213">
        <f>AVERAGE(D84:D95)</f>
        <v>176583.33333333334</v>
      </c>
      <c r="E97" s="213"/>
      <c r="G97" s="213"/>
    </row>
    <row r="98" spans="1:11" x14ac:dyDescent="0.3">
      <c r="A98" s="224" t="s">
        <v>482</v>
      </c>
      <c r="B98" s="213"/>
      <c r="C98" s="475"/>
      <c r="D98" s="213"/>
      <c r="E98" s="213">
        <f>C97+D97+C98</f>
        <v>566666.66666666663</v>
      </c>
      <c r="F98" s="314" t="s">
        <v>483</v>
      </c>
      <c r="G98" s="213"/>
      <c r="H98" s="314"/>
    </row>
    <row r="99" spans="1:11" x14ac:dyDescent="0.3">
      <c r="A99" s="209"/>
      <c r="D99" s="310" t="s">
        <v>904</v>
      </c>
      <c r="E99" s="311" t="str">
        <f>IF($E$98='NITS Pg 1 of 5'!$J$27,"ok","err on NITS pg 1")</f>
        <v>ok</v>
      </c>
      <c r="F99" s="209"/>
      <c r="G99" s="213"/>
      <c r="H99" s="209"/>
    </row>
    <row r="100" spans="1:11" x14ac:dyDescent="0.3">
      <c r="A100" s="209"/>
      <c r="D100" s="310" t="s">
        <v>905</v>
      </c>
      <c r="E100" s="311" t="str">
        <f>IF(ROUND($E$98,0)='PTP Pg 1 of 5'!$J$27,"ok","err on PTP pg 1")</f>
        <v>ok</v>
      </c>
      <c r="F100" s="209"/>
      <c r="G100" s="213"/>
      <c r="H100" s="209"/>
    </row>
    <row r="101" spans="1:11" x14ac:dyDescent="0.3">
      <c r="G101" s="213"/>
    </row>
    <row r="102" spans="1:11" x14ac:dyDescent="0.3">
      <c r="A102" s="16" t="s">
        <v>484</v>
      </c>
      <c r="G102" s="213"/>
    </row>
    <row r="103" spans="1:11" ht="14.5" x14ac:dyDescent="0.45">
      <c r="C103" s="324" t="s">
        <v>431</v>
      </c>
      <c r="D103" s="324" t="s">
        <v>432</v>
      </c>
      <c r="E103" s="324" t="s">
        <v>433</v>
      </c>
      <c r="G103" s="213"/>
    </row>
    <row r="104" spans="1:11" x14ac:dyDescent="0.3">
      <c r="A104" s="209" t="s">
        <v>485</v>
      </c>
      <c r="C104" s="310" t="s">
        <v>905</v>
      </c>
      <c r="D104" s="311" t="str">
        <f>IF(ROUND($E$104,0)='PTP Pg 1 of 5'!$J$28,"ok","err on PTP pg 1")</f>
        <v>ok</v>
      </c>
      <c r="E104" s="575">
        <v>28000</v>
      </c>
      <c r="F104" s="315" t="s">
        <v>486</v>
      </c>
      <c r="G104" s="213"/>
      <c r="H104" s="314" t="s">
        <v>487</v>
      </c>
    </row>
    <row r="105" spans="1:11" x14ac:dyDescent="0.3">
      <c r="A105" s="209" t="s">
        <v>488</v>
      </c>
      <c r="C105" s="310" t="s">
        <v>905</v>
      </c>
      <c r="D105" s="311" t="str">
        <f>IF(ROUND($E$105,0)*-1='PTP Pg 1 of 5'!$J$29,"ok","err on PTP pg 1")</f>
        <v>ok</v>
      </c>
      <c r="E105" s="575">
        <v>393000</v>
      </c>
      <c r="F105" s="315" t="s">
        <v>489</v>
      </c>
      <c r="G105" s="213"/>
      <c r="H105" s="314" t="s">
        <v>490</v>
      </c>
    </row>
    <row r="106" spans="1:11" x14ac:dyDescent="0.3">
      <c r="A106" s="209"/>
      <c r="F106" s="209"/>
      <c r="G106" s="213"/>
      <c r="H106" s="313" t="s">
        <v>491</v>
      </c>
    </row>
    <row r="107" spans="1:11" x14ac:dyDescent="0.3">
      <c r="A107" s="569"/>
      <c r="B107" s="569"/>
      <c r="C107" s="569"/>
      <c r="D107" s="569"/>
      <c r="E107" s="569"/>
      <c r="F107" s="569"/>
      <c r="G107" s="569"/>
      <c r="H107" s="569"/>
      <c r="I107" s="569"/>
      <c r="J107" s="569"/>
      <c r="K107" s="569"/>
    </row>
    <row r="108" spans="1:11" ht="14.5" x14ac:dyDescent="0.35">
      <c r="A108" s="214" t="s">
        <v>123</v>
      </c>
    </row>
    <row r="109" spans="1:11" ht="14.5" x14ac:dyDescent="0.45">
      <c r="A109" s="215" t="s">
        <v>30</v>
      </c>
      <c r="B109" s="159"/>
      <c r="C109" s="324" t="s">
        <v>431</v>
      </c>
      <c r="D109" s="324" t="s">
        <v>432</v>
      </c>
      <c r="E109" s="324" t="s">
        <v>433</v>
      </c>
    </row>
    <row r="110" spans="1:11" x14ac:dyDescent="0.3">
      <c r="A110" s="216" t="s">
        <v>492</v>
      </c>
      <c r="B110" s="162" t="s">
        <v>493</v>
      </c>
      <c r="C110" s="555">
        <v>86397791</v>
      </c>
      <c r="D110" s="555">
        <v>2240</v>
      </c>
      <c r="E110" s="16">
        <f t="shared" ref="E110:E114" si="5">C110+D110</f>
        <v>86400031</v>
      </c>
      <c r="F110" s="314" t="s">
        <v>494</v>
      </c>
      <c r="G110" s="213"/>
    </row>
    <row r="111" spans="1:11" x14ac:dyDescent="0.3">
      <c r="A111" s="216" t="s">
        <v>495</v>
      </c>
      <c r="B111" s="165" t="s">
        <v>496</v>
      </c>
      <c r="C111" s="555">
        <v>6352370303</v>
      </c>
      <c r="D111" s="555">
        <v>3951844829</v>
      </c>
      <c r="E111" s="16">
        <f t="shared" si="5"/>
        <v>10304215132</v>
      </c>
      <c r="F111" s="314" t="s">
        <v>497</v>
      </c>
      <c r="G111" s="213"/>
    </row>
    <row r="112" spans="1:11" x14ac:dyDescent="0.3">
      <c r="A112" s="217" t="s">
        <v>24</v>
      </c>
      <c r="B112" s="162" t="s">
        <v>498</v>
      </c>
      <c r="C112" s="555">
        <v>1139118056</v>
      </c>
      <c r="D112" s="555">
        <v>490382363</v>
      </c>
      <c r="E112" s="16">
        <f t="shared" si="5"/>
        <v>1629500419</v>
      </c>
      <c r="F112" s="314" t="s">
        <v>499</v>
      </c>
      <c r="G112" s="213"/>
      <c r="I112" s="16" t="s">
        <v>849</v>
      </c>
    </row>
    <row r="113" spans="1:14" x14ac:dyDescent="0.3">
      <c r="A113" s="217" t="s">
        <v>500</v>
      </c>
      <c r="B113" s="162" t="s">
        <v>501</v>
      </c>
      <c r="C113" s="555">
        <v>2045566631</v>
      </c>
      <c r="D113" s="555">
        <v>1561988800</v>
      </c>
      <c r="E113" s="16">
        <f t="shared" si="5"/>
        <v>3607555431</v>
      </c>
      <c r="F113" s="314" t="s">
        <v>502</v>
      </c>
      <c r="G113" s="213"/>
      <c r="H113" s="315" t="s">
        <v>848</v>
      </c>
      <c r="I113" s="555">
        <v>257429243</v>
      </c>
      <c r="J113" s="213"/>
    </row>
    <row r="114" spans="1:14" x14ac:dyDescent="0.3">
      <c r="A114" s="217" t="s">
        <v>503</v>
      </c>
      <c r="B114" s="162" t="s">
        <v>504</v>
      </c>
      <c r="C114" s="555">
        <v>226978535</v>
      </c>
      <c r="D114" s="555">
        <v>24064902</v>
      </c>
      <c r="E114" s="16">
        <f t="shared" si="5"/>
        <v>251043437</v>
      </c>
      <c r="F114" s="314" t="s">
        <v>494</v>
      </c>
      <c r="G114" s="213"/>
      <c r="H114" s="431" t="s">
        <v>950</v>
      </c>
      <c r="I114" s="558">
        <v>0.69</v>
      </c>
      <c r="J114" s="213"/>
    </row>
    <row r="115" spans="1:14" x14ac:dyDescent="0.3">
      <c r="A115" s="217" t="s">
        <v>43</v>
      </c>
      <c r="B115" s="162" t="s">
        <v>505</v>
      </c>
      <c r="C115" s="213" t="s">
        <v>506</v>
      </c>
      <c r="D115" s="213">
        <f>I115</f>
        <v>177626177.66999999</v>
      </c>
      <c r="E115" s="16">
        <f>D115</f>
        <v>177626177.66999999</v>
      </c>
      <c r="F115" s="314" t="s">
        <v>507</v>
      </c>
      <c r="G115" s="213"/>
      <c r="I115" s="16">
        <f>I113*I114</f>
        <v>177626177.66999999</v>
      </c>
      <c r="J115" s="213"/>
    </row>
    <row r="116" spans="1:14" x14ac:dyDescent="0.3">
      <c r="A116" s="217"/>
      <c r="B116" s="162"/>
      <c r="C116" s="213" t="s">
        <v>906</v>
      </c>
      <c r="D116" s="213"/>
      <c r="E116" s="213">
        <f>ROUND(SUM(E110:E115),0)</f>
        <v>16056340628</v>
      </c>
      <c r="F116" s="209"/>
      <c r="G116" s="213"/>
      <c r="J116" s="213"/>
    </row>
    <row r="117" spans="1:14" x14ac:dyDescent="0.3">
      <c r="B117" s="213"/>
      <c r="C117" s="311"/>
      <c r="D117" s="310" t="s">
        <v>904</v>
      </c>
      <c r="E117" s="311" t="str">
        <f>IF($E$116='NITS Pg 2 of 5'!$E$19,"ok","err on NITS pg 2")</f>
        <v>ok</v>
      </c>
      <c r="G117" s="213"/>
      <c r="J117" s="641" t="s">
        <v>944</v>
      </c>
      <c r="K117" s="641"/>
    </row>
    <row r="118" spans="1:14" x14ac:dyDescent="0.3">
      <c r="B118" s="467"/>
      <c r="C118" s="311"/>
      <c r="D118" s="310" t="s">
        <v>905</v>
      </c>
      <c r="E118" s="311" t="str">
        <f>IF($E$116='PTP Pg 2 of 5'!$E$19,"ok","err on PTP pg 2")</f>
        <v>ok</v>
      </c>
      <c r="G118" s="213"/>
      <c r="I118" s="209"/>
      <c r="J118" s="641"/>
      <c r="K118" s="641"/>
      <c r="M118" s="209" t="s">
        <v>508</v>
      </c>
    </row>
    <row r="119" spans="1:14" ht="14.5" x14ac:dyDescent="0.45">
      <c r="A119" s="215" t="s">
        <v>40</v>
      </c>
      <c r="B119" s="165"/>
      <c r="C119" s="324" t="s">
        <v>431</v>
      </c>
      <c r="D119" s="324" t="s">
        <v>432</v>
      </c>
      <c r="E119" s="324" t="s">
        <v>433</v>
      </c>
      <c r="G119" s="213"/>
      <c r="J119" s="324" t="s">
        <v>431</v>
      </c>
      <c r="K119" s="324" t="s">
        <v>432</v>
      </c>
      <c r="M119" s="490" t="s">
        <v>431</v>
      </c>
      <c r="N119" s="490" t="s">
        <v>432</v>
      </c>
    </row>
    <row r="120" spans="1:14" x14ac:dyDescent="0.3">
      <c r="A120" s="216" t="s">
        <v>492</v>
      </c>
      <c r="B120" s="165" t="s">
        <v>509</v>
      </c>
      <c r="C120" s="210">
        <f>J120-M120</f>
        <v>45343462.549999997</v>
      </c>
      <c r="D120" s="210">
        <f t="shared" ref="D120:D126" si="6">K120-N120</f>
        <v>0</v>
      </c>
      <c r="E120" s="16">
        <f t="shared" ref="E120:E126" si="7">C120+D120</f>
        <v>45343462.549999997</v>
      </c>
      <c r="F120" s="314" t="s">
        <v>510</v>
      </c>
      <c r="G120" s="213"/>
      <c r="I120" s="474" t="s">
        <v>492</v>
      </c>
      <c r="J120" s="555">
        <v>38189740</v>
      </c>
      <c r="K120" s="555">
        <v>0</v>
      </c>
      <c r="L120" s="213"/>
      <c r="M120" s="567">
        <v>-7153722.5499999998</v>
      </c>
      <c r="N120" s="567"/>
    </row>
    <row r="121" spans="1:14" x14ac:dyDescent="0.3">
      <c r="A121" s="216" t="s">
        <v>511</v>
      </c>
      <c r="B121" s="162" t="s">
        <v>512</v>
      </c>
      <c r="C121" s="210">
        <f t="shared" ref="C121:C126" si="8">J121-M121</f>
        <v>1938545312.1300001</v>
      </c>
      <c r="D121" s="210">
        <f t="shared" si="6"/>
        <v>1087186598.8799999</v>
      </c>
      <c r="E121" s="16">
        <f t="shared" si="7"/>
        <v>3025731911.0100002</v>
      </c>
      <c r="F121" s="314" t="s">
        <v>513</v>
      </c>
      <c r="G121" s="213"/>
      <c r="I121" s="474" t="s">
        <v>514</v>
      </c>
      <c r="J121" s="555">
        <v>1882357886</v>
      </c>
      <c r="K121" s="555">
        <v>933972977</v>
      </c>
      <c r="L121" s="213"/>
      <c r="M121" s="567">
        <v>-56187426.130000003</v>
      </c>
      <c r="N121" s="567">
        <v>-153213621.87999988</v>
      </c>
    </row>
    <row r="122" spans="1:14" x14ac:dyDescent="0.3">
      <c r="A122" s="216" t="s">
        <v>515</v>
      </c>
      <c r="B122" s="162" t="s">
        <v>516</v>
      </c>
      <c r="C122" s="210">
        <f t="shared" si="8"/>
        <v>9008747.6699999999</v>
      </c>
      <c r="D122" s="210">
        <f t="shared" si="6"/>
        <v>-477599.74000000209</v>
      </c>
      <c r="E122" s="16">
        <f t="shared" si="7"/>
        <v>8531147.9299999978</v>
      </c>
      <c r="F122" s="314" t="s">
        <v>513</v>
      </c>
      <c r="G122" s="213"/>
      <c r="I122" s="474" t="s">
        <v>517</v>
      </c>
      <c r="J122" s="555">
        <v>15275630</v>
      </c>
      <c r="K122" s="555">
        <v>12395538</v>
      </c>
      <c r="L122" s="213"/>
      <c r="M122" s="567">
        <v>6266882.3300000001</v>
      </c>
      <c r="N122" s="567">
        <v>12873137.740000002</v>
      </c>
    </row>
    <row r="123" spans="1:14" x14ac:dyDescent="0.3">
      <c r="A123" s="216" t="s">
        <v>518</v>
      </c>
      <c r="B123" s="162" t="s">
        <v>519</v>
      </c>
      <c r="C123" s="210">
        <f t="shared" si="8"/>
        <v>343289577.85000002</v>
      </c>
      <c r="D123" s="210">
        <f t="shared" si="6"/>
        <v>141263071.22999999</v>
      </c>
      <c r="E123" s="16">
        <f t="shared" si="7"/>
        <v>484552649.08000004</v>
      </c>
      <c r="F123" s="314" t="s">
        <v>513</v>
      </c>
      <c r="G123" s="213"/>
      <c r="I123" s="474" t="s">
        <v>520</v>
      </c>
      <c r="J123" s="555">
        <v>382490265</v>
      </c>
      <c r="K123" s="555">
        <v>154533027</v>
      </c>
      <c r="L123" s="213"/>
      <c r="M123" s="567">
        <v>39200687.149999999</v>
      </c>
      <c r="N123" s="567">
        <v>13269955.770000011</v>
      </c>
    </row>
    <row r="124" spans="1:14" x14ac:dyDescent="0.3">
      <c r="A124" s="216" t="s">
        <v>24</v>
      </c>
      <c r="B124" s="162" t="s">
        <v>521</v>
      </c>
      <c r="C124" s="210">
        <f t="shared" si="8"/>
        <v>351769047.25999999</v>
      </c>
      <c r="D124" s="210">
        <f t="shared" si="6"/>
        <v>163941405.03999999</v>
      </c>
      <c r="E124" s="16">
        <f t="shared" si="7"/>
        <v>515710452.29999995</v>
      </c>
      <c r="F124" s="314" t="s">
        <v>522</v>
      </c>
      <c r="G124" s="213"/>
      <c r="I124" s="474" t="s">
        <v>24</v>
      </c>
      <c r="J124" s="555">
        <v>360164113</v>
      </c>
      <c r="K124" s="555">
        <v>166806675</v>
      </c>
      <c r="L124" s="213"/>
      <c r="M124" s="567">
        <v>8395065.7400000002</v>
      </c>
      <c r="N124" s="567">
        <v>2865269.9600000083</v>
      </c>
    </row>
    <row r="125" spans="1:14" x14ac:dyDescent="0.3">
      <c r="A125" s="216" t="s">
        <v>500</v>
      </c>
      <c r="B125" s="162" t="s">
        <v>523</v>
      </c>
      <c r="C125" s="210">
        <f t="shared" si="8"/>
        <v>704234668.28999996</v>
      </c>
      <c r="D125" s="210">
        <f t="shared" si="6"/>
        <v>517522255.7899999</v>
      </c>
      <c r="E125" s="16">
        <f t="shared" si="7"/>
        <v>1221756924.0799999</v>
      </c>
      <c r="F125" s="314" t="s">
        <v>524</v>
      </c>
      <c r="G125" s="213"/>
      <c r="I125" s="474" t="s">
        <v>500</v>
      </c>
      <c r="J125" s="555">
        <v>707438570</v>
      </c>
      <c r="K125" s="555">
        <v>542454321</v>
      </c>
      <c r="L125" s="213"/>
      <c r="M125" s="567">
        <v>3203901.71</v>
      </c>
      <c r="N125" s="567">
        <v>24932065.210000098</v>
      </c>
    </row>
    <row r="126" spans="1:14" x14ac:dyDescent="0.3">
      <c r="A126" s="216" t="s">
        <v>503</v>
      </c>
      <c r="B126" s="162" t="s">
        <v>525</v>
      </c>
      <c r="C126" s="210">
        <f t="shared" si="8"/>
        <v>66562511.310000002</v>
      </c>
      <c r="D126" s="210">
        <f t="shared" si="6"/>
        <v>12191447.789999999</v>
      </c>
      <c r="E126" s="16">
        <f t="shared" si="7"/>
        <v>78753959.099999994</v>
      </c>
      <c r="F126" s="314" t="s">
        <v>510</v>
      </c>
      <c r="G126" s="213"/>
      <c r="I126" s="474" t="s">
        <v>503</v>
      </c>
      <c r="J126" s="555">
        <v>78423687</v>
      </c>
      <c r="K126" s="555">
        <v>11958633</v>
      </c>
      <c r="L126" s="213"/>
      <c r="M126" s="567">
        <v>11861175.689999999</v>
      </c>
      <c r="N126" s="567">
        <v>-232814.78999999911</v>
      </c>
    </row>
    <row r="127" spans="1:14" x14ac:dyDescent="0.3">
      <c r="A127" s="216" t="s">
        <v>43</v>
      </c>
      <c r="B127" s="162" t="s">
        <v>505</v>
      </c>
      <c r="C127" s="213" t="s">
        <v>506</v>
      </c>
      <c r="D127" s="210">
        <f>K127-N127</f>
        <v>99426603.528899997</v>
      </c>
      <c r="E127" s="16">
        <f>D127</f>
        <v>99426603.528899997</v>
      </c>
      <c r="F127" s="314" t="s">
        <v>526</v>
      </c>
      <c r="G127" s="213"/>
      <c r="I127" s="474" t="s">
        <v>43</v>
      </c>
      <c r="J127" s="475" t="s">
        <v>506</v>
      </c>
      <c r="K127" s="555">
        <v>82079304</v>
      </c>
      <c r="L127" s="213"/>
      <c r="M127" s="213"/>
      <c r="N127" s="567">
        <v>-17347299.528899994</v>
      </c>
    </row>
    <row r="128" spans="1:14" x14ac:dyDescent="0.3">
      <c r="A128" s="216"/>
      <c r="B128" s="154"/>
      <c r="C128" s="213" t="s">
        <v>907</v>
      </c>
      <c r="D128" s="210"/>
      <c r="E128" s="213">
        <f>ROUND(SUM(E120:E127),0)</f>
        <v>5479807110</v>
      </c>
      <c r="F128" s="209"/>
      <c r="G128" s="213"/>
      <c r="I128" s="216"/>
      <c r="J128" s="213"/>
      <c r="K128" s="210"/>
      <c r="L128" s="213"/>
      <c r="M128" s="213"/>
      <c r="N128" s="210"/>
    </row>
    <row r="129" spans="1:8" x14ac:dyDescent="0.3">
      <c r="C129" s="311"/>
      <c r="D129" s="310" t="s">
        <v>904</v>
      </c>
      <c r="E129" s="311" t="str">
        <f>IF($E$128='NITS Pg 2 of 5'!$E$27,"ok","err on NITS pg 2")</f>
        <v>ok</v>
      </c>
      <c r="G129" s="213"/>
    </row>
    <row r="130" spans="1:8" x14ac:dyDescent="0.3">
      <c r="A130" s="217"/>
      <c r="C130" s="311"/>
      <c r="D130" s="310" t="s">
        <v>905</v>
      </c>
      <c r="E130" s="311" t="str">
        <f>IF($E$128='PTP Pg 2 of 5'!$E$27,"ok","err on PTP pg 2")</f>
        <v>ok</v>
      </c>
      <c r="G130" s="213"/>
    </row>
    <row r="131" spans="1:8" x14ac:dyDescent="0.3">
      <c r="G131" s="213"/>
    </row>
    <row r="132" spans="1:8" ht="14.5" x14ac:dyDescent="0.45">
      <c r="A132" s="215" t="s">
        <v>527</v>
      </c>
      <c r="B132" s="159"/>
      <c r="C132" s="324" t="s">
        <v>431</v>
      </c>
      <c r="D132" s="324" t="s">
        <v>432</v>
      </c>
      <c r="E132" s="324" t="s">
        <v>433</v>
      </c>
      <c r="G132" s="213"/>
    </row>
    <row r="133" spans="1:8" x14ac:dyDescent="0.3">
      <c r="A133" s="217" t="s">
        <v>528</v>
      </c>
      <c r="B133" s="162" t="s">
        <v>529</v>
      </c>
      <c r="C133" s="555">
        <v>0</v>
      </c>
      <c r="D133" s="555">
        <v>0</v>
      </c>
      <c r="E133" s="16">
        <f>C133+D133</f>
        <v>0</v>
      </c>
      <c r="F133" s="314" t="s">
        <v>530</v>
      </c>
      <c r="G133" s="213"/>
    </row>
    <row r="134" spans="1:8" x14ac:dyDescent="0.3">
      <c r="A134" s="217" t="s">
        <v>531</v>
      </c>
      <c r="B134" s="162" t="s">
        <v>532</v>
      </c>
      <c r="C134" s="555">
        <v>953521610</v>
      </c>
      <c r="D134" s="555">
        <v>657120948</v>
      </c>
      <c r="G134" s="213"/>
    </row>
    <row r="135" spans="1:8" x14ac:dyDescent="0.3">
      <c r="A135" s="217" t="s">
        <v>1134</v>
      </c>
      <c r="B135" s="162" t="s">
        <v>1135</v>
      </c>
      <c r="C135" s="555">
        <v>-8042431</v>
      </c>
      <c r="D135" s="555">
        <v>-5245118</v>
      </c>
      <c r="G135" s="213"/>
    </row>
    <row r="136" spans="1:8" x14ac:dyDescent="0.3">
      <c r="A136" s="630" t="s">
        <v>1133</v>
      </c>
      <c r="B136" s="162"/>
      <c r="C136" s="555">
        <v>442266741</v>
      </c>
      <c r="D136" s="555">
        <v>318511011</v>
      </c>
      <c r="E136" s="213"/>
      <c r="F136" s="315"/>
      <c r="G136" s="213"/>
    </row>
    <row r="137" spans="1:8" x14ac:dyDescent="0.3">
      <c r="A137" s="217"/>
      <c r="B137" s="162"/>
      <c r="C137" s="210">
        <f>+C134+C135+C136</f>
        <v>1387745920</v>
      </c>
      <c r="D137" s="210">
        <f>+D134+D135+D136</f>
        <v>970386841</v>
      </c>
      <c r="E137" s="213">
        <f>C137+D137</f>
        <v>2358132761</v>
      </c>
      <c r="F137" s="314" t="s">
        <v>533</v>
      </c>
      <c r="G137" s="213"/>
    </row>
    <row r="138" spans="1:8" x14ac:dyDescent="0.3">
      <c r="A138" s="217" t="s">
        <v>534</v>
      </c>
      <c r="B138" s="162" t="s">
        <v>535</v>
      </c>
      <c r="C138" s="555">
        <v>152675923</v>
      </c>
      <c r="D138" s="555">
        <v>121631890</v>
      </c>
      <c r="F138" s="209"/>
      <c r="G138" s="213"/>
    </row>
    <row r="139" spans="1:8" ht="91" x14ac:dyDescent="0.3">
      <c r="A139" s="233" t="s">
        <v>536</v>
      </c>
      <c r="B139" s="162" t="s">
        <v>537</v>
      </c>
      <c r="C139" s="555">
        <v>18607814</v>
      </c>
      <c r="D139" s="555">
        <v>22011911</v>
      </c>
      <c r="E139" s="16">
        <f>C139+D139</f>
        <v>40619725</v>
      </c>
      <c r="F139" s="209"/>
      <c r="G139" s="213"/>
      <c r="H139" s="491" t="s">
        <v>966</v>
      </c>
    </row>
    <row r="140" spans="1:8" x14ac:dyDescent="0.3">
      <c r="A140" s="233" t="s">
        <v>538</v>
      </c>
      <c r="B140" s="162" t="s">
        <v>539</v>
      </c>
      <c r="C140" s="555">
        <v>18607814</v>
      </c>
      <c r="D140" s="555">
        <v>22011911</v>
      </c>
      <c r="G140" s="213"/>
      <c r="H140" s="313" t="s">
        <v>540</v>
      </c>
    </row>
    <row r="141" spans="1:8" x14ac:dyDescent="0.3">
      <c r="A141" s="630" t="s">
        <v>1139</v>
      </c>
      <c r="B141" s="162"/>
      <c r="C141" s="555">
        <v>-8438177</v>
      </c>
      <c r="D141" s="555">
        <v>-1727168</v>
      </c>
      <c r="E141" s="213"/>
      <c r="F141" s="213"/>
      <c r="G141" s="213"/>
      <c r="H141" s="313"/>
    </row>
    <row r="142" spans="1:8" x14ac:dyDescent="0.3">
      <c r="A142" s="217" t="s">
        <v>541</v>
      </c>
      <c r="B142" s="162"/>
      <c r="C142" s="213">
        <f>C138-C139+C140+C141</f>
        <v>144237746</v>
      </c>
      <c r="D142" s="213">
        <f>D138-D139+D140+D141</f>
        <v>119904722</v>
      </c>
      <c r="E142" s="213">
        <f>C142+D142</f>
        <v>264142468</v>
      </c>
      <c r="F142" s="314" t="s">
        <v>542</v>
      </c>
      <c r="G142" s="213"/>
    </row>
    <row r="143" spans="1:8" x14ac:dyDescent="0.3">
      <c r="A143" s="217" t="s">
        <v>543</v>
      </c>
      <c r="B143" s="162" t="s">
        <v>544</v>
      </c>
      <c r="C143" s="555">
        <f>313106406</f>
        <v>313106406</v>
      </c>
      <c r="D143" s="555">
        <f>207660176</f>
        <v>207660176</v>
      </c>
      <c r="F143" s="209"/>
      <c r="G143" s="213"/>
    </row>
    <row r="144" spans="1:8" x14ac:dyDescent="0.3">
      <c r="A144" s="217" t="s">
        <v>1134</v>
      </c>
      <c r="B144" s="162" t="s">
        <v>1136</v>
      </c>
      <c r="C144" s="555">
        <v>-8069882</v>
      </c>
      <c r="D144" s="555">
        <v>-5262937</v>
      </c>
      <c r="F144" s="209"/>
      <c r="G144" s="213"/>
    </row>
    <row r="145" spans="1:8" ht="91" x14ac:dyDescent="0.3">
      <c r="A145" s="233" t="s">
        <v>545</v>
      </c>
      <c r="B145" s="162" t="s">
        <v>546</v>
      </c>
      <c r="C145" s="555">
        <f>23172199</f>
        <v>23172199</v>
      </c>
      <c r="D145" s="555">
        <f>14157982</f>
        <v>14157982</v>
      </c>
      <c r="F145" s="209"/>
      <c r="G145" s="213"/>
      <c r="H145" s="491" t="s">
        <v>966</v>
      </c>
    </row>
    <row r="146" spans="1:8" x14ac:dyDescent="0.3">
      <c r="A146" s="217" t="s">
        <v>1134</v>
      </c>
      <c r="B146" s="162" t="s">
        <v>1136</v>
      </c>
      <c r="C146" s="493">
        <f>C144</f>
        <v>-8069882</v>
      </c>
      <c r="D146" s="493">
        <f>D144</f>
        <v>-5262937</v>
      </c>
      <c r="F146" s="209"/>
      <c r="G146" s="213"/>
      <c r="H146" s="491"/>
    </row>
    <row r="147" spans="1:8" x14ac:dyDescent="0.3">
      <c r="A147" s="217" t="s">
        <v>1137</v>
      </c>
      <c r="B147" s="162"/>
      <c r="C147" s="493">
        <f>C145+C146</f>
        <v>15102317</v>
      </c>
      <c r="D147" s="493">
        <f>D145+D146</f>
        <v>8895045</v>
      </c>
      <c r="F147" s="209"/>
      <c r="G147" s="213"/>
      <c r="H147" s="491"/>
    </row>
    <row r="148" spans="1:8" x14ac:dyDescent="0.3">
      <c r="A148" s="233" t="s">
        <v>547</v>
      </c>
      <c r="B148" s="162" t="s">
        <v>548</v>
      </c>
      <c r="C148" s="555">
        <f>23172199</f>
        <v>23172199</v>
      </c>
      <c r="D148" s="555">
        <f>14157982</f>
        <v>14157982</v>
      </c>
      <c r="G148" s="213"/>
      <c r="H148" s="313" t="s">
        <v>540</v>
      </c>
    </row>
    <row r="149" spans="1:8" x14ac:dyDescent="0.3">
      <c r="A149" s="217" t="s">
        <v>1134</v>
      </c>
      <c r="B149" s="162" t="s">
        <v>1136</v>
      </c>
      <c r="C149" s="493">
        <f>C144</f>
        <v>-8069882</v>
      </c>
      <c r="D149" s="493">
        <f>D144</f>
        <v>-5262937</v>
      </c>
      <c r="G149" s="213"/>
      <c r="H149" s="313"/>
    </row>
    <row r="150" spans="1:8" x14ac:dyDescent="0.3">
      <c r="A150" s="217" t="s">
        <v>1138</v>
      </c>
      <c r="B150" s="162"/>
      <c r="C150" s="493">
        <f>C148+C149</f>
        <v>15102317</v>
      </c>
      <c r="D150" s="493">
        <f>D148+D149</f>
        <v>8895045</v>
      </c>
      <c r="G150" s="213"/>
      <c r="H150" s="313"/>
    </row>
    <row r="151" spans="1:8" x14ac:dyDescent="0.3">
      <c r="A151" s="630" t="s">
        <v>1139</v>
      </c>
      <c r="B151" s="162"/>
      <c r="C151" s="555">
        <v>-190029524</v>
      </c>
      <c r="D151" s="555">
        <v>-117815318</v>
      </c>
      <c r="E151" s="213"/>
      <c r="F151" s="213"/>
      <c r="G151" s="213"/>
      <c r="H151" s="313"/>
    </row>
    <row r="152" spans="1:8" x14ac:dyDescent="0.3">
      <c r="A152" s="217" t="s">
        <v>549</v>
      </c>
      <c r="B152" s="162"/>
      <c r="C152" s="213">
        <f>C143+C144-C147+C150+C151</f>
        <v>115007000</v>
      </c>
      <c r="D152" s="213">
        <f>D143+D144-D147+D150+D151</f>
        <v>84581921</v>
      </c>
      <c r="E152" s="213">
        <f>C152+D152</f>
        <v>199588921</v>
      </c>
      <c r="F152" s="314" t="s">
        <v>550</v>
      </c>
      <c r="G152" s="213"/>
      <c r="H152" s="209"/>
    </row>
    <row r="153" spans="1:8" ht="26" x14ac:dyDescent="0.3">
      <c r="A153" s="321" t="s">
        <v>551</v>
      </c>
      <c r="B153" s="228" t="s">
        <v>552</v>
      </c>
      <c r="C153" s="555">
        <v>0</v>
      </c>
      <c r="D153" s="531" t="s">
        <v>506</v>
      </c>
      <c r="E153" s="16">
        <f>C153</f>
        <v>0</v>
      </c>
      <c r="F153" s="314" t="s">
        <v>553</v>
      </c>
      <c r="G153" s="213"/>
      <c r="H153" s="491" t="s">
        <v>554</v>
      </c>
    </row>
    <row r="154" spans="1:8" x14ac:dyDescent="0.3">
      <c r="B154" s="80"/>
      <c r="G154" s="213"/>
    </row>
    <row r="155" spans="1:8" x14ac:dyDescent="0.3">
      <c r="A155" s="209" t="s">
        <v>630</v>
      </c>
      <c r="B155" s="162" t="s">
        <v>555</v>
      </c>
      <c r="C155" s="555">
        <v>254318</v>
      </c>
      <c r="D155" s="555">
        <v>198562</v>
      </c>
      <c r="E155" s="213">
        <f t="shared" ref="E155:E156" si="9">C155+D155</f>
        <v>452880</v>
      </c>
      <c r="F155" s="209"/>
      <c r="G155" s="213"/>
    </row>
    <row r="156" spans="1:8" x14ac:dyDescent="0.3">
      <c r="A156" s="16" t="s">
        <v>556</v>
      </c>
      <c r="B156" s="162" t="s">
        <v>925</v>
      </c>
      <c r="C156" s="567">
        <v>106543.13</v>
      </c>
      <c r="D156" s="567">
        <v>47670.03</v>
      </c>
      <c r="E156" s="213">
        <f t="shared" si="9"/>
        <v>154213.16</v>
      </c>
      <c r="F156" s="209"/>
      <c r="G156" s="213"/>
    </row>
    <row r="157" spans="1:8" x14ac:dyDescent="0.3">
      <c r="B157" s="160"/>
      <c r="C157" s="210"/>
      <c r="D157" s="210"/>
      <c r="E157" s="213">
        <f>E155-E156</f>
        <v>298666.83999999997</v>
      </c>
      <c r="F157" s="314" t="s">
        <v>557</v>
      </c>
      <c r="G157" s="213"/>
    </row>
    <row r="158" spans="1:8" x14ac:dyDescent="0.3">
      <c r="A158" s="209" t="s">
        <v>853</v>
      </c>
      <c r="B158" s="154" t="s">
        <v>854</v>
      </c>
      <c r="C158" s="531" t="s">
        <v>506</v>
      </c>
      <c r="D158" s="555">
        <v>0</v>
      </c>
      <c r="E158" s="16">
        <f>D158</f>
        <v>0</v>
      </c>
      <c r="F158" s="209"/>
      <c r="G158" s="213"/>
      <c r="H158" s="313" t="s">
        <v>558</v>
      </c>
    </row>
    <row r="159" spans="1:8" x14ac:dyDescent="0.3">
      <c r="A159" s="16" t="s">
        <v>559</v>
      </c>
      <c r="B159" s="154" t="s">
        <v>926</v>
      </c>
      <c r="C159" s="531" t="s">
        <v>506</v>
      </c>
      <c r="D159" s="567">
        <v>0</v>
      </c>
      <c r="E159" s="16">
        <f>D159</f>
        <v>0</v>
      </c>
      <c r="F159" s="209"/>
      <c r="G159" s="213"/>
      <c r="H159" s="313" t="s">
        <v>558</v>
      </c>
    </row>
    <row r="160" spans="1:8" x14ac:dyDescent="0.3">
      <c r="B160" s="160"/>
      <c r="C160" s="210"/>
      <c r="D160" s="210"/>
      <c r="E160" s="16">
        <f>E158-E159</f>
        <v>0</v>
      </c>
      <c r="F160" s="314" t="s">
        <v>852</v>
      </c>
      <c r="G160" s="213"/>
    </row>
    <row r="161" spans="1:15" x14ac:dyDescent="0.3">
      <c r="A161" s="16" t="s">
        <v>903</v>
      </c>
      <c r="B161" s="160"/>
      <c r="C161" s="210"/>
      <c r="D161" s="210"/>
      <c r="F161" s="209"/>
      <c r="G161" s="213"/>
    </row>
    <row r="162" spans="1:15" x14ac:dyDescent="0.3">
      <c r="A162" s="221" t="s">
        <v>561</v>
      </c>
      <c r="E162" s="567">
        <v>1980705.9923632231</v>
      </c>
      <c r="F162" s="213"/>
      <c r="G162" s="213"/>
      <c r="I162" s="314" t="s">
        <v>927</v>
      </c>
    </row>
    <row r="163" spans="1:15" x14ac:dyDescent="0.3">
      <c r="A163" s="221" t="s">
        <v>563</v>
      </c>
      <c r="E163" s="210">
        <f>E162*$I$171</f>
        <v>116222.30772715042</v>
      </c>
      <c r="F163" s="212"/>
      <c r="G163" s="213"/>
      <c r="I163" s="16">
        <f>E162/I171</f>
        <v>33755965.656729877</v>
      </c>
    </row>
    <row r="164" spans="1:15" x14ac:dyDescent="0.3">
      <c r="A164" s="221" t="s">
        <v>938</v>
      </c>
      <c r="E164" s="16">
        <f>E162-E163</f>
        <v>1864483.6846360727</v>
      </c>
      <c r="F164" s="212"/>
      <c r="G164" s="213"/>
    </row>
    <row r="165" spans="1:15" x14ac:dyDescent="0.3">
      <c r="A165" s="224" t="s">
        <v>567</v>
      </c>
      <c r="E165" s="567">
        <v>25109.08</v>
      </c>
      <c r="F165" s="212"/>
      <c r="G165" s="213"/>
      <c r="H165" s="313" t="s">
        <v>560</v>
      </c>
    </row>
    <row r="166" spans="1:15" x14ac:dyDescent="0.3">
      <c r="A166" s="211" t="s">
        <v>569</v>
      </c>
      <c r="E166" s="213">
        <f>E164+E165</f>
        <v>1889592.7646360728</v>
      </c>
      <c r="F166" s="315" t="s">
        <v>851</v>
      </c>
      <c r="G166" s="213"/>
      <c r="H166" s="313" t="s">
        <v>933</v>
      </c>
    </row>
    <row r="167" spans="1:15" x14ac:dyDescent="0.3">
      <c r="A167" s="211"/>
      <c r="E167" s="213"/>
      <c r="F167" s="212"/>
      <c r="G167" s="213"/>
    </row>
    <row r="168" spans="1:15" x14ac:dyDescent="0.3">
      <c r="A168" s="211" t="s">
        <v>902</v>
      </c>
      <c r="F168" s="212"/>
      <c r="G168" s="213"/>
    </row>
    <row r="169" spans="1:15" x14ac:dyDescent="0.3">
      <c r="A169" s="221" t="s">
        <v>561</v>
      </c>
      <c r="E169" s="567">
        <v>19804113.215153173</v>
      </c>
      <c r="F169" s="213"/>
      <c r="G169" s="213"/>
      <c r="L169" s="313" t="s">
        <v>562</v>
      </c>
      <c r="M169" s="210">
        <f>C124</f>
        <v>351769047.25999999</v>
      </c>
      <c r="N169" s="210">
        <f>D124</f>
        <v>163941405.03999999</v>
      </c>
      <c r="O169" s="16">
        <f>M169+N169</f>
        <v>515710452.29999995</v>
      </c>
    </row>
    <row r="170" spans="1:15" x14ac:dyDescent="0.3">
      <c r="A170" s="221" t="s">
        <v>563</v>
      </c>
      <c r="E170" s="210">
        <f>E169*$I$171</f>
        <v>1162050.1726299492</v>
      </c>
      <c r="F170" s="213"/>
      <c r="G170" s="213"/>
      <c r="H170" s="313" t="s">
        <v>564</v>
      </c>
      <c r="L170" s="313" t="s">
        <v>565</v>
      </c>
      <c r="M170" s="210">
        <f>C222</f>
        <v>21134297.300000001</v>
      </c>
      <c r="N170" s="210">
        <f>D222</f>
        <v>9126154.8399999999</v>
      </c>
      <c r="O170" s="16">
        <f>M170+N170</f>
        <v>30260452.140000001</v>
      </c>
    </row>
    <row r="171" spans="1:15" x14ac:dyDescent="0.3">
      <c r="A171" s="221" t="s">
        <v>566</v>
      </c>
      <c r="E171" s="16">
        <f>E169-E170</f>
        <v>18642063.042523224</v>
      </c>
      <c r="F171" s="213"/>
      <c r="G171" s="213"/>
      <c r="H171" s="222">
        <f>E170/E169</f>
        <v>5.8677213163011166E-2</v>
      </c>
      <c r="I171" s="218">
        <f>O170/O169</f>
        <v>5.8677213163011166E-2</v>
      </c>
      <c r="J171" s="223"/>
    </row>
    <row r="172" spans="1:15" x14ac:dyDescent="0.3">
      <c r="A172" s="224" t="s">
        <v>567</v>
      </c>
      <c r="E172" s="567">
        <v>121782.05</v>
      </c>
      <c r="F172" s="213"/>
      <c r="G172" s="213"/>
      <c r="H172" s="313" t="s">
        <v>568</v>
      </c>
      <c r="I172" s="314" t="s">
        <v>998</v>
      </c>
    </row>
    <row r="173" spans="1:15" x14ac:dyDescent="0.3">
      <c r="A173" s="211" t="s">
        <v>569</v>
      </c>
      <c r="E173" s="213">
        <f>E171+E172</f>
        <v>18763845.092523225</v>
      </c>
      <c r="F173" s="315" t="s">
        <v>850</v>
      </c>
      <c r="G173" s="213"/>
      <c r="I173" s="314" t="s">
        <v>999</v>
      </c>
    </row>
    <row r="174" spans="1:15" x14ac:dyDescent="0.3">
      <c r="A174" s="211"/>
      <c r="E174" s="213"/>
      <c r="F174" s="314"/>
      <c r="G174" s="213"/>
      <c r="I174" s="314"/>
    </row>
    <row r="175" spans="1:15" x14ac:dyDescent="0.3">
      <c r="A175" s="211" t="s">
        <v>570</v>
      </c>
      <c r="B175" s="209" t="s">
        <v>571</v>
      </c>
      <c r="C175" s="567">
        <v>0</v>
      </c>
      <c r="D175" s="567">
        <v>0</v>
      </c>
      <c r="E175" s="213">
        <f t="shared" ref="E175" si="10">C175+D175</f>
        <v>0</v>
      </c>
      <c r="F175" s="314" t="s">
        <v>572</v>
      </c>
      <c r="G175" s="213"/>
      <c r="H175" s="314" t="s">
        <v>573</v>
      </c>
    </row>
    <row r="176" spans="1:15" x14ac:dyDescent="0.3">
      <c r="A176" s="211"/>
      <c r="B176" s="209"/>
      <c r="C176" s="212" t="s">
        <v>901</v>
      </c>
      <c r="D176" s="212"/>
      <c r="E176" s="213">
        <f>ROUND(E133-E137-E142+E152-E153-E157-E160-E166-E173,0)</f>
        <v>-2443638413</v>
      </c>
      <c r="F176" s="209"/>
      <c r="G176" s="213"/>
      <c r="H176" s="314" t="s">
        <v>934</v>
      </c>
    </row>
    <row r="177" spans="1:11" x14ac:dyDescent="0.3">
      <c r="A177" s="211"/>
      <c r="B177" s="209"/>
      <c r="C177" s="310"/>
      <c r="D177" s="310" t="s">
        <v>904</v>
      </c>
      <c r="E177" s="213" t="str">
        <f>IF(E176='NITS Pg 2 of 5'!$E$47,"ok","err on NITS pg 2")</f>
        <v>ok</v>
      </c>
      <c r="F177" s="209"/>
      <c r="G177" s="213"/>
    </row>
    <row r="178" spans="1:11" x14ac:dyDescent="0.3">
      <c r="A178" s="211"/>
      <c r="B178" s="209"/>
      <c r="C178" s="310"/>
      <c r="D178" s="310" t="s">
        <v>905</v>
      </c>
      <c r="E178" s="213" t="str">
        <f>IF(E176='PTP Pg 2 of 5'!$E$47,"ok","err on PTP pg 2")</f>
        <v>ok</v>
      </c>
      <c r="F178" s="209"/>
      <c r="G178" s="213"/>
    </row>
    <row r="179" spans="1:11" x14ac:dyDescent="0.3">
      <c r="A179" s="211" t="s">
        <v>24</v>
      </c>
      <c r="B179" s="212" t="s">
        <v>574</v>
      </c>
      <c r="C179" s="555">
        <v>13967837</v>
      </c>
      <c r="D179" s="555">
        <v>1888281</v>
      </c>
      <c r="E179" s="213"/>
      <c r="F179" s="209"/>
      <c r="G179" s="213"/>
    </row>
    <row r="180" spans="1:11" x14ac:dyDescent="0.3">
      <c r="A180" s="211" t="s">
        <v>575</v>
      </c>
      <c r="B180" s="212" t="s">
        <v>576</v>
      </c>
      <c r="C180" s="555">
        <v>4274232</v>
      </c>
      <c r="D180" s="555">
        <v>2165244</v>
      </c>
      <c r="E180" s="213"/>
      <c r="F180" s="209"/>
      <c r="G180" s="213"/>
    </row>
    <row r="181" spans="1:11" x14ac:dyDescent="0.3">
      <c r="A181" s="211"/>
      <c r="B181" s="212"/>
      <c r="C181" s="477">
        <f>C180*C186</f>
        <v>987939.15859516256</v>
      </c>
      <c r="D181" s="477">
        <f>D180*D186</f>
        <v>96166.134992483872</v>
      </c>
      <c r="E181" s="213"/>
      <c r="F181" s="209"/>
      <c r="G181" s="213"/>
    </row>
    <row r="182" spans="1:11" x14ac:dyDescent="0.3">
      <c r="A182" s="211"/>
      <c r="B182" s="212"/>
      <c r="C182" s="476">
        <f>C179+C181</f>
        <v>14955776.158595163</v>
      </c>
      <c r="D182" s="476">
        <f>D179+D181</f>
        <v>1984447.1349924838</v>
      </c>
      <c r="E182" s="213">
        <f>C182+D182</f>
        <v>16940223.293587647</v>
      </c>
      <c r="F182" s="314" t="s">
        <v>898</v>
      </c>
      <c r="G182" s="213"/>
    </row>
    <row r="183" spans="1:11" x14ac:dyDescent="0.3">
      <c r="A183" s="211"/>
      <c r="B183" s="212"/>
      <c r="C183" s="225"/>
      <c r="D183" s="310" t="s">
        <v>904</v>
      </c>
      <c r="E183" s="311" t="str">
        <f>IF(E182='NITS Pg 2 of 5'!$E$53,"ok","err on NITS pg 2")</f>
        <v>ok</v>
      </c>
      <c r="F183" s="209"/>
      <c r="G183" s="213"/>
    </row>
    <row r="184" spans="1:11" x14ac:dyDescent="0.3">
      <c r="A184" s="211"/>
      <c r="B184" s="212"/>
      <c r="C184" s="225"/>
      <c r="D184" s="310" t="s">
        <v>905</v>
      </c>
      <c r="E184" s="311" t="str">
        <f>IF(E182='PTP Pg 2 of 5'!$E$53,"ok","err on PTP pg 2")</f>
        <v>ok</v>
      </c>
      <c r="F184" s="209"/>
      <c r="G184" s="213"/>
    </row>
    <row r="185" spans="1:11" x14ac:dyDescent="0.3">
      <c r="A185" s="211" t="s">
        <v>577</v>
      </c>
      <c r="B185" s="212" t="s">
        <v>578</v>
      </c>
      <c r="C185" s="555">
        <v>60430620</v>
      </c>
      <c r="D185" s="555">
        <v>42515893</v>
      </c>
      <c r="E185" s="213">
        <f>C185+D185</f>
        <v>102946513</v>
      </c>
      <c r="F185" s="209"/>
      <c r="G185" s="213"/>
      <c r="H185" s="314" t="s">
        <v>948</v>
      </c>
    </row>
    <row r="186" spans="1:11" x14ac:dyDescent="0.3">
      <c r="A186" s="221"/>
      <c r="B186" s="212" t="s">
        <v>579</v>
      </c>
      <c r="C186" s="478">
        <f>C179/C185</f>
        <v>0.23113840301489544</v>
      </c>
      <c r="D186" s="478">
        <f>D179/D185</f>
        <v>4.4413532605324789E-2</v>
      </c>
      <c r="E186" s="213"/>
      <c r="F186" s="209"/>
      <c r="G186" s="213"/>
    </row>
    <row r="187" spans="1:11" x14ac:dyDescent="0.3">
      <c r="A187" s="221"/>
      <c r="B187" s="212"/>
      <c r="C187" s="225"/>
      <c r="D187" s="225"/>
      <c r="F187" s="209"/>
      <c r="G187" s="213"/>
    </row>
    <row r="188" spans="1:11" x14ac:dyDescent="0.3">
      <c r="A188" s="211" t="s">
        <v>580</v>
      </c>
      <c r="B188" s="212" t="s">
        <v>581</v>
      </c>
      <c r="C188" s="555">
        <v>19121367</v>
      </c>
      <c r="D188" s="567">
        <v>13955155</v>
      </c>
      <c r="E188" s="213">
        <f t="shared" ref="E188" si="11">C188+D188</f>
        <v>33076522</v>
      </c>
      <c r="F188" s="314" t="s">
        <v>1001</v>
      </c>
      <c r="G188" s="213"/>
      <c r="H188" s="314" t="s">
        <v>954</v>
      </c>
    </row>
    <row r="189" spans="1:11" x14ac:dyDescent="0.3">
      <c r="A189" s="211"/>
      <c r="B189" s="212"/>
      <c r="D189" s="310" t="s">
        <v>904</v>
      </c>
      <c r="E189" s="311" t="str">
        <f>IF(E188='NITS Pg 2 of 5'!$E$54,"ok","err on NITS pg 2")</f>
        <v>ok</v>
      </c>
      <c r="F189" s="209"/>
      <c r="G189" s="213"/>
    </row>
    <row r="190" spans="1:11" x14ac:dyDescent="0.3">
      <c r="A190" s="211"/>
      <c r="B190" s="209"/>
      <c r="D190" s="310" t="s">
        <v>905</v>
      </c>
      <c r="E190" s="311" t="str">
        <f>IF(E188='PTP Pg 2 of 5'!$E$54,"ok","err on PTP pg 2")</f>
        <v>ok</v>
      </c>
      <c r="F190" s="209"/>
      <c r="G190" s="213"/>
    </row>
    <row r="191" spans="1:11" x14ac:dyDescent="0.3">
      <c r="A191" s="569"/>
      <c r="B191" s="569"/>
      <c r="C191" s="569"/>
      <c r="D191" s="569"/>
      <c r="E191" s="569"/>
      <c r="F191" s="569"/>
      <c r="G191" s="569"/>
      <c r="H191" s="569"/>
      <c r="I191" s="569"/>
      <c r="J191" s="569"/>
      <c r="K191" s="569"/>
    </row>
    <row r="192" spans="1:11" ht="14.5" x14ac:dyDescent="0.35">
      <c r="A192" s="226" t="s">
        <v>124</v>
      </c>
      <c r="C192" s="213"/>
    </row>
    <row r="193" spans="1:13" ht="14.5" x14ac:dyDescent="0.45">
      <c r="A193" s="215" t="s">
        <v>55</v>
      </c>
      <c r="B193" s="159"/>
      <c r="C193" s="324" t="s">
        <v>431</v>
      </c>
      <c r="D193" s="324" t="s">
        <v>432</v>
      </c>
      <c r="E193" s="324" t="s">
        <v>433</v>
      </c>
    </row>
    <row r="194" spans="1:13" x14ac:dyDescent="0.3">
      <c r="A194" s="220" t="s">
        <v>582</v>
      </c>
      <c r="B194" s="162" t="s">
        <v>583</v>
      </c>
      <c r="C194" s="555">
        <v>49092389</v>
      </c>
      <c r="D194" s="555">
        <v>24573815</v>
      </c>
      <c r="E194" s="213"/>
      <c r="G194" s="213"/>
      <c r="H194" s="313" t="s">
        <v>584</v>
      </c>
    </row>
    <row r="195" spans="1:13" x14ac:dyDescent="0.3">
      <c r="A195" s="217" t="s">
        <v>585</v>
      </c>
      <c r="B195" s="165"/>
      <c r="C195" s="213"/>
      <c r="D195" s="213"/>
      <c r="E195" s="213"/>
      <c r="G195" s="213"/>
      <c r="H195" s="313" t="s">
        <v>586</v>
      </c>
    </row>
    <row r="196" spans="1:13" x14ac:dyDescent="0.3">
      <c r="A196" s="233" t="s">
        <v>587</v>
      </c>
      <c r="B196" s="165"/>
      <c r="C196" s="627"/>
      <c r="D196" s="627"/>
      <c r="E196" s="431" t="s">
        <v>855</v>
      </c>
      <c r="G196" s="213"/>
      <c r="H196" s="313" t="s">
        <v>588</v>
      </c>
    </row>
    <row r="197" spans="1:13" x14ac:dyDescent="0.3">
      <c r="A197" s="233" t="s">
        <v>589</v>
      </c>
      <c r="B197" s="165"/>
      <c r="C197" s="628"/>
      <c r="D197" s="628"/>
      <c r="E197" s="213"/>
      <c r="G197" s="213"/>
      <c r="H197" s="313" t="s">
        <v>590</v>
      </c>
    </row>
    <row r="198" spans="1:13" x14ac:dyDescent="0.3">
      <c r="A198" s="629" t="s">
        <v>979</v>
      </c>
      <c r="B198" s="165"/>
      <c r="C198" s="567">
        <v>54845.19</v>
      </c>
      <c r="D198" s="567">
        <v>2499.6799999999998</v>
      </c>
      <c r="E198" s="431" t="s">
        <v>856</v>
      </c>
      <c r="G198" s="213"/>
      <c r="H198" s="313" t="s">
        <v>591</v>
      </c>
    </row>
    <row r="199" spans="1:13" ht="14.5" x14ac:dyDescent="0.45">
      <c r="A199" s="220" t="s">
        <v>592</v>
      </c>
      <c r="B199" s="165"/>
      <c r="C199" s="213">
        <f>C194-SUM(C196:C198)</f>
        <v>49037543.810000002</v>
      </c>
      <c r="D199" s="213">
        <f>D194-SUM(D196:D198)</f>
        <v>24571315.32</v>
      </c>
      <c r="E199" s="213">
        <f>C199+D199</f>
        <v>73608859.129999995</v>
      </c>
      <c r="F199" s="314" t="s">
        <v>593</v>
      </c>
      <c r="G199" s="213"/>
      <c r="H199" s="314" t="s">
        <v>594</v>
      </c>
      <c r="I199" s="639" t="s">
        <v>431</v>
      </c>
      <c r="J199" s="640"/>
      <c r="K199" s="639" t="s">
        <v>432</v>
      </c>
      <c r="L199" s="640"/>
      <c r="M199" s="213"/>
    </row>
    <row r="200" spans="1:13" x14ac:dyDescent="0.3">
      <c r="A200" s="217" t="s">
        <v>595</v>
      </c>
      <c r="B200" s="162" t="s">
        <v>596</v>
      </c>
      <c r="C200" s="555">
        <v>3513078</v>
      </c>
      <c r="D200" s="555">
        <v>676503</v>
      </c>
      <c r="E200" s="213">
        <f>C200+D200</f>
        <v>4189581</v>
      </c>
      <c r="F200" s="314" t="s">
        <v>597</v>
      </c>
      <c r="G200" s="213"/>
      <c r="I200" s="561">
        <v>315088</v>
      </c>
      <c r="J200" s="565">
        <v>122000</v>
      </c>
      <c r="K200" s="561">
        <v>184483</v>
      </c>
      <c r="L200" s="565">
        <v>78000</v>
      </c>
      <c r="M200" s="213"/>
    </row>
    <row r="201" spans="1:13" x14ac:dyDescent="0.3">
      <c r="A201" s="217"/>
      <c r="B201" s="162"/>
      <c r="C201" s="154"/>
      <c r="D201" s="154"/>
      <c r="E201" s="213"/>
      <c r="F201" s="209"/>
      <c r="G201" s="213"/>
      <c r="I201" s="561">
        <v>292680</v>
      </c>
      <c r="J201" s="562"/>
      <c r="K201" s="561">
        <v>187124</v>
      </c>
      <c r="L201" s="565"/>
      <c r="M201" s="213"/>
    </row>
    <row r="202" spans="1:13" x14ac:dyDescent="0.3">
      <c r="A202" s="220" t="s">
        <v>56</v>
      </c>
      <c r="B202" s="162" t="s">
        <v>598</v>
      </c>
      <c r="C202" s="555">
        <v>108875943</v>
      </c>
      <c r="D202" s="555">
        <v>77108109</v>
      </c>
      <c r="E202" s="213"/>
      <c r="G202" s="213"/>
      <c r="I202" s="561">
        <v>36341</v>
      </c>
      <c r="J202" s="562"/>
      <c r="K202" s="561">
        <v>23235</v>
      </c>
      <c r="L202" s="565"/>
      <c r="M202" s="213"/>
    </row>
    <row r="203" spans="1:13" x14ac:dyDescent="0.3">
      <c r="A203" s="217" t="s">
        <v>986</v>
      </c>
      <c r="B203" s="165"/>
      <c r="C203" s="213"/>
      <c r="D203" s="213"/>
      <c r="E203" s="213"/>
      <c r="F203" s="314"/>
      <c r="G203" s="213"/>
      <c r="I203" s="561"/>
      <c r="J203" s="562"/>
      <c r="K203" s="561"/>
      <c r="L203" s="565"/>
      <c r="M203" s="213"/>
    </row>
    <row r="204" spans="1:13" x14ac:dyDescent="0.3">
      <c r="A204" s="233" t="s">
        <v>977</v>
      </c>
      <c r="B204" s="165"/>
      <c r="C204" s="567">
        <v>1163114</v>
      </c>
      <c r="D204" s="567">
        <v>1979972.15</v>
      </c>
      <c r="E204" s="213"/>
      <c r="F204" s="314"/>
      <c r="G204" s="213"/>
      <c r="I204" s="561"/>
      <c r="J204" s="562"/>
      <c r="K204" s="561"/>
      <c r="L204" s="565"/>
      <c r="M204" s="213"/>
    </row>
    <row r="205" spans="1:13" x14ac:dyDescent="0.3">
      <c r="A205" s="233" t="s">
        <v>978</v>
      </c>
      <c r="B205" s="165"/>
      <c r="C205" s="567">
        <v>-43133.5</v>
      </c>
      <c r="D205" s="633"/>
      <c r="E205" s="213"/>
      <c r="F205" s="314"/>
      <c r="G205" s="213"/>
      <c r="I205" s="561"/>
      <c r="J205" s="562"/>
      <c r="K205" s="561"/>
      <c r="L205" s="565"/>
      <c r="M205" s="213"/>
    </row>
    <row r="206" spans="1:13" x14ac:dyDescent="0.3">
      <c r="A206" s="220"/>
      <c r="B206" s="162"/>
      <c r="C206" s="493">
        <f>+C202+C204+C205</f>
        <v>109995923.5</v>
      </c>
      <c r="D206" s="493">
        <f>+D202+D204+D205</f>
        <v>79088081.150000006</v>
      </c>
      <c r="E206" s="213">
        <f>C206+D206</f>
        <v>189084004.65000001</v>
      </c>
      <c r="F206" s="314" t="s">
        <v>599</v>
      </c>
      <c r="G206" s="213"/>
      <c r="I206" s="561"/>
      <c r="J206" s="562"/>
      <c r="K206" s="561"/>
      <c r="L206" s="565"/>
      <c r="M206" s="213"/>
    </row>
    <row r="207" spans="1:13" x14ac:dyDescent="0.3">
      <c r="A207" s="220"/>
      <c r="B207" s="162"/>
      <c r="C207" s="154"/>
      <c r="D207" s="154"/>
      <c r="E207" s="213"/>
      <c r="F207" s="209"/>
      <c r="G207" s="213"/>
      <c r="I207" s="561">
        <v>2006901</v>
      </c>
      <c r="J207" s="562"/>
      <c r="K207" s="561">
        <v>1283100</v>
      </c>
      <c r="L207" s="565"/>
      <c r="M207" s="213"/>
    </row>
    <row r="208" spans="1:13" x14ac:dyDescent="0.3">
      <c r="A208" s="220" t="s">
        <v>600</v>
      </c>
      <c r="B208" s="165" t="s">
        <v>601</v>
      </c>
      <c r="C208" s="555">
        <v>464364</v>
      </c>
      <c r="D208" s="555">
        <v>457453</v>
      </c>
      <c r="E208" s="213">
        <f>C208+D208</f>
        <v>921817</v>
      </c>
      <c r="F208" s="314" t="s">
        <v>602</v>
      </c>
      <c r="G208" s="213"/>
      <c r="I208" s="563">
        <v>102440</v>
      </c>
      <c r="J208" s="564"/>
      <c r="K208" s="563">
        <v>97560</v>
      </c>
      <c r="L208" s="566"/>
      <c r="M208" s="213"/>
    </row>
    <row r="209" spans="1:15" x14ac:dyDescent="0.3">
      <c r="A209" s="227" t="s">
        <v>603</v>
      </c>
      <c r="B209" s="162" t="s">
        <v>604</v>
      </c>
      <c r="C209" s="210">
        <f>SUM(I200:J208)</f>
        <v>2875450</v>
      </c>
      <c r="D209" s="210">
        <f>SUM(K200:L208)</f>
        <v>1853502</v>
      </c>
      <c r="E209" s="213"/>
      <c r="G209" s="213"/>
      <c r="H209" s="317" t="s">
        <v>605</v>
      </c>
      <c r="M209" s="213"/>
    </row>
    <row r="210" spans="1:15" x14ac:dyDescent="0.3">
      <c r="A210" s="227" t="s">
        <v>606</v>
      </c>
      <c r="B210" s="162" t="s">
        <v>607</v>
      </c>
      <c r="C210" s="555">
        <v>0</v>
      </c>
      <c r="D210" s="555">
        <v>0</v>
      </c>
      <c r="E210" s="213"/>
      <c r="F210" s="209"/>
      <c r="G210" s="213"/>
      <c r="H210" s="318" t="s">
        <v>608</v>
      </c>
      <c r="I210" s="314" t="s">
        <v>609</v>
      </c>
    </row>
    <row r="211" spans="1:15" x14ac:dyDescent="0.3">
      <c r="A211" s="227" t="s">
        <v>858</v>
      </c>
      <c r="B211" s="162" t="s">
        <v>929</v>
      </c>
      <c r="C211" s="555">
        <v>777112</v>
      </c>
      <c r="D211" s="555">
        <v>697387</v>
      </c>
      <c r="E211" s="213"/>
      <c r="F211" s="212"/>
      <c r="G211" s="213"/>
      <c r="I211" s="228"/>
    </row>
    <row r="212" spans="1:15" x14ac:dyDescent="0.3">
      <c r="A212" s="227" t="s">
        <v>610</v>
      </c>
      <c r="B212" s="162" t="s">
        <v>951</v>
      </c>
      <c r="C212" s="555">
        <v>0</v>
      </c>
      <c r="D212" s="555">
        <v>0</v>
      </c>
      <c r="E212" s="213"/>
      <c r="F212" s="209"/>
      <c r="G212" s="213"/>
      <c r="H212" s="314" t="s">
        <v>857</v>
      </c>
      <c r="I212" s="228"/>
    </row>
    <row r="213" spans="1:15" x14ac:dyDescent="0.3">
      <c r="A213" s="227" t="s">
        <v>611</v>
      </c>
      <c r="B213" s="162" t="s">
        <v>942</v>
      </c>
      <c r="C213" s="555">
        <v>0</v>
      </c>
      <c r="D213" s="555">
        <v>237623</v>
      </c>
      <c r="E213" s="213"/>
      <c r="F213" s="209"/>
      <c r="G213" s="213"/>
      <c r="I213" s="228"/>
    </row>
    <row r="214" spans="1:15" x14ac:dyDescent="0.3">
      <c r="A214" s="220"/>
      <c r="B214" s="162"/>
      <c r="C214" s="213">
        <f>-C208+SUM(C209:C211)-SUM(C212:C213)</f>
        <v>3188198</v>
      </c>
      <c r="D214" s="213">
        <f>-D208+SUM(D209:D211)-SUM(D212:D213)</f>
        <v>1855813</v>
      </c>
      <c r="E214" s="213">
        <f>C214+D214</f>
        <v>5044011</v>
      </c>
      <c r="F214" s="314" t="s">
        <v>612</v>
      </c>
      <c r="G214" s="213"/>
      <c r="H214" s="319" t="s">
        <v>613</v>
      </c>
    </row>
    <row r="215" spans="1:15" ht="26" x14ac:dyDescent="0.3">
      <c r="A215" s="229" t="s">
        <v>614</v>
      </c>
      <c r="B215" s="230" t="s">
        <v>615</v>
      </c>
      <c r="C215" s="567">
        <v>278618</v>
      </c>
      <c r="D215" s="567">
        <v>315643</v>
      </c>
      <c r="E215" s="213">
        <f>C215+D215</f>
        <v>594261</v>
      </c>
      <c r="F215" s="314" t="s">
        <v>618</v>
      </c>
      <c r="G215" s="213"/>
      <c r="H215" s="318" t="s">
        <v>616</v>
      </c>
    </row>
    <row r="216" spans="1:15" x14ac:dyDescent="0.3">
      <c r="A216" s="215" t="s">
        <v>37</v>
      </c>
      <c r="B216" s="154" t="s">
        <v>617</v>
      </c>
      <c r="C216" s="531" t="s">
        <v>506</v>
      </c>
      <c r="D216" s="555">
        <v>0</v>
      </c>
      <c r="E216" s="213">
        <f>D216</f>
        <v>0</v>
      </c>
      <c r="F216" s="314" t="s">
        <v>621</v>
      </c>
      <c r="G216" s="213"/>
      <c r="H216" s="319" t="s">
        <v>619</v>
      </c>
    </row>
    <row r="217" spans="1:15" x14ac:dyDescent="0.3">
      <c r="A217" s="215" t="s">
        <v>620</v>
      </c>
      <c r="B217" s="159"/>
      <c r="C217" s="567">
        <v>0</v>
      </c>
      <c r="D217" s="567">
        <v>0</v>
      </c>
      <c r="E217" s="213">
        <f>C217+D217</f>
        <v>0</v>
      </c>
      <c r="F217" s="314" t="s">
        <v>939</v>
      </c>
      <c r="G217" s="213"/>
      <c r="H217" s="313" t="s">
        <v>622</v>
      </c>
    </row>
    <row r="218" spans="1:15" x14ac:dyDescent="0.3">
      <c r="B218" s="159"/>
      <c r="C218" s="213" t="s">
        <v>899</v>
      </c>
      <c r="D218" s="213"/>
      <c r="E218" s="213">
        <f>ROUND(E199-E200+E206-E208-E214+E215+E216+E217,0)</f>
        <v>253131716</v>
      </c>
      <c r="G218" s="213"/>
    </row>
    <row r="219" spans="1:15" x14ac:dyDescent="0.3">
      <c r="A219" s="215"/>
      <c r="B219" s="159"/>
      <c r="C219" s="311"/>
      <c r="D219" s="310" t="s">
        <v>904</v>
      </c>
      <c r="E219" s="311" t="str">
        <f>IF(E218='NITS Pg 3 of 5'!E22,"ok","err on NITS pg 3")</f>
        <v>ok</v>
      </c>
      <c r="G219" s="213"/>
      <c r="J219" s="641" t="s">
        <v>943</v>
      </c>
      <c r="K219" s="641"/>
    </row>
    <row r="220" spans="1:15" x14ac:dyDescent="0.3">
      <c r="B220" s="159"/>
      <c r="C220" s="311"/>
      <c r="D220" s="310" t="s">
        <v>905</v>
      </c>
      <c r="E220" s="311" t="str">
        <f>IF(E218='PTP Pg 3 of 5'!E22,"ok","err on PTP pg 3")</f>
        <v>ok</v>
      </c>
      <c r="G220" s="213"/>
      <c r="J220" s="641"/>
      <c r="K220" s="641"/>
      <c r="M220" s="212" t="s">
        <v>928</v>
      </c>
      <c r="N220" s="213"/>
      <c r="O220" s="213"/>
    </row>
    <row r="221" spans="1:15" ht="14.5" x14ac:dyDescent="0.45">
      <c r="A221" s="215" t="s">
        <v>623</v>
      </c>
      <c r="B221" s="159"/>
      <c r="G221" s="213"/>
      <c r="J221" s="324" t="s">
        <v>431</v>
      </c>
      <c r="K221" s="324" t="s">
        <v>432</v>
      </c>
      <c r="L221" s="213"/>
      <c r="M221" s="324" t="s">
        <v>431</v>
      </c>
      <c r="N221" s="324" t="s">
        <v>432</v>
      </c>
      <c r="O221" s="213"/>
    </row>
    <row r="222" spans="1:15" x14ac:dyDescent="0.3">
      <c r="A222" s="215" t="s">
        <v>24</v>
      </c>
      <c r="B222" s="162" t="s">
        <v>624</v>
      </c>
      <c r="C222" s="210">
        <f t="shared" ref="C222:D224" si="12">J222-M222</f>
        <v>21134297.300000001</v>
      </c>
      <c r="D222" s="210">
        <f t="shared" si="12"/>
        <v>9126154.8399999999</v>
      </c>
      <c r="E222" s="213">
        <f>C222+D222</f>
        <v>30260452.140000001</v>
      </c>
      <c r="F222" s="314" t="s">
        <v>627</v>
      </c>
      <c r="G222" s="213"/>
      <c r="I222" s="313" t="s">
        <v>24</v>
      </c>
      <c r="J222" s="555">
        <v>25293133</v>
      </c>
      <c r="K222" s="555">
        <v>10300484</v>
      </c>
      <c r="L222" s="213"/>
      <c r="M222" s="567">
        <v>4158835.7</v>
      </c>
      <c r="N222" s="567">
        <v>1174329.1599999999</v>
      </c>
      <c r="O222" s="213"/>
    </row>
    <row r="223" spans="1:15" x14ac:dyDescent="0.3">
      <c r="A223" s="215" t="s">
        <v>503</v>
      </c>
      <c r="B223" s="162" t="s">
        <v>625</v>
      </c>
      <c r="C223" s="210">
        <f t="shared" si="12"/>
        <v>10879153.810000001</v>
      </c>
      <c r="D223" s="210">
        <f t="shared" si="12"/>
        <v>1138839.55</v>
      </c>
      <c r="E223" s="213"/>
      <c r="G223" s="213"/>
      <c r="I223" s="313" t="s">
        <v>503</v>
      </c>
      <c r="J223" s="555">
        <v>12905721</v>
      </c>
      <c r="K223" s="555">
        <v>1159937</v>
      </c>
      <c r="L223" s="213"/>
      <c r="M223" s="567">
        <v>2026567.19</v>
      </c>
      <c r="N223" s="567">
        <v>21097.45</v>
      </c>
      <c r="O223" s="213"/>
    </row>
    <row r="224" spans="1:15" x14ac:dyDescent="0.3">
      <c r="A224" s="215" t="s">
        <v>492</v>
      </c>
      <c r="B224" s="162" t="s">
        <v>626</v>
      </c>
      <c r="C224" s="210">
        <f t="shared" si="12"/>
        <v>16523367.01</v>
      </c>
      <c r="D224" s="210">
        <f t="shared" si="12"/>
        <v>0</v>
      </c>
      <c r="E224" s="213"/>
      <c r="G224" s="213"/>
      <c r="I224" s="313" t="s">
        <v>492</v>
      </c>
      <c r="J224" s="555">
        <v>17183580</v>
      </c>
      <c r="K224" s="555"/>
      <c r="L224" s="213"/>
      <c r="M224" s="567">
        <v>660212.99</v>
      </c>
      <c r="N224" s="567"/>
      <c r="O224" s="213"/>
    </row>
    <row r="225" spans="1:15" x14ac:dyDescent="0.3">
      <c r="A225" s="215"/>
      <c r="B225" s="162"/>
      <c r="C225" s="213">
        <f>C223+C224</f>
        <v>27402520.82</v>
      </c>
      <c r="D225" s="213">
        <f>D223+D224</f>
        <v>1138839.55</v>
      </c>
      <c r="E225" s="213">
        <f>C225+D225</f>
        <v>28541360.370000001</v>
      </c>
      <c r="F225" s="314" t="s">
        <v>629</v>
      </c>
      <c r="G225" s="213"/>
      <c r="I225" s="313" t="s">
        <v>43</v>
      </c>
      <c r="J225" s="344"/>
      <c r="K225" s="555">
        <v>17937583</v>
      </c>
      <c r="L225" s="213"/>
      <c r="N225" s="567">
        <v>-1676749.7076000017</v>
      </c>
      <c r="O225" s="213"/>
    </row>
    <row r="226" spans="1:15" x14ac:dyDescent="0.3">
      <c r="A226" s="215" t="s">
        <v>43</v>
      </c>
      <c r="B226" s="162" t="s">
        <v>628</v>
      </c>
      <c r="C226" s="531" t="s">
        <v>506</v>
      </c>
      <c r="D226" s="210">
        <f>K225-N225</f>
        <v>19614332.707600001</v>
      </c>
      <c r="E226" s="213">
        <f>D226</f>
        <v>19614332.707600001</v>
      </c>
      <c r="F226" s="314" t="s">
        <v>940</v>
      </c>
      <c r="G226" s="213"/>
      <c r="L226" s="213"/>
      <c r="M226" s="213"/>
    </row>
    <row r="227" spans="1:15" x14ac:dyDescent="0.3">
      <c r="A227" s="215"/>
      <c r="B227" s="162"/>
      <c r="C227" s="154"/>
      <c r="D227" s="154"/>
      <c r="E227" s="213"/>
      <c r="F227" s="209"/>
      <c r="G227" s="213"/>
      <c r="L227" s="213"/>
    </row>
    <row r="228" spans="1:15" x14ac:dyDescent="0.3">
      <c r="A228" s="215" t="s">
        <v>630</v>
      </c>
      <c r="B228" s="162" t="s">
        <v>631</v>
      </c>
      <c r="C228" s="555">
        <v>0</v>
      </c>
      <c r="D228" s="555">
        <v>0</v>
      </c>
      <c r="E228" s="213">
        <f>C228+D228</f>
        <v>0</v>
      </c>
      <c r="F228" s="314" t="s">
        <v>627</v>
      </c>
      <c r="G228" s="213"/>
    </row>
    <row r="229" spans="1:15" x14ac:dyDescent="0.3">
      <c r="A229" s="215" t="s">
        <v>632</v>
      </c>
      <c r="B229" s="162" t="s">
        <v>633</v>
      </c>
      <c r="C229" s="531" t="s">
        <v>506</v>
      </c>
      <c r="D229" s="555">
        <v>0</v>
      </c>
      <c r="E229" s="213">
        <f>D229</f>
        <v>0</v>
      </c>
      <c r="F229" s="314" t="s">
        <v>940</v>
      </c>
      <c r="G229" s="213"/>
      <c r="H229" s="313" t="s">
        <v>634</v>
      </c>
    </row>
    <row r="230" spans="1:15" x14ac:dyDescent="0.3">
      <c r="B230" s="213"/>
      <c r="E230" s="213"/>
      <c r="G230" s="213"/>
    </row>
    <row r="231" spans="1:15" x14ac:dyDescent="0.3">
      <c r="C231" s="212" t="s">
        <v>900</v>
      </c>
      <c r="D231" s="213"/>
      <c r="E231" s="213">
        <f>ROUND(E222+E225+E226-E228-E229,0)</f>
        <v>78416145</v>
      </c>
      <c r="G231" s="213"/>
    </row>
    <row r="232" spans="1:15" x14ac:dyDescent="0.3">
      <c r="C232" s="311"/>
      <c r="D232" s="310" t="s">
        <v>904</v>
      </c>
      <c r="E232" s="311" t="str">
        <f>IF(E231='NITS Pg 3 of 5'!E28,"ok","err on NITS pg 3")</f>
        <v>ok</v>
      </c>
      <c r="G232" s="213"/>
    </row>
    <row r="233" spans="1:15" x14ac:dyDescent="0.3">
      <c r="C233" s="311"/>
      <c r="D233" s="310" t="s">
        <v>905</v>
      </c>
      <c r="E233" s="311" t="str">
        <f>IF(E231='PTP Pg 3 of 5'!E28,"ok","err on PTP pg 3")</f>
        <v>ok</v>
      </c>
      <c r="G233" s="213"/>
    </row>
    <row r="234" spans="1:15" x14ac:dyDescent="0.3">
      <c r="A234" s="215" t="s">
        <v>635</v>
      </c>
      <c r="B234" s="161"/>
      <c r="G234" s="213"/>
      <c r="H234" s="317" t="s">
        <v>636</v>
      </c>
    </row>
    <row r="235" spans="1:15" x14ac:dyDescent="0.3">
      <c r="A235" s="215" t="s">
        <v>57</v>
      </c>
      <c r="B235" s="161"/>
      <c r="G235" s="213"/>
      <c r="H235" s="317" t="s">
        <v>637</v>
      </c>
    </row>
    <row r="236" spans="1:15" x14ac:dyDescent="0.3">
      <c r="A236" s="220" t="s">
        <v>59</v>
      </c>
      <c r="B236" s="159" t="s">
        <v>58</v>
      </c>
      <c r="G236" s="213"/>
      <c r="H236" s="317" t="s">
        <v>638</v>
      </c>
    </row>
    <row r="237" spans="1:15" x14ac:dyDescent="0.3">
      <c r="A237" s="231" t="s">
        <v>639</v>
      </c>
      <c r="B237" s="162" t="s">
        <v>640</v>
      </c>
      <c r="C237" s="555">
        <v>9834471</v>
      </c>
      <c r="D237" s="555">
        <v>6393219</v>
      </c>
      <c r="E237" s="213"/>
      <c r="G237" s="213"/>
      <c r="H237" s="319" t="s">
        <v>641</v>
      </c>
    </row>
    <row r="238" spans="1:15" x14ac:dyDescent="0.3">
      <c r="A238" s="235" t="s">
        <v>985</v>
      </c>
      <c r="B238" s="162"/>
      <c r="C238" s="567">
        <v>-26402.41</v>
      </c>
      <c r="D238" s="634"/>
      <c r="E238" s="213"/>
      <c r="G238" s="213"/>
      <c r="H238" s="319"/>
    </row>
    <row r="239" spans="1:15" x14ac:dyDescent="0.3">
      <c r="A239" s="231" t="s">
        <v>642</v>
      </c>
      <c r="B239" s="162" t="s">
        <v>936</v>
      </c>
      <c r="C239" s="555">
        <v>138725</v>
      </c>
      <c r="D239" s="555">
        <v>92035</v>
      </c>
      <c r="E239" s="213"/>
      <c r="G239" s="213"/>
      <c r="H239" s="320" t="s">
        <v>643</v>
      </c>
    </row>
    <row r="240" spans="1:15" x14ac:dyDescent="0.3">
      <c r="A240" s="231" t="s">
        <v>644</v>
      </c>
      <c r="B240" s="162" t="s">
        <v>935</v>
      </c>
      <c r="C240" s="567">
        <v>0</v>
      </c>
      <c r="D240" s="567">
        <v>23326.28</v>
      </c>
      <c r="E240" s="213"/>
      <c r="G240" s="213"/>
      <c r="H240" s="164"/>
    </row>
    <row r="241" spans="1:8" x14ac:dyDescent="0.3">
      <c r="A241" s="232" t="s">
        <v>645</v>
      </c>
      <c r="B241" s="165"/>
      <c r="C241" s="213">
        <f>SUM(C237:C240)</f>
        <v>9946793.5899999999</v>
      </c>
      <c r="D241" s="213">
        <f>SUM(D237:D240)</f>
        <v>6508580.2800000003</v>
      </c>
      <c r="E241" s="213">
        <f>C241+D241</f>
        <v>16455373.870000001</v>
      </c>
      <c r="F241" s="314" t="s">
        <v>648</v>
      </c>
      <c r="G241" s="213"/>
      <c r="H241" s="163"/>
    </row>
    <row r="242" spans="1:8" x14ac:dyDescent="0.3">
      <c r="A242" s="215" t="s">
        <v>646</v>
      </c>
      <c r="B242" s="162" t="s">
        <v>935</v>
      </c>
      <c r="C242" s="567">
        <v>81293.649999999994</v>
      </c>
      <c r="D242" s="567">
        <v>31798.77</v>
      </c>
      <c r="E242" s="213">
        <f>C242+D242</f>
        <v>113092.42</v>
      </c>
      <c r="F242" s="314" t="s">
        <v>941</v>
      </c>
      <c r="G242" s="213"/>
      <c r="H242" s="317" t="s">
        <v>649</v>
      </c>
    </row>
    <row r="243" spans="1:8" x14ac:dyDescent="0.3">
      <c r="A243" s="215" t="s">
        <v>60</v>
      </c>
      <c r="B243" s="165" t="s">
        <v>0</v>
      </c>
      <c r="E243" s="213"/>
      <c r="G243" s="213"/>
    </row>
    <row r="244" spans="1:8" x14ac:dyDescent="0.3">
      <c r="A244" s="233" t="s">
        <v>61</v>
      </c>
      <c r="B244" s="162" t="s">
        <v>930</v>
      </c>
      <c r="C244" s="555">
        <v>32130353</v>
      </c>
      <c r="D244" s="555">
        <v>26620342</v>
      </c>
      <c r="E244" s="213">
        <f>C244+D244</f>
        <v>58750695</v>
      </c>
      <c r="F244" s="314" t="s">
        <v>651</v>
      </c>
      <c r="G244" s="213"/>
      <c r="H244" s="317" t="s">
        <v>649</v>
      </c>
    </row>
    <row r="245" spans="1:8" x14ac:dyDescent="0.3">
      <c r="A245" s="233" t="s">
        <v>650</v>
      </c>
      <c r="B245" s="162" t="s">
        <v>647</v>
      </c>
      <c r="C245" s="213" t="s">
        <v>506</v>
      </c>
      <c r="D245" s="213" t="s">
        <v>506</v>
      </c>
      <c r="E245" s="213">
        <v>0</v>
      </c>
      <c r="F245" s="314"/>
      <c r="G245" s="213"/>
      <c r="H245" s="317"/>
    </row>
    <row r="246" spans="1:8" x14ac:dyDescent="0.3">
      <c r="A246" s="233" t="s">
        <v>41</v>
      </c>
      <c r="B246" s="165" t="str">
        <f>+B245</f>
        <v>Page 262-3, Col.(i)</v>
      </c>
      <c r="E246" s="213"/>
      <c r="G246" s="213"/>
    </row>
    <row r="247" spans="1:8" x14ac:dyDescent="0.3">
      <c r="A247" s="234" t="s">
        <v>652</v>
      </c>
      <c r="B247" s="162" t="s">
        <v>653</v>
      </c>
      <c r="C247" s="555">
        <v>3242877</v>
      </c>
      <c r="D247" s="555">
        <v>2215576</v>
      </c>
      <c r="E247" s="213"/>
      <c r="G247" s="213"/>
    </row>
    <row r="248" spans="1:8" x14ac:dyDescent="0.3">
      <c r="A248" s="235" t="s">
        <v>654</v>
      </c>
      <c r="B248" s="162" t="s">
        <v>859</v>
      </c>
      <c r="C248" s="555">
        <v>31910</v>
      </c>
      <c r="D248" s="555">
        <v>0</v>
      </c>
      <c r="E248" s="213"/>
      <c r="G248" s="213"/>
    </row>
    <row r="249" spans="1:8" x14ac:dyDescent="0.3">
      <c r="A249" s="235" t="s">
        <v>655</v>
      </c>
      <c r="B249" s="162" t="s">
        <v>946</v>
      </c>
      <c r="C249" s="567">
        <v>100</v>
      </c>
      <c r="D249" s="567">
        <v>0</v>
      </c>
      <c r="E249" s="213"/>
      <c r="G249" s="213"/>
    </row>
    <row r="250" spans="1:8" x14ac:dyDescent="0.3">
      <c r="A250" s="236" t="s">
        <v>656</v>
      </c>
      <c r="C250" s="213">
        <f>SUM(C247:C249)</f>
        <v>3274887</v>
      </c>
      <c r="D250" s="213">
        <f>SUM(D247:D249)</f>
        <v>2215576</v>
      </c>
      <c r="E250" s="213">
        <f>C250+D250</f>
        <v>5490463</v>
      </c>
      <c r="F250" s="314" t="s">
        <v>657</v>
      </c>
      <c r="G250" s="213"/>
      <c r="H250" s="317" t="s">
        <v>649</v>
      </c>
    </row>
    <row r="251" spans="1:8" x14ac:dyDescent="0.3">
      <c r="A251" s="236"/>
      <c r="C251" s="212" t="s">
        <v>656</v>
      </c>
      <c r="D251" s="213"/>
      <c r="E251" s="213">
        <f>ROUND(E241+E242+E244+E245+E250,0)</f>
        <v>80809624</v>
      </c>
      <c r="F251" s="209"/>
      <c r="G251" s="213"/>
      <c r="H251" s="163"/>
    </row>
    <row r="252" spans="1:8" x14ac:dyDescent="0.3">
      <c r="C252" s="311"/>
      <c r="D252" s="310" t="s">
        <v>904</v>
      </c>
      <c r="E252" s="311" t="str">
        <f>IF(E251='NITS Pg 3 of 5'!E38,"ok","err on NITS pg 3")</f>
        <v>ok</v>
      </c>
      <c r="G252" s="213"/>
    </row>
    <row r="253" spans="1:8" x14ac:dyDescent="0.3">
      <c r="C253" s="311"/>
      <c r="D253" s="310" t="s">
        <v>905</v>
      </c>
      <c r="E253" s="311" t="str">
        <f>IF(E251='PTP Pg 3 of 5'!E38,"ok","err on PTP pg 3")</f>
        <v>ok</v>
      </c>
    </row>
    <row r="254" spans="1:8" x14ac:dyDescent="0.3">
      <c r="A254" s="16" t="s">
        <v>658</v>
      </c>
    </row>
    <row r="255" spans="1:8" x14ac:dyDescent="0.3">
      <c r="A255" s="163" t="s">
        <v>104</v>
      </c>
      <c r="B255" s="479">
        <f>'Pg 5 of 5 Notes for both'!E36</f>
        <v>0.21</v>
      </c>
      <c r="C255" s="163"/>
      <c r="F255" s="314" t="s">
        <v>937</v>
      </c>
    </row>
    <row r="256" spans="1:8" x14ac:dyDescent="0.3">
      <c r="A256" s="163" t="s">
        <v>105</v>
      </c>
      <c r="B256" s="479">
        <f>'Pg 5 of 5 Notes for both'!E37</f>
        <v>0.05</v>
      </c>
      <c r="C256" s="163" t="s">
        <v>106</v>
      </c>
      <c r="F256" s="314" t="s">
        <v>937</v>
      </c>
    </row>
    <row r="257" spans="1:11" x14ac:dyDescent="0.3">
      <c r="A257" s="163" t="s">
        <v>107</v>
      </c>
      <c r="B257" s="479">
        <f>'Pg 5 of 5 Notes for both'!E38</f>
        <v>0</v>
      </c>
      <c r="C257" s="163" t="s">
        <v>108</v>
      </c>
      <c r="F257" s="314" t="s">
        <v>937</v>
      </c>
    </row>
    <row r="258" spans="1:11" x14ac:dyDescent="0.3">
      <c r="A258" s="163"/>
      <c r="B258" s="163"/>
      <c r="C258" s="163"/>
    </row>
    <row r="259" spans="1:11" ht="14.5" x14ac:dyDescent="0.45">
      <c r="C259" s="324" t="s">
        <v>431</v>
      </c>
      <c r="D259" s="324" t="s">
        <v>432</v>
      </c>
    </row>
    <row r="260" spans="1:11" x14ac:dyDescent="0.3">
      <c r="A260" s="237" t="s">
        <v>659</v>
      </c>
      <c r="B260" s="212" t="s">
        <v>660</v>
      </c>
      <c r="C260" s="559">
        <v>36049104</v>
      </c>
      <c r="D260" s="559">
        <v>984616</v>
      </c>
      <c r="E260" s="80"/>
      <c r="G260" s="213"/>
    </row>
    <row r="261" spans="1:11" x14ac:dyDescent="0.3">
      <c r="A261" s="219" t="s">
        <v>661</v>
      </c>
      <c r="B261" s="212" t="s">
        <v>662</v>
      </c>
      <c r="C261" s="559">
        <v>4938881</v>
      </c>
      <c r="D261" s="559">
        <v>2070858</v>
      </c>
      <c r="E261" s="80"/>
      <c r="G261" s="213"/>
    </row>
    <row r="262" spans="1:11" x14ac:dyDescent="0.3">
      <c r="A262" s="154" t="s">
        <v>663</v>
      </c>
      <c r="B262" s="213"/>
      <c r="C262" s="480">
        <f>C241+C242+C244+C250+C260+C261</f>
        <v>86421312.24000001</v>
      </c>
      <c r="D262" s="480">
        <f>D241+D242+D244+D250+D260+D261</f>
        <v>38431771.049999997</v>
      </c>
      <c r="E262" s="432" t="s">
        <v>987</v>
      </c>
    </row>
    <row r="263" spans="1:11" ht="15.5" x14ac:dyDescent="0.35">
      <c r="A263" s="238"/>
      <c r="B263" s="213"/>
    </row>
    <row r="264" spans="1:11" x14ac:dyDescent="0.3">
      <c r="B264" s="213"/>
    </row>
    <row r="265" spans="1:11" x14ac:dyDescent="0.3">
      <c r="A265" s="16" t="s">
        <v>664</v>
      </c>
      <c r="B265" s="213" t="s">
        <v>665</v>
      </c>
      <c r="C265" s="559">
        <v>0</v>
      </c>
      <c r="D265" s="559">
        <v>0</v>
      </c>
      <c r="E265" s="213">
        <f>C265+D265</f>
        <v>0</v>
      </c>
      <c r="F265" s="314" t="s">
        <v>666</v>
      </c>
      <c r="G265" s="213"/>
      <c r="H265" s="316" t="s">
        <v>667</v>
      </c>
    </row>
    <row r="267" spans="1:11" x14ac:dyDescent="0.3">
      <c r="A267" s="569"/>
      <c r="B267" s="569"/>
      <c r="C267" s="569"/>
      <c r="D267" s="569"/>
      <c r="E267" s="569"/>
      <c r="F267" s="569"/>
      <c r="G267" s="569"/>
      <c r="H267" s="569"/>
      <c r="I267" s="569"/>
      <c r="J267" s="569"/>
      <c r="K267" s="569"/>
    </row>
    <row r="268" spans="1:11" ht="14.5" x14ac:dyDescent="0.35">
      <c r="A268" s="226" t="s">
        <v>125</v>
      </c>
    </row>
    <row r="270" spans="1:11" ht="14.5" x14ac:dyDescent="0.45">
      <c r="A270" s="239" t="s">
        <v>668</v>
      </c>
      <c r="C270" s="324" t="s">
        <v>431</v>
      </c>
      <c r="D270" s="324" t="s">
        <v>432</v>
      </c>
    </row>
    <row r="271" spans="1:11" x14ac:dyDescent="0.3">
      <c r="A271" s="322" t="s">
        <v>669</v>
      </c>
      <c r="C271" s="213"/>
    </row>
    <row r="272" spans="1:11" x14ac:dyDescent="0.3">
      <c r="A272" s="322" t="s">
        <v>670</v>
      </c>
      <c r="B272" s="212" t="s">
        <v>671</v>
      </c>
      <c r="C272" s="559">
        <v>967745</v>
      </c>
      <c r="D272" s="559">
        <v>517497</v>
      </c>
      <c r="E272" s="213">
        <f t="shared" ref="E272:E279" si="13">C272+D272</f>
        <v>1485242</v>
      </c>
      <c r="F272" s="313" t="s">
        <v>672</v>
      </c>
      <c r="G272" s="213"/>
    </row>
    <row r="273" spans="1:8" x14ac:dyDescent="0.3">
      <c r="A273" s="322" t="s">
        <v>673</v>
      </c>
      <c r="B273" s="212" t="s">
        <v>674</v>
      </c>
      <c r="C273" s="559">
        <v>1985386</v>
      </c>
      <c r="D273" s="559">
        <v>1172474</v>
      </c>
      <c r="E273" s="213">
        <f t="shared" si="13"/>
        <v>3157860</v>
      </c>
      <c r="F273" s="313" t="s">
        <v>675</v>
      </c>
      <c r="G273" s="213"/>
    </row>
    <row r="274" spans="1:8" x14ac:dyDescent="0.3">
      <c r="A274" s="322" t="s">
        <v>676</v>
      </c>
      <c r="B274" s="212" t="s">
        <v>677</v>
      </c>
      <c r="C274" s="559">
        <v>606029</v>
      </c>
      <c r="D274" s="559">
        <v>326324</v>
      </c>
      <c r="E274" s="213">
        <f t="shared" si="13"/>
        <v>932353</v>
      </c>
      <c r="F274" s="313" t="s">
        <v>678</v>
      </c>
      <c r="G274" s="213"/>
    </row>
    <row r="275" spans="1:8" x14ac:dyDescent="0.3">
      <c r="A275" s="322" t="s">
        <v>679</v>
      </c>
      <c r="B275" s="212" t="s">
        <v>680</v>
      </c>
      <c r="C275" s="559">
        <v>0</v>
      </c>
      <c r="D275" s="559">
        <v>0</v>
      </c>
      <c r="E275" s="213">
        <f t="shared" si="13"/>
        <v>0</v>
      </c>
      <c r="F275" s="313" t="s">
        <v>681</v>
      </c>
      <c r="G275" s="213"/>
    </row>
    <row r="276" spans="1:8" x14ac:dyDescent="0.3">
      <c r="A276" s="322" t="s">
        <v>682</v>
      </c>
      <c r="B276" s="212" t="s">
        <v>683</v>
      </c>
      <c r="C276" s="559">
        <v>510333</v>
      </c>
      <c r="D276" s="559">
        <v>274761</v>
      </c>
      <c r="E276" s="213">
        <f t="shared" si="13"/>
        <v>785094</v>
      </c>
      <c r="F276" s="313" t="s">
        <v>684</v>
      </c>
      <c r="G276" s="213"/>
    </row>
    <row r="277" spans="1:8" x14ac:dyDescent="0.3">
      <c r="A277" s="322" t="s">
        <v>685</v>
      </c>
      <c r="B277" s="212" t="s">
        <v>686</v>
      </c>
      <c r="C277" s="559">
        <v>410</v>
      </c>
      <c r="D277" s="559">
        <v>35400</v>
      </c>
      <c r="E277" s="213">
        <f t="shared" si="13"/>
        <v>35810</v>
      </c>
      <c r="F277" s="313" t="s">
        <v>687</v>
      </c>
      <c r="G277" s="213"/>
    </row>
    <row r="278" spans="1:8" x14ac:dyDescent="0.3">
      <c r="A278" s="322" t="s">
        <v>688</v>
      </c>
      <c r="B278" s="212" t="s">
        <v>689</v>
      </c>
      <c r="C278" s="559">
        <v>-51100</v>
      </c>
      <c r="D278" s="559">
        <v>14</v>
      </c>
      <c r="E278" s="213">
        <f t="shared" si="13"/>
        <v>-51086</v>
      </c>
      <c r="F278" s="313" t="s">
        <v>690</v>
      </c>
      <c r="G278" s="213"/>
    </row>
    <row r="279" spans="1:8" x14ac:dyDescent="0.3">
      <c r="A279" s="322" t="s">
        <v>691</v>
      </c>
      <c r="B279" s="212" t="s">
        <v>692</v>
      </c>
      <c r="C279" s="559">
        <v>0</v>
      </c>
      <c r="D279" s="559">
        <v>0</v>
      </c>
      <c r="E279" s="213">
        <f t="shared" si="13"/>
        <v>0</v>
      </c>
      <c r="F279" s="313" t="s">
        <v>693</v>
      </c>
      <c r="G279" s="213"/>
    </row>
    <row r="280" spans="1:8" x14ac:dyDescent="0.3">
      <c r="A280" s="232" t="s">
        <v>6</v>
      </c>
      <c r="B280" s="213"/>
      <c r="C280" s="481">
        <f>SUM(C271:C279)</f>
        <v>4018803</v>
      </c>
      <c r="D280" s="481">
        <f>SUM(D271:D279)</f>
        <v>2326470</v>
      </c>
      <c r="E280" s="213">
        <f>C280+D280</f>
        <v>6345273</v>
      </c>
      <c r="F280" s="314" t="s">
        <v>694</v>
      </c>
      <c r="G280" s="213"/>
      <c r="H280" s="313" t="s">
        <v>695</v>
      </c>
    </row>
    <row r="281" spans="1:8" x14ac:dyDescent="0.3">
      <c r="A281" s="161"/>
      <c r="B281" s="213"/>
      <c r="C281" s="161"/>
      <c r="D281" s="310" t="s">
        <v>904</v>
      </c>
      <c r="E281" s="311" t="str">
        <f>IF(E280='NITS Pg 4 of 5'!J20,"ok","err on NITS pg 4")</f>
        <v>ok</v>
      </c>
      <c r="G281" s="213"/>
    </row>
    <row r="282" spans="1:8" x14ac:dyDescent="0.3">
      <c r="A282" s="161"/>
      <c r="B282" s="213"/>
      <c r="C282" s="161"/>
      <c r="D282" s="310" t="s">
        <v>905</v>
      </c>
      <c r="E282" s="311" t="str">
        <f>IF(E280='PTP Pg 4 of 5'!J20,"ok","err on PTP pg 4")</f>
        <v>ok</v>
      </c>
      <c r="G282" s="213"/>
    </row>
    <row r="283" spans="1:8" ht="14.5" x14ac:dyDescent="0.45">
      <c r="A283" s="161" t="s">
        <v>696</v>
      </c>
      <c r="B283" s="213"/>
      <c r="C283" s="324" t="s">
        <v>431</v>
      </c>
      <c r="D283" s="324" t="s">
        <v>432</v>
      </c>
      <c r="G283" s="213"/>
    </row>
    <row r="284" spans="1:8" x14ac:dyDescent="0.3">
      <c r="A284" s="217" t="s">
        <v>495</v>
      </c>
      <c r="B284" s="162" t="s">
        <v>697</v>
      </c>
      <c r="C284" s="559">
        <v>44702178</v>
      </c>
      <c r="D284" s="559">
        <v>31199057</v>
      </c>
      <c r="E284" s="213">
        <f t="shared" ref="E284" si="14">C284+D284</f>
        <v>75901235</v>
      </c>
      <c r="F284" s="314" t="s">
        <v>698</v>
      </c>
      <c r="G284" s="213"/>
    </row>
    <row r="285" spans="1:8" x14ac:dyDescent="0.3">
      <c r="A285" s="217" t="s">
        <v>24</v>
      </c>
      <c r="B285" s="162" t="s">
        <v>699</v>
      </c>
      <c r="C285" s="559">
        <v>5907733</v>
      </c>
      <c r="D285" s="559">
        <v>3205888</v>
      </c>
      <c r="E285" s="213">
        <f>C285+D285</f>
        <v>9113621</v>
      </c>
      <c r="F285" s="314" t="s">
        <v>700</v>
      </c>
      <c r="G285" s="213"/>
    </row>
    <row r="286" spans="1:8" x14ac:dyDescent="0.3">
      <c r="A286" s="217" t="s">
        <v>500</v>
      </c>
      <c r="B286" s="162" t="s">
        <v>701</v>
      </c>
      <c r="C286" s="559">
        <v>17182246</v>
      </c>
      <c r="D286" s="559">
        <v>11544850</v>
      </c>
      <c r="E286" s="213">
        <f>C286+D286</f>
        <v>28727096</v>
      </c>
      <c r="F286" s="314" t="s">
        <v>702</v>
      </c>
      <c r="G286" s="213"/>
    </row>
    <row r="287" spans="1:8" x14ac:dyDescent="0.3">
      <c r="A287" s="217" t="s">
        <v>41</v>
      </c>
      <c r="B287" s="165"/>
      <c r="C287" s="430"/>
      <c r="D287" s="430"/>
      <c r="E287" s="213"/>
      <c r="F287" s="209"/>
      <c r="G287" s="213"/>
    </row>
    <row r="288" spans="1:8" x14ac:dyDescent="0.3">
      <c r="A288" s="216" t="s">
        <v>703</v>
      </c>
      <c r="B288" s="162" t="s">
        <v>704</v>
      </c>
      <c r="C288" s="559">
        <v>13823932</v>
      </c>
      <c r="D288" s="559">
        <v>4604116</v>
      </c>
      <c r="E288" s="213"/>
      <c r="G288" s="213"/>
    </row>
    <row r="289" spans="1:7" x14ac:dyDescent="0.3">
      <c r="A289" s="216" t="s">
        <v>705</v>
      </c>
      <c r="B289" s="162" t="s">
        <v>706</v>
      </c>
      <c r="C289" s="559">
        <v>1087992</v>
      </c>
      <c r="D289" s="559">
        <v>750064</v>
      </c>
      <c r="E289" s="213"/>
      <c r="G289" s="213"/>
    </row>
    <row r="290" spans="1:7" x14ac:dyDescent="0.3">
      <c r="A290" s="216" t="s">
        <v>707</v>
      </c>
      <c r="B290" s="162" t="s">
        <v>708</v>
      </c>
      <c r="C290" s="559">
        <v>0</v>
      </c>
      <c r="D290" s="559">
        <v>0</v>
      </c>
      <c r="E290" s="213"/>
      <c r="G290" s="213"/>
    </row>
    <row r="291" spans="1:7" x14ac:dyDescent="0.3">
      <c r="B291" s="213"/>
      <c r="C291" s="213">
        <f>SUM(C288:C290)</f>
        <v>14911924</v>
      </c>
      <c r="D291" s="213">
        <f>SUM(D288:D290)</f>
        <v>5354180</v>
      </c>
      <c r="E291" s="213">
        <f t="shared" ref="E291" si="15">C291+D291</f>
        <v>20266104</v>
      </c>
      <c r="F291" s="314" t="s">
        <v>709</v>
      </c>
      <c r="G291" s="213"/>
    </row>
    <row r="292" spans="1:7" x14ac:dyDescent="0.3">
      <c r="B292" s="213"/>
      <c r="C292" s="213" t="s">
        <v>908</v>
      </c>
      <c r="D292" s="213"/>
      <c r="E292" s="213">
        <f>SUM(E284:E291)</f>
        <v>134008056</v>
      </c>
      <c r="G292" s="213"/>
    </row>
    <row r="293" spans="1:7" x14ac:dyDescent="0.3">
      <c r="B293" s="213"/>
      <c r="C293" s="311"/>
      <c r="D293" s="310" t="s">
        <v>904</v>
      </c>
      <c r="E293" s="311" t="str">
        <f>IF(E292='NITS Pg 4 of 5'!E33,"ok","err on NITS pg 4")</f>
        <v>ok</v>
      </c>
      <c r="G293" s="213"/>
    </row>
    <row r="294" spans="1:7" x14ac:dyDescent="0.3">
      <c r="B294" s="213"/>
      <c r="C294" s="312"/>
      <c r="D294" s="310" t="s">
        <v>905</v>
      </c>
      <c r="E294" s="311" t="str">
        <f>IF(E292='PTP Pg 4 of 5'!E33,"ok","err on PTP pg 4")</f>
        <v>ok</v>
      </c>
      <c r="G294" s="213"/>
    </row>
    <row r="295" spans="1:7" ht="14.5" x14ac:dyDescent="0.45">
      <c r="A295" s="215" t="s">
        <v>710</v>
      </c>
      <c r="B295" s="165"/>
      <c r="C295" s="324" t="s">
        <v>431</v>
      </c>
      <c r="D295" s="324" t="s">
        <v>432</v>
      </c>
      <c r="G295" s="213"/>
    </row>
    <row r="296" spans="1:7" x14ac:dyDescent="0.3">
      <c r="A296" s="215" t="s">
        <v>71</v>
      </c>
      <c r="B296" s="162" t="s">
        <v>711</v>
      </c>
      <c r="C296" s="559">
        <v>9348742398</v>
      </c>
      <c r="D296" s="559">
        <v>5442114629</v>
      </c>
      <c r="E296" s="213">
        <f>C296+D296</f>
        <v>14790857027</v>
      </c>
      <c r="F296" s="314" t="s">
        <v>712</v>
      </c>
      <c r="G296" s="213"/>
    </row>
    <row r="297" spans="1:7" x14ac:dyDescent="0.3">
      <c r="A297" s="215" t="s">
        <v>73</v>
      </c>
      <c r="B297" s="162" t="s">
        <v>713</v>
      </c>
      <c r="C297" s="559">
        <v>0</v>
      </c>
      <c r="D297" s="559">
        <v>1240375887</v>
      </c>
      <c r="E297" s="213">
        <f>C297+D297</f>
        <v>1240375887</v>
      </c>
      <c r="F297" s="314" t="s">
        <v>714</v>
      </c>
      <c r="G297" s="213"/>
    </row>
    <row r="298" spans="1:7" x14ac:dyDescent="0.3">
      <c r="A298" s="240" t="s">
        <v>75</v>
      </c>
      <c r="B298" s="239" t="s">
        <v>715</v>
      </c>
      <c r="C298" s="559">
        <v>0</v>
      </c>
      <c r="D298" s="559">
        <v>0</v>
      </c>
      <c r="E298" s="213">
        <f>C298+D298</f>
        <v>0</v>
      </c>
      <c r="F298" s="314" t="s">
        <v>716</v>
      </c>
      <c r="G298" s="213"/>
    </row>
    <row r="299" spans="1:7" x14ac:dyDescent="0.3">
      <c r="A299" s="240"/>
      <c r="B299" s="239"/>
      <c r="C299" s="212" t="s">
        <v>231</v>
      </c>
      <c r="D299" s="213"/>
      <c r="E299" s="213">
        <f>SUM(E296:E298)</f>
        <v>16031232914</v>
      </c>
      <c r="F299" s="209"/>
      <c r="G299" s="213"/>
    </row>
    <row r="300" spans="1:7" x14ac:dyDescent="0.3">
      <c r="A300" s="240"/>
      <c r="B300" s="241"/>
      <c r="C300" s="311"/>
      <c r="D300" s="310" t="s">
        <v>904</v>
      </c>
      <c r="E300" s="311" t="str">
        <f>IF(E299='NITS Pg 4 of 5'!E40,"ok","err on NITS pg 4")</f>
        <v>ok</v>
      </c>
      <c r="F300" s="209"/>
      <c r="G300" s="213"/>
    </row>
    <row r="301" spans="1:7" x14ac:dyDescent="0.3">
      <c r="A301" s="215"/>
      <c r="B301" s="159"/>
      <c r="C301" s="312"/>
      <c r="D301" s="310" t="s">
        <v>905</v>
      </c>
      <c r="E301" s="311" t="str">
        <f>IF(E299='PTP Pg 4 of 5'!E40,"ok","err on PTP pg 4")</f>
        <v>ok</v>
      </c>
      <c r="G301" s="213"/>
    </row>
    <row r="302" spans="1:7" x14ac:dyDescent="0.3">
      <c r="A302" s="215" t="s">
        <v>717</v>
      </c>
      <c r="B302" s="165"/>
      <c r="C302" s="159"/>
      <c r="G302" s="213"/>
    </row>
    <row r="303" spans="1:7" x14ac:dyDescent="0.3">
      <c r="A303" s="154" t="s">
        <v>77</v>
      </c>
      <c r="B303" s="213"/>
      <c r="G303" s="213"/>
    </row>
    <row r="304" spans="1:7" x14ac:dyDescent="0.3">
      <c r="A304" s="154" t="s">
        <v>718</v>
      </c>
      <c r="B304" s="162" t="s">
        <v>719</v>
      </c>
      <c r="C304" s="559">
        <v>101614350</v>
      </c>
      <c r="D304" s="559">
        <v>78614740</v>
      </c>
      <c r="E304" s="213"/>
      <c r="F304" s="209"/>
      <c r="G304" s="213"/>
    </row>
    <row r="305" spans="1:8" x14ac:dyDescent="0.3">
      <c r="A305" s="16" t="s">
        <v>720</v>
      </c>
      <c r="B305" s="213"/>
      <c r="C305" s="344"/>
      <c r="D305" s="344"/>
      <c r="E305" s="213"/>
      <c r="G305" s="213"/>
    </row>
    <row r="306" spans="1:8" ht="91" x14ac:dyDescent="0.3">
      <c r="A306" s="242" t="s">
        <v>721</v>
      </c>
      <c r="B306" s="162" t="s">
        <v>719</v>
      </c>
      <c r="C306" s="559">
        <v>101614350</v>
      </c>
      <c r="D306" s="559">
        <v>78614740</v>
      </c>
      <c r="E306" s="213"/>
      <c r="G306" s="213"/>
      <c r="H306" s="491" t="s">
        <v>966</v>
      </c>
    </row>
    <row r="307" spans="1:8" x14ac:dyDescent="0.3">
      <c r="A307" s="242" t="s">
        <v>722</v>
      </c>
      <c r="B307" s="212" t="s">
        <v>723</v>
      </c>
      <c r="C307" s="559">
        <v>101614350</v>
      </c>
      <c r="D307" s="559">
        <v>78614740</v>
      </c>
      <c r="E307" s="213"/>
      <c r="G307" s="213"/>
    </row>
    <row r="308" spans="1:8" x14ac:dyDescent="0.3">
      <c r="A308" s="154" t="s">
        <v>724</v>
      </c>
      <c r="B308" s="162" t="s">
        <v>725</v>
      </c>
      <c r="C308" s="559">
        <v>3083437</v>
      </c>
      <c r="D308" s="559">
        <v>2352418</v>
      </c>
      <c r="E308" s="213"/>
      <c r="F308" s="209"/>
      <c r="G308" s="213"/>
    </row>
    <row r="309" spans="1:8" x14ac:dyDescent="0.3">
      <c r="A309" s="154" t="s">
        <v>726</v>
      </c>
      <c r="B309" s="162" t="s">
        <v>727</v>
      </c>
      <c r="C309" s="559">
        <v>572941</v>
      </c>
      <c r="D309" s="559">
        <v>1021230</v>
      </c>
      <c r="E309" s="213"/>
      <c r="F309" s="209"/>
      <c r="G309" s="213"/>
    </row>
    <row r="310" spans="1:8" x14ac:dyDescent="0.3">
      <c r="A310" s="154" t="s">
        <v>728</v>
      </c>
      <c r="B310" s="162" t="s">
        <v>729</v>
      </c>
      <c r="C310" s="559">
        <v>-157244</v>
      </c>
      <c r="D310" s="559">
        <v>0</v>
      </c>
      <c r="E310" s="213"/>
      <c r="F310" s="209"/>
      <c r="G310" s="213"/>
    </row>
    <row r="311" spans="1:8" x14ac:dyDescent="0.3">
      <c r="A311" s="154" t="s">
        <v>730</v>
      </c>
      <c r="B311" s="162" t="s">
        <v>731</v>
      </c>
      <c r="C311" s="559">
        <v>0</v>
      </c>
      <c r="D311" s="559">
        <v>0</v>
      </c>
      <c r="E311" s="213"/>
      <c r="F311" s="209"/>
      <c r="G311" s="213"/>
    </row>
    <row r="312" spans="1:8" x14ac:dyDescent="0.3">
      <c r="A312" s="154" t="s">
        <v>732</v>
      </c>
      <c r="B312" s="162" t="s">
        <v>733</v>
      </c>
      <c r="C312" s="559">
        <v>19222</v>
      </c>
      <c r="D312" s="559">
        <v>394191</v>
      </c>
      <c r="E312" s="213"/>
      <c r="F312" s="209"/>
      <c r="G312" s="213"/>
    </row>
    <row r="313" spans="1:8" x14ac:dyDescent="0.3">
      <c r="A313" s="154"/>
      <c r="B313" s="162"/>
      <c r="C313" s="213">
        <f>SUM(C304,-C306,C307:C312)</f>
        <v>105132706</v>
      </c>
      <c r="D313" s="213">
        <f>SUM(D304,-D306,D307:D312)</f>
        <v>82382579</v>
      </c>
      <c r="E313" s="213">
        <f t="shared" ref="E313" si="16">C313+D313</f>
        <v>187515285</v>
      </c>
      <c r="F313" s="314" t="s">
        <v>735</v>
      </c>
      <c r="G313" s="213"/>
    </row>
    <row r="314" spans="1:8" x14ac:dyDescent="0.3">
      <c r="A314" s="154"/>
      <c r="B314" s="162"/>
      <c r="D314" s="310" t="s">
        <v>904</v>
      </c>
      <c r="E314" s="311" t="str">
        <f>IF(E313='NITS Pg 4 of 5'!E44,"ok","err on NITS pg 4")</f>
        <v>ok</v>
      </c>
      <c r="F314" s="209"/>
      <c r="G314" s="213"/>
    </row>
    <row r="315" spans="1:8" x14ac:dyDescent="0.3">
      <c r="A315" s="154"/>
      <c r="B315" s="162"/>
      <c r="D315" s="310" t="s">
        <v>905</v>
      </c>
      <c r="E315" s="311" t="str">
        <f>IF(E313='PTP Pg 4 of 5'!E44,"ok","err on PTP pg 4")</f>
        <v>ok</v>
      </c>
      <c r="F315" s="209"/>
      <c r="G315" s="213"/>
    </row>
    <row r="316" spans="1:8" x14ac:dyDescent="0.3">
      <c r="B316" s="213"/>
      <c r="G316" s="213"/>
    </row>
    <row r="317" spans="1:8" x14ac:dyDescent="0.3">
      <c r="A317" s="154" t="s">
        <v>126</v>
      </c>
      <c r="B317" s="165" t="s">
        <v>734</v>
      </c>
      <c r="C317" s="559">
        <v>0</v>
      </c>
      <c r="D317" s="559">
        <v>0</v>
      </c>
      <c r="E317" s="213">
        <f t="shared" ref="E317" si="17">C317+D317</f>
        <v>0</v>
      </c>
      <c r="F317" s="314" t="s">
        <v>754</v>
      </c>
      <c r="G317" s="213"/>
    </row>
    <row r="318" spans="1:8" x14ac:dyDescent="0.3">
      <c r="B318" s="213"/>
      <c r="C318" s="344"/>
      <c r="D318" s="344"/>
      <c r="E318" s="213"/>
      <c r="G318" s="213"/>
    </row>
    <row r="319" spans="1:8" x14ac:dyDescent="0.3">
      <c r="A319" s="154" t="s">
        <v>78</v>
      </c>
      <c r="B319" s="162" t="s">
        <v>736</v>
      </c>
      <c r="C319" s="559">
        <v>2967162174</v>
      </c>
      <c r="D319" s="559">
        <v>2373813901</v>
      </c>
      <c r="E319" s="213">
        <f t="shared" ref="E319:E328" si="18">C319+D319</f>
        <v>5340976075</v>
      </c>
      <c r="F319" s="209"/>
      <c r="G319" s="213"/>
    </row>
    <row r="320" spans="1:8" x14ac:dyDescent="0.3">
      <c r="A320" s="16" t="s">
        <v>720</v>
      </c>
      <c r="B320" s="213"/>
      <c r="C320" s="344"/>
      <c r="D320" s="344"/>
      <c r="E320" s="213"/>
      <c r="G320" s="213"/>
    </row>
    <row r="321" spans="1:8" ht="91" x14ac:dyDescent="0.3">
      <c r="A321" s="242" t="s">
        <v>737</v>
      </c>
      <c r="B321" s="213" t="s">
        <v>738</v>
      </c>
      <c r="C321" s="559">
        <v>696858083</v>
      </c>
      <c r="D321" s="559">
        <v>626081499</v>
      </c>
      <c r="E321" s="213">
        <f t="shared" si="18"/>
        <v>1322939582</v>
      </c>
      <c r="G321" s="213"/>
      <c r="H321" s="491" t="s">
        <v>966</v>
      </c>
    </row>
    <row r="322" spans="1:8" x14ac:dyDescent="0.3">
      <c r="A322" s="242" t="s">
        <v>739</v>
      </c>
      <c r="B322" s="213" t="s">
        <v>740</v>
      </c>
      <c r="C322" s="559">
        <v>696858083</v>
      </c>
      <c r="D322" s="559">
        <v>626081499</v>
      </c>
      <c r="E322" s="213">
        <f t="shared" si="18"/>
        <v>1322939582</v>
      </c>
      <c r="G322" s="213"/>
      <c r="H322" s="492"/>
    </row>
    <row r="323" spans="1:8" ht="91" x14ac:dyDescent="0.3">
      <c r="A323" s="221" t="s">
        <v>741</v>
      </c>
      <c r="B323" s="212" t="s">
        <v>742</v>
      </c>
      <c r="C323" s="559">
        <v>1962485402</v>
      </c>
      <c r="D323" s="559">
        <v>1323397867</v>
      </c>
      <c r="E323" s="213">
        <f t="shared" si="18"/>
        <v>3285883269</v>
      </c>
      <c r="G323" s="213"/>
      <c r="H323" s="491" t="s">
        <v>966</v>
      </c>
    </row>
    <row r="324" spans="1:8" x14ac:dyDescent="0.3">
      <c r="A324" s="224" t="s">
        <v>743</v>
      </c>
      <c r="B324" s="212" t="s">
        <v>744</v>
      </c>
      <c r="C324" s="559">
        <v>1962485402</v>
      </c>
      <c r="D324" s="559">
        <v>1323397867</v>
      </c>
      <c r="E324" s="213">
        <f t="shared" si="18"/>
        <v>3285883269</v>
      </c>
      <c r="G324" s="213"/>
      <c r="H324" s="492"/>
    </row>
    <row r="325" spans="1:8" ht="91" x14ac:dyDescent="0.3">
      <c r="A325" s="242" t="s">
        <v>745</v>
      </c>
      <c r="B325" s="213" t="s">
        <v>746</v>
      </c>
      <c r="C325" s="559">
        <v>0</v>
      </c>
      <c r="D325" s="559">
        <v>0</v>
      </c>
      <c r="E325" s="213">
        <f t="shared" si="18"/>
        <v>0</v>
      </c>
      <c r="G325" s="213"/>
      <c r="H325" s="491" t="s">
        <v>966</v>
      </c>
    </row>
    <row r="326" spans="1:8" x14ac:dyDescent="0.3">
      <c r="A326" s="242" t="s">
        <v>747</v>
      </c>
      <c r="B326" s="213" t="s">
        <v>748</v>
      </c>
      <c r="C326" s="559">
        <v>0</v>
      </c>
      <c r="D326" s="559">
        <v>0</v>
      </c>
      <c r="E326" s="213">
        <f t="shared" si="18"/>
        <v>0</v>
      </c>
      <c r="G326" s="213"/>
      <c r="H326" s="492"/>
    </row>
    <row r="327" spans="1:8" ht="91" x14ac:dyDescent="0.3">
      <c r="A327" s="242" t="s">
        <v>749</v>
      </c>
      <c r="B327" s="212" t="s">
        <v>750</v>
      </c>
      <c r="C327" s="559">
        <v>0</v>
      </c>
      <c r="D327" s="559">
        <v>0</v>
      </c>
      <c r="E327" s="213">
        <f t="shared" si="18"/>
        <v>0</v>
      </c>
      <c r="G327" s="213"/>
      <c r="H327" s="491" t="s">
        <v>966</v>
      </c>
    </row>
    <row r="328" spans="1:8" x14ac:dyDescent="0.3">
      <c r="A328" s="242" t="s">
        <v>751</v>
      </c>
      <c r="B328" s="212" t="s">
        <v>752</v>
      </c>
      <c r="C328" s="559">
        <v>0</v>
      </c>
      <c r="D328" s="559">
        <v>0</v>
      </c>
      <c r="E328" s="213">
        <f t="shared" si="18"/>
        <v>0</v>
      </c>
      <c r="G328" s="213"/>
    </row>
    <row r="329" spans="1:8" x14ac:dyDescent="0.3">
      <c r="A329" s="209" t="s">
        <v>753</v>
      </c>
      <c r="B329" s="213"/>
      <c r="C329" s="213">
        <f>C319-C321+C322-C323+C324-C325+C326-C327+C328</f>
        <v>2967162174</v>
      </c>
      <c r="D329" s="213">
        <f>D319-D321+D322-D323+D324-D325+D326-D327+D328</f>
        <v>2373813901</v>
      </c>
      <c r="E329" s="213">
        <f t="shared" ref="E329" si="19">C329+D329</f>
        <v>5340976075</v>
      </c>
      <c r="F329" s="314" t="s">
        <v>754</v>
      </c>
      <c r="G329" s="213"/>
    </row>
    <row r="330" spans="1:8" x14ac:dyDescent="0.3">
      <c r="B330" s="213"/>
      <c r="D330" s="310" t="s">
        <v>904</v>
      </c>
      <c r="E330" s="311" t="str">
        <f>IF(E329='NITS Pg 4 of 5'!E47,"ok","err on NITS pg 4")</f>
        <v>ok</v>
      </c>
      <c r="G330" s="213"/>
    </row>
    <row r="331" spans="1:8" x14ac:dyDescent="0.3">
      <c r="B331" s="213"/>
      <c r="D331" s="310" t="s">
        <v>905</v>
      </c>
      <c r="E331" s="311" t="str">
        <f>IF(E329='PTP Pg 4 of 5'!E47,"ok","err on PTP pg 4")</f>
        <v>ok</v>
      </c>
      <c r="G331" s="213"/>
    </row>
    <row r="332" spans="1:8" x14ac:dyDescent="0.3">
      <c r="A332" s="16" t="s">
        <v>755</v>
      </c>
      <c r="B332" s="213"/>
      <c r="G332" s="213"/>
    </row>
    <row r="333" spans="1:8" x14ac:dyDescent="0.3">
      <c r="A333" s="16" t="s">
        <v>756</v>
      </c>
      <c r="B333" s="213" t="s">
        <v>746</v>
      </c>
      <c r="C333" s="165">
        <f>C325</f>
        <v>0</v>
      </c>
      <c r="D333" s="165">
        <f>D325</f>
        <v>0</v>
      </c>
      <c r="E333" s="213"/>
      <c r="G333" s="213"/>
    </row>
    <row r="334" spans="1:8" x14ac:dyDescent="0.3">
      <c r="A334" s="209" t="s">
        <v>757</v>
      </c>
      <c r="B334" s="212" t="s">
        <v>750</v>
      </c>
      <c r="C334" s="165">
        <f>C327</f>
        <v>0</v>
      </c>
      <c r="D334" s="165">
        <f>D327</f>
        <v>0</v>
      </c>
      <c r="E334" s="213"/>
      <c r="G334" s="213"/>
    </row>
    <row r="335" spans="1:8" x14ac:dyDescent="0.3">
      <c r="A335" s="16" t="s">
        <v>720</v>
      </c>
      <c r="B335" s="213"/>
      <c r="E335" s="213"/>
      <c r="G335" s="213"/>
    </row>
    <row r="336" spans="1:8" ht="91" x14ac:dyDescent="0.3">
      <c r="A336" s="242" t="s">
        <v>745</v>
      </c>
      <c r="B336" s="213" t="s">
        <v>746</v>
      </c>
      <c r="C336" s="165">
        <f>C333</f>
        <v>0</v>
      </c>
      <c r="D336" s="165">
        <f>D333</f>
        <v>0</v>
      </c>
      <c r="E336" s="213"/>
      <c r="G336" s="213"/>
      <c r="H336" s="491" t="s">
        <v>966</v>
      </c>
    </row>
    <row r="337" spans="1:8" x14ac:dyDescent="0.3">
      <c r="A337" s="242" t="s">
        <v>739</v>
      </c>
      <c r="B337" s="213" t="s">
        <v>748</v>
      </c>
      <c r="C337" s="165">
        <f t="shared" ref="C337:D339" si="20">C326</f>
        <v>0</v>
      </c>
      <c r="D337" s="165">
        <f t="shared" si="20"/>
        <v>0</v>
      </c>
      <c r="E337" s="213"/>
      <c r="G337" s="213"/>
    </row>
    <row r="338" spans="1:8" ht="91" x14ac:dyDescent="0.3">
      <c r="A338" s="242" t="s">
        <v>749</v>
      </c>
      <c r="B338" s="212" t="s">
        <v>750</v>
      </c>
      <c r="C338" s="165">
        <f t="shared" si="20"/>
        <v>0</v>
      </c>
      <c r="D338" s="165">
        <f t="shared" si="20"/>
        <v>0</v>
      </c>
      <c r="E338" s="213"/>
      <c r="G338" s="213"/>
      <c r="H338" s="491" t="s">
        <v>966</v>
      </c>
    </row>
    <row r="339" spans="1:8" x14ac:dyDescent="0.3">
      <c r="A339" s="242" t="s">
        <v>751</v>
      </c>
      <c r="B339" s="212" t="s">
        <v>752</v>
      </c>
      <c r="C339" s="165">
        <f t="shared" si="20"/>
        <v>0</v>
      </c>
      <c r="D339" s="165">
        <f t="shared" si="20"/>
        <v>0</v>
      </c>
      <c r="E339" s="213"/>
      <c r="G339" s="213"/>
    </row>
    <row r="340" spans="1:8" x14ac:dyDescent="0.3">
      <c r="A340" s="209" t="s">
        <v>758</v>
      </c>
      <c r="B340" s="213"/>
      <c r="C340" s="213">
        <f>C333+C334-C336+C337-C338+C339</f>
        <v>0</v>
      </c>
      <c r="D340" s="213">
        <f>D333+D334-D336+D337-D338+D339</f>
        <v>0</v>
      </c>
      <c r="E340" s="213">
        <f t="shared" ref="E340" si="21">C340+D340</f>
        <v>0</v>
      </c>
      <c r="F340" s="314" t="s">
        <v>759</v>
      </c>
      <c r="G340" s="213"/>
    </row>
    <row r="341" spans="1:8" x14ac:dyDescent="0.3">
      <c r="A341" s="209"/>
      <c r="B341" s="213"/>
      <c r="D341" s="310" t="s">
        <v>904</v>
      </c>
      <c r="E341" s="311" t="str">
        <f>IF(E340='NITS Pg 4 of 5'!E49,"ok","err on NITS pg 4")</f>
        <v>ok</v>
      </c>
      <c r="F341" s="209"/>
      <c r="G341" s="213"/>
    </row>
    <row r="342" spans="1:8" x14ac:dyDescent="0.3">
      <c r="A342" s="224"/>
      <c r="B342" s="213"/>
      <c r="D342" s="310" t="s">
        <v>905</v>
      </c>
      <c r="E342" s="311" t="str">
        <f>IF(E340='PTP Pg 4 of 5'!E49,"ok","err on PTP pg 4")</f>
        <v>ok</v>
      </c>
      <c r="G342" s="213"/>
    </row>
    <row r="343" spans="1:8" x14ac:dyDescent="0.3">
      <c r="A343" s="232" t="s">
        <v>760</v>
      </c>
      <c r="B343" s="213"/>
      <c r="G343" s="213"/>
    </row>
    <row r="344" spans="1:8" x14ac:dyDescent="0.3">
      <c r="A344" s="16" t="s">
        <v>761</v>
      </c>
      <c r="B344" s="212" t="s">
        <v>762</v>
      </c>
      <c r="C344" s="559">
        <v>2639740709</v>
      </c>
      <c r="D344" s="559">
        <v>2019897920</v>
      </c>
      <c r="E344" s="213"/>
      <c r="G344" s="213"/>
    </row>
    <row r="345" spans="1:8" x14ac:dyDescent="0.3">
      <c r="A345" s="16" t="s">
        <v>720</v>
      </c>
      <c r="B345" s="213"/>
      <c r="C345" s="344"/>
      <c r="D345" s="344"/>
      <c r="E345" s="213"/>
      <c r="G345" s="213"/>
    </row>
    <row r="346" spans="1:8" ht="91" x14ac:dyDescent="0.3">
      <c r="A346" s="242" t="s">
        <v>763</v>
      </c>
      <c r="B346" s="212" t="s">
        <v>764</v>
      </c>
      <c r="C346" s="559">
        <v>0</v>
      </c>
      <c r="D346" s="559">
        <v>0</v>
      </c>
      <c r="E346" s="213"/>
      <c r="G346" s="213"/>
      <c r="H346" s="491" t="s">
        <v>966</v>
      </c>
    </row>
    <row r="347" spans="1:8" x14ac:dyDescent="0.3">
      <c r="A347" s="242" t="s">
        <v>765</v>
      </c>
      <c r="B347" s="212" t="s">
        <v>766</v>
      </c>
      <c r="C347" s="559">
        <v>0</v>
      </c>
      <c r="D347" s="559">
        <v>0</v>
      </c>
      <c r="E347" s="213"/>
      <c r="G347" s="213"/>
    </row>
    <row r="348" spans="1:8" x14ac:dyDescent="0.3">
      <c r="A348" s="16" t="s">
        <v>761</v>
      </c>
      <c r="B348" s="213"/>
      <c r="C348" s="213">
        <f>C344-C346+C347</f>
        <v>2639740709</v>
      </c>
      <c r="D348" s="213">
        <f>D344-D346+D347</f>
        <v>2019897920</v>
      </c>
      <c r="E348" s="213">
        <f>C348+D348</f>
        <v>4659638629</v>
      </c>
      <c r="F348" s="314" t="s">
        <v>1002</v>
      </c>
      <c r="G348" s="213"/>
    </row>
    <row r="349" spans="1:8" x14ac:dyDescent="0.3">
      <c r="D349" s="310" t="s">
        <v>904</v>
      </c>
      <c r="E349" s="311" t="str">
        <f>IF(E348='NITS Pg 4 of 5'!E53,"ok","err on NITS pg 4")</f>
        <v>ok</v>
      </c>
      <c r="F349" s="209"/>
      <c r="G349" s="213"/>
    </row>
    <row r="350" spans="1:8" x14ac:dyDescent="0.3">
      <c r="D350" s="310" t="s">
        <v>905</v>
      </c>
      <c r="E350" s="311" t="str">
        <f>IF(E348='PTP Pg 4 of 5'!E53,"ok","err on PTP pg 4")</f>
        <v>ok</v>
      </c>
      <c r="F350" s="209"/>
      <c r="G350" s="213"/>
    </row>
    <row r="351" spans="1:8" x14ac:dyDescent="0.3">
      <c r="G351" s="213"/>
    </row>
    <row r="352" spans="1:8" x14ac:dyDescent="0.3">
      <c r="A352" s="16" t="s">
        <v>767</v>
      </c>
      <c r="D352" s="213"/>
      <c r="E352" s="560">
        <v>0.10879999999999999</v>
      </c>
      <c r="F352" s="314" t="s">
        <v>897</v>
      </c>
      <c r="G352" s="213"/>
      <c r="H352" s="313" t="s">
        <v>768</v>
      </c>
    </row>
    <row r="353" spans="1:7" x14ac:dyDescent="0.3">
      <c r="G353" s="213"/>
    </row>
    <row r="354" spans="1:7" x14ac:dyDescent="0.3">
      <c r="A354" s="16" t="s">
        <v>769</v>
      </c>
      <c r="G354" s="213"/>
    </row>
    <row r="355" spans="1:7" x14ac:dyDescent="0.3">
      <c r="A355" s="213" t="s">
        <v>1131</v>
      </c>
      <c r="C355" s="575">
        <v>112321.08</v>
      </c>
      <c r="D355" s="575">
        <v>1156049.29</v>
      </c>
      <c r="E355" s="16">
        <f>C355+D355</f>
        <v>1268370.3700000001</v>
      </c>
      <c r="G355" s="213"/>
    </row>
    <row r="356" spans="1:7" x14ac:dyDescent="0.3">
      <c r="A356" s="209" t="s">
        <v>912</v>
      </c>
      <c r="C356" s="213"/>
      <c r="D356" s="213"/>
      <c r="G356" s="213"/>
    </row>
    <row r="357" spans="1:7" x14ac:dyDescent="0.3">
      <c r="A357" s="16" t="s">
        <v>770</v>
      </c>
      <c r="B357" s="212" t="s">
        <v>771</v>
      </c>
      <c r="C357" s="559">
        <v>25803813</v>
      </c>
      <c r="D357" s="559">
        <v>11706506</v>
      </c>
      <c r="E357" s="213">
        <f>C357+D357</f>
        <v>37510319</v>
      </c>
      <c r="F357" s="313" t="s">
        <v>1003</v>
      </c>
      <c r="G357" s="213"/>
    </row>
    <row r="358" spans="1:7" x14ac:dyDescent="0.3">
      <c r="B358" s="212"/>
      <c r="C358" s="209"/>
      <c r="D358" s="209"/>
      <c r="F358" s="313"/>
      <c r="G358" s="213"/>
    </row>
    <row r="359" spans="1:7" x14ac:dyDescent="0.3">
      <c r="A359" s="16" t="s">
        <v>772</v>
      </c>
      <c r="B359" s="212" t="s">
        <v>773</v>
      </c>
      <c r="C359" s="559">
        <v>0</v>
      </c>
      <c r="D359" s="559">
        <v>0</v>
      </c>
      <c r="E359" s="310" t="str">
        <f>IF(E357='NITS Pg 4 of 5'!J66,"ok","err on NITS pg 4")</f>
        <v>ok</v>
      </c>
      <c r="F359" s="310" t="s">
        <v>904</v>
      </c>
      <c r="G359" s="213"/>
    </row>
    <row r="360" spans="1:7" x14ac:dyDescent="0.3">
      <c r="B360" s="212" t="s">
        <v>995</v>
      </c>
      <c r="C360" s="559">
        <v>7293974</v>
      </c>
      <c r="D360" s="559">
        <v>3262792</v>
      </c>
      <c r="E360" s="310" t="str">
        <f>IF(E357='PTP Pg 4 of 5'!J66,"ok","err on PTP pg 4")</f>
        <v>ok</v>
      </c>
      <c r="F360" s="310" t="s">
        <v>905</v>
      </c>
      <c r="G360" s="213"/>
    </row>
    <row r="361" spans="1:7" x14ac:dyDescent="0.3">
      <c r="B361" s="212" t="s">
        <v>795</v>
      </c>
      <c r="C361" s="559">
        <v>2321533</v>
      </c>
      <c r="D361" s="559">
        <v>0</v>
      </c>
      <c r="E361" s="213"/>
      <c r="G361" s="213"/>
    </row>
    <row r="362" spans="1:7" x14ac:dyDescent="0.3">
      <c r="B362" s="212" t="s">
        <v>775</v>
      </c>
      <c r="C362" s="559">
        <v>2237648</v>
      </c>
      <c r="D362" s="559">
        <v>0</v>
      </c>
      <c r="E362" s="213"/>
      <c r="G362" s="213"/>
    </row>
    <row r="363" spans="1:7" x14ac:dyDescent="0.3">
      <c r="B363" s="212" t="s">
        <v>994</v>
      </c>
      <c r="C363" s="559">
        <v>1304629</v>
      </c>
      <c r="D363" s="559">
        <v>0</v>
      </c>
      <c r="E363" s="213"/>
      <c r="G363" s="213"/>
    </row>
    <row r="364" spans="1:7" x14ac:dyDescent="0.3">
      <c r="B364" s="212" t="s">
        <v>788</v>
      </c>
      <c r="C364" s="559">
        <v>0</v>
      </c>
      <c r="D364" s="559">
        <v>38618</v>
      </c>
      <c r="E364" s="213"/>
      <c r="G364" s="213"/>
    </row>
    <row r="365" spans="1:7" x14ac:dyDescent="0.3">
      <c r="B365" s="212" t="s">
        <v>976</v>
      </c>
      <c r="C365" s="559">
        <v>123030</v>
      </c>
      <c r="D365" s="559">
        <v>1081171</v>
      </c>
      <c r="E365" s="213"/>
      <c r="G365" s="213"/>
    </row>
    <row r="366" spans="1:7" x14ac:dyDescent="0.3">
      <c r="B366" s="212" t="s">
        <v>776</v>
      </c>
      <c r="C366" s="559">
        <v>3468562</v>
      </c>
      <c r="D366" s="559">
        <v>1061031</v>
      </c>
      <c r="E366" s="213"/>
      <c r="G366" s="213"/>
    </row>
    <row r="367" spans="1:7" x14ac:dyDescent="0.3">
      <c r="B367" s="212" t="s">
        <v>792</v>
      </c>
      <c r="C367" s="559">
        <v>86547</v>
      </c>
      <c r="D367" s="559">
        <v>0</v>
      </c>
      <c r="E367" s="213"/>
      <c r="G367" s="213"/>
    </row>
    <row r="368" spans="1:7" x14ac:dyDescent="0.3">
      <c r="B368" s="212" t="s">
        <v>777</v>
      </c>
      <c r="C368" s="559">
        <v>0</v>
      </c>
      <c r="D368" s="559">
        <v>0</v>
      </c>
      <c r="E368" s="213"/>
      <c r="G368" s="213"/>
    </row>
    <row r="369" spans="2:7" x14ac:dyDescent="0.3">
      <c r="B369" s="212" t="s">
        <v>778</v>
      </c>
      <c r="C369" s="559">
        <v>0</v>
      </c>
      <c r="D369" s="559">
        <v>0</v>
      </c>
      <c r="E369" s="213"/>
      <c r="G369" s="213"/>
    </row>
    <row r="370" spans="2:7" x14ac:dyDescent="0.3">
      <c r="B370" s="212" t="s">
        <v>779</v>
      </c>
      <c r="C370" s="559">
        <v>0</v>
      </c>
      <c r="D370" s="559">
        <v>54841</v>
      </c>
      <c r="E370" s="213"/>
      <c r="G370" s="213"/>
    </row>
    <row r="371" spans="2:7" x14ac:dyDescent="0.3">
      <c r="B371" s="212" t="s">
        <v>975</v>
      </c>
      <c r="C371" s="559">
        <v>0</v>
      </c>
      <c r="D371" s="559">
        <v>1594786</v>
      </c>
      <c r="E371" s="213"/>
      <c r="G371" s="213"/>
    </row>
    <row r="372" spans="2:7" x14ac:dyDescent="0.3">
      <c r="B372" s="212" t="s">
        <v>861</v>
      </c>
      <c r="C372" s="559">
        <v>0</v>
      </c>
      <c r="D372" s="559">
        <v>582422</v>
      </c>
      <c r="E372" s="213"/>
      <c r="G372" s="213"/>
    </row>
    <row r="373" spans="2:7" x14ac:dyDescent="0.3">
      <c r="B373" s="212" t="s">
        <v>932</v>
      </c>
      <c r="C373" s="559">
        <v>220</v>
      </c>
      <c r="D373" s="559">
        <v>0</v>
      </c>
      <c r="E373" s="213"/>
      <c r="G373" s="213"/>
    </row>
    <row r="374" spans="2:7" x14ac:dyDescent="0.3">
      <c r="B374" s="212" t="s">
        <v>996</v>
      </c>
      <c r="C374" s="559">
        <v>87101</v>
      </c>
      <c r="D374" s="559">
        <v>0</v>
      </c>
      <c r="E374" s="213"/>
      <c r="G374" s="213"/>
    </row>
    <row r="375" spans="2:7" x14ac:dyDescent="0.3">
      <c r="B375" s="212" t="s">
        <v>997</v>
      </c>
      <c r="C375" s="559">
        <v>587368</v>
      </c>
      <c r="D375" s="559">
        <v>0</v>
      </c>
      <c r="E375" s="213"/>
      <c r="G375" s="213"/>
    </row>
    <row r="376" spans="2:7" x14ac:dyDescent="0.3">
      <c r="B376" s="212" t="s">
        <v>862</v>
      </c>
      <c r="C376" s="559">
        <v>6967</v>
      </c>
      <c r="D376" s="559">
        <v>0</v>
      </c>
      <c r="E376" s="213"/>
      <c r="G376" s="213"/>
    </row>
    <row r="377" spans="2:7" x14ac:dyDescent="0.3">
      <c r="B377" s="212" t="s">
        <v>993</v>
      </c>
      <c r="C377" s="559">
        <v>137594</v>
      </c>
      <c r="D377" s="559">
        <v>40968</v>
      </c>
      <c r="E377" s="213"/>
      <c r="G377" s="213"/>
    </row>
    <row r="378" spans="2:7" x14ac:dyDescent="0.3">
      <c r="B378" s="212" t="s">
        <v>863</v>
      </c>
      <c r="C378" s="559">
        <v>76108</v>
      </c>
      <c r="D378" s="559">
        <v>266169</v>
      </c>
      <c r="E378" s="213"/>
      <c r="G378" s="213"/>
    </row>
    <row r="379" spans="2:7" x14ac:dyDescent="0.3">
      <c r="B379" s="212" t="s">
        <v>797</v>
      </c>
      <c r="C379" s="559">
        <v>16333</v>
      </c>
      <c r="D379" s="559">
        <v>3278</v>
      </c>
      <c r="E379" s="213"/>
      <c r="G379" s="213"/>
    </row>
    <row r="380" spans="2:7" x14ac:dyDescent="0.3">
      <c r="B380" s="212" t="s">
        <v>793</v>
      </c>
      <c r="C380" s="559">
        <v>28445</v>
      </c>
      <c r="D380" s="559">
        <v>64716</v>
      </c>
      <c r="E380" s="213"/>
      <c r="G380" s="213"/>
    </row>
    <row r="381" spans="2:7" x14ac:dyDescent="0.3">
      <c r="B381" s="212" t="s">
        <v>780</v>
      </c>
      <c r="C381" s="559">
        <v>643044</v>
      </c>
      <c r="D381" s="559">
        <v>35797</v>
      </c>
      <c r="E381" s="213"/>
      <c r="G381" s="213"/>
    </row>
    <row r="382" spans="2:7" x14ac:dyDescent="0.3">
      <c r="B382" s="212" t="s">
        <v>781</v>
      </c>
      <c r="C382" s="559">
        <v>217829</v>
      </c>
      <c r="D382" s="559">
        <v>7682</v>
      </c>
      <c r="E382" s="213"/>
      <c r="G382" s="213"/>
    </row>
    <row r="383" spans="2:7" x14ac:dyDescent="0.3">
      <c r="B383" s="212" t="s">
        <v>782</v>
      </c>
      <c r="C383" s="559">
        <v>577016</v>
      </c>
      <c r="D383" s="559">
        <v>302447</v>
      </c>
      <c r="E383" s="213"/>
      <c r="G383" s="213"/>
    </row>
    <row r="384" spans="2:7" x14ac:dyDescent="0.3">
      <c r="B384" s="212" t="s">
        <v>783</v>
      </c>
      <c r="C384" s="559">
        <v>22041</v>
      </c>
      <c r="D384" s="559">
        <v>102454</v>
      </c>
      <c r="E384" s="213"/>
      <c r="G384" s="213"/>
    </row>
    <row r="385" spans="1:7" x14ac:dyDescent="0.3">
      <c r="B385" s="212" t="s">
        <v>784</v>
      </c>
      <c r="C385" s="559">
        <v>0</v>
      </c>
      <c r="D385" s="559">
        <v>261535</v>
      </c>
      <c r="E385" s="213"/>
      <c r="G385" s="213"/>
    </row>
    <row r="386" spans="1:7" x14ac:dyDescent="0.3">
      <c r="B386" s="212" t="s">
        <v>785</v>
      </c>
      <c r="C386" s="559">
        <v>0</v>
      </c>
      <c r="D386" s="559">
        <v>10367</v>
      </c>
      <c r="E386" s="213"/>
      <c r="G386" s="213"/>
    </row>
    <row r="387" spans="1:7" x14ac:dyDescent="0.3">
      <c r="B387" s="212" t="s">
        <v>786</v>
      </c>
      <c r="C387" s="559">
        <v>0</v>
      </c>
      <c r="D387" s="559">
        <v>0</v>
      </c>
      <c r="E387" s="213"/>
      <c r="G387" s="213"/>
    </row>
    <row r="388" spans="1:7" x14ac:dyDescent="0.3">
      <c r="B388" s="212" t="s">
        <v>952</v>
      </c>
      <c r="C388" s="559">
        <v>0</v>
      </c>
      <c r="D388" s="559">
        <v>0</v>
      </c>
      <c r="E388" s="213"/>
      <c r="G388" s="213"/>
    </row>
    <row r="389" spans="1:7" x14ac:dyDescent="0.3">
      <c r="B389" s="212"/>
      <c r="C389" s="209"/>
      <c r="D389" s="209"/>
      <c r="E389" s="213"/>
      <c r="G389" s="213"/>
    </row>
    <row r="390" spans="1:7" x14ac:dyDescent="0.3">
      <c r="A390" s="209" t="s">
        <v>787</v>
      </c>
      <c r="B390" s="212" t="s">
        <v>795</v>
      </c>
      <c r="C390" s="559">
        <v>0</v>
      </c>
      <c r="D390" s="559">
        <v>0</v>
      </c>
      <c r="E390" s="213"/>
      <c r="G390" s="213"/>
    </row>
    <row r="391" spans="1:7" x14ac:dyDescent="0.3">
      <c r="B391" s="212" t="s">
        <v>796</v>
      </c>
      <c r="C391" s="559">
        <v>0</v>
      </c>
      <c r="D391" s="559">
        <v>0</v>
      </c>
      <c r="E391" s="213"/>
      <c r="G391" s="213"/>
    </row>
    <row r="392" spans="1:7" x14ac:dyDescent="0.3">
      <c r="B392" s="212"/>
      <c r="C392" s="209"/>
      <c r="D392" s="209"/>
      <c r="E392" s="213"/>
      <c r="G392" s="213"/>
    </row>
    <row r="393" spans="1:7" x14ac:dyDescent="0.3">
      <c r="A393" s="209" t="s">
        <v>789</v>
      </c>
      <c r="B393" s="212" t="s">
        <v>790</v>
      </c>
      <c r="C393" s="559">
        <v>0</v>
      </c>
      <c r="D393" s="559">
        <v>0</v>
      </c>
      <c r="E393" s="213"/>
      <c r="G393" s="213"/>
    </row>
    <row r="394" spans="1:7" x14ac:dyDescent="0.3">
      <c r="A394" s="209"/>
      <c r="B394" s="212"/>
      <c r="C394" s="209"/>
      <c r="D394" s="209"/>
      <c r="E394" s="213"/>
      <c r="G394" s="213"/>
    </row>
    <row r="395" spans="1:7" x14ac:dyDescent="0.3">
      <c r="A395" s="209" t="s">
        <v>791</v>
      </c>
      <c r="B395" s="212" t="s">
        <v>931</v>
      </c>
      <c r="C395" s="559">
        <v>0</v>
      </c>
      <c r="D395" s="559">
        <v>0</v>
      </c>
      <c r="E395" s="213"/>
      <c r="G395" s="213"/>
    </row>
    <row r="396" spans="1:7" x14ac:dyDescent="0.3">
      <c r="A396" s="209"/>
      <c r="B396" s="212" t="s">
        <v>774</v>
      </c>
      <c r="C396" s="559">
        <v>15593</v>
      </c>
      <c r="D396" s="559">
        <v>7246</v>
      </c>
      <c r="E396" s="213"/>
      <c r="G396" s="213"/>
    </row>
    <row r="397" spans="1:7" x14ac:dyDescent="0.3">
      <c r="B397" s="212" t="s">
        <v>788</v>
      </c>
      <c r="C397" s="559">
        <v>-3317</v>
      </c>
      <c r="D397" s="559">
        <v>0</v>
      </c>
      <c r="E397" s="213"/>
      <c r="G397" s="213"/>
    </row>
    <row r="398" spans="1:7" x14ac:dyDescent="0.3">
      <c r="B398" s="212" t="s">
        <v>779</v>
      </c>
      <c r="C398" s="559">
        <v>0</v>
      </c>
      <c r="D398" s="559">
        <v>0</v>
      </c>
      <c r="E398" s="213"/>
      <c r="G398" s="213"/>
    </row>
    <row r="399" spans="1:7" x14ac:dyDescent="0.3">
      <c r="B399" s="212" t="s">
        <v>861</v>
      </c>
      <c r="C399" s="559">
        <v>-226591</v>
      </c>
      <c r="D399" s="559">
        <v>0</v>
      </c>
      <c r="E399" s="213"/>
      <c r="G399" s="213"/>
    </row>
    <row r="400" spans="1:7" x14ac:dyDescent="0.3">
      <c r="B400" s="212" t="s">
        <v>932</v>
      </c>
      <c r="C400" s="559">
        <v>0</v>
      </c>
      <c r="D400" s="559">
        <v>-1542</v>
      </c>
      <c r="E400" s="213"/>
      <c r="G400" s="213"/>
    </row>
    <row r="401" spans="1:11" x14ac:dyDescent="0.3">
      <c r="B401" s="212" t="s">
        <v>862</v>
      </c>
      <c r="C401" s="559">
        <v>0</v>
      </c>
      <c r="D401" s="559">
        <v>-111109</v>
      </c>
      <c r="E401" s="213"/>
      <c r="G401" s="213"/>
    </row>
    <row r="402" spans="1:11" x14ac:dyDescent="0.3">
      <c r="B402" s="212"/>
      <c r="C402" s="209"/>
      <c r="D402" s="209"/>
      <c r="E402" s="213"/>
      <c r="G402" s="213"/>
    </row>
    <row r="403" spans="1:11" x14ac:dyDescent="0.3">
      <c r="A403" s="209" t="s">
        <v>794</v>
      </c>
      <c r="B403" s="212" t="s">
        <v>795</v>
      </c>
      <c r="C403" s="559">
        <v>0</v>
      </c>
      <c r="D403" s="559">
        <v>0</v>
      </c>
      <c r="E403" s="213"/>
      <c r="G403" s="213"/>
    </row>
    <row r="404" spans="1:11" x14ac:dyDescent="0.3">
      <c r="A404" s="209"/>
      <c r="B404" s="212" t="s">
        <v>775</v>
      </c>
      <c r="C404" s="559">
        <v>0</v>
      </c>
      <c r="D404" s="559">
        <v>0</v>
      </c>
      <c r="E404" s="213"/>
      <c r="G404" s="213"/>
    </row>
    <row r="405" spans="1:11" x14ac:dyDescent="0.3">
      <c r="A405" s="209"/>
      <c r="B405" s="212" t="s">
        <v>796</v>
      </c>
      <c r="C405" s="559">
        <v>3985587</v>
      </c>
      <c r="D405" s="559">
        <v>0</v>
      </c>
      <c r="E405" s="213"/>
      <c r="G405" s="213"/>
    </row>
    <row r="406" spans="1:11" x14ac:dyDescent="0.3">
      <c r="A406" s="209"/>
      <c r="B406" s="212" t="s">
        <v>1132</v>
      </c>
      <c r="C406" s="559">
        <v>0</v>
      </c>
      <c r="D406" s="559">
        <v>0</v>
      </c>
      <c r="E406" s="213"/>
      <c r="G406" s="213"/>
    </row>
    <row r="407" spans="1:11" x14ac:dyDescent="0.3">
      <c r="A407" s="209"/>
      <c r="B407" s="212" t="s">
        <v>994</v>
      </c>
      <c r="C407" s="559">
        <v>0</v>
      </c>
      <c r="D407" s="559">
        <v>132034</v>
      </c>
      <c r="E407" s="213"/>
      <c r="G407" s="213"/>
    </row>
    <row r="408" spans="1:11" x14ac:dyDescent="0.3">
      <c r="A408" s="209"/>
      <c r="B408" s="212" t="s">
        <v>792</v>
      </c>
      <c r="C408" s="559">
        <v>0</v>
      </c>
      <c r="D408" s="559">
        <v>1783901</v>
      </c>
      <c r="E408" s="213"/>
      <c r="G408" s="213"/>
    </row>
    <row r="409" spans="1:11" x14ac:dyDescent="0.3">
      <c r="A409" s="209"/>
      <c r="B409" s="212" t="s">
        <v>778</v>
      </c>
      <c r="C409" s="559">
        <v>291658</v>
      </c>
      <c r="D409" s="559"/>
      <c r="E409" s="213"/>
      <c r="G409" s="213"/>
    </row>
    <row r="410" spans="1:11" x14ac:dyDescent="0.3">
      <c r="A410" s="209"/>
      <c r="B410" s="212" t="s">
        <v>932</v>
      </c>
      <c r="C410" s="559">
        <v>0</v>
      </c>
      <c r="D410" s="559">
        <v>0</v>
      </c>
      <c r="E410" s="213"/>
      <c r="G410" s="213"/>
    </row>
    <row r="411" spans="1:11" x14ac:dyDescent="0.3">
      <c r="B411" s="212"/>
      <c r="C411" s="209"/>
      <c r="D411" s="209"/>
      <c r="E411" s="213"/>
      <c r="G411" s="213"/>
    </row>
    <row r="412" spans="1:11" x14ac:dyDescent="0.3">
      <c r="A412" s="209" t="s">
        <v>798</v>
      </c>
      <c r="B412" s="213"/>
      <c r="C412" s="165">
        <f>C357-SUM(C359:C411)</f>
        <v>2504894</v>
      </c>
      <c r="D412" s="165">
        <f>D357-SUM(D359:D411)</f>
        <v>1124902</v>
      </c>
      <c r="E412" s="213">
        <f>C412+D412</f>
        <v>3629796</v>
      </c>
      <c r="F412" s="314" t="s">
        <v>1004</v>
      </c>
      <c r="G412" s="213"/>
    </row>
    <row r="413" spans="1:11" x14ac:dyDescent="0.3">
      <c r="B413" s="213"/>
      <c r="C413" s="213">
        <f>C357-C412</f>
        <v>23298919</v>
      </c>
      <c r="D413" s="213">
        <f>D357-D412</f>
        <v>10581604</v>
      </c>
      <c r="E413" s="213">
        <f>C413+D413</f>
        <v>33880523</v>
      </c>
      <c r="F413" s="313" t="s">
        <v>1005</v>
      </c>
      <c r="G413" s="213"/>
    </row>
    <row r="414" spans="1:11" x14ac:dyDescent="0.3">
      <c r="D414" s="310" t="s">
        <v>904</v>
      </c>
      <c r="E414" s="311" t="str">
        <f>IF(E413='NITS Pg 4 of 5'!J67,"ok","err on NITS pg 4")</f>
        <v>ok</v>
      </c>
      <c r="F414" s="311" t="str">
        <f>IF(E412='NITS Pg 4 of 5'!J68,"ok","err on NITS pg 4")</f>
        <v>ok</v>
      </c>
      <c r="G414" s="212"/>
    </row>
    <row r="415" spans="1:11" x14ac:dyDescent="0.3">
      <c r="D415" s="310" t="s">
        <v>905</v>
      </c>
      <c r="E415" s="311" t="str">
        <f>IF(E413='PTP Pg 4 of 5'!J67,"ok","err on PTP pg 4")</f>
        <v>ok</v>
      </c>
      <c r="F415" s="311" t="str">
        <f>IF(E412='PTP Pg 4 of 5'!J68,"ok","err on PTP pg 4")</f>
        <v>ok</v>
      </c>
      <c r="G415" s="212"/>
    </row>
    <row r="416" spans="1:11" x14ac:dyDescent="0.3">
      <c r="A416" s="569"/>
      <c r="B416" s="569"/>
      <c r="C416" s="569"/>
      <c r="D416" s="569"/>
      <c r="E416" s="569"/>
      <c r="F416" s="569"/>
      <c r="G416" s="569"/>
      <c r="H416" s="569"/>
      <c r="I416" s="569"/>
      <c r="J416" s="569"/>
      <c r="K416" s="569"/>
    </row>
    <row r="417" spans="1:8" ht="14.5" x14ac:dyDescent="0.45">
      <c r="A417" s="16" t="s">
        <v>799</v>
      </c>
      <c r="C417" s="324" t="s">
        <v>431</v>
      </c>
      <c r="D417" s="324" t="s">
        <v>800</v>
      </c>
    </row>
    <row r="418" spans="1:8" x14ac:dyDescent="0.3">
      <c r="D418" s="213"/>
      <c r="G418" s="638" t="s">
        <v>949</v>
      </c>
    </row>
    <row r="419" spans="1:8" ht="12.75" customHeight="1" x14ac:dyDescent="0.3">
      <c r="A419" s="16" t="s">
        <v>801</v>
      </c>
      <c r="G419" s="638"/>
      <c r="H419" s="313" t="s">
        <v>802</v>
      </c>
    </row>
    <row r="420" spans="1:8" x14ac:dyDescent="0.3">
      <c r="A420" s="243" t="s">
        <v>803</v>
      </c>
      <c r="E420" s="213"/>
      <c r="G420" s="638"/>
    </row>
    <row r="421" spans="1:8" x14ac:dyDescent="0.3">
      <c r="A421" s="243" t="s">
        <v>804</v>
      </c>
      <c r="C421" s="576">
        <v>728266</v>
      </c>
      <c r="D421" s="576">
        <v>392601</v>
      </c>
      <c r="E421" s="213">
        <f t="shared" ref="E421:E422" si="22">C421+D421</f>
        <v>1120867</v>
      </c>
      <c r="F421" s="314" t="s">
        <v>805</v>
      </c>
      <c r="G421" s="311" t="str">
        <f>IF(E421='Sch 1'!D23,"ok","err on Sch 1")</f>
        <v>ok</v>
      </c>
      <c r="H421" s="313" t="s">
        <v>945</v>
      </c>
    </row>
    <row r="422" spans="1:8" x14ac:dyDescent="0.3">
      <c r="A422" s="243" t="s">
        <v>806</v>
      </c>
      <c r="C422" s="576">
        <v>-690870</v>
      </c>
      <c r="D422" s="576">
        <v>-372367</v>
      </c>
      <c r="E422" s="213">
        <f t="shared" si="22"/>
        <v>-1063237</v>
      </c>
      <c r="F422" s="314" t="s">
        <v>807</v>
      </c>
      <c r="G422" s="311" t="str">
        <f>IF(E422='Sch 1'!D24,"ok","err on Sch 1")</f>
        <v>ok</v>
      </c>
      <c r="H422" s="313" t="s">
        <v>808</v>
      </c>
    </row>
    <row r="423" spans="1:8" x14ac:dyDescent="0.3">
      <c r="A423" s="243"/>
      <c r="C423" s="244"/>
      <c r="D423" s="244"/>
      <c r="E423" s="213"/>
    </row>
    <row r="424" spans="1:8" x14ac:dyDescent="0.3">
      <c r="A424" s="243" t="s">
        <v>809</v>
      </c>
      <c r="C424" s="244">
        <f>SUM(C421:C422)</f>
        <v>37396</v>
      </c>
      <c r="D424" s="244">
        <f>SUM(D421:D422)</f>
        <v>20234</v>
      </c>
      <c r="E424" s="213">
        <f t="shared" ref="E424" si="23">C424+D424</f>
        <v>57630</v>
      </c>
      <c r="F424" s="314" t="s">
        <v>810</v>
      </c>
      <c r="G424" s="311" t="str">
        <f>IF(E424='Sch 1'!D26,"ok","err on Sch 1")</f>
        <v>ok</v>
      </c>
    </row>
  </sheetData>
  <mergeCells count="5">
    <mergeCell ref="G418:G420"/>
    <mergeCell ref="I199:J199"/>
    <mergeCell ref="K199:L199"/>
    <mergeCell ref="J219:K220"/>
    <mergeCell ref="J117:K118"/>
  </mergeCells>
  <dataValidations xWindow="794" yWindow="630" count="1">
    <dataValidation type="whole" operator="lessThanOrEqual" allowBlank="1" showInputMessage="1" showErrorMessage="1" promptTitle="Input should be $0 or negative" prompt="Per Form 1, P.117, L.65-66, this amount should be subtracted from the other interest expense accounts.  Verify subtotal formula below is accurately summing these accounts." sqref="C310:D311" xr:uid="{00000000-0002-0000-0100-000000000000}">
      <formula1>0</formula1>
    </dataValidation>
  </dataValidations>
  <pageMargins left="0.7" right="0.7" top="0.75" bottom="0.75" header="0.3" footer="0.3"/>
  <pageSetup scale="39" fitToHeight="0" orientation="landscape" r:id="rId1"/>
  <headerFooter scaleWithDoc="0">
    <oddFooter>&amp;L&amp;Z&amp;F
&amp;A</oddFooter>
  </headerFooter>
  <ignoredErrors>
    <ignoredError sqref="E2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A4DA-5EA1-424E-8793-CB3783CEEE07}">
  <dimension ref="A3:D14"/>
  <sheetViews>
    <sheetView workbookViewId="0"/>
  </sheetViews>
  <sheetFormatPr defaultRowHeight="13" x14ac:dyDescent="0.3"/>
  <cols>
    <col min="1" max="1" width="25.296875" bestFit="1" customWidth="1"/>
    <col min="2" max="2" width="25.796875" bestFit="1" customWidth="1"/>
    <col min="3" max="3" width="28" bestFit="1" customWidth="1"/>
    <col min="4" max="4" width="20.796875" customWidth="1"/>
  </cols>
  <sheetData>
    <row r="3" spans="1:4" ht="44" x14ac:dyDescent="0.3">
      <c r="A3" s="245" t="s">
        <v>833</v>
      </c>
      <c r="B3" s="246" t="s">
        <v>834</v>
      </c>
      <c r="C3" s="273" t="str">
        <f>TEXT(EOMONTH('OATT Input Data'!$B$4,5)+1,"mmmm d, yyyy")&amp;" Point to Point"</f>
        <v>June 1, 2020 Point to Point</v>
      </c>
      <c r="D3" s="273" t="str">
        <f>TEXT(EOMONTH('OATT Input Data'!$B$4,5)+1,"mmmm d, yyyy")&amp;" NITS"</f>
        <v>June 1, 2020 NITS</v>
      </c>
    </row>
    <row r="4" spans="1:4" ht="22" x14ac:dyDescent="0.3">
      <c r="A4" s="247" t="s">
        <v>835</v>
      </c>
      <c r="B4" s="248" t="s">
        <v>836</v>
      </c>
      <c r="C4" s="251">
        <f>'PTP Pg 1 of 5'!$E$38</f>
        <v>6.5629999999999997</v>
      </c>
      <c r="D4" s="250" t="s">
        <v>864</v>
      </c>
    </row>
    <row r="5" spans="1:4" ht="22" x14ac:dyDescent="0.3">
      <c r="A5" s="247" t="s">
        <v>837</v>
      </c>
      <c r="B5" s="248" t="s">
        <v>836</v>
      </c>
      <c r="C5" s="251">
        <f>'PTP Pg 1 of 5'!$J$38</f>
        <v>3.125</v>
      </c>
      <c r="D5" s="250" t="s">
        <v>864</v>
      </c>
    </row>
    <row r="6" spans="1:4" ht="22" x14ac:dyDescent="0.3">
      <c r="A6" s="247" t="s">
        <v>838</v>
      </c>
      <c r="B6" s="248" t="s">
        <v>839</v>
      </c>
      <c r="C6" s="249">
        <f>'PTP Pg 1 of 5'!$E$37*1000</f>
        <v>105</v>
      </c>
      <c r="D6" s="250" t="s">
        <v>864</v>
      </c>
    </row>
    <row r="7" spans="1:4" ht="22" x14ac:dyDescent="0.3">
      <c r="A7" s="247" t="s">
        <v>840</v>
      </c>
      <c r="B7" s="248" t="s">
        <v>839</v>
      </c>
      <c r="C7" s="249">
        <f>'PTP Pg 1 of 5'!$J$37*1000</f>
        <v>75</v>
      </c>
      <c r="D7" s="250" t="s">
        <v>864</v>
      </c>
    </row>
    <row r="8" spans="1:4" ht="22" x14ac:dyDescent="0.3">
      <c r="A8" s="247" t="s">
        <v>841</v>
      </c>
      <c r="B8" s="248" t="s">
        <v>842</v>
      </c>
      <c r="C8" s="250">
        <f>'PTP Pg 1 of 5'!$E$36*1000</f>
        <v>524</v>
      </c>
      <c r="D8" s="250" t="s">
        <v>864</v>
      </c>
    </row>
    <row r="9" spans="1:4" ht="22" x14ac:dyDescent="0.3">
      <c r="A9" s="247" t="s">
        <v>843</v>
      </c>
      <c r="B9" s="248" t="s">
        <v>844</v>
      </c>
      <c r="C9" s="250">
        <f>'PTP Pg 1 of 5'!$E$33*1000</f>
        <v>2273</v>
      </c>
      <c r="D9" s="593">
        <f>'NITS Pg 1 of 5'!$E$33*1000</f>
        <v>2282.1666666666665</v>
      </c>
    </row>
    <row r="10" spans="1:4" ht="22" x14ac:dyDescent="0.3">
      <c r="A10" s="247" t="s">
        <v>845</v>
      </c>
      <c r="B10" s="248" t="s">
        <v>846</v>
      </c>
      <c r="C10" s="251">
        <f>'Sch 1'!D32/8760*1000</f>
        <v>0.10684931506849316</v>
      </c>
      <c r="D10" s="251">
        <f>C10</f>
        <v>0.10684931506849316</v>
      </c>
    </row>
    <row r="14" spans="1:4" x14ac:dyDescent="0.3">
      <c r="D14" s="63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1"/>
  <sheetViews>
    <sheetView showGridLines="0" zoomScaleNormal="100" workbookViewId="0"/>
  </sheetViews>
  <sheetFormatPr defaultColWidth="9.296875" defaultRowHeight="13" x14ac:dyDescent="0.3"/>
  <cols>
    <col min="1" max="1" width="39.09765625" style="253" customWidth="1"/>
    <col min="2" max="3" width="16.09765625" style="252" bestFit="1" customWidth="1"/>
    <col min="4" max="4" width="14.09765625" style="252" bestFit="1" customWidth="1"/>
    <col min="5" max="5" width="15.69921875" style="252" bestFit="1" customWidth="1"/>
    <col min="6" max="6" width="16.69921875" style="252" bestFit="1" customWidth="1"/>
    <col min="7" max="7" width="15.69921875" style="252" bestFit="1" customWidth="1"/>
    <col min="8" max="8" width="2.3984375" style="253" customWidth="1"/>
    <col min="9" max="10" width="15.69921875" style="253" bestFit="1" customWidth="1"/>
    <col min="11" max="16384" width="9.296875" style="253"/>
  </cols>
  <sheetData>
    <row r="1" spans="1:10" ht="15.5" x14ac:dyDescent="0.35">
      <c r="A1" s="329" t="s">
        <v>917</v>
      </c>
      <c r="B1" s="257"/>
      <c r="C1" s="257"/>
    </row>
    <row r="2" spans="1:10" ht="15.5" x14ac:dyDescent="0.35">
      <c r="A2" s="329" t="s">
        <v>819</v>
      </c>
      <c r="B2" s="257"/>
      <c r="C2" s="257"/>
      <c r="D2" s="257"/>
      <c r="E2" s="257"/>
      <c r="F2" s="257"/>
      <c r="G2" s="257"/>
      <c r="H2" s="256"/>
    </row>
    <row r="3" spans="1:10" ht="15.5" x14ac:dyDescent="0.35">
      <c r="A3" s="330" t="s">
        <v>820</v>
      </c>
      <c r="B3" s="255"/>
      <c r="C3" s="255"/>
      <c r="D3" s="255"/>
      <c r="E3" s="255"/>
      <c r="F3" s="255"/>
      <c r="G3" s="255"/>
      <c r="H3" s="256"/>
    </row>
    <row r="4" spans="1:10" ht="15.5" x14ac:dyDescent="0.35">
      <c r="A4" s="343">
        <f>'OATT Input Data'!B4</f>
        <v>43830</v>
      </c>
      <c r="C4" s="258"/>
      <c r="D4" s="258"/>
      <c r="E4" s="258"/>
    </row>
    <row r="5" spans="1:10" ht="15.5" x14ac:dyDescent="0.35">
      <c r="A5" s="343"/>
      <c r="C5" s="258"/>
      <c r="D5" s="258"/>
      <c r="E5" s="258"/>
    </row>
    <row r="6" spans="1:10" x14ac:dyDescent="0.3">
      <c r="A6" s="334" t="s">
        <v>1126</v>
      </c>
      <c r="B6" s="335"/>
      <c r="C6" s="335"/>
      <c r="D6" s="335"/>
      <c r="E6" s="335"/>
    </row>
    <row r="7" spans="1:10" x14ac:dyDescent="0.3">
      <c r="A7" s="336" t="s">
        <v>923</v>
      </c>
      <c r="B7" s="335"/>
      <c r="C7" s="335"/>
      <c r="D7" s="335"/>
      <c r="E7" s="335"/>
    </row>
    <row r="8" spans="1:10" x14ac:dyDescent="0.3">
      <c r="A8" s="336"/>
      <c r="B8" s="335"/>
      <c r="C8" s="335"/>
      <c r="D8" s="335"/>
      <c r="E8" s="335"/>
    </row>
    <row r="9" spans="1:10" ht="15.5" x14ac:dyDescent="0.35">
      <c r="A9" s="328" t="s">
        <v>821</v>
      </c>
      <c r="C9" s="258"/>
      <c r="D9" s="258"/>
      <c r="E9" s="258"/>
      <c r="I9" s="333"/>
      <c r="J9" s="333"/>
    </row>
    <row r="10" spans="1:10" x14ac:dyDescent="0.3">
      <c r="B10" s="254" t="s">
        <v>811</v>
      </c>
      <c r="C10" s="255"/>
      <c r="D10" s="255"/>
      <c r="E10" s="254" t="s">
        <v>812</v>
      </c>
      <c r="F10" s="255"/>
      <c r="G10" s="254" t="s">
        <v>813</v>
      </c>
      <c r="I10" s="254" t="s">
        <v>919</v>
      </c>
      <c r="J10" s="254"/>
    </row>
    <row r="11" spans="1:10" ht="14.5" x14ac:dyDescent="0.45">
      <c r="A11" s="256"/>
      <c r="B11" s="327" t="s">
        <v>814</v>
      </c>
      <c r="C11" s="327" t="s">
        <v>815</v>
      </c>
      <c r="D11" s="327" t="s">
        <v>816</v>
      </c>
      <c r="E11" s="327" t="s">
        <v>817</v>
      </c>
      <c r="F11" s="327" t="s">
        <v>818</v>
      </c>
      <c r="G11" s="327" t="s">
        <v>814</v>
      </c>
      <c r="H11" s="256"/>
      <c r="I11" s="327" t="s">
        <v>918</v>
      </c>
      <c r="J11" s="327" t="s">
        <v>920</v>
      </c>
    </row>
    <row r="12" spans="1:10" x14ac:dyDescent="0.3">
      <c r="A12" s="253" t="s">
        <v>822</v>
      </c>
      <c r="B12" s="570">
        <v>2241681.4</v>
      </c>
      <c r="C12" s="570">
        <v>0</v>
      </c>
      <c r="D12" s="570">
        <v>0</v>
      </c>
      <c r="E12" s="570">
        <v>0</v>
      </c>
      <c r="F12" s="252">
        <f t="shared" ref="F12:F20" si="0">SUM(C12:E12)</f>
        <v>0</v>
      </c>
      <c r="G12" s="252">
        <f>B12+F12</f>
        <v>2241681.4</v>
      </c>
      <c r="I12" s="570">
        <v>2241681.4</v>
      </c>
      <c r="J12" s="482">
        <f>I12-G12</f>
        <v>0</v>
      </c>
    </row>
    <row r="13" spans="1:10" x14ac:dyDescent="0.3">
      <c r="A13" s="253" t="s">
        <v>823</v>
      </c>
      <c r="B13" s="570">
        <v>45700.5</v>
      </c>
      <c r="C13" s="571">
        <v>0</v>
      </c>
      <c r="D13" s="570">
        <v>-12.67</v>
      </c>
      <c r="E13" s="570">
        <v>0</v>
      </c>
      <c r="F13" s="252">
        <f t="shared" si="0"/>
        <v>-12.67</v>
      </c>
      <c r="G13" s="252">
        <f t="shared" ref="G13:G20" si="1">B13+F13</f>
        <v>45687.83</v>
      </c>
      <c r="I13" s="570">
        <v>45687.83</v>
      </c>
      <c r="J13" s="482">
        <f t="shared" ref="J13:J19" si="2">I13-G13</f>
        <v>0</v>
      </c>
    </row>
    <row r="14" spans="1:10" x14ac:dyDescent="0.3">
      <c r="A14" s="253" t="s">
        <v>824</v>
      </c>
      <c r="B14" s="572">
        <v>1743198.88</v>
      </c>
      <c r="C14" s="572">
        <v>3284.25</v>
      </c>
      <c r="D14" s="572">
        <v>0</v>
      </c>
      <c r="E14" s="572">
        <v>0</v>
      </c>
      <c r="F14" s="252">
        <f t="shared" si="0"/>
        <v>3284.25</v>
      </c>
      <c r="G14" s="252">
        <f t="shared" si="1"/>
        <v>1746483.13</v>
      </c>
      <c r="I14" s="572">
        <v>1746483.13</v>
      </c>
      <c r="J14" s="482">
        <f t="shared" si="2"/>
        <v>0</v>
      </c>
    </row>
    <row r="15" spans="1:10" x14ac:dyDescent="0.3">
      <c r="A15" s="253" t="s">
        <v>825</v>
      </c>
      <c r="B15" s="572">
        <v>23742957.649999999</v>
      </c>
      <c r="C15" s="572">
        <v>523210.29999999993</v>
      </c>
      <c r="D15" s="572">
        <v>-112686.11</v>
      </c>
      <c r="E15" s="572">
        <v>0</v>
      </c>
      <c r="F15" s="252">
        <f t="shared" si="0"/>
        <v>410524.18999999994</v>
      </c>
      <c r="G15" s="252">
        <f t="shared" si="1"/>
        <v>24153481.84</v>
      </c>
      <c r="I15" s="572">
        <v>24153481.84</v>
      </c>
      <c r="J15" s="482">
        <f t="shared" si="2"/>
        <v>0</v>
      </c>
    </row>
    <row r="16" spans="1:10" x14ac:dyDescent="0.3">
      <c r="A16" s="253" t="s">
        <v>826</v>
      </c>
      <c r="B16" s="572">
        <v>7181081.3000000007</v>
      </c>
      <c r="C16" s="572">
        <v>0</v>
      </c>
      <c r="D16" s="572">
        <v>0</v>
      </c>
      <c r="E16" s="572">
        <v>0</v>
      </c>
      <c r="F16" s="252">
        <f t="shared" si="0"/>
        <v>0</v>
      </c>
      <c r="G16" s="252">
        <f t="shared" si="1"/>
        <v>7181081.3000000007</v>
      </c>
      <c r="I16" s="572">
        <v>7181081.3000000007</v>
      </c>
      <c r="J16" s="482">
        <f t="shared" si="2"/>
        <v>0</v>
      </c>
    </row>
    <row r="17" spans="1:10" x14ac:dyDescent="0.3">
      <c r="A17" s="253" t="s">
        <v>827</v>
      </c>
      <c r="B17" s="572">
        <v>13479844.43</v>
      </c>
      <c r="C17" s="572">
        <v>1531886.63</v>
      </c>
      <c r="D17" s="572">
        <v>-5594.95</v>
      </c>
      <c r="E17" s="572">
        <v>0</v>
      </c>
      <c r="F17" s="252">
        <f t="shared" si="0"/>
        <v>1526291.68</v>
      </c>
      <c r="G17" s="252">
        <f t="shared" si="1"/>
        <v>15006136.109999999</v>
      </c>
      <c r="I17" s="572">
        <v>15006136.109999999</v>
      </c>
      <c r="J17" s="482">
        <f t="shared" si="2"/>
        <v>0</v>
      </c>
    </row>
    <row r="18" spans="1:10" x14ac:dyDescent="0.3">
      <c r="A18" s="253" t="s">
        <v>828</v>
      </c>
      <c r="B18" s="572">
        <v>18990359.140000001</v>
      </c>
      <c r="C18" s="572">
        <v>110706.62</v>
      </c>
      <c r="D18" s="572">
        <v>-2230.63</v>
      </c>
      <c r="E18" s="572">
        <v>0</v>
      </c>
      <c r="F18" s="252">
        <f t="shared" si="0"/>
        <v>108475.98999999999</v>
      </c>
      <c r="G18" s="252">
        <f t="shared" si="1"/>
        <v>19098835.129999999</v>
      </c>
      <c r="I18" s="572">
        <v>19098835.129999999</v>
      </c>
      <c r="J18" s="482">
        <f t="shared" si="2"/>
        <v>0</v>
      </c>
    </row>
    <row r="19" spans="1:10" x14ac:dyDescent="0.3">
      <c r="A19" s="253" t="s">
        <v>829</v>
      </c>
      <c r="B19" s="572">
        <v>0</v>
      </c>
      <c r="C19" s="572">
        <v>0</v>
      </c>
      <c r="D19" s="572">
        <v>0</v>
      </c>
      <c r="E19" s="572">
        <v>0</v>
      </c>
      <c r="F19" s="252">
        <f t="shared" si="0"/>
        <v>0</v>
      </c>
      <c r="G19" s="252">
        <f t="shared" si="1"/>
        <v>0</v>
      </c>
      <c r="I19" s="572">
        <v>0</v>
      </c>
      <c r="J19" s="482">
        <f t="shared" si="2"/>
        <v>0</v>
      </c>
    </row>
    <row r="20" spans="1:10" x14ac:dyDescent="0.3">
      <c r="A20" s="253" t="s">
        <v>830</v>
      </c>
      <c r="B20" s="572">
        <v>0</v>
      </c>
      <c r="C20" s="572">
        <v>0</v>
      </c>
      <c r="D20" s="572">
        <v>0</v>
      </c>
      <c r="E20" s="572">
        <v>0</v>
      </c>
      <c r="F20" s="252">
        <f t="shared" si="0"/>
        <v>0</v>
      </c>
      <c r="G20" s="252">
        <f t="shared" si="1"/>
        <v>0</v>
      </c>
      <c r="I20" s="572">
        <v>0</v>
      </c>
      <c r="J20" s="482">
        <f>I20-G20</f>
        <v>0</v>
      </c>
    </row>
    <row r="21" spans="1:10" ht="13.5" thickBot="1" x14ac:dyDescent="0.35">
      <c r="A21" s="342" t="s">
        <v>6</v>
      </c>
      <c r="B21" s="331">
        <f>SUM(B12:B20)</f>
        <v>67424823.300000012</v>
      </c>
      <c r="C21" s="331">
        <f t="shared" ref="C21:G21" si="3">SUM(C12:C20)</f>
        <v>2169087.7999999998</v>
      </c>
      <c r="D21" s="331">
        <f t="shared" si="3"/>
        <v>-120524.36</v>
      </c>
      <c r="E21" s="331">
        <f t="shared" si="3"/>
        <v>0</v>
      </c>
      <c r="F21" s="331">
        <f>SUM(F12:F20)</f>
        <v>2048563.44</v>
      </c>
      <c r="G21" s="331">
        <f t="shared" si="3"/>
        <v>69473386.739999995</v>
      </c>
      <c r="I21" s="573">
        <v>69473386.739999995</v>
      </c>
      <c r="J21" s="338">
        <f>I21-G21</f>
        <v>0</v>
      </c>
    </row>
    <row r="22" spans="1:10" ht="13.5" thickTop="1" x14ac:dyDescent="0.3">
      <c r="B22" s="337"/>
      <c r="C22" s="335"/>
      <c r="D22" s="335"/>
      <c r="E22" s="335"/>
      <c r="F22" s="335"/>
      <c r="G22" s="335"/>
      <c r="H22" s="256"/>
      <c r="I22" s="256"/>
    </row>
    <row r="23" spans="1:10" x14ac:dyDescent="0.3">
      <c r="B23" s="259"/>
    </row>
    <row r="24" spans="1:10" x14ac:dyDescent="0.3">
      <c r="A24" s="334" t="s">
        <v>1000</v>
      </c>
      <c r="B24" s="337"/>
      <c r="C24" s="256"/>
    </row>
    <row r="25" spans="1:10" x14ac:dyDescent="0.3">
      <c r="A25" s="326" t="s">
        <v>921</v>
      </c>
      <c r="B25" s="259"/>
      <c r="C25" s="326"/>
    </row>
    <row r="26" spans="1:10" x14ac:dyDescent="0.3">
      <c r="A26" s="339" t="s">
        <v>913</v>
      </c>
      <c r="B26" s="259"/>
      <c r="C26" s="253"/>
    </row>
    <row r="27" spans="1:10" x14ac:dyDescent="0.3">
      <c r="A27" s="340" t="s">
        <v>914</v>
      </c>
      <c r="B27" s="259"/>
      <c r="C27" s="253"/>
    </row>
    <row r="28" spans="1:10" x14ac:dyDescent="0.3">
      <c r="A28" s="339" t="s">
        <v>915</v>
      </c>
      <c r="B28" s="259"/>
      <c r="C28" s="253"/>
    </row>
    <row r="29" spans="1:10" x14ac:dyDescent="0.3">
      <c r="A29" s="326"/>
      <c r="B29" s="259"/>
      <c r="C29" s="253"/>
    </row>
    <row r="30" spans="1:10" ht="15.5" x14ac:dyDescent="0.35">
      <c r="A30" s="328" t="s">
        <v>831</v>
      </c>
      <c r="C30" s="258"/>
      <c r="D30" s="258"/>
      <c r="E30" s="258"/>
    </row>
    <row r="31" spans="1:10" x14ac:dyDescent="0.3">
      <c r="B31" s="254" t="s">
        <v>811</v>
      </c>
      <c r="C31" s="255"/>
      <c r="D31" s="255"/>
      <c r="E31" s="254" t="s">
        <v>812</v>
      </c>
      <c r="F31" s="255"/>
      <c r="G31" s="254" t="s">
        <v>813</v>
      </c>
      <c r="I31" s="254" t="s">
        <v>919</v>
      </c>
    </row>
    <row r="32" spans="1:10" ht="14.5" x14ac:dyDescent="0.45">
      <c r="A32" s="256"/>
      <c r="B32" s="327" t="s">
        <v>814</v>
      </c>
      <c r="C32" s="327" t="s">
        <v>815</v>
      </c>
      <c r="D32" s="327" t="s">
        <v>816</v>
      </c>
      <c r="E32" s="327" t="s">
        <v>817</v>
      </c>
      <c r="F32" s="327" t="s">
        <v>818</v>
      </c>
      <c r="G32" s="327" t="s">
        <v>814</v>
      </c>
      <c r="H32" s="256"/>
      <c r="I32" s="327" t="s">
        <v>918</v>
      </c>
      <c r="J32" s="327" t="s">
        <v>920</v>
      </c>
    </row>
    <row r="33" spans="1:10" x14ac:dyDescent="0.3">
      <c r="A33" s="253" t="s">
        <v>822</v>
      </c>
      <c r="B33" s="572">
        <v>280370.75</v>
      </c>
      <c r="C33" s="570">
        <v>0</v>
      </c>
      <c r="D33" s="570">
        <v>0</v>
      </c>
      <c r="E33" s="570">
        <v>0</v>
      </c>
      <c r="F33" s="252">
        <f t="shared" ref="F33:F41" si="4">SUM(C33:E33)</f>
        <v>0</v>
      </c>
      <c r="G33" s="252">
        <f t="shared" ref="G33:G41" si="5">B33+F33</f>
        <v>280370.75</v>
      </c>
    </row>
    <row r="34" spans="1:10" x14ac:dyDescent="0.3">
      <c r="A34" s="253" t="s">
        <v>823</v>
      </c>
      <c r="B34" s="572">
        <v>0</v>
      </c>
      <c r="C34" s="570">
        <v>0</v>
      </c>
      <c r="D34" s="570">
        <v>0</v>
      </c>
      <c r="E34" s="570">
        <v>0</v>
      </c>
      <c r="F34" s="252">
        <f t="shared" si="4"/>
        <v>0</v>
      </c>
      <c r="G34" s="252">
        <f t="shared" si="5"/>
        <v>0</v>
      </c>
    </row>
    <row r="35" spans="1:10" x14ac:dyDescent="0.3">
      <c r="A35" s="253" t="s">
        <v>824</v>
      </c>
      <c r="B35" s="572">
        <v>0</v>
      </c>
      <c r="C35" s="570">
        <v>0</v>
      </c>
      <c r="D35" s="570">
        <v>0</v>
      </c>
      <c r="E35" s="570">
        <v>0</v>
      </c>
      <c r="F35" s="252">
        <f t="shared" si="4"/>
        <v>0</v>
      </c>
      <c r="G35" s="252">
        <f t="shared" si="5"/>
        <v>0</v>
      </c>
    </row>
    <row r="36" spans="1:10" x14ac:dyDescent="0.3">
      <c r="A36" s="253" t="s">
        <v>825</v>
      </c>
      <c r="B36" s="574">
        <v>0</v>
      </c>
      <c r="C36" s="570">
        <v>0</v>
      </c>
      <c r="D36" s="570">
        <v>0</v>
      </c>
      <c r="E36" s="570">
        <v>0</v>
      </c>
      <c r="F36" s="252">
        <f t="shared" si="4"/>
        <v>0</v>
      </c>
      <c r="G36" s="252">
        <f t="shared" si="5"/>
        <v>0</v>
      </c>
    </row>
    <row r="37" spans="1:10" x14ac:dyDescent="0.3">
      <c r="A37" s="253" t="s">
        <v>826</v>
      </c>
      <c r="B37" s="574">
        <v>4769322.87</v>
      </c>
      <c r="C37" s="570">
        <v>0</v>
      </c>
      <c r="D37" s="570">
        <v>0</v>
      </c>
      <c r="E37" s="570">
        <v>0</v>
      </c>
      <c r="F37" s="252">
        <f t="shared" si="4"/>
        <v>0</v>
      </c>
      <c r="G37" s="252">
        <f t="shared" si="5"/>
        <v>4769322.87</v>
      </c>
    </row>
    <row r="38" spans="1:10" x14ac:dyDescent="0.3">
      <c r="A38" s="253" t="s">
        <v>827</v>
      </c>
      <c r="B38" s="574">
        <v>51357.98</v>
      </c>
      <c r="C38" s="570">
        <v>0</v>
      </c>
      <c r="D38" s="570">
        <v>0</v>
      </c>
      <c r="E38" s="570">
        <v>0</v>
      </c>
      <c r="F38" s="252">
        <f t="shared" si="4"/>
        <v>0</v>
      </c>
      <c r="G38" s="252">
        <f t="shared" si="5"/>
        <v>51357.98</v>
      </c>
    </row>
    <row r="39" spans="1:10" x14ac:dyDescent="0.3">
      <c r="A39" s="253" t="s">
        <v>828</v>
      </c>
      <c r="B39" s="574">
        <v>3129377.81</v>
      </c>
      <c r="C39" s="570">
        <v>0</v>
      </c>
      <c r="D39" s="570">
        <v>0</v>
      </c>
      <c r="E39" s="570">
        <v>0</v>
      </c>
      <c r="F39" s="252">
        <f t="shared" si="4"/>
        <v>0</v>
      </c>
      <c r="G39" s="252">
        <f t="shared" si="5"/>
        <v>3129377.81</v>
      </c>
    </row>
    <row r="40" spans="1:10" x14ac:dyDescent="0.3">
      <c r="A40" s="253" t="s">
        <v>829</v>
      </c>
      <c r="B40" s="574">
        <v>0</v>
      </c>
      <c r="C40" s="570">
        <v>0</v>
      </c>
      <c r="D40" s="570">
        <v>0</v>
      </c>
      <c r="E40" s="570">
        <v>0</v>
      </c>
      <c r="F40" s="252">
        <f t="shared" si="4"/>
        <v>0</v>
      </c>
      <c r="G40" s="252">
        <f t="shared" si="5"/>
        <v>0</v>
      </c>
    </row>
    <row r="41" spans="1:10" x14ac:dyDescent="0.3">
      <c r="A41" s="253" t="s">
        <v>830</v>
      </c>
      <c r="B41" s="574">
        <v>0</v>
      </c>
      <c r="C41" s="570">
        <v>0</v>
      </c>
      <c r="D41" s="570">
        <v>0</v>
      </c>
      <c r="E41" s="570">
        <v>0</v>
      </c>
      <c r="F41" s="252">
        <f t="shared" si="4"/>
        <v>0</v>
      </c>
      <c r="G41" s="252">
        <f t="shared" si="5"/>
        <v>0</v>
      </c>
    </row>
    <row r="42" spans="1:10" ht="13.5" thickBot="1" x14ac:dyDescent="0.35">
      <c r="A42" s="342" t="s">
        <v>6</v>
      </c>
      <c r="B42" s="332">
        <f t="shared" ref="B42:G42" si="6">SUM(B33:B41)</f>
        <v>8230429.4100000001</v>
      </c>
      <c r="C42" s="332">
        <f t="shared" si="6"/>
        <v>0</v>
      </c>
      <c r="D42" s="332">
        <f t="shared" si="6"/>
        <v>0</v>
      </c>
      <c r="E42" s="332">
        <f t="shared" si="6"/>
        <v>0</v>
      </c>
      <c r="F42" s="332">
        <f t="shared" si="6"/>
        <v>0</v>
      </c>
      <c r="G42" s="332">
        <f t="shared" si="6"/>
        <v>8230429.4100000001</v>
      </c>
      <c r="I42" s="573">
        <v>8230429.4099999992</v>
      </c>
      <c r="J42" s="338">
        <f>I42-G42</f>
        <v>0</v>
      </c>
    </row>
    <row r="43" spans="1:10" ht="13.5" thickTop="1" x14ac:dyDescent="0.3"/>
    <row r="44" spans="1:10" x14ac:dyDescent="0.3">
      <c r="B44" s="259"/>
    </row>
    <row r="45" spans="1:10" x14ac:dyDescent="0.3">
      <c r="A45" s="325" t="s">
        <v>922</v>
      </c>
    </row>
    <row r="46" spans="1:10" s="262" customFormat="1" x14ac:dyDescent="0.3">
      <c r="A46" s="341" t="s">
        <v>916</v>
      </c>
      <c r="B46" s="261"/>
      <c r="C46" s="261"/>
      <c r="D46" s="261"/>
      <c r="E46" s="261"/>
      <c r="F46" s="261"/>
      <c r="G46" s="261"/>
      <c r="H46" s="261"/>
    </row>
    <row r="48" spans="1:10" ht="15.5" x14ac:dyDescent="0.35">
      <c r="A48" s="328" t="s">
        <v>832</v>
      </c>
      <c r="C48" s="258"/>
      <c r="D48" s="258"/>
      <c r="E48" s="258"/>
    </row>
    <row r="49" spans="1:8" x14ac:dyDescent="0.3">
      <c r="B49" s="254" t="s">
        <v>811</v>
      </c>
      <c r="C49" s="255"/>
      <c r="D49" s="255"/>
      <c r="E49" s="254" t="s">
        <v>812</v>
      </c>
      <c r="F49" s="255"/>
      <c r="G49" s="254" t="s">
        <v>813</v>
      </c>
    </row>
    <row r="50" spans="1:8" ht="14.5" x14ac:dyDescent="0.45">
      <c r="A50" s="256"/>
      <c r="B50" s="327" t="s">
        <v>814</v>
      </c>
      <c r="C50" s="327" t="s">
        <v>815</v>
      </c>
      <c r="D50" s="327" t="s">
        <v>816</v>
      </c>
      <c r="E50" s="327" t="s">
        <v>817</v>
      </c>
      <c r="F50" s="327" t="s">
        <v>818</v>
      </c>
      <c r="G50" s="327" t="s">
        <v>814</v>
      </c>
      <c r="H50" s="256"/>
    </row>
    <row r="51" spans="1:8" x14ac:dyDescent="0.3">
      <c r="A51" s="253" t="s">
        <v>822</v>
      </c>
      <c r="B51" s="252">
        <f t="shared" ref="B51:F59" si="7">B12-B33</f>
        <v>1961310.65</v>
      </c>
      <c r="C51" s="252">
        <f t="shared" si="7"/>
        <v>0</v>
      </c>
      <c r="D51" s="252">
        <f t="shared" si="7"/>
        <v>0</v>
      </c>
      <c r="E51" s="252">
        <f t="shared" si="7"/>
        <v>0</v>
      </c>
      <c r="F51" s="252">
        <f t="shared" si="7"/>
        <v>0</v>
      </c>
      <c r="G51" s="252">
        <f t="shared" ref="G51:G59" si="8">B51+F51</f>
        <v>1961310.65</v>
      </c>
    </row>
    <row r="52" spans="1:8" x14ac:dyDescent="0.3">
      <c r="A52" s="253" t="s">
        <v>823</v>
      </c>
      <c r="B52" s="252">
        <f t="shared" si="7"/>
        <v>45700.5</v>
      </c>
      <c r="C52" s="252">
        <f t="shared" si="7"/>
        <v>0</v>
      </c>
      <c r="D52" s="252">
        <f t="shared" si="7"/>
        <v>-12.67</v>
      </c>
      <c r="E52" s="252">
        <f t="shared" si="7"/>
        <v>0</v>
      </c>
      <c r="F52" s="252">
        <f t="shared" si="7"/>
        <v>-12.67</v>
      </c>
      <c r="G52" s="252">
        <f t="shared" si="8"/>
        <v>45687.83</v>
      </c>
    </row>
    <row r="53" spans="1:8" x14ac:dyDescent="0.3">
      <c r="A53" s="253" t="s">
        <v>824</v>
      </c>
      <c r="B53" s="252">
        <f t="shared" si="7"/>
        <v>1743198.88</v>
      </c>
      <c r="C53" s="252">
        <f t="shared" si="7"/>
        <v>3284.25</v>
      </c>
      <c r="D53" s="252">
        <f t="shared" si="7"/>
        <v>0</v>
      </c>
      <c r="E53" s="252">
        <f t="shared" si="7"/>
        <v>0</v>
      </c>
      <c r="F53" s="252">
        <f t="shared" si="7"/>
        <v>3284.25</v>
      </c>
      <c r="G53" s="252">
        <f t="shared" si="8"/>
        <v>1746483.13</v>
      </c>
    </row>
    <row r="54" spans="1:8" x14ac:dyDescent="0.3">
      <c r="A54" s="253" t="s">
        <v>825</v>
      </c>
      <c r="B54" s="252">
        <f t="shared" si="7"/>
        <v>23742957.649999999</v>
      </c>
      <c r="C54" s="252">
        <f t="shared" si="7"/>
        <v>523210.29999999993</v>
      </c>
      <c r="D54" s="252">
        <f t="shared" si="7"/>
        <v>-112686.11</v>
      </c>
      <c r="E54" s="252">
        <f t="shared" si="7"/>
        <v>0</v>
      </c>
      <c r="F54" s="252">
        <f t="shared" si="7"/>
        <v>410524.18999999994</v>
      </c>
      <c r="G54" s="252">
        <f t="shared" si="8"/>
        <v>24153481.84</v>
      </c>
    </row>
    <row r="55" spans="1:8" x14ac:dyDescent="0.3">
      <c r="A55" s="253" t="s">
        <v>826</v>
      </c>
      <c r="B55" s="252">
        <f t="shared" si="7"/>
        <v>2411758.4300000006</v>
      </c>
      <c r="C55" s="252">
        <f t="shared" si="7"/>
        <v>0</v>
      </c>
      <c r="D55" s="252">
        <f t="shared" si="7"/>
        <v>0</v>
      </c>
      <c r="E55" s="252">
        <f t="shared" si="7"/>
        <v>0</v>
      </c>
      <c r="F55" s="252">
        <f t="shared" si="7"/>
        <v>0</v>
      </c>
      <c r="G55" s="252">
        <f t="shared" si="8"/>
        <v>2411758.4300000006</v>
      </c>
    </row>
    <row r="56" spans="1:8" x14ac:dyDescent="0.3">
      <c r="A56" s="253" t="s">
        <v>827</v>
      </c>
      <c r="B56" s="252">
        <f t="shared" si="7"/>
        <v>13428486.449999999</v>
      </c>
      <c r="C56" s="252">
        <f t="shared" si="7"/>
        <v>1531886.63</v>
      </c>
      <c r="D56" s="252">
        <f t="shared" si="7"/>
        <v>-5594.95</v>
      </c>
      <c r="E56" s="252">
        <f t="shared" si="7"/>
        <v>0</v>
      </c>
      <c r="F56" s="252">
        <f t="shared" si="7"/>
        <v>1526291.68</v>
      </c>
      <c r="G56" s="252">
        <f t="shared" si="8"/>
        <v>14954778.129999999</v>
      </c>
    </row>
    <row r="57" spans="1:8" x14ac:dyDescent="0.3">
      <c r="A57" s="253" t="s">
        <v>828</v>
      </c>
      <c r="B57" s="252">
        <f t="shared" si="7"/>
        <v>15860981.33</v>
      </c>
      <c r="C57" s="252">
        <f t="shared" si="7"/>
        <v>110706.62</v>
      </c>
      <c r="D57" s="252">
        <f t="shared" si="7"/>
        <v>-2230.63</v>
      </c>
      <c r="E57" s="252">
        <f t="shared" si="7"/>
        <v>0</v>
      </c>
      <c r="F57" s="252">
        <f t="shared" si="7"/>
        <v>108475.98999999999</v>
      </c>
      <c r="G57" s="252">
        <f t="shared" si="8"/>
        <v>15969457.32</v>
      </c>
    </row>
    <row r="58" spans="1:8" x14ac:dyDescent="0.3">
      <c r="A58" s="253" t="s">
        <v>829</v>
      </c>
      <c r="B58" s="252">
        <f t="shared" si="7"/>
        <v>0</v>
      </c>
      <c r="C58" s="252">
        <f t="shared" si="7"/>
        <v>0</v>
      </c>
      <c r="D58" s="252">
        <f t="shared" si="7"/>
        <v>0</v>
      </c>
      <c r="E58" s="252">
        <f t="shared" si="7"/>
        <v>0</v>
      </c>
      <c r="F58" s="252">
        <f t="shared" si="7"/>
        <v>0</v>
      </c>
      <c r="G58" s="252">
        <f t="shared" si="8"/>
        <v>0</v>
      </c>
    </row>
    <row r="59" spans="1:8" x14ac:dyDescent="0.3">
      <c r="A59" s="253" t="s">
        <v>830</v>
      </c>
      <c r="B59" s="252">
        <f t="shared" si="7"/>
        <v>0</v>
      </c>
      <c r="C59" s="252">
        <f t="shared" si="7"/>
        <v>0</v>
      </c>
      <c r="D59" s="252">
        <f t="shared" si="7"/>
        <v>0</v>
      </c>
      <c r="E59" s="252">
        <f t="shared" si="7"/>
        <v>0</v>
      </c>
      <c r="F59" s="252">
        <f t="shared" si="7"/>
        <v>0</v>
      </c>
      <c r="G59" s="252">
        <f t="shared" si="8"/>
        <v>0</v>
      </c>
    </row>
    <row r="60" spans="1:8" ht="13.5" thickBot="1" x14ac:dyDescent="0.35">
      <c r="A60" s="342" t="s">
        <v>6</v>
      </c>
      <c r="B60" s="332">
        <f>SUM(B51:B59)</f>
        <v>59194393.890000001</v>
      </c>
      <c r="C60" s="332">
        <f t="shared" ref="C60:F60" si="9">SUM(C51:C59)</f>
        <v>2169087.7999999998</v>
      </c>
      <c r="D60" s="332">
        <f t="shared" si="9"/>
        <v>-120524.36</v>
      </c>
      <c r="E60" s="332">
        <f t="shared" si="9"/>
        <v>0</v>
      </c>
      <c r="F60" s="332">
        <f t="shared" si="9"/>
        <v>2048563.44</v>
      </c>
      <c r="G60" s="332">
        <f>SUM(G51:G59)</f>
        <v>61242957.329999998</v>
      </c>
    </row>
    <row r="61" spans="1:8" ht="13.5" thickTop="1" x14ac:dyDescent="0.3">
      <c r="F61" s="310" t="s">
        <v>904</v>
      </c>
      <c r="G61" s="311" t="str">
        <f>IF(ROUND(G60,0)='NITS Pg 4 of 5'!J12,"ok","err on NITS pg 4")</f>
        <v>ok</v>
      </c>
    </row>
    <row r="62" spans="1:8" x14ac:dyDescent="0.3">
      <c r="F62" s="310" t="s">
        <v>905</v>
      </c>
      <c r="G62" s="311" t="str">
        <f>IF(ROUND(G60,0)='PTP Pg 4 of 5'!J12,"ok","err on PTP pg 4")</f>
        <v>ok</v>
      </c>
    </row>
    <row r="63" spans="1:8" x14ac:dyDescent="0.3">
      <c r="B63" s="259"/>
    </row>
    <row r="64" spans="1:8" s="262" customFormat="1" x14ac:dyDescent="0.3">
      <c r="A64" s="263"/>
      <c r="B64" s="261"/>
      <c r="C64" s="261"/>
      <c r="D64" s="261"/>
      <c r="E64" s="261"/>
      <c r="F64" s="261"/>
      <c r="G64" s="261"/>
      <c r="H64" s="261"/>
    </row>
    <row r="65" spans="1:8" s="262" customFormat="1" x14ac:dyDescent="0.3">
      <c r="A65" s="260"/>
      <c r="B65" s="261"/>
      <c r="C65" s="261"/>
      <c r="D65" s="261"/>
      <c r="E65" s="261"/>
      <c r="F65" s="261"/>
      <c r="G65" s="261"/>
      <c r="H65" s="261"/>
    </row>
    <row r="66" spans="1:8" s="262" customFormat="1" x14ac:dyDescent="0.3">
      <c r="A66" s="264"/>
      <c r="B66" s="261"/>
      <c r="C66" s="261"/>
      <c r="D66" s="261"/>
      <c r="E66" s="261"/>
      <c r="F66" s="261"/>
      <c r="G66" s="261"/>
      <c r="H66" s="261"/>
    </row>
    <row r="67" spans="1:8" s="262" customFormat="1" x14ac:dyDescent="0.3">
      <c r="A67" s="265"/>
      <c r="B67" s="266"/>
      <c r="C67" s="266"/>
      <c r="D67" s="266"/>
      <c r="E67" s="266"/>
      <c r="F67" s="266"/>
      <c r="G67" s="266"/>
      <c r="H67" s="266"/>
    </row>
    <row r="68" spans="1:8" s="262" customFormat="1" x14ac:dyDescent="0.3">
      <c r="A68" s="265"/>
      <c r="B68" s="267"/>
      <c r="C68" s="267"/>
      <c r="D68" s="267"/>
      <c r="E68" s="267"/>
      <c r="F68" s="268"/>
      <c r="G68" s="267"/>
    </row>
    <row r="69" spans="1:8" s="262" customFormat="1" x14ac:dyDescent="0.3">
      <c r="A69" s="265"/>
      <c r="B69" s="266"/>
      <c r="C69" s="266"/>
      <c r="D69" s="266"/>
      <c r="E69" s="266"/>
      <c r="F69" s="268"/>
      <c r="G69" s="266"/>
    </row>
    <row r="70" spans="1:8" s="262" customFormat="1" x14ac:dyDescent="0.3">
      <c r="A70" s="269"/>
      <c r="B70" s="266"/>
      <c r="C70" s="266"/>
      <c r="D70" s="266"/>
      <c r="E70" s="266"/>
      <c r="F70" s="268"/>
      <c r="G70" s="266"/>
    </row>
    <row r="71" spans="1:8" s="262" customFormat="1" x14ac:dyDescent="0.3">
      <c r="A71" s="265"/>
      <c r="B71" s="266"/>
      <c r="C71" s="266"/>
      <c r="D71" s="266"/>
      <c r="E71" s="266"/>
      <c r="F71" s="268"/>
      <c r="G71" s="266"/>
    </row>
    <row r="72" spans="1:8" s="262" customFormat="1" x14ac:dyDescent="0.3">
      <c r="A72" s="265"/>
      <c r="B72" s="266"/>
      <c r="C72" s="266"/>
      <c r="D72" s="266"/>
      <c r="E72" s="266"/>
      <c r="F72" s="268"/>
      <c r="G72" s="266"/>
    </row>
    <row r="73" spans="1:8" s="262" customFormat="1" x14ac:dyDescent="0.3">
      <c r="A73" s="265"/>
      <c r="B73" s="266"/>
      <c r="C73" s="266"/>
      <c r="D73" s="266"/>
      <c r="E73" s="266"/>
      <c r="F73" s="268"/>
      <c r="G73" s="266"/>
    </row>
    <row r="74" spans="1:8" s="262" customFormat="1" x14ac:dyDescent="0.3">
      <c r="A74" s="265"/>
      <c r="B74" s="266"/>
      <c r="C74" s="266"/>
      <c r="D74" s="266"/>
      <c r="E74" s="266"/>
      <c r="F74" s="268"/>
      <c r="G74" s="266"/>
    </row>
    <row r="75" spans="1:8" s="262" customFormat="1" x14ac:dyDescent="0.3">
      <c r="A75" s="265"/>
      <c r="B75" s="266"/>
      <c r="C75" s="266"/>
      <c r="D75" s="266"/>
      <c r="E75" s="266"/>
      <c r="F75" s="268"/>
      <c r="G75" s="266"/>
    </row>
    <row r="76" spans="1:8" s="262" customFormat="1" x14ac:dyDescent="0.3">
      <c r="A76" s="265"/>
      <c r="B76" s="266"/>
      <c r="C76" s="266"/>
      <c r="D76" s="266"/>
      <c r="E76" s="266"/>
      <c r="F76" s="268"/>
      <c r="G76" s="266"/>
    </row>
    <row r="77" spans="1:8" s="262" customFormat="1" x14ac:dyDescent="0.3">
      <c r="A77" s="265"/>
      <c r="B77" s="266"/>
      <c r="C77" s="266"/>
      <c r="D77" s="266"/>
      <c r="E77" s="266"/>
      <c r="F77" s="268"/>
      <c r="G77" s="266"/>
    </row>
    <row r="78" spans="1:8" s="262" customFormat="1" x14ac:dyDescent="0.3">
      <c r="A78" s="265"/>
      <c r="B78" s="266"/>
      <c r="C78" s="266"/>
      <c r="D78" s="266"/>
      <c r="E78" s="266"/>
      <c r="F78" s="268"/>
      <c r="G78" s="266"/>
    </row>
    <row r="79" spans="1:8" s="262" customFormat="1" x14ac:dyDescent="0.3">
      <c r="A79" s="265"/>
      <c r="B79" s="266"/>
      <c r="C79" s="266"/>
      <c r="D79" s="266"/>
      <c r="E79" s="266"/>
      <c r="F79" s="268"/>
      <c r="G79" s="266"/>
    </row>
    <row r="80" spans="1:8" s="262" customFormat="1" x14ac:dyDescent="0.3">
      <c r="A80" s="265"/>
      <c r="B80" s="266"/>
      <c r="C80" s="266"/>
      <c r="D80" s="266"/>
      <c r="E80" s="266"/>
      <c r="F80" s="268"/>
      <c r="G80" s="266"/>
    </row>
    <row r="81" spans="1:8" s="262" customFormat="1" x14ac:dyDescent="0.3">
      <c r="A81" s="265"/>
      <c r="B81" s="266"/>
      <c r="C81" s="266"/>
      <c r="D81" s="266"/>
      <c r="E81" s="266"/>
      <c r="F81" s="268"/>
      <c r="G81" s="266"/>
    </row>
    <row r="82" spans="1:8" s="262" customFormat="1" x14ac:dyDescent="0.3">
      <c r="A82" s="265"/>
      <c r="B82" s="266"/>
      <c r="C82" s="266"/>
      <c r="D82" s="266"/>
      <c r="E82" s="266"/>
      <c r="F82" s="268"/>
      <c r="G82" s="266"/>
    </row>
    <row r="83" spans="1:8" s="262" customFormat="1" x14ac:dyDescent="0.3">
      <c r="A83" s="265"/>
      <c r="B83" s="266"/>
      <c r="C83" s="266"/>
      <c r="D83" s="266"/>
      <c r="E83" s="266"/>
      <c r="F83" s="268"/>
      <c r="G83" s="266"/>
    </row>
    <row r="84" spans="1:8" s="262" customFormat="1" x14ac:dyDescent="0.3">
      <c r="A84" s="265"/>
      <c r="B84" s="266"/>
      <c r="C84" s="266"/>
      <c r="D84" s="266"/>
      <c r="E84" s="266"/>
      <c r="F84" s="268"/>
      <c r="G84" s="266"/>
    </row>
    <row r="85" spans="1:8" s="262" customFormat="1" x14ac:dyDescent="0.3">
      <c r="A85" s="265"/>
      <c r="B85" s="266"/>
      <c r="C85" s="266"/>
      <c r="D85" s="266"/>
      <c r="E85" s="266"/>
      <c r="F85" s="268"/>
      <c r="G85" s="266"/>
    </row>
    <row r="86" spans="1:8" s="262" customFormat="1" x14ac:dyDescent="0.3">
      <c r="A86" s="265"/>
      <c r="B86" s="266"/>
      <c r="C86" s="266"/>
      <c r="D86" s="266"/>
      <c r="E86" s="266"/>
      <c r="F86" s="268"/>
      <c r="G86" s="266"/>
    </row>
    <row r="87" spans="1:8" s="262" customFormat="1" x14ac:dyDescent="0.3">
      <c r="A87" s="265"/>
      <c r="B87" s="266"/>
      <c r="C87" s="266"/>
      <c r="D87" s="266"/>
      <c r="E87" s="266"/>
      <c r="F87" s="268"/>
      <c r="G87" s="266"/>
    </row>
    <row r="88" spans="1:8" s="262" customFormat="1" x14ac:dyDescent="0.3">
      <c r="A88" s="265"/>
      <c r="B88" s="266"/>
      <c r="C88" s="266"/>
      <c r="D88" s="266"/>
      <c r="E88" s="266"/>
      <c r="F88" s="268"/>
      <c r="G88" s="266"/>
    </row>
    <row r="89" spans="1:8" s="262" customFormat="1" x14ac:dyDescent="0.3">
      <c r="A89" s="265"/>
      <c r="B89" s="266"/>
      <c r="C89" s="266"/>
      <c r="D89" s="266"/>
      <c r="E89" s="266"/>
      <c r="F89" s="268"/>
      <c r="G89" s="266"/>
    </row>
    <row r="90" spans="1:8" s="262" customFormat="1" x14ac:dyDescent="0.3">
      <c r="A90" s="265"/>
      <c r="B90" s="266"/>
      <c r="C90" s="266"/>
      <c r="D90" s="266"/>
      <c r="E90" s="266"/>
      <c r="F90" s="268"/>
      <c r="G90" s="266"/>
    </row>
    <row r="91" spans="1:8" s="262" customFormat="1" x14ac:dyDescent="0.3">
      <c r="A91" s="265"/>
      <c r="B91" s="266"/>
      <c r="C91" s="266"/>
      <c r="D91" s="266"/>
      <c r="E91" s="266"/>
      <c r="F91" s="266"/>
      <c r="G91" s="266"/>
      <c r="H91" s="266"/>
    </row>
  </sheetData>
  <printOptions headings="1"/>
  <pageMargins left="0.7" right="0.7" top="0.75" bottom="0.75" header="0.3" footer="0.3"/>
  <pageSetup scale="57" orientation="landscape" r:id="rId1"/>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rgb="FFFFFF99"/>
    <pageSetUpPr fitToPage="1"/>
  </sheetPr>
  <dimension ref="A1:U344"/>
  <sheetViews>
    <sheetView tabSelected="1" zoomScaleNormal="100" workbookViewId="0"/>
  </sheetViews>
  <sheetFormatPr defaultColWidth="9.296875" defaultRowHeight="15.5" x14ac:dyDescent="0.35"/>
  <cols>
    <col min="1" max="1" width="9" style="1" customWidth="1"/>
    <col min="2" max="2" width="2.09765625" style="1" customWidth="1"/>
    <col min="3" max="3" width="41.69921875" style="1" customWidth="1"/>
    <col min="4" max="4" width="31.09765625" style="1" customWidth="1"/>
    <col min="5" max="5" width="23" style="1" customWidth="1"/>
    <col min="6" max="6" width="15" style="1" customWidth="1"/>
    <col min="7" max="7" width="20.69921875" style="1" customWidth="1"/>
    <col min="8" max="8" width="18.3984375" style="1" customWidth="1"/>
    <col min="9" max="9" width="8.69921875" style="1" customWidth="1"/>
    <col min="10" max="10" width="23" style="1" customWidth="1"/>
    <col min="11" max="11" width="16.3984375" style="1" customWidth="1"/>
    <col min="12" max="12" width="11.69921875" style="1" customWidth="1"/>
    <col min="13" max="13" width="2.69921875" style="1" customWidth="1"/>
    <col min="14" max="14" width="41" style="1" customWidth="1"/>
    <col min="15" max="15" width="48.69921875" style="1" customWidth="1"/>
    <col min="16" max="16" width="23.3984375" style="1" customWidth="1"/>
    <col min="17" max="17" width="20.3984375" style="1" customWidth="1"/>
    <col min="18" max="18" width="20.69921875" style="1" customWidth="1"/>
    <col min="19" max="19" width="23.69921875" style="1" bestFit="1" customWidth="1"/>
    <col min="20" max="20" width="22.09765625" style="1" bestFit="1" customWidth="1"/>
    <col min="21" max="21" width="23" style="1" bestFit="1" customWidth="1"/>
    <col min="22" max="22" width="19.69921875" style="1" customWidth="1"/>
    <col min="23" max="23" width="20.296875" style="1" customWidth="1"/>
    <col min="24" max="24" width="23.3984375" style="1" bestFit="1" customWidth="1"/>
    <col min="25" max="25" width="21.69921875" style="1" bestFit="1" customWidth="1"/>
    <col min="26" max="26" width="16.09765625" style="1" customWidth="1"/>
    <col min="27" max="28" width="23.3984375" style="1" bestFit="1" customWidth="1"/>
    <col min="29" max="29" width="21.296875" style="1" bestFit="1" customWidth="1"/>
    <col min="30" max="30" width="23.3984375" style="1" bestFit="1" customWidth="1"/>
    <col min="31" max="31" width="21.296875" style="1" bestFit="1" customWidth="1"/>
    <col min="32" max="32" width="20.69921875" style="1" bestFit="1" customWidth="1"/>
    <col min="33" max="16384" width="9.296875" style="1"/>
  </cols>
  <sheetData>
    <row r="1" spans="1:16" x14ac:dyDescent="0.35">
      <c r="A1" s="167" t="s">
        <v>185</v>
      </c>
      <c r="B1" s="168"/>
      <c r="C1" s="169"/>
      <c r="D1" s="169"/>
      <c r="E1" s="169"/>
      <c r="F1" s="169"/>
      <c r="G1" s="169"/>
      <c r="H1" s="169"/>
      <c r="I1" s="169"/>
      <c r="J1" s="169"/>
      <c r="K1" s="169"/>
      <c r="L1" s="169"/>
      <c r="M1" s="158"/>
      <c r="N1" s="4"/>
      <c r="O1" s="4"/>
      <c r="P1" s="4"/>
    </row>
    <row r="2" spans="1:16" x14ac:dyDescent="0.35">
      <c r="A2" s="167" t="s">
        <v>425</v>
      </c>
      <c r="B2" s="168"/>
      <c r="C2" s="169"/>
      <c r="D2" s="169"/>
      <c r="E2" s="169"/>
      <c r="F2" s="169"/>
      <c r="G2" s="169"/>
      <c r="H2" s="169"/>
      <c r="I2" s="169"/>
      <c r="J2" s="169"/>
      <c r="K2" s="169"/>
      <c r="L2" s="169"/>
      <c r="M2" s="166"/>
      <c r="N2" s="4"/>
      <c r="O2" s="4"/>
      <c r="P2" s="4"/>
    </row>
    <row r="3" spans="1:16" x14ac:dyDescent="0.35">
      <c r="C3" s="6"/>
      <c r="D3" s="2"/>
      <c r="E3" s="3"/>
      <c r="F3" s="2"/>
      <c r="G3" s="2"/>
      <c r="H3" s="2"/>
      <c r="I3" s="4"/>
      <c r="J3" s="4"/>
      <c r="K3" s="4"/>
      <c r="L3" s="4"/>
      <c r="M3" s="4"/>
      <c r="N3" s="4"/>
      <c r="O3" s="4"/>
      <c r="P3" s="4"/>
    </row>
    <row r="4" spans="1:16" x14ac:dyDescent="0.35">
      <c r="A4" s="1" t="s">
        <v>186</v>
      </c>
      <c r="C4" s="2"/>
      <c r="D4" s="2"/>
      <c r="E4" s="7"/>
      <c r="F4" s="2"/>
      <c r="G4" s="2"/>
      <c r="H4" s="2"/>
      <c r="I4" s="4"/>
      <c r="J4" s="181" t="str">
        <f>"For the 12 months ended "&amp;TEXT('OATT Input Data'!B4,"MM/DD/YYYY")</f>
        <v>For the 12 months ended 12/31/2019</v>
      </c>
      <c r="L4" s="4"/>
      <c r="M4" s="4"/>
      <c r="N4" s="4"/>
      <c r="O4" s="5"/>
      <c r="P4" s="4"/>
    </row>
    <row r="5" spans="1:16" x14ac:dyDescent="0.35">
      <c r="A5" s="182" t="s">
        <v>187</v>
      </c>
      <c r="B5" s="169"/>
      <c r="C5" s="2"/>
      <c r="E5" s="2"/>
      <c r="F5" s="2"/>
      <c r="G5" s="2"/>
      <c r="H5" s="2"/>
      <c r="I5" s="2"/>
      <c r="J5" s="181" t="s">
        <v>381</v>
      </c>
      <c r="L5" s="169"/>
      <c r="M5" s="4"/>
      <c r="N5" s="4"/>
      <c r="O5" s="4"/>
      <c r="P5" s="4"/>
    </row>
    <row r="6" spans="1:16" x14ac:dyDescent="0.35">
      <c r="C6" s="4"/>
      <c r="D6" s="4"/>
      <c r="E6" s="4"/>
      <c r="F6" s="4"/>
      <c r="G6" s="4"/>
      <c r="H6" s="4"/>
      <c r="I6" s="4"/>
      <c r="J6" s="4"/>
      <c r="K6" s="4"/>
      <c r="L6" s="4"/>
      <c r="M6" s="4"/>
      <c r="N6" s="4"/>
      <c r="O6" s="4"/>
      <c r="P6" s="4"/>
    </row>
    <row r="7" spans="1:16" x14ac:dyDescent="0.35">
      <c r="A7" s="184" t="s">
        <v>130</v>
      </c>
      <c r="B7" s="168"/>
      <c r="C7" s="169"/>
      <c r="D7" s="169"/>
      <c r="E7" s="168"/>
      <c r="F7" s="169"/>
      <c r="G7" s="169"/>
      <c r="H7" s="169"/>
      <c r="I7" s="169"/>
      <c r="J7" s="169"/>
      <c r="K7" s="169"/>
      <c r="L7" s="169"/>
      <c r="M7" s="4"/>
      <c r="N7" s="4"/>
      <c r="O7" s="4"/>
      <c r="P7" s="4"/>
    </row>
    <row r="8" spans="1:16" x14ac:dyDescent="0.35">
      <c r="A8" s="5"/>
      <c r="C8" s="4"/>
      <c r="D8" s="4"/>
      <c r="E8" s="9"/>
      <c r="F8" s="4"/>
      <c r="G8" s="4"/>
      <c r="H8" s="4"/>
      <c r="I8" s="4"/>
      <c r="J8" s="4"/>
      <c r="K8" s="4"/>
      <c r="L8" s="4"/>
      <c r="M8" s="4"/>
      <c r="N8" s="4"/>
      <c r="O8" s="4"/>
      <c r="P8" s="4"/>
    </row>
    <row r="9" spans="1:16" x14ac:dyDescent="0.35">
      <c r="A9" s="5" t="s">
        <v>1</v>
      </c>
      <c r="C9" s="4"/>
      <c r="D9" s="4"/>
      <c r="E9" s="9"/>
      <c r="F9" s="4"/>
      <c r="G9" s="4"/>
      <c r="H9" s="4"/>
      <c r="I9" s="4"/>
      <c r="J9" s="5" t="s">
        <v>2</v>
      </c>
      <c r="K9" s="4"/>
      <c r="L9" s="4"/>
      <c r="M9" s="4"/>
      <c r="N9" s="4"/>
      <c r="O9" s="4"/>
      <c r="P9" s="4"/>
    </row>
    <row r="10" spans="1:16" ht="16" thickBot="1" x14ac:dyDescent="0.4">
      <c r="A10" s="10" t="s">
        <v>3</v>
      </c>
      <c r="C10" s="4"/>
      <c r="D10" s="4"/>
      <c r="E10" s="4"/>
      <c r="F10" s="4"/>
      <c r="G10" s="4"/>
      <c r="H10" s="4"/>
      <c r="I10" s="4"/>
      <c r="J10" s="10" t="s">
        <v>4</v>
      </c>
      <c r="K10" s="4"/>
      <c r="L10" s="4"/>
      <c r="M10" s="4"/>
      <c r="N10" s="4"/>
      <c r="O10" s="4"/>
      <c r="P10" s="4"/>
    </row>
    <row r="11" spans="1:16" x14ac:dyDescent="0.35">
      <c r="A11" s="5">
        <v>1</v>
      </c>
      <c r="C11" s="7" t="s">
        <v>127</v>
      </c>
      <c r="D11" s="164" t="s">
        <v>408</v>
      </c>
      <c r="E11" s="11"/>
      <c r="F11" s="4"/>
      <c r="G11" s="4"/>
      <c r="H11" s="4"/>
      <c r="I11" s="4"/>
      <c r="J11" s="433">
        <f>ROUND('NITS Pg 3 of 5'!$J$60,0)</f>
        <v>188763231</v>
      </c>
      <c r="K11" s="4"/>
      <c r="L11" s="4"/>
      <c r="M11" s="4"/>
      <c r="N11" s="4"/>
      <c r="O11" s="4"/>
      <c r="P11" s="4"/>
    </row>
    <row r="12" spans="1:16" x14ac:dyDescent="0.35">
      <c r="A12" s="5"/>
      <c r="C12" s="4"/>
      <c r="D12" s="4"/>
      <c r="E12" s="4"/>
      <c r="F12" s="4"/>
      <c r="G12" s="4"/>
      <c r="H12" s="4"/>
      <c r="I12" s="4"/>
      <c r="J12" s="11"/>
      <c r="K12" s="4"/>
      <c r="L12" s="4"/>
      <c r="M12" s="4"/>
      <c r="N12" s="4"/>
      <c r="O12" s="4"/>
      <c r="P12" s="4"/>
    </row>
    <row r="13" spans="1:16" ht="16" thickBot="1" x14ac:dyDescent="0.4">
      <c r="A13" s="5" t="s">
        <v>0</v>
      </c>
      <c r="C13" s="2" t="s">
        <v>5</v>
      </c>
      <c r="D13" s="165" t="s">
        <v>242</v>
      </c>
      <c r="E13" s="10" t="s">
        <v>6</v>
      </c>
      <c r="F13" s="8"/>
      <c r="G13" s="12" t="s">
        <v>7</v>
      </c>
      <c r="H13" s="12"/>
      <c r="I13" s="4"/>
      <c r="J13" s="11"/>
      <c r="K13" s="4"/>
      <c r="L13" s="4"/>
      <c r="M13" s="4"/>
      <c r="N13" s="4"/>
      <c r="O13" s="4"/>
      <c r="P13" s="4"/>
    </row>
    <row r="14" spans="1:16" x14ac:dyDescent="0.35">
      <c r="A14" s="5">
        <v>2</v>
      </c>
      <c r="C14" s="2" t="s">
        <v>8</v>
      </c>
      <c r="D14" s="162" t="s">
        <v>377</v>
      </c>
      <c r="E14" s="434">
        <f>'NITS Pg 4 of 5'!$J$64</f>
        <v>1268370.3700000001</v>
      </c>
      <c r="F14" s="8"/>
      <c r="G14" s="8" t="s">
        <v>9</v>
      </c>
      <c r="H14" s="13">
        <f>'NITS Pg 4 of 5'!$J$16</f>
        <v>0.96242000000000005</v>
      </c>
      <c r="I14" s="8"/>
      <c r="J14" s="435">
        <f>ROUND(H14*E14,0)</f>
        <v>1220705</v>
      </c>
      <c r="K14" s="4"/>
      <c r="L14" s="121"/>
      <c r="M14" s="4"/>
      <c r="N14" s="4"/>
      <c r="O14" s="4"/>
      <c r="P14" s="4"/>
    </row>
    <row r="15" spans="1:16" x14ac:dyDescent="0.35">
      <c r="A15" s="5">
        <v>3</v>
      </c>
      <c r="C15" s="2" t="s">
        <v>10</v>
      </c>
      <c r="D15" s="162" t="s">
        <v>378</v>
      </c>
      <c r="E15" s="436">
        <f>'NITS Pg 4 of 5'!$J$68</f>
        <v>3629796</v>
      </c>
      <c r="F15" s="8"/>
      <c r="G15" s="8" t="str">
        <f t="shared" ref="G15:G17" si="0">+G14</f>
        <v>TP</v>
      </c>
      <c r="H15" s="13">
        <f>'NITS Pg 4 of 5'!$J$16</f>
        <v>0.96242000000000005</v>
      </c>
      <c r="I15" s="8"/>
      <c r="J15" s="437">
        <f>ROUND(H15*E15,0)</f>
        <v>3493388</v>
      </c>
      <c r="K15" s="4"/>
      <c r="L15" s="4"/>
      <c r="M15" s="4"/>
      <c r="N15" s="4"/>
      <c r="O15" s="4"/>
      <c r="P15" s="4"/>
    </row>
    <row r="16" spans="1:16" x14ac:dyDescent="0.35">
      <c r="A16" s="5">
        <v>4</v>
      </c>
      <c r="C16" s="14" t="s">
        <v>11</v>
      </c>
      <c r="D16" s="8"/>
      <c r="E16" s="436">
        <v>0</v>
      </c>
      <c r="F16" s="8"/>
      <c r="G16" s="8" t="str">
        <f t="shared" si="0"/>
        <v>TP</v>
      </c>
      <c r="H16" s="13">
        <f>'NITS Pg 4 of 5'!$J$16</f>
        <v>0.96242000000000005</v>
      </c>
      <c r="I16" s="8"/>
      <c r="J16" s="436">
        <f>ROUND(H16*E16,0)</f>
        <v>0</v>
      </c>
      <c r="K16" s="4"/>
      <c r="L16" s="4"/>
      <c r="M16" s="4"/>
      <c r="N16" s="4"/>
      <c r="P16" s="15"/>
    </row>
    <row r="17" spans="1:16" ht="18.5" x14ac:dyDescent="0.65">
      <c r="A17" s="5">
        <v>5</v>
      </c>
      <c r="C17" s="643" t="s">
        <v>188</v>
      </c>
      <c r="D17" s="644"/>
      <c r="E17" s="436">
        <v>0</v>
      </c>
      <c r="F17" s="8"/>
      <c r="G17" s="8" t="str">
        <f t="shared" si="0"/>
        <v>TP</v>
      </c>
      <c r="H17" s="13">
        <f>'NITS Pg 4 of 5'!$J$16</f>
        <v>0.96242000000000005</v>
      </c>
      <c r="I17" s="8"/>
      <c r="J17" s="438">
        <f>ROUND(H17*E17,0)</f>
        <v>0</v>
      </c>
      <c r="K17" s="213"/>
      <c r="L17" s="4"/>
      <c r="M17" s="4"/>
      <c r="N17" s="473"/>
      <c r="P17" s="15"/>
    </row>
    <row r="18" spans="1:16" ht="15.75" customHeight="1" x14ac:dyDescent="0.35">
      <c r="A18" s="5">
        <v>6</v>
      </c>
      <c r="C18" s="7" t="s">
        <v>128</v>
      </c>
      <c r="D18" s="163" t="s">
        <v>243</v>
      </c>
      <c r="E18" s="17" t="s">
        <v>0</v>
      </c>
      <c r="F18" s="8"/>
      <c r="G18" s="8"/>
      <c r="H18" s="13"/>
      <c r="I18" s="8"/>
      <c r="J18" s="439">
        <f>ROUND(SUM(J14:J17),0)</f>
        <v>4714093</v>
      </c>
      <c r="K18" s="4"/>
      <c r="L18" s="4"/>
      <c r="M18" s="4"/>
      <c r="N18" s="473"/>
      <c r="P18" s="4"/>
    </row>
    <row r="19" spans="1:16" x14ac:dyDescent="0.35">
      <c r="A19" s="5"/>
      <c r="C19" s="2"/>
      <c r="D19" s="4"/>
      <c r="J19" s="8"/>
      <c r="K19" s="4"/>
      <c r="L19" s="4"/>
      <c r="M19" s="4"/>
      <c r="N19" s="473"/>
      <c r="P19" s="4"/>
    </row>
    <row r="20" spans="1:16" ht="18" customHeight="1" x14ac:dyDescent="0.65">
      <c r="A20" s="5">
        <v>7</v>
      </c>
      <c r="C20" s="2" t="s">
        <v>12</v>
      </c>
      <c r="D20" s="163" t="s">
        <v>244</v>
      </c>
      <c r="E20" s="17" t="s">
        <v>0</v>
      </c>
      <c r="F20" s="8"/>
      <c r="G20" s="8"/>
      <c r="H20" s="8"/>
      <c r="I20" s="8"/>
      <c r="J20" s="465">
        <f>J11-J18</f>
        <v>184049138</v>
      </c>
      <c r="K20" s="4"/>
      <c r="L20" s="4"/>
      <c r="M20" s="4"/>
      <c r="N20" s="473"/>
      <c r="P20" s="4"/>
    </row>
    <row r="21" spans="1:16" x14ac:dyDescent="0.35">
      <c r="A21" s="5"/>
      <c r="D21" s="4"/>
      <c r="E21" s="17"/>
      <c r="F21" s="8"/>
      <c r="G21" s="8"/>
      <c r="H21" s="8"/>
      <c r="I21" s="8"/>
      <c r="K21" s="4"/>
      <c r="L21" s="4"/>
      <c r="M21" s="4"/>
      <c r="N21" s="473"/>
      <c r="P21" s="4"/>
    </row>
    <row r="22" spans="1:16" x14ac:dyDescent="0.35">
      <c r="A22" s="5"/>
      <c r="C22" s="2" t="s">
        <v>13</v>
      </c>
      <c r="D22" s="4"/>
      <c r="E22" s="11"/>
      <c r="F22" s="4"/>
      <c r="G22" s="4"/>
      <c r="H22" s="4"/>
      <c r="I22" s="4"/>
      <c r="J22" s="11"/>
      <c r="K22" s="4"/>
      <c r="L22" s="4"/>
      <c r="M22" s="4"/>
      <c r="N22" s="473"/>
      <c r="P22" s="4"/>
    </row>
    <row r="23" spans="1:16" x14ac:dyDescent="0.35">
      <c r="A23" s="5">
        <v>8</v>
      </c>
      <c r="C23" s="7" t="s">
        <v>133</v>
      </c>
      <c r="E23" s="11"/>
      <c r="F23" s="163" t="s">
        <v>245</v>
      </c>
      <c r="G23" s="4"/>
      <c r="H23" s="163"/>
      <c r="I23" s="4"/>
      <c r="J23" s="440">
        <f>'OATT Input Data'!$E$25</f>
        <v>5634000</v>
      </c>
      <c r="K23" s="4"/>
      <c r="L23" s="4"/>
      <c r="M23" s="4"/>
      <c r="P23" s="18"/>
    </row>
    <row r="24" spans="1:16" x14ac:dyDescent="0.35">
      <c r="A24" s="5">
        <v>9</v>
      </c>
      <c r="C24" s="7" t="s">
        <v>134</v>
      </c>
      <c r="D24" s="8"/>
      <c r="E24" s="8"/>
      <c r="F24" s="165" t="s">
        <v>246</v>
      </c>
      <c r="G24" s="8"/>
      <c r="H24" s="165"/>
      <c r="I24" s="8"/>
      <c r="J24" s="440">
        <f>'OATT Input Data'!$E$43</f>
        <v>0</v>
      </c>
      <c r="K24" s="4"/>
      <c r="L24" s="4"/>
      <c r="M24" s="4"/>
      <c r="O24" s="4"/>
      <c r="P24" s="4"/>
    </row>
    <row r="25" spans="1:16" x14ac:dyDescent="0.35">
      <c r="A25" s="5">
        <v>10</v>
      </c>
      <c r="C25" s="81" t="s">
        <v>135</v>
      </c>
      <c r="D25" s="4"/>
      <c r="E25" s="4"/>
      <c r="F25" s="162" t="s">
        <v>247</v>
      </c>
      <c r="H25" s="163"/>
      <c r="I25" s="4"/>
      <c r="J25" s="440">
        <f>'OATT Input Data'!$F$61</f>
        <v>913000</v>
      </c>
      <c r="K25" s="4"/>
      <c r="L25" s="4"/>
      <c r="M25" s="4"/>
      <c r="O25" s="4"/>
      <c r="P25" s="4"/>
    </row>
    <row r="26" spans="1:16" x14ac:dyDescent="0.35">
      <c r="A26" s="5">
        <v>11</v>
      </c>
      <c r="C26" s="7" t="s">
        <v>136</v>
      </c>
      <c r="D26" s="4"/>
      <c r="E26" s="4"/>
      <c r="F26" s="163" t="s">
        <v>248</v>
      </c>
      <c r="H26" s="163"/>
      <c r="I26" s="4"/>
      <c r="J26" s="436">
        <f>'OATT Input Data'!$E$79*-1</f>
        <v>0</v>
      </c>
      <c r="K26" s="4"/>
      <c r="L26" s="4"/>
      <c r="M26" s="4"/>
      <c r="O26" s="4"/>
      <c r="P26" s="4"/>
    </row>
    <row r="27" spans="1:16" x14ac:dyDescent="0.35">
      <c r="A27" s="5">
        <v>12</v>
      </c>
      <c r="C27" s="81" t="s">
        <v>137</v>
      </c>
      <c r="D27" s="4"/>
      <c r="E27" s="4"/>
      <c r="F27" s="4"/>
      <c r="G27" s="4"/>
      <c r="H27" s="157"/>
      <c r="I27" s="4"/>
      <c r="J27" s="440">
        <f>'OATT Input Data'!$E$98</f>
        <v>566666.66666666663</v>
      </c>
      <c r="K27" s="4"/>
      <c r="L27" s="4"/>
      <c r="M27" s="4"/>
      <c r="O27" s="4"/>
      <c r="P27" s="4"/>
    </row>
    <row r="28" spans="1:16" x14ac:dyDescent="0.35">
      <c r="A28" s="5">
        <v>13</v>
      </c>
      <c r="C28" s="81" t="s">
        <v>168</v>
      </c>
      <c r="D28" s="4"/>
      <c r="E28" s="4"/>
      <c r="F28" s="4"/>
      <c r="G28" s="4"/>
      <c r="H28" s="4"/>
      <c r="I28" s="4"/>
      <c r="J28" s="436">
        <v>0</v>
      </c>
      <c r="K28" s="4"/>
      <c r="L28" s="4"/>
      <c r="M28" s="4"/>
      <c r="O28" s="4"/>
      <c r="P28" s="4"/>
    </row>
    <row r="29" spans="1:16" ht="18.5" x14ac:dyDescent="0.65">
      <c r="A29" s="5">
        <v>14</v>
      </c>
      <c r="C29" s="81" t="s">
        <v>189</v>
      </c>
      <c r="D29" s="4"/>
      <c r="E29" s="4"/>
      <c r="F29" s="4"/>
      <c r="G29" s="4"/>
      <c r="H29" s="4"/>
      <c r="I29" s="4"/>
      <c r="J29" s="577">
        <f>'OATT Input Data'!$E$105*-1</f>
        <v>-393000</v>
      </c>
      <c r="K29" s="4"/>
      <c r="L29" s="4"/>
      <c r="M29" s="4"/>
      <c r="O29" s="4"/>
      <c r="P29" s="4"/>
    </row>
    <row r="30" spans="1:16" x14ac:dyDescent="0.35">
      <c r="A30" s="5">
        <v>15</v>
      </c>
      <c r="C30" s="7" t="s">
        <v>288</v>
      </c>
      <c r="D30" s="163" t="s">
        <v>287</v>
      </c>
      <c r="E30" s="4"/>
      <c r="F30" s="4"/>
      <c r="G30" s="4"/>
      <c r="H30" s="4"/>
      <c r="I30" s="4"/>
      <c r="J30" s="440">
        <f>ROUND(SUM(J23:J29),0)</f>
        <v>6720667</v>
      </c>
      <c r="K30" s="4"/>
      <c r="L30" s="4"/>
      <c r="M30" s="4"/>
      <c r="N30" s="4"/>
      <c r="O30" s="4"/>
      <c r="P30" s="4"/>
    </row>
    <row r="31" spans="1:16" x14ac:dyDescent="0.35">
      <c r="A31" s="5"/>
      <c r="C31" s="2"/>
      <c r="D31" s="4"/>
      <c r="E31" s="4"/>
      <c r="F31" s="4"/>
      <c r="G31" s="4"/>
      <c r="H31" s="4"/>
      <c r="I31" s="4"/>
      <c r="J31" s="11"/>
      <c r="K31" s="4"/>
      <c r="L31" s="4"/>
      <c r="M31" s="4"/>
      <c r="O31" s="4"/>
      <c r="P31" s="4"/>
    </row>
    <row r="32" spans="1:16" ht="21" x14ac:dyDescent="0.5">
      <c r="A32" s="5">
        <v>16</v>
      </c>
      <c r="C32" s="19" t="s">
        <v>14</v>
      </c>
      <c r="D32" s="179" t="s">
        <v>294</v>
      </c>
      <c r="E32" s="180">
        <f>IF(J30&gt;0.01,ROUND(J20/J30,3),0.0001)</f>
        <v>27.385999999999999</v>
      </c>
      <c r="F32" s="22"/>
      <c r="G32" s="4"/>
      <c r="H32" s="4"/>
      <c r="I32" s="4"/>
      <c r="K32" s="4"/>
      <c r="L32" s="4"/>
      <c r="M32" s="4"/>
      <c r="N32" s="4"/>
      <c r="O32" s="4"/>
      <c r="P32" s="4"/>
    </row>
    <row r="33" spans="1:16" x14ac:dyDescent="0.35">
      <c r="A33" s="5">
        <v>17</v>
      </c>
      <c r="C33" s="31" t="s">
        <v>300</v>
      </c>
      <c r="D33" s="179" t="s">
        <v>295</v>
      </c>
      <c r="E33" s="180">
        <f>E32/12</f>
        <v>2.2821666666666665</v>
      </c>
      <c r="G33" s="23"/>
      <c r="H33" s="24"/>
      <c r="I33" s="4"/>
      <c r="K33" s="4"/>
      <c r="L33" s="4"/>
      <c r="M33" s="4"/>
      <c r="N33" s="24"/>
      <c r="O33" s="4"/>
      <c r="P33" s="4"/>
    </row>
    <row r="34" spans="1:16" x14ac:dyDescent="0.35">
      <c r="A34" s="5"/>
      <c r="C34" s="31"/>
      <c r="D34" s="179"/>
      <c r="E34" s="180"/>
      <c r="G34" s="23"/>
      <c r="H34" s="24"/>
      <c r="I34" s="4"/>
      <c r="K34" s="4"/>
      <c r="L34" s="4"/>
      <c r="M34" s="4"/>
      <c r="N34" s="24"/>
      <c r="O34" s="4"/>
      <c r="P34" s="4"/>
    </row>
    <row r="35" spans="1:16" x14ac:dyDescent="0.35">
      <c r="A35" s="5"/>
      <c r="C35" s="19"/>
      <c r="D35" s="20"/>
      <c r="E35" s="21"/>
      <c r="F35" s="24"/>
      <c r="G35" s="4"/>
      <c r="H35" s="4"/>
      <c r="I35" s="4"/>
      <c r="K35" s="4"/>
      <c r="L35" s="4"/>
      <c r="M35" s="4"/>
      <c r="N35" s="4"/>
      <c r="O35" s="4"/>
      <c r="P35" s="4"/>
    </row>
    <row r="36" spans="1:16" x14ac:dyDescent="0.35">
      <c r="A36" s="5">
        <v>18</v>
      </c>
      <c r="C36" s="14" t="s">
        <v>131</v>
      </c>
      <c r="D36" s="27"/>
      <c r="E36" s="21"/>
      <c r="F36" s="4"/>
      <c r="G36" s="4"/>
      <c r="H36" s="4"/>
      <c r="I36" s="4"/>
      <c r="J36" s="28"/>
      <c r="K36" s="4"/>
      <c r="L36" s="4"/>
      <c r="M36" s="4"/>
      <c r="N36" s="4"/>
      <c r="O36" s="4"/>
      <c r="P36" s="4"/>
    </row>
    <row r="37" spans="1:16" x14ac:dyDescent="0.35">
      <c r="A37" s="5">
        <v>19</v>
      </c>
      <c r="C37" s="14" t="s">
        <v>131</v>
      </c>
      <c r="D37" s="27"/>
      <c r="E37" s="21"/>
      <c r="F37" s="4"/>
      <c r="H37" s="4"/>
      <c r="I37" s="4"/>
      <c r="J37" s="28"/>
      <c r="K37" s="4"/>
      <c r="L37" s="4"/>
      <c r="M37" s="4"/>
      <c r="N37" s="4"/>
      <c r="O37" s="4"/>
      <c r="P37" s="4"/>
    </row>
    <row r="38" spans="1:16" x14ac:dyDescent="0.35">
      <c r="A38" s="5">
        <v>20</v>
      </c>
      <c r="C38" s="14" t="s">
        <v>131</v>
      </c>
      <c r="D38" s="27"/>
      <c r="E38" s="21"/>
      <c r="F38" s="4"/>
      <c r="H38" s="4"/>
      <c r="I38" s="4"/>
      <c r="J38" s="28"/>
      <c r="K38" s="4"/>
      <c r="L38" s="4" t="s">
        <v>0</v>
      </c>
      <c r="M38" s="4"/>
      <c r="N38" s="4"/>
      <c r="O38" s="4"/>
      <c r="P38" s="4"/>
    </row>
    <row r="39" spans="1:16" x14ac:dyDescent="0.35">
      <c r="A39" s="5"/>
      <c r="C39" s="2"/>
      <c r="D39" s="4"/>
      <c r="E39" s="4"/>
      <c r="F39" s="4"/>
      <c r="H39" s="4"/>
      <c r="I39" s="4"/>
      <c r="K39" s="4"/>
      <c r="L39" s="4" t="s">
        <v>0</v>
      </c>
      <c r="M39" s="4"/>
      <c r="N39" s="4"/>
      <c r="O39" s="4"/>
      <c r="P39" s="4"/>
    </row>
    <row r="40" spans="1:16" x14ac:dyDescent="0.35">
      <c r="A40" s="5">
        <v>21</v>
      </c>
      <c r="C40" s="2" t="s">
        <v>15</v>
      </c>
      <c r="D40" s="7" t="s">
        <v>297</v>
      </c>
      <c r="E40" s="441">
        <v>1E-4</v>
      </c>
      <c r="F40" s="183" t="s">
        <v>16</v>
      </c>
      <c r="G40" s="183"/>
      <c r="H40" s="183"/>
      <c r="I40" s="183"/>
      <c r="J40" s="441">
        <v>1E-4</v>
      </c>
      <c r="K40" s="469"/>
      <c r="L40" s="4"/>
      <c r="M40" s="4"/>
      <c r="N40" s="4"/>
      <c r="O40" s="4"/>
      <c r="P40" s="4"/>
    </row>
    <row r="41" spans="1:16" x14ac:dyDescent="0.35">
      <c r="A41" s="5">
        <v>22</v>
      </c>
      <c r="C41" s="2"/>
      <c r="D41" s="4"/>
      <c r="E41" s="441">
        <v>1E-4</v>
      </c>
      <c r="F41" s="183" t="s">
        <v>17</v>
      </c>
      <c r="G41" s="183"/>
      <c r="H41" s="183"/>
      <c r="I41" s="183"/>
      <c r="J41" s="441">
        <v>1E-4</v>
      </c>
      <c r="K41" s="469"/>
      <c r="L41" s="4"/>
      <c r="M41" s="4"/>
      <c r="N41" s="4"/>
      <c r="O41" s="4"/>
      <c r="P41" s="4"/>
    </row>
    <row r="42" spans="1:16" x14ac:dyDescent="0.35">
      <c r="K42" s="4"/>
      <c r="L42" s="4"/>
      <c r="M42" s="4"/>
      <c r="N42" s="4"/>
      <c r="O42" s="4"/>
      <c r="P42" s="4"/>
    </row>
    <row r="43" spans="1:16" x14ac:dyDescent="0.35">
      <c r="A43" s="29"/>
      <c r="B43" s="30"/>
      <c r="C43" s="31"/>
      <c r="D43" s="30"/>
      <c r="E43" s="30"/>
      <c r="F43" s="30"/>
      <c r="G43" s="30"/>
      <c r="H43" s="30"/>
      <c r="I43" s="30"/>
      <c r="J43" s="14"/>
      <c r="K43" s="20"/>
      <c r="L43" s="20"/>
      <c r="M43" s="20"/>
      <c r="N43" s="4"/>
      <c r="O43" s="4"/>
      <c r="P43" s="4"/>
    </row>
    <row r="44" spans="1:16" x14ac:dyDescent="0.35">
      <c r="A44" s="29"/>
      <c r="B44" s="30"/>
      <c r="C44" s="31"/>
      <c r="D44" s="20"/>
      <c r="E44" s="20"/>
      <c r="F44" s="20"/>
      <c r="G44" s="20"/>
      <c r="H44" s="20"/>
      <c r="I44" s="20"/>
      <c r="J44" s="32"/>
      <c r="K44" s="20"/>
      <c r="L44" s="20"/>
      <c r="M44" s="20"/>
      <c r="N44" s="4"/>
      <c r="O44" s="4"/>
      <c r="P44" s="4"/>
    </row>
    <row r="45" spans="1:16" x14ac:dyDescent="0.35">
      <c r="A45" s="29"/>
      <c r="B45" s="30"/>
      <c r="C45" s="19"/>
      <c r="D45" s="20"/>
      <c r="E45" s="20"/>
      <c r="F45" s="20"/>
      <c r="G45" s="20"/>
      <c r="H45" s="20"/>
      <c r="I45" s="20"/>
      <c r="J45" s="33"/>
      <c r="K45" s="20"/>
      <c r="L45" s="20"/>
      <c r="M45" s="20"/>
      <c r="N45" s="4"/>
      <c r="O45" s="4"/>
      <c r="P45" s="4"/>
    </row>
    <row r="46" spans="1:16" x14ac:dyDescent="0.35">
      <c r="A46" s="29"/>
      <c r="B46" s="30"/>
      <c r="C46" s="31"/>
      <c r="D46" s="20"/>
      <c r="E46" s="20"/>
      <c r="F46" s="20"/>
      <c r="G46" s="20"/>
      <c r="H46" s="20"/>
      <c r="I46" s="20"/>
      <c r="J46" s="33"/>
      <c r="K46" s="20"/>
      <c r="L46" s="20"/>
      <c r="M46" s="20"/>
      <c r="N46" s="4"/>
      <c r="O46" s="4"/>
      <c r="P46" s="34"/>
    </row>
    <row r="47" spans="1:16" s="30" customFormat="1" x14ac:dyDescent="0.35">
      <c r="A47" s="29"/>
      <c r="C47" s="31"/>
      <c r="D47" s="19"/>
      <c r="E47" s="27"/>
      <c r="F47" s="19"/>
      <c r="G47" s="19"/>
      <c r="H47" s="19"/>
      <c r="I47" s="20"/>
      <c r="J47" s="33"/>
      <c r="K47" s="29"/>
      <c r="L47" s="29"/>
      <c r="M47" s="553"/>
      <c r="N47" s="20"/>
      <c r="O47" s="35"/>
      <c r="P47" s="36"/>
    </row>
    <row r="48" spans="1:16" s="30" customFormat="1" x14ac:dyDescent="0.35">
      <c r="A48" s="29"/>
      <c r="C48" s="31"/>
      <c r="D48" s="20"/>
      <c r="E48" s="20"/>
      <c r="F48" s="20"/>
      <c r="G48" s="20"/>
      <c r="H48" s="20"/>
      <c r="I48" s="20"/>
      <c r="J48" s="33"/>
      <c r="K48" s="553"/>
      <c r="L48" s="553"/>
      <c r="M48" s="553"/>
      <c r="N48" s="20"/>
      <c r="O48" s="20"/>
      <c r="P48" s="37"/>
    </row>
    <row r="49" spans="1:21" s="30" customFormat="1" x14ac:dyDescent="0.35">
      <c r="A49" s="29"/>
      <c r="C49" s="31"/>
      <c r="D49" s="19"/>
      <c r="E49" s="27"/>
      <c r="F49" s="19"/>
      <c r="G49" s="19"/>
      <c r="H49" s="19"/>
      <c r="I49" s="20"/>
      <c r="J49" s="38"/>
      <c r="K49" s="642"/>
      <c r="L49" s="642"/>
      <c r="M49" s="642"/>
      <c r="N49" s="20"/>
      <c r="O49" s="20"/>
      <c r="P49" s="36"/>
    </row>
    <row r="50" spans="1:21" s="30" customFormat="1" x14ac:dyDescent="0.35">
      <c r="A50" s="29"/>
      <c r="C50" s="31"/>
      <c r="D50" s="19"/>
      <c r="E50" s="27"/>
      <c r="F50" s="19"/>
      <c r="G50" s="19"/>
      <c r="H50" s="19"/>
      <c r="I50" s="20"/>
      <c r="J50" s="39"/>
      <c r="K50" s="553"/>
      <c r="L50" s="553"/>
      <c r="M50" s="553"/>
      <c r="N50" s="20"/>
      <c r="O50" s="20"/>
      <c r="P50" s="36"/>
    </row>
    <row r="51" spans="1:21" s="30" customFormat="1" x14ac:dyDescent="0.35">
      <c r="A51" s="29"/>
      <c r="C51" s="31"/>
      <c r="D51" s="19"/>
      <c r="E51" s="27"/>
      <c r="F51" s="19"/>
      <c r="G51" s="19"/>
      <c r="H51" s="19"/>
      <c r="I51" s="20"/>
      <c r="J51" s="33"/>
      <c r="K51" s="553"/>
      <c r="L51" s="553"/>
      <c r="M51" s="553"/>
      <c r="N51" s="20"/>
      <c r="O51" s="20"/>
      <c r="P51" s="36"/>
    </row>
    <row r="52" spans="1:21" s="30" customFormat="1" x14ac:dyDescent="0.35">
      <c r="A52" s="29"/>
      <c r="C52" s="31"/>
      <c r="D52" s="19"/>
      <c r="E52" s="27"/>
      <c r="F52" s="19"/>
      <c r="G52" s="19"/>
      <c r="H52" s="19"/>
      <c r="I52" s="20"/>
      <c r="J52" s="40"/>
      <c r="K52" s="20"/>
      <c r="L52" s="642"/>
      <c r="M52" s="642"/>
      <c r="N52" s="20"/>
      <c r="O52" s="20"/>
      <c r="P52" s="36"/>
    </row>
    <row r="53" spans="1:21" s="30" customFormat="1" x14ac:dyDescent="0.35">
      <c r="C53" s="19"/>
      <c r="D53" s="19"/>
      <c r="E53" s="27"/>
      <c r="F53" s="19"/>
      <c r="G53" s="19"/>
      <c r="H53" s="19"/>
      <c r="I53" s="20"/>
      <c r="J53" s="20"/>
      <c r="K53" s="20"/>
      <c r="L53" s="553"/>
      <c r="M53" s="553"/>
      <c r="N53" s="20"/>
      <c r="O53" s="20"/>
      <c r="P53" s="37"/>
    </row>
    <row r="54" spans="1:21" s="30" customFormat="1" ht="21" x14ac:dyDescent="0.5">
      <c r="A54" s="29"/>
      <c r="C54" s="19"/>
      <c r="D54" s="31"/>
      <c r="E54" s="21"/>
      <c r="F54" s="41"/>
      <c r="G54" s="20"/>
      <c r="H54" s="20"/>
      <c r="I54" s="20"/>
      <c r="K54" s="20"/>
      <c r="L54" s="20"/>
      <c r="M54" s="20"/>
      <c r="N54" s="20"/>
      <c r="O54" s="20"/>
      <c r="P54" s="20"/>
    </row>
    <row r="55" spans="1:21" s="30" customFormat="1" x14ac:dyDescent="0.35">
      <c r="A55" s="29"/>
      <c r="C55" s="19"/>
      <c r="D55" s="31"/>
      <c r="E55" s="21"/>
      <c r="G55" s="42"/>
      <c r="H55" s="21"/>
      <c r="I55" s="20"/>
      <c r="K55" s="43"/>
      <c r="M55" s="44"/>
      <c r="N55" s="44"/>
      <c r="O55" s="44"/>
      <c r="P55" s="29"/>
      <c r="Q55" s="45"/>
      <c r="R55" s="46"/>
      <c r="S55" s="46"/>
      <c r="T55" s="46"/>
      <c r="U55" s="46"/>
    </row>
    <row r="56" spans="1:21" s="30" customFormat="1" x14ac:dyDescent="0.35">
      <c r="A56" s="29"/>
      <c r="C56" s="19"/>
      <c r="D56" s="20"/>
      <c r="E56" s="21"/>
      <c r="F56" s="21"/>
      <c r="G56" s="20"/>
      <c r="H56" s="20"/>
      <c r="I56" s="20"/>
      <c r="K56" s="44"/>
      <c r="M56" s="44"/>
      <c r="N56" s="44"/>
      <c r="O56" s="44"/>
      <c r="P56" s="29"/>
      <c r="Q56" s="45"/>
      <c r="R56" s="46"/>
      <c r="S56" s="46"/>
      <c r="T56" s="46"/>
      <c r="U56" s="46"/>
    </row>
    <row r="57" spans="1:21" s="30" customFormat="1" x14ac:dyDescent="0.35">
      <c r="A57" s="29"/>
      <c r="C57" s="19"/>
      <c r="D57" s="20"/>
      <c r="E57" s="25"/>
      <c r="F57" s="20"/>
      <c r="G57" s="20"/>
      <c r="H57" s="20"/>
      <c r="I57" s="20"/>
      <c r="J57" s="45"/>
      <c r="K57" s="44"/>
      <c r="M57" s="44"/>
      <c r="N57" s="44"/>
      <c r="O57" s="43"/>
      <c r="P57" s="47"/>
      <c r="Q57" s="47"/>
      <c r="R57" s="46"/>
      <c r="S57" s="46"/>
      <c r="T57" s="46"/>
      <c r="U57" s="46"/>
    </row>
    <row r="58" spans="1:21" s="30" customFormat="1" x14ac:dyDescent="0.35">
      <c r="A58" s="29"/>
      <c r="C58" s="19"/>
      <c r="D58" s="20"/>
      <c r="E58" s="21"/>
      <c r="F58" s="20"/>
      <c r="G58" s="20"/>
      <c r="H58" s="20"/>
      <c r="I58" s="20"/>
      <c r="K58" s="43"/>
      <c r="M58" s="44"/>
      <c r="N58" s="44"/>
      <c r="O58" s="43"/>
      <c r="P58" s="47"/>
      <c r="Q58" s="47"/>
      <c r="R58" s="46"/>
      <c r="S58" s="46"/>
      <c r="T58" s="46"/>
      <c r="U58" s="46"/>
    </row>
    <row r="59" spans="1:21" s="30" customFormat="1" x14ac:dyDescent="0.35">
      <c r="A59" s="29"/>
      <c r="C59" s="19"/>
      <c r="D59" s="27"/>
      <c r="E59" s="21"/>
      <c r="F59" s="20"/>
      <c r="G59" s="20"/>
      <c r="H59" s="20"/>
      <c r="I59" s="20"/>
      <c r="J59" s="48"/>
      <c r="M59" s="44"/>
      <c r="N59" s="44"/>
      <c r="O59" s="43"/>
      <c r="P59" s="47"/>
      <c r="Q59" s="47"/>
      <c r="R59" s="46"/>
      <c r="S59" s="46"/>
      <c r="T59" s="46"/>
      <c r="U59" s="46"/>
    </row>
    <row r="60" spans="1:21" s="30" customFormat="1" x14ac:dyDescent="0.35">
      <c r="A60" s="29"/>
      <c r="C60" s="19"/>
      <c r="D60" s="27"/>
      <c r="E60" s="21"/>
      <c r="F60" s="20"/>
      <c r="H60" s="20"/>
      <c r="I60" s="20"/>
      <c r="J60" s="48"/>
      <c r="L60" s="44"/>
      <c r="M60" s="44"/>
      <c r="N60" s="44"/>
      <c r="O60" s="43"/>
      <c r="P60" s="44"/>
      <c r="Q60" s="44"/>
      <c r="R60" s="49"/>
      <c r="S60" s="46"/>
      <c r="T60" s="49"/>
      <c r="U60" s="49"/>
    </row>
    <row r="61" spans="1:21" s="30" customFormat="1" x14ac:dyDescent="0.35">
      <c r="A61" s="29"/>
      <c r="C61" s="19"/>
      <c r="D61" s="27"/>
      <c r="E61" s="21"/>
      <c r="F61" s="20"/>
      <c r="H61" s="20"/>
      <c r="I61" s="20"/>
      <c r="J61" s="48"/>
      <c r="K61" s="20"/>
      <c r="L61" s="20"/>
      <c r="M61" s="44"/>
      <c r="N61" s="50"/>
      <c r="P61" s="47"/>
      <c r="Q61" s="51"/>
    </row>
    <row r="62" spans="1:21" s="30" customFormat="1" x14ac:dyDescent="0.35">
      <c r="A62" s="29"/>
      <c r="C62" s="19"/>
      <c r="D62" s="20"/>
      <c r="E62" s="20"/>
      <c r="F62" s="20"/>
      <c r="H62" s="20"/>
      <c r="I62" s="20"/>
      <c r="K62" s="29"/>
      <c r="O62" s="44"/>
      <c r="P62" s="44"/>
      <c r="Q62" s="44"/>
    </row>
    <row r="63" spans="1:21" s="30" customFormat="1" x14ac:dyDescent="0.35">
      <c r="A63" s="29"/>
      <c r="C63" s="19"/>
      <c r="D63" s="20"/>
      <c r="E63" s="20"/>
      <c r="F63" s="20"/>
      <c r="G63" s="20"/>
      <c r="H63" s="52"/>
      <c r="I63" s="53"/>
      <c r="O63" s="44"/>
      <c r="P63" s="54"/>
      <c r="Q63" s="50"/>
    </row>
    <row r="64" spans="1:21" s="30" customFormat="1" x14ac:dyDescent="0.35">
      <c r="A64" s="29"/>
      <c r="D64" s="20"/>
      <c r="E64" s="20"/>
      <c r="G64" s="20"/>
      <c r="I64" s="53"/>
      <c r="J64" s="55"/>
      <c r="K64" s="56"/>
      <c r="O64" s="44"/>
      <c r="P64" s="19"/>
    </row>
    <row r="65" spans="1:17" s="30" customFormat="1" x14ac:dyDescent="0.35">
      <c r="A65" s="29"/>
      <c r="D65" s="20"/>
      <c r="F65" s="20"/>
      <c r="G65" s="20"/>
      <c r="H65" s="20"/>
      <c r="I65" s="20"/>
      <c r="J65" s="55"/>
      <c r="K65" s="56"/>
      <c r="O65" s="44"/>
      <c r="P65" s="19"/>
    </row>
    <row r="66" spans="1:17" s="30" customFormat="1" x14ac:dyDescent="0.35">
      <c r="A66" s="29"/>
      <c r="D66" s="20"/>
      <c r="F66" s="20"/>
      <c r="G66" s="20"/>
      <c r="H66" s="20"/>
      <c r="I66" s="20"/>
      <c r="J66" s="55"/>
      <c r="K66" s="56"/>
      <c r="O66" s="44"/>
      <c r="P66" s="19"/>
    </row>
    <row r="67" spans="1:17" s="30" customFormat="1" x14ac:dyDescent="0.35">
      <c r="A67" s="29"/>
      <c r="D67" s="20"/>
      <c r="F67" s="20"/>
      <c r="G67" s="20"/>
      <c r="H67" s="57"/>
      <c r="I67" s="20"/>
      <c r="J67" s="58"/>
      <c r="L67" s="59"/>
      <c r="M67" s="44"/>
      <c r="N67" s="50"/>
      <c r="O67" s="44"/>
      <c r="P67" s="19"/>
    </row>
    <row r="68" spans="1:17" s="30" customFormat="1" x14ac:dyDescent="0.35">
      <c r="A68" s="29"/>
      <c r="C68" s="19"/>
      <c r="D68" s="20"/>
      <c r="F68" s="20"/>
      <c r="G68" s="20"/>
      <c r="H68" s="21"/>
      <c r="I68" s="20"/>
      <c r="J68" s="58"/>
      <c r="L68" s="59"/>
      <c r="M68" s="44"/>
      <c r="N68" s="50"/>
      <c r="O68" s="44"/>
      <c r="P68" s="19"/>
    </row>
    <row r="69" spans="1:17" s="30" customFormat="1" x14ac:dyDescent="0.35">
      <c r="A69" s="29"/>
      <c r="D69" s="20"/>
      <c r="E69" s="20"/>
      <c r="F69" s="20"/>
      <c r="G69" s="20"/>
      <c r="H69" s="20"/>
      <c r="I69" s="20"/>
      <c r="J69" s="58"/>
      <c r="L69" s="59"/>
      <c r="M69" s="44"/>
      <c r="N69" s="50"/>
      <c r="O69" s="44"/>
      <c r="P69" s="60"/>
    </row>
    <row r="70" spans="1:17" s="30" customFormat="1" x14ac:dyDescent="0.35">
      <c r="C70" s="19"/>
      <c r="D70" s="20"/>
      <c r="E70" s="20"/>
      <c r="F70" s="20"/>
      <c r="G70" s="20"/>
      <c r="H70" s="20"/>
      <c r="I70" s="20"/>
      <c r="L70" s="61"/>
      <c r="M70" s="44"/>
      <c r="N70" s="50"/>
      <c r="O70" s="20"/>
      <c r="P70" s="50"/>
    </row>
    <row r="71" spans="1:17" s="30" customFormat="1" x14ac:dyDescent="0.35">
      <c r="A71" s="29"/>
      <c r="C71" s="19"/>
      <c r="D71" s="44"/>
      <c r="E71" s="44"/>
      <c r="F71" s="44"/>
      <c r="G71" s="44"/>
      <c r="H71" s="44"/>
      <c r="I71" s="44"/>
      <c r="J71" s="62"/>
      <c r="K71" s="44"/>
      <c r="L71" s="61"/>
      <c r="M71" s="44"/>
      <c r="N71" s="50"/>
      <c r="O71" s="20"/>
      <c r="P71" s="63"/>
      <c r="Q71" s="63"/>
    </row>
    <row r="72" spans="1:17" s="30" customFormat="1" x14ac:dyDescent="0.35">
      <c r="A72" s="29"/>
      <c r="C72" s="19"/>
      <c r="D72" s="20"/>
      <c r="E72" s="20"/>
      <c r="F72" s="20"/>
      <c r="G72" s="20"/>
      <c r="H72" s="20"/>
      <c r="I72" s="20"/>
      <c r="J72" s="62"/>
      <c r="L72" s="64"/>
      <c r="M72" s="20"/>
      <c r="N72" s="29"/>
      <c r="O72" s="20"/>
      <c r="P72" s="60"/>
    </row>
    <row r="73" spans="1:17" s="30" customFormat="1" x14ac:dyDescent="0.35">
      <c r="A73" s="29"/>
      <c r="D73" s="29"/>
      <c r="E73" s="44"/>
      <c r="F73" s="44"/>
      <c r="G73" s="44"/>
      <c r="H73" s="44"/>
      <c r="I73" s="20"/>
      <c r="J73" s="62"/>
      <c r="K73" s="44"/>
      <c r="L73" s="44"/>
      <c r="M73" s="20"/>
      <c r="N73" s="29"/>
      <c r="O73" s="20"/>
      <c r="P73" s="60"/>
    </row>
    <row r="74" spans="1:17" s="30" customFormat="1" x14ac:dyDescent="0.35">
      <c r="C74" s="19"/>
      <c r="D74" s="19"/>
      <c r="E74" s="27"/>
      <c r="F74" s="19"/>
      <c r="G74" s="19"/>
      <c r="H74" s="19"/>
      <c r="I74" s="20"/>
      <c r="J74" s="29"/>
      <c r="K74" s="29"/>
      <c r="L74" s="29"/>
      <c r="M74" s="553"/>
      <c r="N74" s="20"/>
      <c r="O74" s="20"/>
      <c r="P74" s="19"/>
    </row>
    <row r="75" spans="1:17" s="30" customFormat="1" x14ac:dyDescent="0.35">
      <c r="C75" s="19"/>
      <c r="D75" s="19"/>
      <c r="E75" s="27"/>
      <c r="F75" s="19"/>
      <c r="G75" s="19"/>
      <c r="H75" s="19"/>
      <c r="I75" s="20"/>
      <c r="J75" s="553"/>
      <c r="K75" s="553"/>
      <c r="L75" s="553"/>
      <c r="M75" s="553"/>
      <c r="N75" s="20"/>
      <c r="O75" s="20"/>
      <c r="P75" s="20"/>
    </row>
    <row r="76" spans="1:17" s="30" customFormat="1" x14ac:dyDescent="0.35">
      <c r="C76" s="19"/>
      <c r="D76" s="19"/>
      <c r="E76" s="27"/>
      <c r="F76" s="19"/>
      <c r="G76" s="19"/>
      <c r="H76" s="19"/>
      <c r="I76" s="20"/>
      <c r="J76" s="20"/>
      <c r="K76" s="642"/>
      <c r="L76" s="642"/>
      <c r="M76" s="642"/>
      <c r="N76" s="20"/>
      <c r="O76" s="20"/>
      <c r="P76" s="20"/>
    </row>
    <row r="77" spans="1:17" s="30" customFormat="1" x14ac:dyDescent="0.35">
      <c r="C77" s="19"/>
      <c r="D77" s="19"/>
      <c r="E77" s="27"/>
      <c r="F77" s="19"/>
      <c r="G77" s="19"/>
      <c r="H77" s="19"/>
      <c r="I77" s="20"/>
      <c r="J77" s="20"/>
      <c r="K77" s="20"/>
      <c r="L77" s="642"/>
      <c r="M77" s="642"/>
      <c r="N77" s="20"/>
      <c r="O77" s="20"/>
      <c r="P77" s="20"/>
    </row>
    <row r="78" spans="1:17" s="30" customFormat="1" x14ac:dyDescent="0.35">
      <c r="C78" s="19"/>
      <c r="D78" s="19"/>
      <c r="E78" s="27"/>
      <c r="F78" s="19"/>
      <c r="G78" s="19"/>
      <c r="H78" s="19"/>
      <c r="I78" s="20"/>
      <c r="J78" s="20"/>
      <c r="K78" s="20"/>
      <c r="L78" s="553"/>
      <c r="M78" s="553"/>
      <c r="N78" s="20"/>
      <c r="O78" s="20"/>
      <c r="P78" s="20"/>
    </row>
    <row r="79" spans="1:17" s="30" customFormat="1" x14ac:dyDescent="0.35">
      <c r="C79" s="19"/>
      <c r="D79" s="19"/>
      <c r="E79" s="27"/>
      <c r="F79" s="19"/>
      <c r="G79" s="19"/>
      <c r="H79" s="19"/>
      <c r="I79" s="20"/>
      <c r="J79" s="20"/>
      <c r="K79" s="20"/>
      <c r="L79" s="20"/>
      <c r="M79" s="20"/>
      <c r="N79" s="20"/>
      <c r="O79" s="20"/>
      <c r="P79" s="20"/>
    </row>
    <row r="80" spans="1:17" s="30" customFormat="1" x14ac:dyDescent="0.35">
      <c r="C80" s="19"/>
      <c r="D80" s="44"/>
      <c r="E80" s="44"/>
      <c r="F80" s="44"/>
      <c r="G80" s="44"/>
      <c r="H80" s="44"/>
      <c r="I80" s="20"/>
      <c r="J80" s="20"/>
      <c r="K80" s="20"/>
      <c r="L80" s="20"/>
      <c r="M80" s="20"/>
      <c r="N80" s="20"/>
      <c r="O80" s="20"/>
      <c r="P80" s="20"/>
    </row>
    <row r="81" spans="1:16" s="30" customFormat="1" x14ac:dyDescent="0.35">
      <c r="A81" s="29"/>
      <c r="B81" s="20"/>
      <c r="D81" s="29"/>
      <c r="E81" s="44"/>
      <c r="F81" s="44"/>
      <c r="G81" s="44"/>
      <c r="H81" s="44"/>
      <c r="I81" s="20"/>
      <c r="J81" s="58"/>
      <c r="L81" s="44"/>
      <c r="M81" s="20"/>
      <c r="N81" s="29"/>
      <c r="O81" s="20"/>
      <c r="P81" s="20"/>
    </row>
    <row r="82" spans="1:16" s="30" customFormat="1" x14ac:dyDescent="0.35">
      <c r="A82" s="29"/>
      <c r="B82" s="20"/>
      <c r="D82" s="29"/>
      <c r="E82" s="44"/>
      <c r="F82" s="44"/>
      <c r="G82" s="44"/>
      <c r="H82" s="44"/>
      <c r="I82" s="20"/>
      <c r="J82" s="58"/>
      <c r="L82" s="44"/>
      <c r="M82" s="20"/>
      <c r="N82" s="29"/>
      <c r="O82" s="20"/>
      <c r="P82" s="20"/>
    </row>
    <row r="83" spans="1:16" s="30" customFormat="1" x14ac:dyDescent="0.35">
      <c r="A83" s="29"/>
      <c r="B83" s="20"/>
      <c r="D83" s="29"/>
      <c r="E83" s="44"/>
      <c r="F83" s="44"/>
      <c r="G83" s="44"/>
      <c r="H83" s="44"/>
      <c r="I83" s="20"/>
      <c r="J83" s="58"/>
      <c r="L83" s="44"/>
      <c r="M83" s="20"/>
      <c r="N83" s="29"/>
      <c r="O83" s="20"/>
      <c r="P83" s="20"/>
    </row>
    <row r="84" spans="1:16" s="30" customFormat="1" ht="21" x14ac:dyDescent="0.5">
      <c r="A84" s="65"/>
      <c r="B84" s="66"/>
      <c r="C84" s="67"/>
      <c r="D84" s="65"/>
      <c r="E84" s="68"/>
      <c r="F84" s="68"/>
      <c r="G84" s="68"/>
      <c r="H84" s="68"/>
      <c r="I84" s="66"/>
      <c r="J84" s="68"/>
      <c r="K84" s="69"/>
      <c r="L84" s="70"/>
      <c r="M84" s="69"/>
      <c r="N84" s="65"/>
      <c r="O84" s="20"/>
      <c r="P84" s="20"/>
    </row>
    <row r="85" spans="1:16" s="30" customFormat="1" ht="21" x14ac:dyDescent="0.5">
      <c r="A85" s="65"/>
      <c r="B85" s="66"/>
      <c r="C85" s="67"/>
      <c r="D85" s="65"/>
      <c r="E85" s="68"/>
      <c r="F85" s="68"/>
      <c r="G85" s="68"/>
      <c r="H85" s="68"/>
      <c r="I85" s="66"/>
      <c r="J85" s="68"/>
      <c r="K85" s="69"/>
      <c r="L85" s="70"/>
      <c r="M85" s="69"/>
      <c r="N85" s="65"/>
      <c r="O85" s="20"/>
      <c r="P85" s="20"/>
    </row>
    <row r="86" spans="1:16" s="30" customFormat="1" ht="21" x14ac:dyDescent="0.5">
      <c r="A86" s="65"/>
      <c r="B86" s="66"/>
      <c r="C86" s="67"/>
      <c r="D86" s="66"/>
      <c r="E86" s="68"/>
      <c r="F86" s="68"/>
      <c r="G86" s="68"/>
      <c r="H86" s="68"/>
      <c r="I86" s="66"/>
      <c r="J86" s="68"/>
      <c r="K86" s="69"/>
      <c r="L86" s="70"/>
      <c r="M86" s="69"/>
      <c r="N86" s="65"/>
      <c r="O86" s="20"/>
      <c r="P86" s="20"/>
    </row>
    <row r="87" spans="1:16" s="30" customFormat="1" ht="21" x14ac:dyDescent="0.5">
      <c r="A87" s="65"/>
      <c r="B87" s="66"/>
      <c r="C87" s="67"/>
      <c r="D87" s="66"/>
      <c r="E87" s="68"/>
      <c r="F87" s="68"/>
      <c r="G87" s="68"/>
      <c r="H87" s="68"/>
      <c r="I87" s="66"/>
      <c r="J87" s="68"/>
      <c r="K87" s="69"/>
      <c r="L87" s="70"/>
      <c r="M87" s="69"/>
      <c r="N87" s="65"/>
      <c r="O87" s="20"/>
      <c r="P87" s="20"/>
    </row>
    <row r="88" spans="1:16" s="30" customFormat="1" ht="21" x14ac:dyDescent="0.5">
      <c r="A88" s="65"/>
      <c r="B88" s="66"/>
      <c r="C88" s="67"/>
      <c r="D88" s="66"/>
      <c r="E88" s="68"/>
      <c r="F88" s="68"/>
      <c r="G88" s="68"/>
      <c r="H88" s="68"/>
      <c r="I88" s="66"/>
      <c r="J88" s="68"/>
      <c r="K88" s="69"/>
      <c r="L88" s="70"/>
      <c r="M88" s="69"/>
      <c r="N88" s="65"/>
      <c r="O88" s="20"/>
      <c r="P88" s="20"/>
    </row>
    <row r="89" spans="1:16" s="30" customFormat="1" ht="21" x14ac:dyDescent="0.5">
      <c r="A89" s="65"/>
      <c r="B89" s="66"/>
      <c r="C89" s="67"/>
      <c r="D89" s="66"/>
      <c r="E89" s="68"/>
      <c r="F89" s="68"/>
      <c r="G89" s="68"/>
      <c r="H89" s="68"/>
      <c r="I89" s="66"/>
      <c r="J89" s="68"/>
      <c r="K89" s="69"/>
      <c r="L89" s="70"/>
      <c r="M89" s="69"/>
      <c r="N89" s="65"/>
      <c r="O89" s="20"/>
      <c r="P89" s="20"/>
    </row>
    <row r="90" spans="1:16" s="30" customFormat="1" ht="21" x14ac:dyDescent="0.5">
      <c r="A90" s="65"/>
      <c r="B90" s="66"/>
      <c r="C90" s="67"/>
      <c r="D90" s="66"/>
      <c r="E90" s="66"/>
      <c r="F90" s="66"/>
      <c r="G90" s="66"/>
      <c r="H90" s="66"/>
      <c r="I90" s="66"/>
      <c r="J90" s="68"/>
      <c r="K90" s="69"/>
      <c r="L90" s="69"/>
      <c r="M90" s="69"/>
      <c r="N90" s="71"/>
      <c r="O90" s="20"/>
      <c r="P90" s="20"/>
    </row>
    <row r="91" spans="1:16" s="30" customFormat="1" ht="21" x14ac:dyDescent="0.5">
      <c r="A91" s="65"/>
      <c r="B91" s="66"/>
      <c r="C91" s="67"/>
      <c r="D91" s="66"/>
      <c r="E91" s="66"/>
      <c r="F91" s="66"/>
      <c r="G91" s="66"/>
      <c r="H91" s="66"/>
      <c r="I91" s="66"/>
      <c r="J91" s="68"/>
      <c r="K91" s="69"/>
      <c r="L91" s="69"/>
      <c r="M91" s="69"/>
      <c r="N91" s="71"/>
      <c r="O91" s="20"/>
      <c r="P91" s="20"/>
    </row>
    <row r="92" spans="1:16" s="30" customFormat="1" ht="21" x14ac:dyDescent="0.5">
      <c r="A92" s="65"/>
      <c r="B92" s="66"/>
      <c r="C92" s="66"/>
      <c r="D92" s="66"/>
      <c r="E92" s="66"/>
      <c r="F92" s="66"/>
      <c r="G92" s="66"/>
      <c r="H92" s="66"/>
      <c r="I92" s="66"/>
      <c r="J92" s="66"/>
      <c r="K92" s="69"/>
      <c r="L92" s="69"/>
      <c r="M92" s="69"/>
      <c r="N92" s="65"/>
      <c r="O92" s="20"/>
      <c r="P92" s="20"/>
    </row>
    <row r="93" spans="1:16" s="30" customFormat="1" ht="21" x14ac:dyDescent="0.5">
      <c r="A93" s="65"/>
      <c r="B93" s="66"/>
      <c r="C93" s="66"/>
      <c r="D93" s="66"/>
      <c r="E93" s="66"/>
      <c r="F93" s="66"/>
      <c r="G93" s="66"/>
      <c r="H93" s="66"/>
      <c r="I93" s="66"/>
      <c r="J93" s="66"/>
      <c r="K93" s="69"/>
      <c r="L93" s="69"/>
      <c r="M93" s="69"/>
      <c r="N93" s="65"/>
      <c r="O93" s="20"/>
      <c r="P93" s="20"/>
    </row>
    <row r="94" spans="1:16" s="30" customFormat="1" ht="21" x14ac:dyDescent="0.5">
      <c r="A94" s="65"/>
      <c r="B94" s="66"/>
      <c r="C94" s="66"/>
      <c r="D94" s="66"/>
      <c r="E94" s="66"/>
      <c r="F94" s="66"/>
      <c r="G94" s="66"/>
      <c r="H94" s="66"/>
      <c r="I94" s="66"/>
      <c r="J94" s="66"/>
      <c r="K94" s="69"/>
      <c r="L94" s="69"/>
      <c r="M94" s="69"/>
      <c r="N94" s="65"/>
      <c r="O94" s="20"/>
      <c r="P94" s="20"/>
    </row>
    <row r="95" spans="1:16" s="30" customFormat="1" ht="21" x14ac:dyDescent="0.5">
      <c r="A95" s="65"/>
      <c r="B95" s="66"/>
      <c r="C95" s="66"/>
      <c r="D95" s="66"/>
      <c r="E95" s="66"/>
      <c r="F95" s="66"/>
      <c r="G95" s="66"/>
      <c r="H95" s="66"/>
      <c r="I95" s="66"/>
      <c r="J95" s="66"/>
      <c r="K95" s="69"/>
      <c r="L95" s="69"/>
      <c r="M95" s="69"/>
      <c r="N95" s="65"/>
      <c r="O95" s="20"/>
      <c r="P95" s="20"/>
    </row>
    <row r="96" spans="1:16" s="30" customFormat="1" ht="21" x14ac:dyDescent="0.5">
      <c r="A96" s="65"/>
      <c r="B96" s="66"/>
      <c r="C96" s="66"/>
      <c r="D96" s="66"/>
      <c r="E96" s="66"/>
      <c r="F96" s="66"/>
      <c r="G96" s="66"/>
      <c r="H96" s="66"/>
      <c r="I96" s="66"/>
      <c r="J96" s="66"/>
      <c r="K96" s="69"/>
      <c r="L96" s="69"/>
      <c r="M96" s="69"/>
      <c r="N96" s="65"/>
      <c r="O96" s="20"/>
      <c r="P96" s="20"/>
    </row>
    <row r="97" spans="1:17" s="30" customFormat="1" ht="21" x14ac:dyDescent="0.5">
      <c r="A97" s="65"/>
      <c r="B97" s="66"/>
      <c r="C97" s="66"/>
      <c r="D97" s="66"/>
      <c r="E97" s="66"/>
      <c r="F97" s="66"/>
      <c r="G97" s="66"/>
      <c r="H97" s="66"/>
      <c r="I97" s="66"/>
      <c r="J97" s="66"/>
      <c r="K97" s="69"/>
      <c r="L97" s="69"/>
      <c r="M97" s="69"/>
      <c r="N97" s="65"/>
      <c r="O97" s="20"/>
      <c r="P97" s="20"/>
    </row>
    <row r="98" spans="1:17" s="30" customFormat="1" ht="21" x14ac:dyDescent="0.5">
      <c r="A98" s="65"/>
      <c r="B98" s="66"/>
      <c r="C98" s="66"/>
      <c r="D98" s="66"/>
      <c r="E98" s="66"/>
      <c r="F98" s="66"/>
      <c r="G98" s="66"/>
      <c r="H98" s="66"/>
      <c r="I98" s="66"/>
      <c r="J98" s="66"/>
      <c r="K98" s="69"/>
      <c r="L98" s="69"/>
      <c r="M98" s="69"/>
      <c r="N98" s="65"/>
      <c r="O98" s="20"/>
      <c r="P98" s="20"/>
    </row>
    <row r="99" spans="1:17" s="30" customFormat="1" ht="21" x14ac:dyDescent="0.5">
      <c r="A99" s="65"/>
      <c r="B99" s="66"/>
      <c r="C99" s="66"/>
      <c r="D99" s="66"/>
      <c r="E99" s="66"/>
      <c r="F99" s="66"/>
      <c r="G99" s="66"/>
      <c r="H99" s="66"/>
      <c r="I99" s="66"/>
      <c r="J99" s="66"/>
      <c r="K99" s="69"/>
      <c r="L99" s="69"/>
      <c r="M99" s="69"/>
      <c r="N99" s="65"/>
      <c r="O99" s="20"/>
      <c r="P99" s="20"/>
    </row>
    <row r="100" spans="1:17" s="30" customFormat="1" ht="21" x14ac:dyDescent="0.5">
      <c r="A100" s="65"/>
      <c r="B100" s="66"/>
      <c r="C100" s="72"/>
      <c r="D100" s="66"/>
      <c r="E100" s="66"/>
      <c r="F100" s="66"/>
      <c r="G100" s="66"/>
      <c r="H100" s="66"/>
      <c r="I100" s="66"/>
      <c r="J100" s="66"/>
      <c r="K100" s="69"/>
      <c r="L100" s="69"/>
      <c r="M100" s="69"/>
      <c r="N100" s="65"/>
      <c r="P100" s="20"/>
    </row>
    <row r="101" spans="1:17" s="30" customFormat="1" ht="21" x14ac:dyDescent="0.5">
      <c r="A101" s="65"/>
      <c r="B101" s="66"/>
      <c r="C101" s="66"/>
      <c r="D101" s="66"/>
      <c r="E101" s="66"/>
      <c r="F101" s="66"/>
      <c r="G101" s="66"/>
      <c r="H101" s="66"/>
      <c r="I101" s="66"/>
      <c r="J101" s="66"/>
      <c r="K101" s="69"/>
      <c r="L101" s="69"/>
      <c r="M101" s="69"/>
      <c r="N101" s="65"/>
      <c r="O101" s="20"/>
      <c r="P101" s="73"/>
      <c r="Q101" s="73"/>
    </row>
    <row r="102" spans="1:17" s="30" customFormat="1" ht="21" x14ac:dyDescent="0.5">
      <c r="A102" s="65"/>
      <c r="B102" s="66"/>
      <c r="C102" s="66"/>
      <c r="D102" s="66"/>
      <c r="E102" s="66"/>
      <c r="F102" s="66"/>
      <c r="G102" s="66"/>
      <c r="H102" s="66"/>
      <c r="I102" s="66"/>
      <c r="J102" s="66"/>
      <c r="K102" s="69"/>
      <c r="L102" s="69"/>
      <c r="M102" s="69"/>
      <c r="N102" s="65"/>
      <c r="O102" s="20"/>
      <c r="P102" s="20"/>
    </row>
    <row r="103" spans="1:17" s="30" customFormat="1" ht="21" x14ac:dyDescent="0.5">
      <c r="A103" s="65"/>
      <c r="B103" s="66"/>
      <c r="C103" s="66"/>
      <c r="D103" s="66"/>
      <c r="E103" s="66"/>
      <c r="F103" s="66"/>
      <c r="G103" s="66"/>
      <c r="H103" s="66"/>
      <c r="I103" s="66"/>
      <c r="J103" s="66"/>
      <c r="K103" s="69"/>
      <c r="L103" s="69"/>
      <c r="M103" s="69"/>
      <c r="N103" s="65"/>
      <c r="O103" s="20"/>
      <c r="P103" s="20"/>
    </row>
    <row r="104" spans="1:17" s="30" customFormat="1" ht="21" x14ac:dyDescent="0.5">
      <c r="A104" s="65"/>
      <c r="B104" s="66"/>
      <c r="C104" s="66"/>
      <c r="D104" s="66"/>
      <c r="E104" s="66"/>
      <c r="F104" s="66"/>
      <c r="G104" s="66"/>
      <c r="H104" s="66"/>
      <c r="I104" s="66"/>
      <c r="J104" s="66"/>
      <c r="K104" s="69"/>
      <c r="L104" s="69"/>
      <c r="M104" s="69"/>
      <c r="N104" s="65"/>
      <c r="O104" s="20"/>
      <c r="P104" s="20"/>
    </row>
    <row r="105" spans="1:17" s="30" customFormat="1" ht="21" x14ac:dyDescent="0.5">
      <c r="A105" s="65"/>
      <c r="B105" s="66"/>
      <c r="C105" s="66"/>
      <c r="D105" s="66"/>
      <c r="E105" s="66"/>
      <c r="F105" s="66"/>
      <c r="G105" s="66"/>
      <c r="H105" s="66"/>
      <c r="I105" s="66"/>
      <c r="J105" s="66"/>
      <c r="K105" s="69"/>
      <c r="L105" s="69"/>
      <c r="M105" s="69"/>
      <c r="N105" s="65"/>
      <c r="O105" s="20"/>
      <c r="P105" s="20"/>
    </row>
    <row r="106" spans="1:17" s="30" customFormat="1" ht="21" x14ac:dyDescent="0.5">
      <c r="A106" s="65"/>
      <c r="B106" s="66"/>
      <c r="C106" s="66"/>
      <c r="D106" s="66"/>
      <c r="E106" s="66"/>
      <c r="F106" s="66"/>
      <c r="G106" s="66"/>
      <c r="H106" s="66"/>
      <c r="I106" s="66"/>
      <c r="J106" s="66"/>
      <c r="K106" s="69"/>
      <c r="L106" s="69"/>
      <c r="M106" s="69"/>
      <c r="N106" s="65"/>
      <c r="O106" s="20"/>
      <c r="P106" s="20"/>
    </row>
    <row r="107" spans="1:17" s="30" customFormat="1" ht="21" x14ac:dyDescent="0.5">
      <c r="A107" s="65"/>
      <c r="B107" s="66"/>
      <c r="C107" s="66"/>
      <c r="D107" s="66"/>
      <c r="E107" s="66"/>
      <c r="F107" s="66"/>
      <c r="G107" s="66"/>
      <c r="H107" s="66"/>
      <c r="I107" s="66"/>
      <c r="J107" s="66"/>
      <c r="K107" s="69"/>
      <c r="L107" s="69"/>
      <c r="M107" s="69"/>
      <c r="N107" s="65"/>
      <c r="O107" s="20"/>
      <c r="P107" s="20"/>
    </row>
    <row r="108" spans="1:17" s="30" customFormat="1" ht="21" x14ac:dyDescent="0.5">
      <c r="A108" s="65"/>
      <c r="B108" s="66"/>
      <c r="C108" s="66"/>
      <c r="D108" s="66"/>
      <c r="E108" s="66"/>
      <c r="F108" s="66"/>
      <c r="G108" s="66"/>
      <c r="H108" s="66"/>
      <c r="I108" s="66"/>
      <c r="J108" s="66"/>
      <c r="K108" s="69"/>
      <c r="L108" s="69"/>
      <c r="M108" s="69"/>
      <c r="N108" s="65"/>
      <c r="O108" s="20"/>
      <c r="P108" s="20"/>
    </row>
    <row r="109" spans="1:17" s="30" customFormat="1" ht="21" x14ac:dyDescent="0.5">
      <c r="A109" s="65"/>
      <c r="B109" s="66"/>
      <c r="C109" s="66"/>
      <c r="D109" s="66"/>
      <c r="E109" s="66"/>
      <c r="F109" s="66"/>
      <c r="G109" s="66"/>
      <c r="H109" s="66"/>
      <c r="I109" s="66"/>
      <c r="J109" s="66"/>
      <c r="K109" s="69"/>
      <c r="L109" s="69"/>
      <c r="M109" s="69"/>
      <c r="N109" s="65"/>
      <c r="O109" s="20"/>
      <c r="P109" s="20"/>
    </row>
    <row r="110" spans="1:17" s="30" customFormat="1" ht="21" x14ac:dyDescent="0.5">
      <c r="A110" s="65"/>
      <c r="B110" s="66"/>
      <c r="C110" s="66"/>
      <c r="D110" s="66"/>
      <c r="E110" s="66"/>
      <c r="F110" s="66"/>
      <c r="G110" s="66"/>
      <c r="H110" s="66"/>
      <c r="I110" s="66"/>
      <c r="J110" s="66"/>
      <c r="K110" s="69"/>
      <c r="L110" s="69"/>
      <c r="M110" s="69"/>
      <c r="N110" s="65"/>
      <c r="O110" s="20"/>
      <c r="P110" s="20"/>
    </row>
    <row r="111" spans="1:17" s="30" customFormat="1" ht="21" x14ac:dyDescent="0.5">
      <c r="A111" s="65"/>
      <c r="B111" s="66"/>
      <c r="C111" s="66"/>
      <c r="D111" s="66"/>
      <c r="E111" s="74"/>
      <c r="F111" s="66"/>
      <c r="G111" s="66"/>
      <c r="H111" s="66"/>
      <c r="I111" s="66"/>
      <c r="J111" s="66"/>
      <c r="K111" s="69"/>
      <c r="L111" s="69"/>
      <c r="M111" s="69"/>
      <c r="N111" s="65"/>
      <c r="O111" s="20"/>
      <c r="P111" s="20"/>
    </row>
    <row r="112" spans="1:17" s="30" customFormat="1" ht="21" x14ac:dyDescent="0.5">
      <c r="A112" s="65"/>
      <c r="B112" s="66"/>
      <c r="C112" s="66"/>
      <c r="D112" s="66"/>
      <c r="E112" s="74"/>
      <c r="F112" s="66"/>
      <c r="G112" s="66"/>
      <c r="H112" s="66"/>
      <c r="I112" s="66"/>
      <c r="J112" s="66"/>
      <c r="K112" s="69"/>
      <c r="L112" s="69"/>
      <c r="M112" s="69"/>
      <c r="N112" s="65"/>
      <c r="O112" s="20"/>
      <c r="P112" s="20"/>
    </row>
    <row r="113" spans="1:16" s="30" customFormat="1" ht="21" x14ac:dyDescent="0.5">
      <c r="A113" s="65"/>
      <c r="B113" s="66"/>
      <c r="C113" s="66"/>
      <c r="D113" s="66"/>
      <c r="E113" s="74"/>
      <c r="F113" s="66"/>
      <c r="G113" s="66"/>
      <c r="H113" s="66"/>
      <c r="I113" s="66"/>
      <c r="J113" s="66"/>
      <c r="K113" s="69"/>
      <c r="L113" s="69"/>
      <c r="M113" s="69"/>
      <c r="N113" s="65"/>
      <c r="O113" s="20"/>
      <c r="P113" s="75"/>
    </row>
    <row r="114" spans="1:16" s="30" customFormat="1" ht="21" x14ac:dyDescent="0.5">
      <c r="A114" s="65"/>
      <c r="B114" s="66"/>
      <c r="C114" s="66"/>
      <c r="D114" s="66"/>
      <c r="E114" s="66"/>
      <c r="F114" s="66"/>
      <c r="G114" s="66"/>
      <c r="H114" s="66"/>
      <c r="I114" s="66"/>
      <c r="J114" s="66"/>
      <c r="K114" s="69"/>
      <c r="L114" s="69"/>
      <c r="M114" s="69"/>
      <c r="N114" s="65"/>
      <c r="O114" s="20"/>
      <c r="P114" s="20"/>
    </row>
    <row r="115" spans="1:16" s="30" customFormat="1" ht="21" x14ac:dyDescent="0.5">
      <c r="A115" s="65"/>
      <c r="B115" s="66"/>
      <c r="C115" s="66"/>
      <c r="D115" s="66"/>
      <c r="E115" s="66"/>
      <c r="F115" s="66"/>
      <c r="G115" s="66"/>
      <c r="H115" s="66"/>
      <c r="I115" s="66"/>
      <c r="J115" s="66"/>
      <c r="K115" s="69"/>
      <c r="L115" s="69"/>
      <c r="M115" s="69"/>
      <c r="N115" s="65"/>
      <c r="O115" s="20"/>
      <c r="P115" s="20"/>
    </row>
    <row r="116" spans="1:16" s="30" customFormat="1" ht="21" x14ac:dyDescent="0.5">
      <c r="A116" s="65"/>
      <c r="B116" s="66"/>
      <c r="C116" s="66"/>
      <c r="D116" s="66"/>
      <c r="E116" s="66"/>
      <c r="F116" s="66"/>
      <c r="G116" s="66"/>
      <c r="H116" s="66"/>
      <c r="I116" s="66"/>
      <c r="J116" s="66"/>
      <c r="K116" s="69"/>
      <c r="L116" s="69"/>
      <c r="M116" s="69"/>
      <c r="N116" s="65"/>
      <c r="O116" s="20"/>
      <c r="P116" s="20"/>
    </row>
    <row r="117" spans="1:16" s="30" customFormat="1" ht="21" x14ac:dyDescent="0.5">
      <c r="A117" s="65"/>
      <c r="B117" s="66"/>
      <c r="C117" s="66"/>
      <c r="D117" s="66"/>
      <c r="E117" s="66"/>
      <c r="F117" s="66"/>
      <c r="G117" s="66"/>
      <c r="H117" s="66"/>
      <c r="I117" s="66"/>
      <c r="J117" s="66"/>
      <c r="K117" s="69"/>
      <c r="L117" s="69"/>
      <c r="M117" s="69"/>
      <c r="N117" s="65"/>
      <c r="O117" s="20"/>
      <c r="P117" s="20"/>
    </row>
    <row r="118" spans="1:16" s="30" customFormat="1" ht="21" x14ac:dyDescent="0.5">
      <c r="A118" s="65"/>
      <c r="B118" s="66"/>
      <c r="C118" s="66"/>
      <c r="D118" s="66"/>
      <c r="E118" s="66"/>
      <c r="F118" s="66"/>
      <c r="G118" s="66"/>
      <c r="H118" s="66"/>
      <c r="I118" s="66"/>
      <c r="J118" s="66"/>
      <c r="K118" s="69"/>
      <c r="L118" s="69"/>
      <c r="M118" s="69"/>
      <c r="N118" s="65"/>
      <c r="O118" s="20"/>
      <c r="P118" s="20"/>
    </row>
    <row r="119" spans="1:16" s="30" customFormat="1" ht="21" x14ac:dyDescent="0.5">
      <c r="A119" s="65"/>
      <c r="B119" s="66"/>
      <c r="C119" s="66"/>
      <c r="D119" s="66"/>
      <c r="E119" s="66"/>
      <c r="F119" s="66"/>
      <c r="G119" s="66"/>
      <c r="H119" s="66"/>
      <c r="I119" s="66"/>
      <c r="J119" s="66"/>
      <c r="K119" s="69"/>
      <c r="L119" s="69"/>
      <c r="M119" s="69"/>
      <c r="N119" s="65"/>
      <c r="O119" s="20"/>
      <c r="P119" s="20"/>
    </row>
    <row r="120" spans="1:16" s="30" customFormat="1" ht="21" x14ac:dyDescent="0.5">
      <c r="A120" s="65"/>
      <c r="B120" s="66"/>
      <c r="C120" s="66"/>
      <c r="D120" s="66"/>
      <c r="E120" s="66"/>
      <c r="F120" s="66"/>
      <c r="G120" s="66"/>
      <c r="H120" s="66"/>
      <c r="I120" s="66"/>
      <c r="J120" s="66"/>
      <c r="K120" s="69"/>
      <c r="L120" s="69"/>
      <c r="M120" s="69"/>
      <c r="N120" s="65"/>
      <c r="O120" s="20"/>
      <c r="P120" s="20"/>
    </row>
    <row r="121" spans="1:16" s="30" customFormat="1" ht="21" x14ac:dyDescent="0.5">
      <c r="A121" s="65"/>
      <c r="B121" s="66"/>
      <c r="C121" s="66"/>
      <c r="D121" s="66"/>
      <c r="E121" s="66"/>
      <c r="F121" s="66"/>
      <c r="G121" s="66"/>
      <c r="H121" s="66"/>
      <c r="I121" s="66"/>
      <c r="J121" s="66"/>
      <c r="K121" s="69"/>
      <c r="L121" s="69"/>
      <c r="M121" s="69"/>
      <c r="N121" s="65"/>
      <c r="O121" s="20"/>
      <c r="P121" s="20"/>
    </row>
    <row r="122" spans="1:16" s="30" customFormat="1" ht="21" x14ac:dyDescent="0.5">
      <c r="A122" s="65"/>
      <c r="B122" s="66"/>
      <c r="C122" s="66"/>
      <c r="D122" s="66"/>
      <c r="E122" s="66"/>
      <c r="F122" s="66"/>
      <c r="G122" s="66"/>
      <c r="H122" s="66"/>
      <c r="I122" s="66"/>
      <c r="J122" s="66"/>
      <c r="K122" s="69"/>
      <c r="L122" s="69"/>
      <c r="M122" s="69"/>
      <c r="N122" s="65"/>
      <c r="O122" s="20"/>
      <c r="P122" s="20"/>
    </row>
    <row r="123" spans="1:16" s="30" customFormat="1" ht="21" x14ac:dyDescent="0.5">
      <c r="A123" s="65"/>
      <c r="B123" s="66"/>
      <c r="C123" s="66"/>
      <c r="D123" s="66"/>
      <c r="E123" s="66"/>
      <c r="F123" s="66"/>
      <c r="G123" s="66"/>
      <c r="H123" s="66"/>
      <c r="I123" s="66"/>
      <c r="J123" s="66"/>
      <c r="K123" s="69"/>
      <c r="L123" s="69"/>
      <c r="M123" s="69"/>
      <c r="N123" s="65"/>
      <c r="O123" s="20"/>
      <c r="P123" s="20"/>
    </row>
    <row r="124" spans="1:16" s="30" customFormat="1" ht="21" x14ac:dyDescent="0.5">
      <c r="A124" s="65"/>
      <c r="B124" s="66"/>
      <c r="C124" s="66"/>
      <c r="D124" s="66"/>
      <c r="E124" s="66"/>
      <c r="F124" s="66"/>
      <c r="G124" s="66"/>
      <c r="H124" s="66"/>
      <c r="I124" s="66"/>
      <c r="J124" s="66"/>
      <c r="K124" s="69"/>
      <c r="L124" s="69"/>
      <c r="M124" s="69"/>
      <c r="N124" s="65"/>
      <c r="O124" s="20"/>
      <c r="P124" s="20"/>
    </row>
    <row r="125" spans="1:16" s="30" customFormat="1" ht="21" x14ac:dyDescent="0.5">
      <c r="A125" s="65"/>
      <c r="B125" s="66"/>
      <c r="C125" s="66"/>
      <c r="D125" s="66"/>
      <c r="E125" s="66"/>
      <c r="F125" s="66"/>
      <c r="G125" s="66"/>
      <c r="H125" s="66"/>
      <c r="I125" s="66"/>
      <c r="J125" s="66"/>
      <c r="K125" s="69"/>
      <c r="L125" s="69"/>
      <c r="M125" s="69"/>
      <c r="N125" s="65"/>
      <c r="O125" s="20"/>
      <c r="P125" s="20"/>
    </row>
    <row r="126" spans="1:16" s="30" customFormat="1" ht="21" x14ac:dyDescent="0.5">
      <c r="A126" s="65"/>
      <c r="B126" s="66"/>
      <c r="C126" s="66"/>
      <c r="D126" s="66"/>
      <c r="E126" s="66"/>
      <c r="F126" s="66"/>
      <c r="G126" s="66"/>
      <c r="H126" s="66"/>
      <c r="I126" s="66"/>
      <c r="J126" s="66"/>
      <c r="K126" s="69"/>
      <c r="L126" s="69"/>
      <c r="M126" s="69"/>
      <c r="N126" s="65"/>
      <c r="O126" s="20"/>
      <c r="P126" s="20"/>
    </row>
    <row r="127" spans="1:16" s="30" customFormat="1" ht="18.5" x14ac:dyDescent="0.45">
      <c r="A127" s="65"/>
      <c r="B127" s="20"/>
      <c r="C127" s="66"/>
      <c r="D127" s="20"/>
      <c r="E127" s="20"/>
      <c r="F127" s="20"/>
      <c r="G127" s="20"/>
      <c r="H127" s="20"/>
      <c r="I127" s="20"/>
      <c r="J127" s="20"/>
      <c r="K127" s="20"/>
      <c r="L127" s="20"/>
      <c r="M127" s="20"/>
      <c r="N127" s="29"/>
      <c r="O127" s="20"/>
      <c r="P127" s="20"/>
    </row>
    <row r="128" spans="1:16" s="30" customFormat="1" ht="18.5" x14ac:dyDescent="0.45">
      <c r="B128" s="20"/>
      <c r="C128" s="66"/>
      <c r="D128" s="20"/>
      <c r="E128" s="20"/>
      <c r="F128" s="20"/>
      <c r="G128" s="20"/>
      <c r="H128" s="20"/>
      <c r="I128" s="20"/>
      <c r="J128" s="20"/>
      <c r="K128" s="20"/>
      <c r="L128" s="20"/>
      <c r="M128" s="20"/>
      <c r="N128" s="29"/>
      <c r="O128" s="20"/>
      <c r="P128" s="20"/>
    </row>
    <row r="129" spans="1:19" s="30" customFormat="1" ht="18.5" x14ac:dyDescent="0.45">
      <c r="C129" s="66"/>
      <c r="D129" s="20"/>
      <c r="E129" s="20"/>
      <c r="F129" s="20"/>
      <c r="G129" s="20"/>
      <c r="H129" s="20"/>
      <c r="I129" s="20"/>
      <c r="J129" s="20"/>
      <c r="K129" s="20"/>
      <c r="L129" s="20"/>
      <c r="M129" s="20"/>
      <c r="N129" s="20"/>
      <c r="O129" s="20"/>
      <c r="P129" s="20"/>
    </row>
    <row r="130" spans="1:19" s="30" customFormat="1" ht="18.5" x14ac:dyDescent="0.45">
      <c r="A130" s="76"/>
      <c r="B130" s="72"/>
      <c r="C130" s="66"/>
      <c r="D130" s="20"/>
      <c r="E130" s="20"/>
      <c r="F130" s="20"/>
      <c r="G130" s="20"/>
      <c r="H130" s="20"/>
      <c r="I130" s="20"/>
      <c r="J130" s="20"/>
      <c r="K130" s="20"/>
      <c r="L130" s="20"/>
      <c r="M130" s="20"/>
      <c r="N130" s="20"/>
      <c r="O130" s="20"/>
      <c r="P130" s="20"/>
    </row>
    <row r="131" spans="1:19" s="30" customFormat="1" ht="18.5" x14ac:dyDescent="0.45">
      <c r="A131" s="72"/>
      <c r="B131" s="72"/>
      <c r="C131" s="66"/>
      <c r="D131" s="42"/>
      <c r="E131" s="20"/>
      <c r="F131" s="20"/>
      <c r="G131" s="20"/>
      <c r="H131" s="20"/>
      <c r="I131" s="20"/>
      <c r="J131" s="20"/>
      <c r="K131" s="20"/>
      <c r="L131" s="20"/>
      <c r="M131" s="20"/>
      <c r="N131" s="20"/>
      <c r="O131" s="20"/>
      <c r="P131" s="20"/>
    </row>
    <row r="132" spans="1:19" s="30" customFormat="1" ht="18.5" x14ac:dyDescent="0.45">
      <c r="A132" s="72"/>
      <c r="B132" s="72"/>
      <c r="C132" s="66"/>
      <c r="D132" s="77"/>
      <c r="E132" s="77"/>
      <c r="F132" s="77"/>
      <c r="G132" s="77"/>
      <c r="H132" s="77"/>
      <c r="I132" s="77"/>
      <c r="J132" s="77"/>
      <c r="K132" s="77"/>
      <c r="L132" s="77"/>
      <c r="M132" s="77"/>
      <c r="N132" s="77"/>
      <c r="O132" s="77"/>
      <c r="P132" s="20"/>
    </row>
    <row r="133" spans="1:19" s="30" customFormat="1" ht="18.5" x14ac:dyDescent="0.45">
      <c r="A133" s="72"/>
      <c r="B133" s="72"/>
      <c r="C133" s="66"/>
      <c r="D133" s="77"/>
      <c r="E133" s="78"/>
      <c r="F133" s="77"/>
      <c r="G133" s="77"/>
      <c r="H133" s="77"/>
      <c r="I133" s="77"/>
      <c r="J133" s="77"/>
      <c r="K133" s="77"/>
      <c r="L133" s="77"/>
      <c r="M133" s="77"/>
      <c r="N133" s="77"/>
      <c r="O133" s="77"/>
      <c r="P133" s="77"/>
      <c r="Q133" s="79"/>
      <c r="R133" s="79"/>
      <c r="S133" s="79"/>
    </row>
    <row r="134" spans="1:19" s="30" customFormat="1" ht="18.5" x14ac:dyDescent="0.45">
      <c r="A134" s="76"/>
      <c r="B134" s="72"/>
      <c r="C134" s="66"/>
      <c r="D134" s="77"/>
      <c r="E134" s="77"/>
      <c r="F134" s="77"/>
      <c r="G134" s="77"/>
      <c r="H134" s="77"/>
      <c r="I134" s="77"/>
      <c r="J134" s="77"/>
      <c r="K134" s="77"/>
      <c r="L134" s="77"/>
      <c r="M134" s="77"/>
      <c r="P134" s="77"/>
      <c r="Q134" s="79"/>
      <c r="R134" s="79"/>
      <c r="S134" s="79"/>
    </row>
    <row r="135" spans="1:19" s="30" customFormat="1" ht="18.5" x14ac:dyDescent="0.45">
      <c r="A135" s="76"/>
      <c r="B135" s="72"/>
      <c r="C135" s="66"/>
      <c r="D135" s="77"/>
      <c r="E135" s="77"/>
      <c r="F135" s="77"/>
      <c r="G135" s="77"/>
      <c r="H135" s="77"/>
      <c r="I135" s="77"/>
      <c r="J135" s="77"/>
      <c r="K135" s="77"/>
      <c r="L135" s="77"/>
      <c r="M135" s="77"/>
      <c r="N135" s="77"/>
      <c r="O135" s="77"/>
    </row>
    <row r="136" spans="1:19" s="30" customFormat="1" ht="18.5" x14ac:dyDescent="0.45">
      <c r="A136" s="72"/>
      <c r="B136" s="72"/>
      <c r="C136" s="66"/>
      <c r="D136" s="77"/>
      <c r="E136" s="77"/>
      <c r="F136" s="77"/>
      <c r="G136" s="77"/>
      <c r="H136" s="77"/>
      <c r="I136" s="77"/>
      <c r="J136" s="77"/>
      <c r="K136" s="77"/>
      <c r="L136" s="77"/>
      <c r="M136" s="77"/>
      <c r="N136" s="77"/>
      <c r="O136" s="77"/>
      <c r="P136" s="77"/>
      <c r="Q136" s="79"/>
      <c r="R136" s="79"/>
      <c r="S136" s="79"/>
    </row>
    <row r="137" spans="1:19" s="30" customFormat="1" ht="18.5" x14ac:dyDescent="0.45">
      <c r="A137" s="72"/>
      <c r="B137" s="72"/>
      <c r="C137" s="66"/>
      <c r="D137" s="77"/>
      <c r="E137" s="77"/>
      <c r="F137" s="77"/>
      <c r="G137" s="77"/>
      <c r="H137" s="77"/>
      <c r="I137" s="77"/>
      <c r="J137" s="77"/>
      <c r="K137" s="77"/>
      <c r="L137" s="77"/>
      <c r="M137" s="77"/>
      <c r="N137" s="77"/>
      <c r="O137" s="77"/>
      <c r="P137" s="77"/>
      <c r="Q137" s="79"/>
      <c r="R137" s="79"/>
      <c r="S137" s="79"/>
    </row>
    <row r="138" spans="1:19" s="30" customFormat="1" ht="18.5" x14ac:dyDescent="0.45">
      <c r="A138" s="72"/>
      <c r="B138" s="72"/>
      <c r="C138" s="66"/>
      <c r="D138" s="77"/>
      <c r="E138" s="77"/>
      <c r="F138" s="77"/>
      <c r="G138" s="77"/>
      <c r="H138" s="77"/>
      <c r="I138" s="77"/>
      <c r="J138" s="77"/>
      <c r="K138" s="77"/>
      <c r="L138" s="77"/>
      <c r="M138" s="77"/>
      <c r="N138" s="77"/>
      <c r="O138" s="77"/>
      <c r="P138" s="77"/>
      <c r="Q138" s="79"/>
      <c r="R138" s="79"/>
      <c r="S138" s="79"/>
    </row>
    <row r="139" spans="1:19" s="30" customFormat="1" ht="18.5" x14ac:dyDescent="0.45">
      <c r="A139" s="72"/>
      <c r="B139" s="72"/>
      <c r="C139" s="72"/>
      <c r="D139" s="79"/>
      <c r="E139" s="79"/>
      <c r="F139" s="79"/>
      <c r="G139" s="79"/>
      <c r="H139" s="79"/>
      <c r="I139" s="79"/>
      <c r="J139" s="79"/>
      <c r="K139" s="79"/>
      <c r="L139" s="79"/>
      <c r="M139" s="79"/>
      <c r="N139" s="79"/>
      <c r="O139" s="79"/>
      <c r="P139" s="77"/>
      <c r="Q139" s="79"/>
      <c r="R139" s="79"/>
      <c r="S139" s="79"/>
    </row>
    <row r="140" spans="1:19" s="30" customFormat="1" ht="18.5" x14ac:dyDescent="0.45">
      <c r="A140" s="72"/>
      <c r="B140" s="72"/>
      <c r="C140" s="72"/>
      <c r="D140" s="79"/>
      <c r="E140" s="79"/>
      <c r="F140" s="79"/>
      <c r="G140" s="79"/>
      <c r="H140" s="79"/>
      <c r="I140" s="79"/>
      <c r="J140" s="79"/>
      <c r="K140" s="79"/>
      <c r="L140" s="79"/>
      <c r="M140" s="79"/>
      <c r="N140" s="79"/>
      <c r="O140" s="79"/>
      <c r="P140" s="79"/>
      <c r="Q140" s="79"/>
      <c r="R140" s="79"/>
      <c r="S140" s="79"/>
    </row>
    <row r="141" spans="1:19" s="30" customFormat="1" ht="18.5" x14ac:dyDescent="0.45">
      <c r="A141" s="72"/>
      <c r="B141" s="72"/>
      <c r="C141" s="72"/>
      <c r="D141" s="79"/>
      <c r="E141" s="79"/>
      <c r="F141" s="79"/>
      <c r="G141" s="79"/>
      <c r="H141" s="79"/>
      <c r="I141" s="79"/>
      <c r="J141" s="79"/>
      <c r="K141" s="79"/>
      <c r="L141" s="79"/>
      <c r="M141" s="79"/>
      <c r="N141" s="79"/>
      <c r="O141" s="79"/>
      <c r="P141" s="79"/>
      <c r="Q141" s="79"/>
      <c r="R141" s="79"/>
      <c r="S141" s="79"/>
    </row>
    <row r="142" spans="1:19" s="30" customFormat="1" ht="18.5" x14ac:dyDescent="0.45">
      <c r="A142" s="72"/>
      <c r="B142" s="72"/>
      <c r="C142" s="72"/>
      <c r="D142" s="79"/>
      <c r="E142" s="79"/>
      <c r="F142" s="79"/>
      <c r="G142" s="79"/>
      <c r="H142" s="79"/>
      <c r="I142" s="79"/>
      <c r="J142" s="79"/>
      <c r="K142" s="79"/>
      <c r="L142" s="79"/>
      <c r="M142" s="79"/>
      <c r="N142" s="79"/>
      <c r="O142" s="79"/>
      <c r="P142" s="79"/>
      <c r="Q142" s="79"/>
      <c r="R142" s="79"/>
      <c r="S142" s="79"/>
    </row>
    <row r="143" spans="1:19" s="30" customFormat="1" ht="18.5" x14ac:dyDescent="0.45">
      <c r="A143" s="72"/>
      <c r="B143" s="72"/>
      <c r="C143" s="72"/>
      <c r="D143" s="79"/>
      <c r="E143" s="79"/>
      <c r="F143" s="79"/>
      <c r="G143" s="79"/>
      <c r="H143" s="79"/>
      <c r="I143" s="79"/>
      <c r="J143" s="79"/>
      <c r="K143" s="79"/>
      <c r="L143" s="79"/>
      <c r="M143" s="79"/>
      <c r="N143" s="79"/>
      <c r="O143" s="79"/>
      <c r="P143" s="79"/>
      <c r="Q143" s="79"/>
      <c r="R143" s="79"/>
      <c r="S143" s="79"/>
    </row>
    <row r="144" spans="1:19" s="30" customFormat="1" ht="18.5" x14ac:dyDescent="0.45">
      <c r="A144" s="72"/>
      <c r="B144" s="72"/>
      <c r="C144" s="72"/>
      <c r="D144" s="79"/>
      <c r="E144" s="79"/>
      <c r="F144" s="79"/>
      <c r="G144" s="79"/>
      <c r="H144" s="79"/>
      <c r="I144" s="79"/>
      <c r="J144" s="79"/>
      <c r="K144" s="79"/>
      <c r="L144" s="79"/>
      <c r="M144" s="79"/>
      <c r="N144" s="79"/>
      <c r="O144" s="79"/>
      <c r="P144" s="79"/>
      <c r="Q144" s="79"/>
      <c r="R144" s="79"/>
      <c r="S144" s="79"/>
    </row>
    <row r="145" spans="1:19" s="30" customFormat="1" ht="18.5" x14ac:dyDescent="0.45">
      <c r="A145" s="72"/>
      <c r="B145" s="72"/>
      <c r="P145" s="79"/>
      <c r="Q145" s="79"/>
      <c r="R145" s="79"/>
      <c r="S145" s="79"/>
    </row>
    <row r="146" spans="1:19" s="30" customFormat="1" x14ac:dyDescent="0.35">
      <c r="Q146" s="79"/>
      <c r="R146" s="79"/>
      <c r="S146" s="79"/>
    </row>
    <row r="147" spans="1:19" s="30" customFormat="1" ht="149.25" customHeight="1" x14ac:dyDescent="0.35">
      <c r="Q147" s="79"/>
      <c r="R147" s="79"/>
      <c r="S147" s="79"/>
    </row>
    <row r="148" spans="1:19" s="30" customFormat="1" x14ac:dyDescent="0.35">
      <c r="Q148" s="79"/>
      <c r="R148" s="79"/>
      <c r="S148" s="79"/>
    </row>
    <row r="149" spans="1:19" s="30" customFormat="1" x14ac:dyDescent="0.35">
      <c r="Q149" s="79"/>
      <c r="R149" s="79"/>
      <c r="S149" s="79"/>
    </row>
    <row r="150" spans="1:19" s="30" customFormat="1" x14ac:dyDescent="0.35">
      <c r="Q150" s="79"/>
      <c r="R150" s="79"/>
      <c r="S150" s="79"/>
    </row>
    <row r="151" spans="1:19" s="30" customFormat="1" x14ac:dyDescent="0.35">
      <c r="Q151" s="79"/>
      <c r="R151" s="79"/>
      <c r="S151" s="79"/>
    </row>
    <row r="152" spans="1:19" s="30" customFormat="1" x14ac:dyDescent="0.35">
      <c r="Q152" s="79"/>
      <c r="R152" s="79"/>
      <c r="S152" s="79"/>
    </row>
    <row r="153" spans="1:19" s="30" customFormat="1" x14ac:dyDescent="0.35">
      <c r="Q153" s="79"/>
      <c r="R153" s="79"/>
      <c r="S153" s="79"/>
    </row>
    <row r="154" spans="1:19" s="30" customFormat="1" x14ac:dyDescent="0.35">
      <c r="Q154" s="79"/>
      <c r="R154" s="79"/>
      <c r="S154" s="79"/>
    </row>
    <row r="155" spans="1:19" s="30" customFormat="1" x14ac:dyDescent="0.35">
      <c r="Q155" s="79"/>
      <c r="R155" s="79"/>
      <c r="S155" s="79"/>
    </row>
    <row r="156" spans="1:19" s="30" customFormat="1" x14ac:dyDescent="0.35">
      <c r="Q156" s="79"/>
      <c r="R156" s="79"/>
      <c r="S156" s="79"/>
    </row>
    <row r="157" spans="1:19" s="30" customFormat="1" x14ac:dyDescent="0.35">
      <c r="Q157" s="79"/>
      <c r="R157" s="79"/>
      <c r="S157" s="79"/>
    </row>
    <row r="158" spans="1:19" s="30" customFormat="1" x14ac:dyDescent="0.35">
      <c r="Q158" s="79"/>
      <c r="R158" s="79"/>
      <c r="S158" s="79"/>
    </row>
    <row r="159" spans="1:19" s="30" customFormat="1" x14ac:dyDescent="0.35">
      <c r="Q159" s="79"/>
      <c r="R159" s="79"/>
      <c r="S159" s="79"/>
    </row>
    <row r="160" spans="1:19" s="30" customFormat="1" x14ac:dyDescent="0.35">
      <c r="Q160" s="79"/>
      <c r="R160" s="79"/>
      <c r="S160" s="79"/>
    </row>
    <row r="161" spans="17:19" s="30" customFormat="1" x14ac:dyDescent="0.35">
      <c r="Q161" s="79"/>
      <c r="R161" s="79"/>
      <c r="S161" s="79"/>
    </row>
    <row r="162" spans="17:19" s="30" customFormat="1" x14ac:dyDescent="0.35">
      <c r="Q162" s="79"/>
      <c r="R162" s="79"/>
      <c r="S162" s="79"/>
    </row>
    <row r="163" spans="17:19" s="30" customFormat="1" x14ac:dyDescent="0.35">
      <c r="Q163" s="79"/>
      <c r="R163" s="79"/>
      <c r="S163" s="79"/>
    </row>
    <row r="164" spans="17:19" s="30" customFormat="1" x14ac:dyDescent="0.35">
      <c r="Q164" s="79"/>
      <c r="R164" s="79"/>
      <c r="S164" s="79"/>
    </row>
    <row r="165" spans="17:19" x14ac:dyDescent="0.35">
      <c r="Q165" s="80"/>
      <c r="R165" s="80"/>
      <c r="S165" s="80"/>
    </row>
    <row r="166" spans="17:19" x14ac:dyDescent="0.35">
      <c r="Q166" s="80"/>
      <c r="R166" s="80"/>
      <c r="S166" s="80"/>
    </row>
    <row r="167" spans="17:19" x14ac:dyDescent="0.35">
      <c r="Q167" s="80"/>
      <c r="R167" s="80"/>
      <c r="S167" s="80"/>
    </row>
    <row r="168" spans="17:19" x14ac:dyDescent="0.35">
      <c r="Q168" s="80"/>
      <c r="R168" s="80"/>
      <c r="S168" s="80"/>
    </row>
    <row r="169" spans="17:19" x14ac:dyDescent="0.35">
      <c r="Q169" s="80"/>
      <c r="R169" s="80"/>
      <c r="S169" s="80"/>
    </row>
    <row r="170" spans="17:19" x14ac:dyDescent="0.35">
      <c r="Q170" s="80"/>
      <c r="R170" s="80"/>
      <c r="S170" s="80"/>
    </row>
    <row r="171" spans="17:19" x14ac:dyDescent="0.35">
      <c r="Q171" s="80"/>
      <c r="R171" s="80"/>
      <c r="S171" s="80"/>
    </row>
    <row r="172" spans="17:19" x14ac:dyDescent="0.35">
      <c r="Q172" s="80"/>
      <c r="R172" s="80"/>
      <c r="S172" s="80"/>
    </row>
    <row r="173" spans="17:19" x14ac:dyDescent="0.35">
      <c r="Q173" s="80"/>
      <c r="R173" s="80"/>
      <c r="S173" s="80"/>
    </row>
    <row r="174" spans="17:19" x14ac:dyDescent="0.35">
      <c r="Q174" s="80"/>
      <c r="R174" s="80"/>
      <c r="S174" s="80"/>
    </row>
    <row r="175" spans="17:19" x14ac:dyDescent="0.35">
      <c r="Q175" s="80"/>
      <c r="R175" s="80"/>
      <c r="S175" s="80"/>
    </row>
    <row r="176" spans="17:19" x14ac:dyDescent="0.35">
      <c r="Q176" s="80"/>
      <c r="R176" s="80"/>
      <c r="S176" s="80"/>
    </row>
    <row r="177" spans="17:19" x14ac:dyDescent="0.35">
      <c r="Q177" s="80"/>
      <c r="R177" s="80"/>
      <c r="S177" s="80"/>
    </row>
    <row r="178" spans="17:19" x14ac:dyDescent="0.35">
      <c r="Q178" s="80"/>
      <c r="R178" s="80"/>
      <c r="S178" s="80"/>
    </row>
    <row r="179" spans="17:19" x14ac:dyDescent="0.35">
      <c r="Q179" s="80"/>
      <c r="R179" s="80"/>
      <c r="S179" s="80"/>
    </row>
    <row r="180" spans="17:19" x14ac:dyDescent="0.35">
      <c r="Q180" s="80"/>
      <c r="R180" s="80"/>
      <c r="S180" s="80"/>
    </row>
    <row r="181" spans="17:19" x14ac:dyDescent="0.35">
      <c r="Q181" s="80"/>
      <c r="R181" s="80"/>
      <c r="S181" s="80"/>
    </row>
    <row r="182" spans="17:19" x14ac:dyDescent="0.35">
      <c r="Q182" s="80"/>
      <c r="R182" s="80"/>
      <c r="S182" s="80"/>
    </row>
    <row r="183" spans="17:19" x14ac:dyDescent="0.35">
      <c r="Q183" s="80"/>
      <c r="R183" s="80"/>
      <c r="S183" s="80"/>
    </row>
    <row r="184" spans="17:19" x14ac:dyDescent="0.35">
      <c r="Q184" s="80"/>
      <c r="R184" s="80"/>
      <c r="S184" s="80"/>
    </row>
    <row r="185" spans="17:19" x14ac:dyDescent="0.35">
      <c r="Q185" s="80"/>
      <c r="R185" s="80"/>
      <c r="S185" s="80"/>
    </row>
    <row r="186" spans="17:19" x14ac:dyDescent="0.35">
      <c r="Q186" s="80"/>
      <c r="R186" s="80"/>
      <c r="S186" s="80"/>
    </row>
    <row r="187" spans="17:19" x14ac:dyDescent="0.35">
      <c r="Q187" s="80"/>
      <c r="R187" s="80"/>
      <c r="S187" s="80"/>
    </row>
    <row r="188" spans="17:19" x14ac:dyDescent="0.35">
      <c r="Q188" s="80"/>
      <c r="R188" s="80"/>
      <c r="S188" s="80"/>
    </row>
    <row r="189" spans="17:19" x14ac:dyDescent="0.35">
      <c r="Q189" s="80"/>
      <c r="R189" s="80"/>
      <c r="S189" s="80"/>
    </row>
    <row r="190" spans="17:19" x14ac:dyDescent="0.35">
      <c r="Q190" s="80"/>
      <c r="R190" s="80"/>
      <c r="S190" s="80"/>
    </row>
    <row r="191" spans="17:19" x14ac:dyDescent="0.35">
      <c r="Q191" s="80"/>
      <c r="R191" s="80"/>
      <c r="S191" s="80"/>
    </row>
    <row r="192" spans="17:19" x14ac:dyDescent="0.35">
      <c r="Q192" s="80"/>
      <c r="R192" s="80"/>
      <c r="S192" s="80"/>
    </row>
    <row r="193" spans="17:19" x14ac:dyDescent="0.35">
      <c r="Q193" s="80"/>
      <c r="R193" s="80"/>
      <c r="S193" s="80"/>
    </row>
    <row r="194" spans="17:19" x14ac:dyDescent="0.35">
      <c r="Q194" s="80"/>
      <c r="R194" s="80"/>
      <c r="S194" s="80"/>
    </row>
    <row r="195" spans="17:19" x14ac:dyDescent="0.35">
      <c r="Q195" s="80"/>
      <c r="R195" s="80"/>
      <c r="S195" s="80"/>
    </row>
    <row r="196" spans="17:19" x14ac:dyDescent="0.35">
      <c r="Q196" s="80"/>
      <c r="R196" s="80"/>
      <c r="S196" s="80"/>
    </row>
    <row r="197" spans="17:19" x14ac:dyDescent="0.35">
      <c r="Q197" s="80"/>
      <c r="R197" s="80"/>
      <c r="S197" s="80"/>
    </row>
    <row r="198" spans="17:19" x14ac:dyDescent="0.35">
      <c r="Q198" s="80"/>
      <c r="R198" s="80"/>
      <c r="S198" s="80"/>
    </row>
    <row r="199" spans="17:19" x14ac:dyDescent="0.35">
      <c r="Q199" s="80"/>
      <c r="R199" s="80"/>
      <c r="S199" s="80"/>
    </row>
    <row r="200" spans="17:19" x14ac:dyDescent="0.35">
      <c r="Q200" s="80"/>
      <c r="R200" s="80"/>
      <c r="S200" s="80"/>
    </row>
    <row r="201" spans="17:19" x14ac:dyDescent="0.35">
      <c r="Q201" s="80"/>
      <c r="R201" s="80"/>
      <c r="S201" s="80"/>
    </row>
    <row r="202" spans="17:19" x14ac:dyDescent="0.35">
      <c r="Q202" s="80"/>
      <c r="R202" s="80"/>
      <c r="S202" s="80"/>
    </row>
    <row r="203" spans="17:19" x14ac:dyDescent="0.35">
      <c r="Q203" s="80"/>
      <c r="R203" s="80"/>
      <c r="S203" s="80"/>
    </row>
    <row r="204" spans="17:19" x14ac:dyDescent="0.35">
      <c r="Q204" s="80"/>
      <c r="R204" s="80"/>
      <c r="S204" s="80"/>
    </row>
    <row r="205" spans="17:19" x14ac:dyDescent="0.35">
      <c r="Q205" s="80"/>
      <c r="R205" s="80"/>
      <c r="S205" s="80"/>
    </row>
    <row r="206" spans="17:19" x14ac:dyDescent="0.35">
      <c r="Q206" s="80"/>
      <c r="R206" s="80"/>
      <c r="S206" s="80"/>
    </row>
    <row r="207" spans="17:19" x14ac:dyDescent="0.35">
      <c r="Q207" s="80"/>
      <c r="R207" s="80"/>
      <c r="S207" s="80"/>
    </row>
    <row r="208" spans="17:19" x14ac:dyDescent="0.35">
      <c r="Q208" s="80"/>
      <c r="R208" s="80"/>
      <c r="S208" s="80"/>
    </row>
    <row r="209" spans="17:19" x14ac:dyDescent="0.35">
      <c r="Q209" s="80"/>
      <c r="R209" s="80"/>
      <c r="S209" s="80"/>
    </row>
    <row r="210" spans="17:19" x14ac:dyDescent="0.35">
      <c r="Q210" s="80"/>
      <c r="R210" s="80"/>
      <c r="S210" s="80"/>
    </row>
    <row r="211" spans="17:19" x14ac:dyDescent="0.35">
      <c r="Q211" s="80"/>
      <c r="R211" s="80"/>
      <c r="S211" s="80"/>
    </row>
    <row r="212" spans="17:19" x14ac:dyDescent="0.35">
      <c r="Q212" s="80"/>
      <c r="R212" s="80"/>
      <c r="S212" s="80"/>
    </row>
    <row r="213" spans="17:19" x14ac:dyDescent="0.35">
      <c r="Q213" s="80"/>
      <c r="R213" s="80"/>
      <c r="S213" s="80"/>
    </row>
    <row r="214" spans="17:19" x14ac:dyDescent="0.35">
      <c r="Q214" s="80"/>
      <c r="R214" s="80"/>
      <c r="S214" s="80"/>
    </row>
    <row r="215" spans="17:19" x14ac:dyDescent="0.35">
      <c r="Q215" s="80"/>
      <c r="R215" s="80"/>
      <c r="S215" s="80"/>
    </row>
    <row r="216" spans="17:19" x14ac:dyDescent="0.35">
      <c r="Q216" s="80"/>
      <c r="R216" s="80"/>
      <c r="S216" s="80"/>
    </row>
    <row r="217" spans="17:19" x14ac:dyDescent="0.35">
      <c r="Q217" s="80"/>
      <c r="R217" s="80"/>
      <c r="S217" s="80"/>
    </row>
    <row r="218" spans="17:19" x14ac:dyDescent="0.35">
      <c r="Q218" s="80"/>
      <c r="R218" s="80"/>
      <c r="S218" s="80"/>
    </row>
    <row r="219" spans="17:19" x14ac:dyDescent="0.35">
      <c r="Q219" s="80"/>
      <c r="R219" s="80"/>
      <c r="S219" s="80"/>
    </row>
    <row r="220" spans="17:19" x14ac:dyDescent="0.35">
      <c r="Q220" s="80"/>
      <c r="R220" s="80"/>
      <c r="S220" s="80"/>
    </row>
    <row r="221" spans="17:19" x14ac:dyDescent="0.35">
      <c r="Q221" s="80"/>
      <c r="R221" s="80"/>
      <c r="S221" s="80"/>
    </row>
    <row r="222" spans="17:19" x14ac:dyDescent="0.35">
      <c r="Q222" s="80"/>
      <c r="R222" s="80"/>
      <c r="S222" s="80"/>
    </row>
    <row r="223" spans="17:19" x14ac:dyDescent="0.35">
      <c r="Q223" s="80"/>
      <c r="R223" s="80"/>
      <c r="S223" s="80"/>
    </row>
    <row r="224" spans="17:19" x14ac:dyDescent="0.35">
      <c r="Q224" s="80"/>
      <c r="R224" s="80"/>
      <c r="S224" s="80"/>
    </row>
    <row r="225" spans="17:19" x14ac:dyDescent="0.35">
      <c r="Q225" s="80"/>
      <c r="R225" s="80"/>
      <c r="S225" s="80"/>
    </row>
    <row r="226" spans="17:19" x14ac:dyDescent="0.35">
      <c r="Q226" s="80"/>
      <c r="R226" s="80"/>
      <c r="S226" s="80"/>
    </row>
    <row r="227" spans="17:19" x14ac:dyDescent="0.35">
      <c r="Q227" s="80"/>
      <c r="R227" s="80"/>
      <c r="S227" s="80"/>
    </row>
    <row r="228" spans="17:19" x14ac:dyDescent="0.35">
      <c r="Q228" s="80"/>
      <c r="R228" s="80"/>
      <c r="S228" s="80"/>
    </row>
    <row r="229" spans="17:19" x14ac:dyDescent="0.35">
      <c r="Q229" s="80"/>
      <c r="R229" s="80"/>
      <c r="S229" s="80"/>
    </row>
    <row r="230" spans="17:19" x14ac:dyDescent="0.35">
      <c r="Q230" s="80"/>
      <c r="R230" s="80"/>
      <c r="S230" s="80"/>
    </row>
    <row r="231" spans="17:19" x14ac:dyDescent="0.35">
      <c r="Q231" s="80"/>
      <c r="R231" s="80"/>
      <c r="S231" s="80"/>
    </row>
    <row r="232" spans="17:19" x14ac:dyDescent="0.35">
      <c r="Q232" s="80"/>
      <c r="R232" s="80"/>
      <c r="S232" s="80"/>
    </row>
    <row r="233" spans="17:19" x14ac:dyDescent="0.35">
      <c r="Q233" s="80"/>
      <c r="R233" s="80"/>
      <c r="S233" s="80"/>
    </row>
    <row r="234" spans="17:19" x14ac:dyDescent="0.35">
      <c r="Q234" s="80"/>
      <c r="R234" s="80"/>
      <c r="S234" s="80"/>
    </row>
    <row r="235" spans="17:19" x14ac:dyDescent="0.35">
      <c r="Q235" s="80"/>
      <c r="R235" s="80"/>
      <c r="S235" s="80"/>
    </row>
    <row r="236" spans="17:19" x14ac:dyDescent="0.35">
      <c r="Q236" s="80"/>
      <c r="R236" s="80"/>
      <c r="S236" s="80"/>
    </row>
    <row r="237" spans="17:19" x14ac:dyDescent="0.35">
      <c r="Q237" s="80"/>
      <c r="R237" s="80"/>
      <c r="S237" s="80"/>
    </row>
    <row r="238" spans="17:19" x14ac:dyDescent="0.35">
      <c r="Q238" s="80"/>
      <c r="R238" s="80"/>
      <c r="S238" s="80"/>
    </row>
    <row r="239" spans="17:19" x14ac:dyDescent="0.35">
      <c r="Q239" s="80"/>
      <c r="R239" s="80"/>
      <c r="S239" s="80"/>
    </row>
    <row r="240" spans="17:19" x14ac:dyDescent="0.35">
      <c r="Q240" s="80"/>
      <c r="R240" s="80"/>
      <c r="S240" s="80"/>
    </row>
    <row r="241" spans="17:19" x14ac:dyDescent="0.35">
      <c r="Q241" s="80"/>
      <c r="R241" s="80"/>
      <c r="S241" s="80"/>
    </row>
    <row r="242" spans="17:19" x14ac:dyDescent="0.35">
      <c r="Q242" s="80"/>
      <c r="R242" s="80"/>
      <c r="S242" s="80"/>
    </row>
    <row r="243" spans="17:19" x14ac:dyDescent="0.35">
      <c r="Q243" s="80"/>
      <c r="R243" s="80"/>
      <c r="S243" s="80"/>
    </row>
    <row r="244" spans="17:19" x14ac:dyDescent="0.35">
      <c r="Q244" s="80"/>
      <c r="R244" s="80"/>
      <c r="S244" s="80"/>
    </row>
    <row r="245" spans="17:19" x14ac:dyDescent="0.35">
      <c r="Q245" s="80"/>
      <c r="R245" s="80"/>
      <c r="S245" s="80"/>
    </row>
    <row r="246" spans="17:19" x14ac:dyDescent="0.35">
      <c r="Q246" s="80"/>
      <c r="R246" s="80"/>
      <c r="S246" s="80"/>
    </row>
    <row r="247" spans="17:19" x14ac:dyDescent="0.35">
      <c r="Q247" s="80"/>
      <c r="R247" s="80"/>
      <c r="S247" s="80"/>
    </row>
    <row r="248" spans="17:19" x14ac:dyDescent="0.35">
      <c r="Q248" s="80"/>
      <c r="R248" s="80"/>
      <c r="S248" s="80"/>
    </row>
    <row r="249" spans="17:19" x14ac:dyDescent="0.35">
      <c r="Q249" s="80"/>
      <c r="R249" s="80"/>
      <c r="S249" s="80"/>
    </row>
    <row r="250" spans="17:19" x14ac:dyDescent="0.35">
      <c r="Q250" s="80"/>
      <c r="R250" s="80"/>
      <c r="S250" s="80"/>
    </row>
    <row r="251" spans="17:19" x14ac:dyDescent="0.35">
      <c r="Q251" s="80"/>
      <c r="R251" s="80"/>
      <c r="S251" s="80"/>
    </row>
    <row r="252" spans="17:19" x14ac:dyDescent="0.35">
      <c r="Q252" s="80"/>
      <c r="R252" s="80"/>
      <c r="S252" s="80"/>
    </row>
    <row r="253" spans="17:19" x14ac:dyDescent="0.35">
      <c r="Q253" s="80"/>
      <c r="R253" s="80"/>
      <c r="S253" s="80"/>
    </row>
    <row r="254" spans="17:19" x14ac:dyDescent="0.35">
      <c r="Q254" s="80"/>
      <c r="R254" s="80"/>
      <c r="S254" s="80"/>
    </row>
    <row r="255" spans="17:19" x14ac:dyDescent="0.35">
      <c r="Q255" s="80"/>
      <c r="R255" s="80"/>
      <c r="S255" s="80"/>
    </row>
    <row r="256" spans="17:19" x14ac:dyDescent="0.35">
      <c r="Q256" s="80"/>
      <c r="R256" s="80"/>
      <c r="S256" s="80"/>
    </row>
    <row r="257" spans="17:19" x14ac:dyDescent="0.35">
      <c r="Q257" s="80"/>
      <c r="R257" s="80"/>
      <c r="S257" s="80"/>
    </row>
    <row r="258" spans="17:19" x14ac:dyDescent="0.35">
      <c r="Q258" s="80"/>
      <c r="R258" s="80"/>
      <c r="S258" s="80"/>
    </row>
    <row r="259" spans="17:19" x14ac:dyDescent="0.35">
      <c r="Q259" s="80"/>
      <c r="R259" s="80"/>
      <c r="S259" s="80"/>
    </row>
    <row r="260" spans="17:19" x14ac:dyDescent="0.35">
      <c r="Q260" s="80"/>
      <c r="R260" s="80"/>
      <c r="S260" s="80"/>
    </row>
    <row r="261" spans="17:19" x14ac:dyDescent="0.35">
      <c r="Q261" s="80"/>
      <c r="R261" s="80"/>
      <c r="S261" s="80"/>
    </row>
    <row r="262" spans="17:19" x14ac:dyDescent="0.35">
      <c r="Q262" s="80"/>
      <c r="R262" s="80"/>
      <c r="S262" s="80"/>
    </row>
    <row r="263" spans="17:19" x14ac:dyDescent="0.35">
      <c r="Q263" s="80"/>
      <c r="R263" s="80"/>
      <c r="S263" s="80"/>
    </row>
    <row r="264" spans="17:19" x14ac:dyDescent="0.35">
      <c r="Q264" s="80"/>
      <c r="R264" s="80"/>
      <c r="S264" s="80"/>
    </row>
    <row r="265" spans="17:19" x14ac:dyDescent="0.35">
      <c r="Q265" s="80"/>
      <c r="R265" s="80"/>
      <c r="S265" s="80"/>
    </row>
    <row r="266" spans="17:19" x14ac:dyDescent="0.35">
      <c r="Q266" s="80"/>
      <c r="R266" s="80"/>
      <c r="S266" s="80"/>
    </row>
    <row r="267" spans="17:19" x14ac:dyDescent="0.35">
      <c r="Q267" s="80"/>
      <c r="R267" s="80"/>
      <c r="S267" s="80"/>
    </row>
    <row r="268" spans="17:19" x14ac:dyDescent="0.35">
      <c r="Q268" s="80"/>
      <c r="R268" s="80"/>
      <c r="S268" s="80"/>
    </row>
    <row r="269" spans="17:19" x14ac:dyDescent="0.35">
      <c r="Q269" s="80"/>
      <c r="R269" s="80"/>
      <c r="S269" s="80"/>
    </row>
    <row r="270" spans="17:19" x14ac:dyDescent="0.35">
      <c r="Q270" s="80"/>
      <c r="R270" s="80"/>
      <c r="S270" s="80"/>
    </row>
    <row r="271" spans="17:19" x14ac:dyDescent="0.35">
      <c r="Q271" s="80"/>
      <c r="R271" s="80"/>
      <c r="S271" s="80"/>
    </row>
    <row r="272" spans="17:19" x14ac:dyDescent="0.35">
      <c r="Q272" s="80"/>
      <c r="R272" s="80"/>
      <c r="S272" s="80"/>
    </row>
    <row r="273" spans="3:19" x14ac:dyDescent="0.35">
      <c r="Q273" s="80"/>
      <c r="R273" s="80"/>
      <c r="S273" s="80"/>
    </row>
    <row r="274" spans="3:19" x14ac:dyDescent="0.35">
      <c r="Q274" s="80"/>
      <c r="R274" s="80"/>
      <c r="S274" s="80"/>
    </row>
    <row r="275" spans="3:19" x14ac:dyDescent="0.35">
      <c r="Q275" s="80"/>
      <c r="R275" s="80"/>
      <c r="S275" s="80"/>
    </row>
    <row r="276" spans="3:19" x14ac:dyDescent="0.35">
      <c r="Q276" s="80"/>
      <c r="R276" s="80"/>
      <c r="S276" s="80"/>
    </row>
    <row r="277" spans="3:19" x14ac:dyDescent="0.35">
      <c r="Q277" s="80"/>
      <c r="R277" s="80"/>
      <c r="S277" s="80"/>
    </row>
    <row r="278" spans="3:19" x14ac:dyDescent="0.35">
      <c r="Q278" s="80"/>
      <c r="R278" s="80"/>
      <c r="S278" s="80"/>
    </row>
    <row r="279" spans="3:19" x14ac:dyDescent="0.35">
      <c r="Q279" s="80"/>
      <c r="R279" s="80"/>
      <c r="S279" s="80"/>
    </row>
    <row r="280" spans="3:19" x14ac:dyDescent="0.35">
      <c r="Q280" s="80"/>
      <c r="R280" s="80"/>
      <c r="S280" s="80"/>
    </row>
    <row r="281" spans="3:19" x14ac:dyDescent="0.35">
      <c r="Q281" s="80"/>
      <c r="R281" s="80"/>
      <c r="S281" s="80"/>
    </row>
    <row r="282" spans="3:19" x14ac:dyDescent="0.35">
      <c r="Q282" s="80"/>
      <c r="R282" s="80"/>
      <c r="S282" s="80"/>
    </row>
    <row r="283" spans="3:19" x14ac:dyDescent="0.35">
      <c r="Q283" s="80"/>
      <c r="R283" s="80"/>
      <c r="S283" s="80"/>
    </row>
    <row r="284" spans="3:19" x14ac:dyDescent="0.35">
      <c r="Q284" s="80"/>
      <c r="R284" s="80"/>
      <c r="S284" s="80"/>
    </row>
    <row r="285" spans="3:19" x14ac:dyDescent="0.35">
      <c r="Q285" s="80"/>
      <c r="R285" s="80"/>
      <c r="S285" s="80"/>
    </row>
    <row r="286" spans="3:19" x14ac:dyDescent="0.35">
      <c r="Q286" s="80"/>
      <c r="R286" s="80"/>
      <c r="S286" s="80"/>
    </row>
    <row r="287" spans="3:19" x14ac:dyDescent="0.35">
      <c r="Q287" s="80"/>
      <c r="R287" s="80"/>
      <c r="S287" s="80"/>
    </row>
    <row r="288" spans="3:19" x14ac:dyDescent="0.35">
      <c r="C288" s="80"/>
      <c r="D288" s="80"/>
      <c r="E288" s="80"/>
      <c r="F288" s="80"/>
      <c r="G288" s="80"/>
      <c r="H288" s="80"/>
      <c r="I288" s="80"/>
      <c r="J288" s="80"/>
      <c r="K288" s="80"/>
      <c r="L288" s="80"/>
      <c r="M288" s="80"/>
      <c r="N288" s="80"/>
      <c r="O288" s="80"/>
      <c r="Q288" s="80"/>
      <c r="R288" s="80"/>
      <c r="S288" s="80"/>
    </row>
    <row r="289" spans="3:19" x14ac:dyDescent="0.35">
      <c r="C289" s="80"/>
      <c r="D289" s="80"/>
      <c r="E289" s="80"/>
      <c r="F289" s="80"/>
      <c r="G289" s="80"/>
      <c r="H289" s="80"/>
      <c r="I289" s="80"/>
      <c r="J289" s="80"/>
      <c r="K289" s="80"/>
      <c r="L289" s="80"/>
      <c r="M289" s="80"/>
      <c r="N289" s="80"/>
      <c r="O289" s="80"/>
      <c r="P289" s="80"/>
      <c r="Q289" s="80"/>
      <c r="R289" s="80"/>
      <c r="S289" s="80"/>
    </row>
    <row r="290" spans="3:19" x14ac:dyDescent="0.35">
      <c r="C290" s="80"/>
      <c r="D290" s="80"/>
      <c r="E290" s="80"/>
      <c r="F290" s="80"/>
      <c r="G290" s="80"/>
      <c r="H290" s="80"/>
      <c r="I290" s="80"/>
      <c r="J290" s="80"/>
      <c r="K290" s="80"/>
      <c r="L290" s="80"/>
      <c r="M290" s="80"/>
      <c r="N290" s="80"/>
      <c r="O290" s="80"/>
      <c r="P290" s="80"/>
      <c r="Q290" s="80"/>
      <c r="R290" s="80"/>
      <c r="S290" s="80"/>
    </row>
    <row r="291" spans="3:19" x14ac:dyDescent="0.35">
      <c r="C291" s="80"/>
      <c r="D291" s="80"/>
      <c r="E291" s="80"/>
      <c r="F291" s="80"/>
      <c r="G291" s="80"/>
      <c r="H291" s="80"/>
      <c r="I291" s="80"/>
      <c r="J291" s="80"/>
      <c r="K291" s="80"/>
      <c r="L291" s="80"/>
      <c r="M291" s="80"/>
      <c r="N291" s="80"/>
      <c r="O291" s="80"/>
      <c r="P291" s="80"/>
      <c r="Q291" s="80"/>
      <c r="R291" s="80"/>
      <c r="S291" s="80"/>
    </row>
    <row r="292" spans="3:19" x14ac:dyDescent="0.35">
      <c r="C292" s="80"/>
      <c r="D292" s="80"/>
      <c r="E292" s="80"/>
      <c r="F292" s="80"/>
      <c r="G292" s="80"/>
      <c r="H292" s="80"/>
      <c r="I292" s="80"/>
      <c r="J292" s="80"/>
      <c r="K292" s="80"/>
      <c r="L292" s="80"/>
      <c r="M292" s="80"/>
      <c r="N292" s="80"/>
      <c r="O292" s="80"/>
      <c r="P292" s="80"/>
      <c r="Q292" s="80"/>
      <c r="R292" s="80"/>
      <c r="S292" s="80"/>
    </row>
    <row r="293" spans="3:19" x14ac:dyDescent="0.35">
      <c r="C293" s="80"/>
      <c r="D293" s="80"/>
      <c r="E293" s="80"/>
      <c r="F293" s="80"/>
      <c r="G293" s="80"/>
      <c r="H293" s="80"/>
      <c r="I293" s="80"/>
      <c r="J293" s="80"/>
      <c r="K293" s="80"/>
      <c r="L293" s="80"/>
      <c r="M293" s="80"/>
      <c r="N293" s="80"/>
      <c r="O293" s="80"/>
      <c r="P293" s="80"/>
      <c r="Q293" s="80"/>
      <c r="R293" s="80"/>
      <c r="S293" s="80"/>
    </row>
    <row r="294" spans="3:19" x14ac:dyDescent="0.35">
      <c r="C294" s="80"/>
      <c r="D294" s="80"/>
      <c r="E294" s="80"/>
      <c r="F294" s="80"/>
      <c r="G294" s="80"/>
      <c r="H294" s="80"/>
      <c r="I294" s="80"/>
      <c r="J294" s="80"/>
      <c r="K294" s="80"/>
      <c r="L294" s="80"/>
      <c r="M294" s="80"/>
      <c r="N294" s="80"/>
      <c r="O294" s="80"/>
      <c r="P294" s="80"/>
      <c r="Q294" s="80"/>
      <c r="R294" s="80"/>
      <c r="S294" s="80"/>
    </row>
    <row r="295" spans="3:19" x14ac:dyDescent="0.35">
      <c r="C295" s="80"/>
      <c r="D295" s="80"/>
      <c r="E295" s="80"/>
      <c r="F295" s="80"/>
      <c r="G295" s="80"/>
      <c r="H295" s="80"/>
      <c r="I295" s="80"/>
      <c r="J295" s="80"/>
      <c r="K295" s="80"/>
      <c r="L295" s="80"/>
      <c r="M295" s="80"/>
      <c r="N295" s="80"/>
      <c r="O295" s="80"/>
      <c r="P295" s="80"/>
      <c r="Q295" s="80"/>
      <c r="R295" s="80"/>
      <c r="S295" s="80"/>
    </row>
    <row r="296" spans="3:19" x14ac:dyDescent="0.35">
      <c r="C296" s="80"/>
      <c r="D296" s="80"/>
      <c r="E296" s="80"/>
      <c r="F296" s="80"/>
      <c r="G296" s="80"/>
      <c r="H296" s="80"/>
      <c r="I296" s="80"/>
      <c r="J296" s="80"/>
      <c r="K296" s="80"/>
      <c r="L296" s="80"/>
      <c r="M296" s="80"/>
      <c r="N296" s="80"/>
      <c r="O296" s="80"/>
      <c r="P296" s="80"/>
      <c r="Q296" s="80"/>
      <c r="R296" s="80"/>
      <c r="S296" s="80"/>
    </row>
    <row r="297" spans="3:19" x14ac:dyDescent="0.35">
      <c r="C297" s="80"/>
      <c r="D297" s="80"/>
      <c r="E297" s="80"/>
      <c r="F297" s="80"/>
      <c r="G297" s="80"/>
      <c r="H297" s="80"/>
      <c r="I297" s="80"/>
      <c r="J297" s="80"/>
      <c r="K297" s="80"/>
      <c r="L297" s="80"/>
      <c r="M297" s="80"/>
      <c r="N297" s="80"/>
      <c r="O297" s="80"/>
      <c r="P297" s="80"/>
      <c r="Q297" s="80"/>
      <c r="R297" s="80"/>
      <c r="S297" s="80"/>
    </row>
    <row r="298" spans="3:19" x14ac:dyDescent="0.35">
      <c r="C298" s="80"/>
      <c r="D298" s="80"/>
      <c r="E298" s="80"/>
      <c r="F298" s="80"/>
      <c r="G298" s="80"/>
      <c r="H298" s="80"/>
      <c r="I298" s="80"/>
      <c r="J298" s="80"/>
      <c r="K298" s="80"/>
      <c r="L298" s="80"/>
      <c r="M298" s="80"/>
      <c r="N298" s="80"/>
      <c r="O298" s="80"/>
      <c r="P298" s="80"/>
      <c r="Q298" s="80"/>
      <c r="R298" s="80"/>
      <c r="S298" s="80"/>
    </row>
    <row r="299" spans="3:19" x14ac:dyDescent="0.35">
      <c r="C299" s="80"/>
      <c r="D299" s="80"/>
      <c r="E299" s="80"/>
      <c r="F299" s="80"/>
      <c r="G299" s="80"/>
      <c r="H299" s="80"/>
      <c r="I299" s="80"/>
      <c r="J299" s="80"/>
      <c r="K299" s="80"/>
      <c r="L299" s="80"/>
      <c r="M299" s="80"/>
      <c r="N299" s="80"/>
      <c r="O299" s="80"/>
      <c r="P299" s="80"/>
      <c r="Q299" s="80"/>
      <c r="R299" s="80"/>
      <c r="S299" s="80"/>
    </row>
    <row r="300" spans="3:19" x14ac:dyDescent="0.35">
      <c r="C300" s="80"/>
      <c r="D300" s="80"/>
      <c r="E300" s="80"/>
      <c r="F300" s="80"/>
      <c r="G300" s="80"/>
      <c r="H300" s="80"/>
      <c r="I300" s="80"/>
      <c r="J300" s="80"/>
      <c r="K300" s="80"/>
      <c r="L300" s="80"/>
      <c r="M300" s="80"/>
      <c r="N300" s="80"/>
      <c r="O300" s="80"/>
      <c r="P300" s="80"/>
      <c r="Q300" s="80"/>
      <c r="R300" s="80"/>
      <c r="S300" s="80"/>
    </row>
    <row r="301" spans="3:19" x14ac:dyDescent="0.35">
      <c r="C301" s="80"/>
      <c r="D301" s="80"/>
      <c r="E301" s="80"/>
      <c r="F301" s="80"/>
      <c r="G301" s="80"/>
      <c r="H301" s="80"/>
      <c r="I301" s="80"/>
      <c r="J301" s="80"/>
      <c r="K301" s="80"/>
      <c r="L301" s="80"/>
      <c r="M301" s="80"/>
      <c r="N301" s="80"/>
      <c r="O301" s="80"/>
      <c r="P301" s="80"/>
      <c r="Q301" s="80"/>
      <c r="R301" s="80"/>
      <c r="S301" s="80"/>
    </row>
    <row r="302" spans="3:19" x14ac:dyDescent="0.35">
      <c r="C302" s="80"/>
      <c r="D302" s="80"/>
      <c r="E302" s="80"/>
      <c r="F302" s="80"/>
      <c r="G302" s="80"/>
      <c r="H302" s="80"/>
      <c r="I302" s="80"/>
      <c r="J302" s="80"/>
      <c r="K302" s="80"/>
      <c r="L302" s="80"/>
      <c r="M302" s="80"/>
      <c r="N302" s="80"/>
      <c r="O302" s="80"/>
      <c r="P302" s="80"/>
      <c r="Q302" s="80"/>
      <c r="R302" s="80"/>
      <c r="S302" s="80"/>
    </row>
    <row r="303" spans="3:19" x14ac:dyDescent="0.35">
      <c r="C303" s="80"/>
      <c r="D303" s="80"/>
      <c r="E303" s="80"/>
      <c r="F303" s="80"/>
      <c r="G303" s="80"/>
      <c r="H303" s="80"/>
      <c r="I303" s="80"/>
      <c r="J303" s="80"/>
      <c r="K303" s="80"/>
      <c r="L303" s="80"/>
      <c r="M303" s="80"/>
      <c r="N303" s="80"/>
      <c r="O303" s="80"/>
      <c r="P303" s="80"/>
      <c r="Q303" s="80"/>
      <c r="R303" s="80"/>
      <c r="S303" s="80"/>
    </row>
    <row r="304" spans="3:19" x14ac:dyDescent="0.35">
      <c r="C304" s="80"/>
      <c r="D304" s="80"/>
      <c r="E304" s="80"/>
      <c r="F304" s="80"/>
      <c r="G304" s="80"/>
      <c r="H304" s="80"/>
      <c r="I304" s="80"/>
      <c r="J304" s="80"/>
      <c r="K304" s="80"/>
      <c r="L304" s="80"/>
      <c r="M304" s="80"/>
      <c r="N304" s="80"/>
      <c r="O304" s="80"/>
      <c r="P304" s="80"/>
      <c r="Q304" s="80"/>
      <c r="R304" s="80"/>
      <c r="S304" s="80"/>
    </row>
    <row r="305" spans="3:19" x14ac:dyDescent="0.35">
      <c r="C305" s="80"/>
      <c r="D305" s="80"/>
      <c r="E305" s="80"/>
      <c r="F305" s="80"/>
      <c r="G305" s="80"/>
      <c r="H305" s="80"/>
      <c r="I305" s="80"/>
      <c r="J305" s="80"/>
      <c r="K305" s="80"/>
      <c r="L305" s="80"/>
      <c r="M305" s="80"/>
      <c r="N305" s="80"/>
      <c r="O305" s="80"/>
      <c r="P305" s="80"/>
      <c r="Q305" s="80"/>
      <c r="R305" s="80"/>
      <c r="S305" s="80"/>
    </row>
    <row r="306" spans="3:19" x14ac:dyDescent="0.35">
      <c r="C306" s="80"/>
      <c r="D306" s="80"/>
      <c r="E306" s="80"/>
      <c r="F306" s="80"/>
      <c r="G306" s="80"/>
      <c r="H306" s="80"/>
      <c r="I306" s="80"/>
      <c r="J306" s="80"/>
      <c r="K306" s="80"/>
      <c r="L306" s="80"/>
      <c r="M306" s="80"/>
      <c r="N306" s="80"/>
      <c r="O306" s="80"/>
      <c r="P306" s="80"/>
      <c r="Q306" s="80"/>
      <c r="R306" s="80"/>
      <c r="S306" s="80"/>
    </row>
    <row r="307" spans="3:19" x14ac:dyDescent="0.35">
      <c r="C307" s="80"/>
      <c r="D307" s="80"/>
      <c r="E307" s="80"/>
      <c r="F307" s="80"/>
      <c r="G307" s="80"/>
      <c r="H307" s="80"/>
      <c r="I307" s="80"/>
      <c r="J307" s="80"/>
      <c r="K307" s="80"/>
      <c r="L307" s="80"/>
      <c r="M307" s="80"/>
      <c r="N307" s="80"/>
      <c r="O307" s="80"/>
      <c r="P307" s="80"/>
      <c r="Q307" s="80"/>
      <c r="R307" s="80"/>
      <c r="S307" s="80"/>
    </row>
    <row r="308" spans="3:19" x14ac:dyDescent="0.35">
      <c r="C308" s="80"/>
      <c r="D308" s="80"/>
      <c r="E308" s="80"/>
      <c r="F308" s="80"/>
      <c r="G308" s="80"/>
      <c r="H308" s="80"/>
      <c r="I308" s="80"/>
      <c r="J308" s="80"/>
      <c r="K308" s="80"/>
      <c r="L308" s="80"/>
      <c r="M308" s="80"/>
      <c r="N308" s="80"/>
      <c r="O308" s="80"/>
      <c r="P308" s="80"/>
      <c r="Q308" s="80"/>
      <c r="R308" s="80"/>
      <c r="S308" s="80"/>
    </row>
    <row r="309" spans="3:19" x14ac:dyDescent="0.35">
      <c r="C309" s="80"/>
      <c r="D309" s="80"/>
      <c r="E309" s="80"/>
      <c r="F309" s="80"/>
      <c r="G309" s="80"/>
      <c r="H309" s="80"/>
      <c r="I309" s="80"/>
      <c r="J309" s="80"/>
      <c r="K309" s="80"/>
      <c r="L309" s="80"/>
      <c r="M309" s="80"/>
      <c r="N309" s="80"/>
      <c r="O309" s="80"/>
      <c r="P309" s="80"/>
      <c r="Q309" s="80"/>
      <c r="R309" s="80"/>
      <c r="S309" s="80"/>
    </row>
    <row r="310" spans="3:19" x14ac:dyDescent="0.35">
      <c r="C310" s="80"/>
      <c r="D310" s="80"/>
      <c r="E310" s="80"/>
      <c r="F310" s="80"/>
      <c r="G310" s="80"/>
      <c r="H310" s="80"/>
      <c r="I310" s="80"/>
      <c r="J310" s="80"/>
      <c r="K310" s="80"/>
      <c r="L310" s="80"/>
      <c r="M310" s="80"/>
      <c r="N310" s="80"/>
      <c r="O310" s="80"/>
      <c r="P310" s="80"/>
      <c r="Q310" s="80"/>
      <c r="R310" s="80"/>
      <c r="S310" s="80"/>
    </row>
    <row r="311" spans="3:19" x14ac:dyDescent="0.35">
      <c r="C311" s="80"/>
      <c r="D311" s="80"/>
      <c r="E311" s="80"/>
      <c r="F311" s="80"/>
      <c r="G311" s="80"/>
      <c r="H311" s="80"/>
      <c r="I311" s="80"/>
      <c r="J311" s="80"/>
      <c r="K311" s="80"/>
      <c r="L311" s="80"/>
      <c r="M311" s="80"/>
      <c r="N311" s="80"/>
      <c r="O311" s="80"/>
      <c r="P311" s="80"/>
      <c r="Q311" s="80"/>
      <c r="R311" s="80"/>
      <c r="S311" s="80"/>
    </row>
    <row r="312" spans="3:19" x14ac:dyDescent="0.35">
      <c r="C312" s="80"/>
      <c r="D312" s="80"/>
      <c r="E312" s="80"/>
      <c r="F312" s="80"/>
      <c r="G312" s="80"/>
      <c r="H312" s="80"/>
      <c r="I312" s="80"/>
      <c r="J312" s="80"/>
      <c r="K312" s="80"/>
      <c r="L312" s="80"/>
      <c r="M312" s="80"/>
      <c r="N312" s="80"/>
      <c r="O312" s="80"/>
      <c r="P312" s="80"/>
      <c r="Q312" s="80"/>
      <c r="R312" s="80"/>
      <c r="S312" s="80"/>
    </row>
    <row r="313" spans="3:19" x14ac:dyDescent="0.35">
      <c r="C313" s="80"/>
      <c r="D313" s="80"/>
      <c r="E313" s="80"/>
      <c r="F313" s="80"/>
      <c r="G313" s="80"/>
      <c r="H313" s="80"/>
      <c r="I313" s="80"/>
      <c r="J313" s="80"/>
      <c r="K313" s="80"/>
      <c r="L313" s="80"/>
      <c r="M313" s="80"/>
      <c r="N313" s="80"/>
      <c r="O313" s="80"/>
      <c r="P313" s="80"/>
      <c r="Q313" s="80"/>
      <c r="R313" s="80"/>
      <c r="S313" s="80"/>
    </row>
    <row r="314" spans="3:19" x14ac:dyDescent="0.35">
      <c r="C314" s="80"/>
      <c r="D314" s="80"/>
      <c r="E314" s="80"/>
      <c r="F314" s="80"/>
      <c r="G314" s="80"/>
      <c r="H314" s="80"/>
      <c r="I314" s="80"/>
      <c r="J314" s="80"/>
      <c r="K314" s="80"/>
      <c r="L314" s="80"/>
      <c r="M314" s="80"/>
      <c r="N314" s="80"/>
      <c r="O314" s="80"/>
      <c r="P314" s="80"/>
      <c r="Q314" s="80"/>
      <c r="R314" s="80"/>
      <c r="S314" s="80"/>
    </row>
    <row r="315" spans="3:19" x14ac:dyDescent="0.35">
      <c r="C315" s="80"/>
      <c r="D315" s="80"/>
      <c r="E315" s="80"/>
      <c r="F315" s="80"/>
      <c r="G315" s="80"/>
      <c r="H315" s="80"/>
      <c r="I315" s="80"/>
      <c r="J315" s="80"/>
      <c r="K315" s="80"/>
      <c r="L315" s="80"/>
      <c r="M315" s="80"/>
      <c r="N315" s="80"/>
      <c r="O315" s="80"/>
      <c r="P315" s="80"/>
      <c r="Q315" s="80"/>
      <c r="R315" s="80"/>
      <c r="S315" s="80"/>
    </row>
    <row r="316" spans="3:19" x14ac:dyDescent="0.35">
      <c r="C316" s="80"/>
      <c r="D316" s="80"/>
      <c r="E316" s="80"/>
      <c r="F316" s="80"/>
      <c r="G316" s="80"/>
      <c r="H316" s="80"/>
      <c r="I316" s="80"/>
      <c r="J316" s="80"/>
      <c r="K316" s="80"/>
      <c r="L316" s="80"/>
      <c r="M316" s="80"/>
      <c r="N316" s="80"/>
      <c r="O316" s="80"/>
      <c r="P316" s="80"/>
      <c r="Q316" s="80"/>
      <c r="R316" s="80"/>
      <c r="S316" s="80"/>
    </row>
    <row r="317" spans="3:19" x14ac:dyDescent="0.35">
      <c r="C317" s="80"/>
      <c r="D317" s="80"/>
      <c r="E317" s="80"/>
      <c r="F317" s="80"/>
      <c r="G317" s="80"/>
      <c r="H317" s="80"/>
      <c r="I317" s="80"/>
      <c r="J317" s="80"/>
      <c r="K317" s="80"/>
      <c r="L317" s="80"/>
      <c r="M317" s="80"/>
      <c r="N317" s="80"/>
      <c r="O317" s="80"/>
      <c r="P317" s="80"/>
      <c r="Q317" s="80"/>
      <c r="R317" s="80"/>
      <c r="S317" s="80"/>
    </row>
    <row r="318" spans="3:19" x14ac:dyDescent="0.35">
      <c r="C318" s="80"/>
      <c r="D318" s="80"/>
      <c r="E318" s="80"/>
      <c r="F318" s="80"/>
      <c r="G318" s="80"/>
      <c r="H318" s="80"/>
      <c r="I318" s="80"/>
      <c r="J318" s="80"/>
      <c r="K318" s="80"/>
      <c r="L318" s="80"/>
      <c r="M318" s="80"/>
      <c r="N318" s="80"/>
      <c r="O318" s="80"/>
      <c r="P318" s="80"/>
      <c r="Q318" s="80"/>
      <c r="R318" s="80"/>
      <c r="S318" s="80"/>
    </row>
    <row r="319" spans="3:19" x14ac:dyDescent="0.35">
      <c r="C319" s="80"/>
      <c r="D319" s="80"/>
      <c r="E319" s="80"/>
      <c r="F319" s="80"/>
      <c r="G319" s="80"/>
      <c r="H319" s="80"/>
      <c r="I319" s="80"/>
      <c r="J319" s="80"/>
      <c r="K319" s="80"/>
      <c r="L319" s="80"/>
      <c r="M319" s="80"/>
      <c r="N319" s="80"/>
      <c r="O319" s="80"/>
      <c r="P319" s="80"/>
      <c r="Q319" s="80"/>
      <c r="R319" s="80"/>
      <c r="S319" s="80"/>
    </row>
    <row r="320" spans="3:19" x14ac:dyDescent="0.35">
      <c r="C320" s="80"/>
      <c r="D320" s="80"/>
      <c r="E320" s="80"/>
      <c r="F320" s="80"/>
      <c r="G320" s="80"/>
      <c r="H320" s="80"/>
      <c r="I320" s="80"/>
      <c r="J320" s="80"/>
      <c r="K320" s="80"/>
      <c r="L320" s="80"/>
      <c r="M320" s="80"/>
      <c r="N320" s="80"/>
      <c r="O320" s="80"/>
      <c r="P320" s="80"/>
      <c r="Q320" s="80"/>
      <c r="R320" s="80"/>
      <c r="S320" s="80"/>
    </row>
    <row r="321" spans="3:19" x14ac:dyDescent="0.35">
      <c r="C321" s="80"/>
      <c r="D321" s="80"/>
      <c r="E321" s="80"/>
      <c r="F321" s="80"/>
      <c r="G321" s="80"/>
      <c r="H321" s="80"/>
      <c r="I321" s="80"/>
      <c r="J321" s="80"/>
      <c r="K321" s="80"/>
      <c r="L321" s="80"/>
      <c r="M321" s="80"/>
      <c r="N321" s="80"/>
      <c r="O321" s="80"/>
      <c r="P321" s="80"/>
      <c r="Q321" s="80"/>
      <c r="R321" s="80"/>
      <c r="S321" s="80"/>
    </row>
    <row r="322" spans="3:19" x14ac:dyDescent="0.35">
      <c r="C322" s="80"/>
      <c r="D322" s="80"/>
      <c r="E322" s="80"/>
      <c r="F322" s="80"/>
      <c r="G322" s="80"/>
      <c r="H322" s="80"/>
      <c r="I322" s="80"/>
      <c r="J322" s="80"/>
      <c r="K322" s="80"/>
      <c r="L322" s="80"/>
      <c r="M322" s="80"/>
      <c r="N322" s="80"/>
      <c r="O322" s="80"/>
      <c r="P322" s="80"/>
      <c r="Q322" s="80"/>
      <c r="R322" s="80"/>
      <c r="S322" s="80"/>
    </row>
    <row r="323" spans="3:19" x14ac:dyDescent="0.35">
      <c r="C323" s="80"/>
      <c r="D323" s="80"/>
      <c r="E323" s="80"/>
      <c r="F323" s="80"/>
      <c r="G323" s="80"/>
      <c r="H323" s="80"/>
      <c r="I323" s="80"/>
      <c r="J323" s="80"/>
      <c r="K323" s="80"/>
      <c r="L323" s="80"/>
      <c r="M323" s="80"/>
      <c r="N323" s="80"/>
      <c r="O323" s="80"/>
      <c r="P323" s="80"/>
      <c r="Q323" s="80"/>
      <c r="R323" s="80"/>
      <c r="S323" s="80"/>
    </row>
    <row r="324" spans="3:19" x14ac:dyDescent="0.35">
      <c r="C324" s="80"/>
      <c r="D324" s="80"/>
      <c r="E324" s="80"/>
      <c r="F324" s="80"/>
      <c r="G324" s="80"/>
      <c r="H324" s="80"/>
      <c r="I324" s="80"/>
      <c r="J324" s="80"/>
      <c r="K324" s="80"/>
      <c r="L324" s="80"/>
      <c r="M324" s="80"/>
      <c r="N324" s="80"/>
      <c r="O324" s="80"/>
      <c r="P324" s="80"/>
      <c r="Q324" s="80"/>
      <c r="R324" s="80"/>
      <c r="S324" s="80"/>
    </row>
    <row r="325" spans="3:19" x14ac:dyDescent="0.35">
      <c r="C325" s="80"/>
      <c r="D325" s="80"/>
      <c r="E325" s="80"/>
      <c r="F325" s="80"/>
      <c r="G325" s="80"/>
      <c r="H325" s="80"/>
      <c r="I325" s="80"/>
      <c r="J325" s="80"/>
      <c r="K325" s="80"/>
      <c r="L325" s="80"/>
      <c r="M325" s="80"/>
      <c r="N325" s="80"/>
      <c r="O325" s="80"/>
      <c r="P325" s="80"/>
      <c r="Q325" s="80"/>
      <c r="R325" s="80"/>
      <c r="S325" s="80"/>
    </row>
    <row r="326" spans="3:19" x14ac:dyDescent="0.35">
      <c r="C326" s="80"/>
      <c r="D326" s="80"/>
      <c r="E326" s="80"/>
      <c r="F326" s="80"/>
      <c r="G326" s="80"/>
      <c r="H326" s="80"/>
      <c r="I326" s="80"/>
      <c r="J326" s="80"/>
      <c r="K326" s="80"/>
      <c r="L326" s="80"/>
      <c r="M326" s="80"/>
      <c r="N326" s="80"/>
      <c r="O326" s="80"/>
      <c r="P326" s="80"/>
      <c r="Q326" s="80"/>
      <c r="R326" s="80"/>
      <c r="S326" s="80"/>
    </row>
    <row r="327" spans="3:19" x14ac:dyDescent="0.35">
      <c r="C327" s="80"/>
      <c r="D327" s="80"/>
      <c r="E327" s="80"/>
      <c r="F327" s="80"/>
      <c r="G327" s="80"/>
      <c r="H327" s="80"/>
      <c r="I327" s="80"/>
      <c r="J327" s="80"/>
      <c r="K327" s="80"/>
      <c r="L327" s="80"/>
      <c r="M327" s="80"/>
      <c r="N327" s="80"/>
      <c r="O327" s="80"/>
      <c r="P327" s="80"/>
      <c r="Q327" s="80"/>
      <c r="R327" s="80"/>
      <c r="S327" s="80"/>
    </row>
    <row r="328" spans="3:19" x14ac:dyDescent="0.35">
      <c r="C328" s="80"/>
      <c r="D328" s="80"/>
      <c r="E328" s="80"/>
      <c r="F328" s="80"/>
      <c r="G328" s="80"/>
      <c r="H328" s="80"/>
      <c r="I328" s="80"/>
      <c r="J328" s="80"/>
      <c r="K328" s="80"/>
      <c r="L328" s="80"/>
      <c r="M328" s="80"/>
      <c r="N328" s="80"/>
      <c r="O328" s="80"/>
      <c r="P328" s="80"/>
      <c r="Q328" s="80"/>
      <c r="R328" s="80"/>
      <c r="S328" s="80"/>
    </row>
    <row r="329" spans="3:19" x14ac:dyDescent="0.35">
      <c r="C329" s="80"/>
      <c r="D329" s="80"/>
      <c r="E329" s="80"/>
      <c r="F329" s="80"/>
      <c r="G329" s="80"/>
      <c r="H329" s="80"/>
      <c r="I329" s="80"/>
      <c r="J329" s="80"/>
      <c r="K329" s="80"/>
      <c r="L329" s="80"/>
      <c r="M329" s="80"/>
      <c r="N329" s="80"/>
      <c r="O329" s="80"/>
      <c r="P329" s="80"/>
      <c r="Q329" s="80"/>
      <c r="R329" s="80"/>
      <c r="S329" s="80"/>
    </row>
    <row r="330" spans="3:19" x14ac:dyDescent="0.35">
      <c r="C330" s="80"/>
      <c r="D330" s="80"/>
      <c r="E330" s="80"/>
      <c r="F330" s="80"/>
      <c r="G330" s="80"/>
      <c r="H330" s="80"/>
      <c r="I330" s="80"/>
      <c r="J330" s="80"/>
      <c r="K330" s="80"/>
      <c r="L330" s="80"/>
      <c r="M330" s="80"/>
      <c r="N330" s="80"/>
      <c r="O330" s="80"/>
      <c r="P330" s="80"/>
      <c r="Q330" s="80"/>
      <c r="R330" s="80"/>
      <c r="S330" s="80"/>
    </row>
    <row r="331" spans="3:19" x14ac:dyDescent="0.35">
      <c r="C331" s="80"/>
      <c r="D331" s="80"/>
      <c r="E331" s="80"/>
      <c r="F331" s="80"/>
      <c r="G331" s="80"/>
      <c r="H331" s="80"/>
      <c r="I331" s="80"/>
      <c r="J331" s="80"/>
      <c r="K331" s="80"/>
      <c r="L331" s="80"/>
      <c r="M331" s="80"/>
      <c r="N331" s="80"/>
      <c r="O331" s="80"/>
      <c r="P331" s="80"/>
      <c r="Q331" s="80"/>
      <c r="R331" s="80"/>
      <c r="S331" s="80"/>
    </row>
    <row r="332" spans="3:19" x14ac:dyDescent="0.35">
      <c r="C332" s="80"/>
      <c r="D332" s="80"/>
      <c r="E332" s="80"/>
      <c r="F332" s="80"/>
      <c r="G332" s="80"/>
      <c r="H332" s="80"/>
      <c r="I332" s="80"/>
      <c r="J332" s="80"/>
      <c r="K332" s="80"/>
      <c r="L332" s="80"/>
      <c r="M332" s="80"/>
      <c r="N332" s="80"/>
      <c r="O332" s="80"/>
      <c r="P332" s="80"/>
      <c r="Q332" s="80"/>
      <c r="R332" s="80"/>
      <c r="S332" s="80"/>
    </row>
    <row r="333" spans="3:19" x14ac:dyDescent="0.35">
      <c r="C333" s="80"/>
      <c r="D333" s="80"/>
      <c r="E333" s="80"/>
      <c r="F333" s="80"/>
      <c r="G333" s="80"/>
      <c r="H333" s="80"/>
      <c r="I333" s="80"/>
      <c r="J333" s="80"/>
      <c r="K333" s="80"/>
      <c r="L333" s="80"/>
      <c r="M333" s="80"/>
      <c r="N333" s="80"/>
      <c r="O333" s="80"/>
      <c r="P333" s="80"/>
      <c r="Q333" s="80"/>
      <c r="R333" s="80"/>
      <c r="S333" s="80"/>
    </row>
    <row r="334" spans="3:19" x14ac:dyDescent="0.35">
      <c r="C334" s="80"/>
      <c r="D334" s="80"/>
      <c r="E334" s="80"/>
      <c r="F334" s="80"/>
      <c r="G334" s="80"/>
      <c r="H334" s="80"/>
      <c r="I334" s="80"/>
      <c r="J334" s="80"/>
      <c r="K334" s="80"/>
      <c r="L334" s="80"/>
      <c r="M334" s="80"/>
      <c r="N334" s="80"/>
      <c r="O334" s="80"/>
      <c r="P334" s="80"/>
      <c r="Q334" s="80"/>
      <c r="R334" s="80"/>
      <c r="S334" s="80"/>
    </row>
    <row r="335" spans="3:19" x14ac:dyDescent="0.35">
      <c r="C335" s="80"/>
      <c r="D335" s="80"/>
      <c r="E335" s="80"/>
      <c r="F335" s="80"/>
      <c r="G335" s="80"/>
      <c r="H335" s="80"/>
      <c r="I335" s="80"/>
      <c r="J335" s="80"/>
      <c r="K335" s="80"/>
      <c r="L335" s="80"/>
      <c r="M335" s="80"/>
      <c r="N335" s="80"/>
      <c r="O335" s="80"/>
      <c r="P335" s="80"/>
      <c r="Q335" s="80"/>
      <c r="R335" s="80"/>
      <c r="S335" s="80"/>
    </row>
    <row r="336" spans="3:19" x14ac:dyDescent="0.35">
      <c r="C336" s="80"/>
      <c r="D336" s="80"/>
      <c r="E336" s="80"/>
      <c r="F336" s="80"/>
      <c r="G336" s="80"/>
      <c r="H336" s="80"/>
      <c r="I336" s="80"/>
      <c r="J336" s="80"/>
      <c r="K336" s="80"/>
      <c r="L336" s="80"/>
      <c r="M336" s="80"/>
      <c r="N336" s="80"/>
      <c r="O336" s="80"/>
      <c r="P336" s="80"/>
      <c r="Q336" s="80"/>
      <c r="R336" s="80"/>
      <c r="S336" s="80"/>
    </row>
    <row r="337" spans="3:19" x14ac:dyDescent="0.35">
      <c r="C337" s="80"/>
      <c r="D337" s="80"/>
      <c r="E337" s="80"/>
      <c r="F337" s="80"/>
      <c r="G337" s="80"/>
      <c r="H337" s="80"/>
      <c r="I337" s="80"/>
      <c r="J337" s="80"/>
      <c r="K337" s="80"/>
      <c r="L337" s="80"/>
      <c r="M337" s="80"/>
      <c r="N337" s="80"/>
      <c r="O337" s="80"/>
      <c r="P337" s="80"/>
      <c r="Q337" s="80"/>
      <c r="R337" s="80"/>
      <c r="S337" s="80"/>
    </row>
    <row r="338" spans="3:19" x14ac:dyDescent="0.35">
      <c r="C338" s="80"/>
      <c r="D338" s="80"/>
      <c r="E338" s="80"/>
      <c r="F338" s="80"/>
      <c r="G338" s="80"/>
      <c r="H338" s="80"/>
      <c r="I338" s="80"/>
      <c r="J338" s="80"/>
      <c r="K338" s="80"/>
      <c r="L338" s="80"/>
      <c r="M338" s="80"/>
      <c r="N338" s="80"/>
      <c r="O338" s="80"/>
      <c r="P338" s="80"/>
      <c r="Q338" s="80"/>
      <c r="R338" s="80"/>
      <c r="S338" s="80"/>
    </row>
    <row r="339" spans="3:19" x14ac:dyDescent="0.35">
      <c r="C339" s="80"/>
      <c r="D339" s="80"/>
      <c r="E339" s="80"/>
      <c r="F339" s="80"/>
      <c r="G339" s="80"/>
      <c r="H339" s="80"/>
      <c r="I339" s="80"/>
      <c r="J339" s="80"/>
      <c r="K339" s="80"/>
      <c r="L339" s="80"/>
      <c r="M339" s="80"/>
      <c r="N339" s="80"/>
      <c r="O339" s="80"/>
      <c r="P339" s="80"/>
      <c r="Q339" s="80"/>
      <c r="R339" s="80"/>
      <c r="S339" s="80"/>
    </row>
    <row r="340" spans="3:19" x14ac:dyDescent="0.35">
      <c r="C340" s="80"/>
      <c r="D340" s="80"/>
      <c r="E340" s="80"/>
      <c r="F340" s="80"/>
      <c r="G340" s="80"/>
      <c r="H340" s="80"/>
      <c r="I340" s="80"/>
      <c r="J340" s="80"/>
      <c r="K340" s="80"/>
      <c r="L340" s="80"/>
      <c r="M340" s="80"/>
      <c r="N340" s="80"/>
      <c r="O340" s="80"/>
      <c r="P340" s="80"/>
      <c r="Q340" s="80"/>
      <c r="R340" s="80"/>
      <c r="S340" s="80"/>
    </row>
    <row r="341" spans="3:19" x14ac:dyDescent="0.35">
      <c r="C341" s="80"/>
      <c r="D341" s="80"/>
      <c r="E341" s="80"/>
      <c r="F341" s="80"/>
      <c r="G341" s="80"/>
      <c r="H341" s="80"/>
      <c r="I341" s="80"/>
      <c r="J341" s="80"/>
      <c r="K341" s="80"/>
      <c r="L341" s="80"/>
      <c r="M341" s="80"/>
      <c r="N341" s="80"/>
      <c r="O341" s="80"/>
      <c r="P341" s="80"/>
      <c r="Q341" s="80"/>
      <c r="R341" s="80"/>
      <c r="S341" s="80"/>
    </row>
    <row r="342" spans="3:19" x14ac:dyDescent="0.35">
      <c r="C342" s="80"/>
      <c r="D342" s="80"/>
      <c r="E342" s="80"/>
      <c r="F342" s="80"/>
      <c r="G342" s="80"/>
      <c r="H342" s="80"/>
      <c r="I342" s="80"/>
      <c r="J342" s="80"/>
      <c r="K342" s="80"/>
      <c r="L342" s="80"/>
      <c r="M342" s="80"/>
      <c r="N342" s="80"/>
      <c r="O342" s="80"/>
      <c r="P342" s="80"/>
      <c r="Q342" s="80"/>
      <c r="R342" s="80"/>
      <c r="S342" s="80"/>
    </row>
    <row r="343" spans="3:19" x14ac:dyDescent="0.35">
      <c r="C343" s="80"/>
      <c r="D343" s="80"/>
      <c r="E343" s="80"/>
      <c r="F343" s="80"/>
      <c r="G343" s="80"/>
      <c r="H343" s="80"/>
      <c r="I343" s="80"/>
      <c r="J343" s="80"/>
      <c r="K343" s="80"/>
      <c r="L343" s="80"/>
      <c r="M343" s="80"/>
      <c r="N343" s="80"/>
      <c r="O343" s="80"/>
      <c r="P343" s="80"/>
      <c r="Q343" s="80"/>
      <c r="R343" s="80"/>
      <c r="S343" s="80"/>
    </row>
    <row r="344" spans="3:19" x14ac:dyDescent="0.35">
      <c r="P344" s="80"/>
      <c r="Q344" s="80"/>
      <c r="R344" s="80"/>
      <c r="S344" s="80"/>
    </row>
  </sheetData>
  <mergeCells count="5">
    <mergeCell ref="K76:M76"/>
    <mergeCell ref="L77:M77"/>
    <mergeCell ref="C17:D17"/>
    <mergeCell ref="K49:M49"/>
    <mergeCell ref="L52:M52"/>
  </mergeCells>
  <printOptions horizontalCentered="1"/>
  <pageMargins left="0.75" right="0.75" top="0.9" bottom="0.48" header="0.5" footer="0.5"/>
  <pageSetup scale="64" orientation="landscape" r:id="rId1"/>
  <headerFooter alignWithMargins="0"/>
  <rowBreaks count="1" manualBreakCount="1">
    <brk id="42"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FFFF99"/>
    <pageSetUpPr fitToPage="1"/>
  </sheetPr>
  <dimension ref="A1:AQ575"/>
  <sheetViews>
    <sheetView zoomScale="90" zoomScaleNormal="90" workbookViewId="0"/>
  </sheetViews>
  <sheetFormatPr defaultColWidth="9.296875" defaultRowHeight="15.5" x14ac:dyDescent="0.35"/>
  <cols>
    <col min="1" max="1" width="9" style="1" customWidth="1"/>
    <col min="2" max="2" width="2.09765625" style="1" customWidth="1"/>
    <col min="3" max="3" width="75.3984375" style="1" bestFit="1" customWidth="1"/>
    <col min="4" max="4" width="31.09765625" style="1" customWidth="1"/>
    <col min="5" max="5" width="24.09765625" style="1" customWidth="1"/>
    <col min="6" max="6" width="15" style="1" customWidth="1"/>
    <col min="7" max="7" width="20.69921875" style="1" customWidth="1"/>
    <col min="8" max="8" width="18.3984375" style="1" customWidth="1"/>
    <col min="9" max="9" width="8.69921875" style="1" customWidth="1"/>
    <col min="10" max="10" width="23" style="1" customWidth="1"/>
    <col min="11" max="11" width="14.09765625" style="1" bestFit="1" customWidth="1"/>
    <col min="12" max="12" width="11.69921875" style="1" customWidth="1"/>
    <col min="13" max="13" width="2.69921875" style="1" customWidth="1"/>
    <col min="14" max="14" width="41" style="30" customWidth="1"/>
    <col min="15" max="15" width="48.69921875" style="30" customWidth="1"/>
    <col min="16" max="16" width="23.3984375" style="30" customWidth="1"/>
    <col min="17" max="17" width="20.3984375" style="30" customWidth="1"/>
    <col min="18" max="18" width="20.69921875" style="30" customWidth="1"/>
    <col min="19" max="19" width="23.69921875" style="30" bestFit="1" customWidth="1"/>
    <col min="20" max="20" width="22.09765625" style="30" bestFit="1" customWidth="1"/>
    <col min="21" max="21" width="23" style="30" bestFit="1" customWidth="1"/>
    <col min="22" max="22" width="19.69921875" style="30" customWidth="1"/>
    <col min="23" max="23" width="20.296875" style="30" customWidth="1"/>
    <col min="24" max="24" width="23.3984375" style="30" bestFit="1" customWidth="1"/>
    <col min="25" max="25" width="21.69921875" style="30" bestFit="1" customWidth="1"/>
    <col min="26" max="26" width="16.09765625" style="30" customWidth="1"/>
    <col min="27" max="28" width="23.3984375" style="30" bestFit="1" customWidth="1"/>
    <col min="29" max="29" width="21.296875" style="30" bestFit="1" customWidth="1"/>
    <col min="30" max="30" width="23.3984375" style="30" bestFit="1" customWidth="1"/>
    <col min="31" max="31" width="21.296875" style="30" bestFit="1" customWidth="1"/>
    <col min="32" max="32" width="20.69921875" style="30" bestFit="1" customWidth="1"/>
    <col min="33" max="43" width="9.296875" style="30"/>
    <col min="44" max="16384" width="9.296875" style="1"/>
  </cols>
  <sheetData>
    <row r="1" spans="1:32" s="1" customFormat="1" x14ac:dyDescent="0.35">
      <c r="A1" s="167" t="s">
        <v>185</v>
      </c>
      <c r="B1" s="168"/>
      <c r="C1" s="169"/>
      <c r="D1" s="169"/>
      <c r="E1" s="169"/>
      <c r="F1" s="169"/>
      <c r="G1" s="169"/>
      <c r="H1" s="169"/>
      <c r="I1" s="169"/>
      <c r="J1" s="169"/>
      <c r="K1" s="2"/>
      <c r="L1" s="2"/>
      <c r="M1" s="166"/>
      <c r="N1" s="20"/>
      <c r="O1" s="35"/>
      <c r="P1" s="36"/>
      <c r="Q1" s="30"/>
      <c r="R1" s="30"/>
      <c r="S1" s="30"/>
      <c r="T1" s="30"/>
      <c r="U1" s="30"/>
      <c r="V1" s="30"/>
      <c r="W1" s="30"/>
      <c r="X1" s="30"/>
      <c r="Y1" s="30"/>
      <c r="Z1" s="30"/>
      <c r="AA1" s="30"/>
      <c r="AB1" s="30"/>
      <c r="AC1" s="30"/>
      <c r="AD1" s="30"/>
      <c r="AE1" s="30"/>
      <c r="AF1" s="30"/>
    </row>
    <row r="2" spans="1:32" s="1" customFormat="1" x14ac:dyDescent="0.35">
      <c r="A2" s="167" t="s">
        <v>425</v>
      </c>
      <c r="B2" s="168"/>
      <c r="C2" s="169"/>
      <c r="D2" s="169"/>
      <c r="E2" s="169"/>
      <c r="F2" s="169"/>
      <c r="G2" s="169"/>
      <c r="H2" s="169"/>
      <c r="I2" s="169"/>
      <c r="J2" s="169"/>
      <c r="K2" s="2"/>
      <c r="L2" s="2"/>
      <c r="M2" s="166"/>
      <c r="N2" s="20"/>
      <c r="O2" s="20"/>
      <c r="P2" s="37"/>
      <c r="Q2" s="30"/>
      <c r="R2" s="30"/>
      <c r="S2" s="30"/>
      <c r="T2" s="30"/>
      <c r="U2" s="30"/>
      <c r="V2" s="30"/>
      <c r="W2" s="30"/>
      <c r="X2" s="30"/>
      <c r="Y2" s="30"/>
      <c r="Z2" s="30"/>
      <c r="AA2" s="30"/>
      <c r="AB2" s="30"/>
      <c r="AC2" s="30"/>
      <c r="AD2" s="30"/>
      <c r="AE2" s="30"/>
      <c r="AF2" s="30"/>
    </row>
    <row r="3" spans="1:32" s="1" customFormat="1" x14ac:dyDescent="0.35">
      <c r="C3" s="6"/>
      <c r="D3" s="2"/>
      <c r="E3" s="3"/>
      <c r="F3" s="2"/>
      <c r="G3" s="2"/>
      <c r="H3" s="2"/>
      <c r="I3" s="4"/>
      <c r="J3" s="4"/>
      <c r="K3" s="4"/>
      <c r="L3" s="4"/>
      <c r="M3" s="4"/>
      <c r="N3" s="20"/>
      <c r="O3" s="20"/>
      <c r="P3" s="37"/>
      <c r="Q3" s="30"/>
      <c r="R3" s="30"/>
      <c r="S3" s="30"/>
      <c r="T3" s="30"/>
      <c r="U3" s="30"/>
      <c r="V3" s="30"/>
      <c r="W3" s="30"/>
      <c r="X3" s="30"/>
      <c r="Y3" s="30"/>
      <c r="Z3" s="30"/>
      <c r="AA3" s="30"/>
      <c r="AB3" s="30"/>
      <c r="AC3" s="30"/>
      <c r="AD3" s="30"/>
      <c r="AE3" s="30"/>
      <c r="AF3" s="30"/>
    </row>
    <row r="4" spans="1:32" s="1" customFormat="1" x14ac:dyDescent="0.35">
      <c r="A4" s="1" t="s">
        <v>186</v>
      </c>
      <c r="C4" s="2"/>
      <c r="D4" s="2"/>
      <c r="E4" s="7"/>
      <c r="F4" s="2"/>
      <c r="G4" s="2"/>
      <c r="H4" s="2"/>
      <c r="I4" s="4"/>
      <c r="J4" s="158" t="str">
        <f>"For the 12 months ended "&amp;TEXT('OATT Input Data'!B4,"MM/DD/YYYY")</f>
        <v>For the 12 months ended 12/31/2019</v>
      </c>
      <c r="K4" s="4"/>
      <c r="L4" s="4"/>
      <c r="M4" s="4"/>
      <c r="N4" s="20"/>
      <c r="O4" s="20"/>
      <c r="P4" s="20"/>
      <c r="Q4" s="30"/>
      <c r="R4" s="30"/>
      <c r="S4" s="30"/>
      <c r="T4" s="30"/>
      <c r="U4" s="30"/>
      <c r="V4" s="30"/>
      <c r="W4" s="30"/>
      <c r="X4" s="30"/>
      <c r="Y4" s="30"/>
      <c r="Z4" s="30"/>
      <c r="AA4" s="30"/>
      <c r="AB4" s="30"/>
      <c r="AC4" s="30"/>
      <c r="AD4" s="30"/>
      <c r="AE4" s="30"/>
      <c r="AF4" s="30"/>
    </row>
    <row r="5" spans="1:32" s="1" customFormat="1" x14ac:dyDescent="0.35">
      <c r="A5" s="182" t="s">
        <v>187</v>
      </c>
      <c r="C5" s="2"/>
      <c r="F5" s="8"/>
      <c r="G5" s="8"/>
      <c r="H5" s="8"/>
      <c r="I5" s="2"/>
      <c r="J5" s="158" t="s">
        <v>123</v>
      </c>
      <c r="K5" s="169"/>
      <c r="L5" s="169"/>
      <c r="M5" s="4"/>
      <c r="N5" s="20"/>
      <c r="O5" s="20"/>
      <c r="P5" s="20"/>
      <c r="Q5" s="30"/>
      <c r="R5" s="30"/>
      <c r="S5" s="30"/>
      <c r="T5" s="30"/>
      <c r="U5" s="30"/>
      <c r="V5" s="30"/>
      <c r="W5" s="30"/>
      <c r="X5" s="30"/>
      <c r="Y5" s="30"/>
      <c r="Z5" s="30"/>
      <c r="AA5" s="30"/>
      <c r="AB5" s="30"/>
      <c r="AC5" s="30"/>
      <c r="AD5" s="30"/>
      <c r="AE5" s="30"/>
      <c r="AF5" s="30"/>
    </row>
    <row r="6" spans="1:32" s="1" customFormat="1" x14ac:dyDescent="0.35">
      <c r="C6" s="4"/>
      <c r="D6" s="4"/>
      <c r="E6" s="4"/>
      <c r="F6" s="4"/>
      <c r="G6" s="4"/>
      <c r="H6" s="4"/>
      <c r="I6" s="4"/>
      <c r="J6" s="4"/>
      <c r="K6" s="4"/>
      <c r="L6" s="4"/>
      <c r="M6" s="4"/>
      <c r="N6" s="20"/>
      <c r="O6" s="20"/>
      <c r="P6" s="20"/>
      <c r="Q6" s="30"/>
      <c r="R6" s="30"/>
      <c r="S6" s="30"/>
      <c r="T6" s="30"/>
      <c r="U6" s="30"/>
      <c r="V6" s="30"/>
      <c r="W6" s="30"/>
      <c r="X6" s="30"/>
      <c r="Y6" s="30"/>
      <c r="Z6" s="30"/>
      <c r="AA6" s="30"/>
      <c r="AB6" s="30"/>
      <c r="AC6" s="30"/>
      <c r="AD6" s="30"/>
      <c r="AE6" s="30"/>
      <c r="AF6" s="30"/>
    </row>
    <row r="7" spans="1:32" s="1" customFormat="1" x14ac:dyDescent="0.35">
      <c r="A7" s="184" t="s">
        <v>130</v>
      </c>
      <c r="B7" s="168"/>
      <c r="C7" s="169"/>
      <c r="D7" s="169"/>
      <c r="E7" s="168"/>
      <c r="F7" s="169"/>
      <c r="G7" s="169"/>
      <c r="H7" s="169"/>
      <c r="I7" s="169"/>
      <c r="J7" s="169"/>
      <c r="K7" s="2"/>
      <c r="L7" s="2"/>
      <c r="M7" s="4"/>
      <c r="N7" s="44"/>
      <c r="O7" s="44"/>
      <c r="P7" s="19"/>
      <c r="Q7" s="30"/>
      <c r="R7" s="30"/>
      <c r="S7" s="30"/>
      <c r="T7" s="30"/>
      <c r="U7" s="30"/>
      <c r="V7" s="30"/>
      <c r="W7" s="30"/>
      <c r="X7" s="30"/>
      <c r="Y7" s="30"/>
      <c r="Z7" s="30"/>
      <c r="AA7" s="30"/>
      <c r="AB7" s="30"/>
      <c r="AC7" s="30"/>
      <c r="AD7" s="30"/>
      <c r="AE7" s="30"/>
      <c r="AF7" s="30"/>
    </row>
    <row r="8" spans="1:32" s="1" customFormat="1" x14ac:dyDescent="0.35">
      <c r="C8" s="5" t="s">
        <v>18</v>
      </c>
      <c r="D8" s="5" t="s">
        <v>19</v>
      </c>
      <c r="E8" s="5" t="s">
        <v>20</v>
      </c>
      <c r="F8" s="8" t="s">
        <v>0</v>
      </c>
      <c r="G8" s="8"/>
      <c r="H8" s="345" t="s">
        <v>21</v>
      </c>
      <c r="I8" s="8"/>
      <c r="J8" s="346" t="s">
        <v>22</v>
      </c>
      <c r="K8" s="8"/>
      <c r="L8" s="5"/>
      <c r="M8" s="8"/>
      <c r="N8" s="29"/>
      <c r="O8" s="44"/>
      <c r="P8" s="19"/>
      <c r="Q8" s="30"/>
      <c r="R8" s="30"/>
      <c r="S8" s="30"/>
      <c r="T8" s="30"/>
      <c r="U8" s="30"/>
      <c r="V8" s="30"/>
      <c r="W8" s="30"/>
      <c r="X8" s="30"/>
      <c r="Y8" s="30"/>
      <c r="Z8" s="30"/>
      <c r="AA8" s="30"/>
      <c r="AB8" s="30"/>
      <c r="AC8" s="30"/>
      <c r="AD8" s="30"/>
      <c r="AE8" s="30"/>
      <c r="AF8" s="30"/>
    </row>
    <row r="9" spans="1:32" s="1" customFormat="1" x14ac:dyDescent="0.35">
      <c r="C9" s="2"/>
      <c r="D9" s="347" t="s">
        <v>23</v>
      </c>
      <c r="E9" s="8"/>
      <c r="F9" s="8"/>
      <c r="G9" s="8"/>
      <c r="H9" s="5"/>
      <c r="I9" s="8"/>
      <c r="J9" s="348" t="s">
        <v>24</v>
      </c>
      <c r="K9" s="8"/>
      <c r="L9" s="5"/>
      <c r="M9" s="8"/>
      <c r="N9" s="29"/>
      <c r="O9" s="29"/>
      <c r="P9" s="19"/>
      <c r="Q9" s="30"/>
      <c r="R9" s="30"/>
      <c r="S9" s="30"/>
      <c r="T9" s="30"/>
      <c r="U9" s="30"/>
      <c r="V9" s="30"/>
      <c r="W9" s="30"/>
      <c r="X9" s="30"/>
      <c r="Y9" s="30"/>
      <c r="Z9" s="30"/>
      <c r="AA9" s="30"/>
      <c r="AB9" s="30"/>
      <c r="AC9" s="30"/>
      <c r="AD9" s="30"/>
      <c r="AE9" s="30"/>
      <c r="AF9" s="30"/>
    </row>
    <row r="10" spans="1:32" s="1" customFormat="1" x14ac:dyDescent="0.35">
      <c r="A10" s="5" t="s">
        <v>1</v>
      </c>
      <c r="C10" s="2"/>
      <c r="D10" s="349" t="s">
        <v>25</v>
      </c>
      <c r="E10" s="348" t="s">
        <v>26</v>
      </c>
      <c r="F10" s="350"/>
      <c r="G10" s="348" t="s">
        <v>27</v>
      </c>
      <c r="I10" s="350"/>
      <c r="J10" s="351" t="s">
        <v>28</v>
      </c>
      <c r="K10" s="8"/>
      <c r="L10" s="5"/>
      <c r="M10" s="4"/>
      <c r="N10" s="29"/>
      <c r="O10" s="29"/>
      <c r="P10" s="19"/>
      <c r="Q10" s="30"/>
      <c r="R10" s="30"/>
      <c r="S10" s="30"/>
      <c r="T10" s="30"/>
      <c r="U10" s="30"/>
      <c r="V10" s="30"/>
      <c r="W10" s="30"/>
      <c r="X10" s="30"/>
      <c r="Y10" s="30"/>
      <c r="Z10" s="30"/>
      <c r="AA10" s="30"/>
      <c r="AB10" s="30"/>
      <c r="AC10" s="30"/>
      <c r="AD10" s="30"/>
      <c r="AE10" s="30"/>
      <c r="AF10" s="30"/>
    </row>
    <row r="11" spans="1:32" s="1" customFormat="1" ht="16" thickBot="1" x14ac:dyDescent="0.4">
      <c r="A11" s="10" t="s">
        <v>3</v>
      </c>
      <c r="C11" s="352" t="s">
        <v>29</v>
      </c>
      <c r="D11" s="8"/>
      <c r="E11" s="8"/>
      <c r="F11" s="8"/>
      <c r="G11" s="8"/>
      <c r="H11" s="8"/>
      <c r="I11" s="8"/>
      <c r="J11" s="8"/>
      <c r="K11" s="8"/>
      <c r="L11" s="8"/>
      <c r="M11" s="4"/>
      <c r="N11" s="44"/>
      <c r="O11" s="44"/>
      <c r="P11" s="19"/>
      <c r="Q11" s="30"/>
      <c r="R11" s="30"/>
      <c r="S11" s="30"/>
      <c r="T11" s="30"/>
      <c r="U11" s="30"/>
      <c r="V11" s="30"/>
      <c r="W11" s="30"/>
      <c r="X11" s="30"/>
      <c r="Y11" s="30"/>
      <c r="Z11" s="30"/>
      <c r="AA11" s="30"/>
      <c r="AB11" s="30"/>
      <c r="AC11" s="30"/>
      <c r="AD11" s="30"/>
      <c r="AE11" s="30"/>
      <c r="AF11" s="30"/>
    </row>
    <row r="12" spans="1:32" s="1" customFormat="1" x14ac:dyDescent="0.35">
      <c r="A12" s="5"/>
      <c r="C12" s="2"/>
      <c r="D12" s="8"/>
      <c r="E12" s="8"/>
      <c r="F12" s="8"/>
      <c r="G12" s="8"/>
      <c r="H12" s="8"/>
      <c r="I12" s="8"/>
      <c r="J12" s="8"/>
      <c r="K12" s="8"/>
      <c r="L12" s="8"/>
      <c r="M12" s="4"/>
      <c r="N12" s="44"/>
      <c r="O12" s="44"/>
      <c r="P12" s="19"/>
      <c r="Q12" s="30"/>
      <c r="R12" s="30"/>
      <c r="S12" s="102"/>
      <c r="T12" s="102"/>
      <c r="U12" s="30"/>
      <c r="V12" s="30"/>
      <c r="W12" s="30"/>
      <c r="X12" s="30"/>
      <c r="Y12" s="30"/>
      <c r="Z12" s="30"/>
      <c r="AA12" s="30"/>
      <c r="AB12" s="103"/>
      <c r="AC12" s="30"/>
      <c r="AD12" s="30"/>
      <c r="AE12" s="30"/>
      <c r="AF12" s="30"/>
    </row>
    <row r="13" spans="1:32" s="1" customFormat="1" x14ac:dyDescent="0.35">
      <c r="A13" s="5"/>
      <c r="C13" s="2" t="s">
        <v>30</v>
      </c>
      <c r="D13" s="8"/>
      <c r="E13" s="8"/>
      <c r="F13" s="8"/>
      <c r="G13" s="8"/>
      <c r="H13" s="8"/>
      <c r="I13" s="8"/>
      <c r="J13" s="8"/>
      <c r="K13" s="8"/>
      <c r="L13" s="8"/>
      <c r="M13" s="4"/>
      <c r="N13" s="44"/>
      <c r="O13" s="44"/>
      <c r="P13" s="19"/>
      <c r="Q13" s="30"/>
      <c r="R13" s="30"/>
      <c r="S13" s="19"/>
      <c r="T13" s="103"/>
      <c r="U13" s="19"/>
      <c r="V13" s="103"/>
      <c r="W13" s="30"/>
      <c r="X13" s="30"/>
      <c r="Y13" s="30"/>
      <c r="Z13" s="30"/>
      <c r="AA13" s="30"/>
      <c r="AB13" s="63"/>
      <c r="AC13" s="103"/>
      <c r="AD13" s="104"/>
      <c r="AE13" s="104"/>
      <c r="AF13" s="104"/>
    </row>
    <row r="14" spans="1:32" s="1" customFormat="1" x14ac:dyDescent="0.35">
      <c r="A14" s="5">
        <v>1</v>
      </c>
      <c r="C14" s="2" t="s">
        <v>31</v>
      </c>
      <c r="D14" s="162" t="s">
        <v>175</v>
      </c>
      <c r="E14" s="107">
        <f>'OATT Input Data'!$E$111</f>
        <v>10304215132</v>
      </c>
      <c r="F14" s="8"/>
      <c r="G14" s="8" t="s">
        <v>32</v>
      </c>
      <c r="H14" s="353"/>
      <c r="I14" s="8"/>
      <c r="J14" s="107"/>
      <c r="K14" s="8"/>
      <c r="L14" s="8"/>
      <c r="M14" s="4"/>
      <c r="N14" s="105"/>
      <c r="O14" s="44"/>
      <c r="P14" s="44"/>
      <c r="Q14" s="44"/>
      <c r="R14" s="44"/>
      <c r="S14" s="106"/>
      <c r="T14" s="107"/>
      <c r="U14" s="106"/>
      <c r="V14" s="107"/>
      <c r="W14" s="30"/>
      <c r="X14" s="30"/>
      <c r="Y14" s="30"/>
      <c r="Z14" s="30"/>
      <c r="AA14" s="30"/>
      <c r="AB14" s="63"/>
      <c r="AC14" s="63"/>
      <c r="AD14" s="63"/>
      <c r="AE14" s="63"/>
      <c r="AF14" s="63"/>
    </row>
    <row r="15" spans="1:32" s="1" customFormat="1" x14ac:dyDescent="0.35">
      <c r="A15" s="5">
        <v>2</v>
      </c>
      <c r="C15" s="2" t="s">
        <v>33</v>
      </c>
      <c r="D15" s="162" t="s">
        <v>176</v>
      </c>
      <c r="E15" s="594">
        <f>'OATT Input Data'!$E$112</f>
        <v>1629500419</v>
      </c>
      <c r="F15" s="8"/>
      <c r="G15" s="8" t="s">
        <v>9</v>
      </c>
      <c r="H15" s="353">
        <f>'NITS Pg 4 of 5'!$J$16</f>
        <v>0.96242000000000005</v>
      </c>
      <c r="I15" s="8"/>
      <c r="J15" s="107">
        <f>ROUND(E15*H15,0)</f>
        <v>1568263793</v>
      </c>
      <c r="K15" s="8"/>
      <c r="L15" s="8"/>
      <c r="M15" s="4"/>
      <c r="N15" s="30"/>
      <c r="O15" s="44"/>
      <c r="P15" s="44"/>
      <c r="Q15" s="44"/>
      <c r="R15" s="44"/>
      <c r="S15" s="106"/>
      <c r="T15" s="107"/>
      <c r="U15" s="106"/>
      <c r="V15" s="107"/>
      <c r="W15" s="30"/>
      <c r="X15" s="30"/>
      <c r="Y15" s="30"/>
      <c r="Z15" s="30"/>
      <c r="AA15" s="30"/>
      <c r="AB15" s="63"/>
      <c r="AC15" s="63"/>
      <c r="AD15" s="63"/>
      <c r="AE15" s="63"/>
      <c r="AF15" s="63"/>
    </row>
    <row r="16" spans="1:32" s="1" customFormat="1" x14ac:dyDescent="0.35">
      <c r="A16" s="5">
        <v>3</v>
      </c>
      <c r="C16" s="2" t="s">
        <v>34</v>
      </c>
      <c r="D16" s="162" t="s">
        <v>177</v>
      </c>
      <c r="E16" s="46">
        <f>'OATT Input Data'!$E$113</f>
        <v>3607555431</v>
      </c>
      <c r="F16" s="8"/>
      <c r="G16" s="8" t="s">
        <v>32</v>
      </c>
      <c r="H16" s="353"/>
      <c r="I16" s="8"/>
      <c r="J16" s="46"/>
      <c r="K16" s="8"/>
      <c r="L16" s="8"/>
      <c r="M16" s="4"/>
      <c r="N16" s="30"/>
      <c r="O16" s="44"/>
      <c r="P16" s="44"/>
      <c r="Q16" s="44"/>
      <c r="R16" s="44"/>
      <c r="S16" s="106"/>
      <c r="T16" s="107"/>
      <c r="U16" s="106"/>
      <c r="V16" s="107"/>
      <c r="W16" s="30"/>
      <c r="X16" s="30"/>
      <c r="Y16" s="30"/>
      <c r="Z16" s="30"/>
      <c r="AA16" s="30"/>
      <c r="AB16" s="63"/>
      <c r="AC16" s="30"/>
      <c r="AD16" s="30"/>
      <c r="AE16" s="30"/>
      <c r="AF16" s="30"/>
    </row>
    <row r="17" spans="1:31" s="1" customFormat="1" x14ac:dyDescent="0.35">
      <c r="A17" s="5">
        <v>4</v>
      </c>
      <c r="C17" s="2" t="s">
        <v>35</v>
      </c>
      <c r="D17" s="162" t="s">
        <v>178</v>
      </c>
      <c r="E17" s="46">
        <f>'OATT Input Data'!$E$114+'OATT Input Data'!$E$110</f>
        <v>337443468</v>
      </c>
      <c r="F17" s="8"/>
      <c r="G17" s="8" t="s">
        <v>36</v>
      </c>
      <c r="H17" s="353">
        <f>'NITS Pg 4 of 5'!$J$33</f>
        <v>6.5449999999999994E-2</v>
      </c>
      <c r="I17" s="8"/>
      <c r="J17" s="46">
        <f>ROUND(E17*H17,0)</f>
        <v>22085675</v>
      </c>
      <c r="K17" s="8"/>
      <c r="L17" s="8"/>
      <c r="M17" s="8"/>
      <c r="N17" s="30"/>
      <c r="O17" s="108"/>
      <c r="P17" s="44"/>
      <c r="Q17" s="44"/>
      <c r="R17" s="44"/>
      <c r="S17" s="106"/>
      <c r="T17" s="107"/>
      <c r="U17" s="106"/>
      <c r="V17" s="107"/>
      <c r="W17" s="30"/>
      <c r="X17" s="30"/>
      <c r="Y17" s="30"/>
      <c r="Z17" s="30"/>
      <c r="AA17" s="30"/>
      <c r="AB17" s="63"/>
      <c r="AC17" s="30"/>
      <c r="AD17" s="30"/>
      <c r="AE17" s="30"/>
    </row>
    <row r="18" spans="1:31" s="1" customFormat="1" ht="18.5" x14ac:dyDescent="0.65">
      <c r="A18" s="5">
        <v>5</v>
      </c>
      <c r="C18" s="2" t="s">
        <v>37</v>
      </c>
      <c r="D18" s="162" t="s">
        <v>179</v>
      </c>
      <c r="E18" s="354">
        <f>'OATT Input Data'!$E$115</f>
        <v>177626177.66999999</v>
      </c>
      <c r="F18" s="8"/>
      <c r="G18" s="8" t="s">
        <v>38</v>
      </c>
      <c r="H18" s="353">
        <f>'NITS Pg 4 of 5'!$J$41</f>
        <v>6.0389999999999999E-2</v>
      </c>
      <c r="I18" s="8"/>
      <c r="J18" s="354">
        <f>ROUND(E18*H18,0)</f>
        <v>10726845</v>
      </c>
      <c r="K18" s="8"/>
      <c r="L18" s="8"/>
      <c r="M18" s="8"/>
      <c r="N18" s="30"/>
      <c r="O18" s="553"/>
      <c r="P18" s="44"/>
      <c r="Q18" s="44"/>
      <c r="R18" s="44"/>
      <c r="S18" s="106"/>
      <c r="T18" s="107"/>
      <c r="U18" s="106"/>
      <c r="V18" s="107"/>
      <c r="W18" s="30"/>
      <c r="X18" s="30"/>
      <c r="Y18" s="30"/>
      <c r="Z18" s="30"/>
      <c r="AA18" s="30"/>
      <c r="AB18" s="63"/>
      <c r="AC18" s="30"/>
      <c r="AD18" s="30"/>
      <c r="AE18" s="30"/>
    </row>
    <row r="19" spans="1:31" s="1" customFormat="1" x14ac:dyDescent="0.35">
      <c r="A19" s="5">
        <v>6</v>
      </c>
      <c r="C19" s="7" t="s">
        <v>173</v>
      </c>
      <c r="D19" s="165" t="s">
        <v>265</v>
      </c>
      <c r="E19" s="107">
        <f>ROUND(SUM(E14:E18),0)</f>
        <v>16056340628</v>
      </c>
      <c r="F19" s="8"/>
      <c r="G19" s="8" t="s">
        <v>319</v>
      </c>
      <c r="H19" s="355">
        <f>ROUND(J19/E19,5)</f>
        <v>9.9720000000000003E-2</v>
      </c>
      <c r="I19" s="8"/>
      <c r="J19" s="107">
        <f>ROUND(SUM(J15,J17:J18),0)</f>
        <v>1601076313</v>
      </c>
      <c r="K19" s="8"/>
      <c r="L19" s="356"/>
      <c r="M19" s="4"/>
      <c r="N19" s="30"/>
      <c r="O19" s="44"/>
      <c r="P19" s="44"/>
      <c r="Q19" s="30"/>
      <c r="R19" s="30"/>
      <c r="S19" s="106"/>
      <c r="T19" s="107"/>
      <c r="U19" s="30"/>
      <c r="V19" s="30"/>
      <c r="W19" s="30"/>
      <c r="X19" s="30"/>
      <c r="Y19" s="30"/>
      <c r="Z19" s="30"/>
      <c r="AA19" s="30"/>
      <c r="AB19" s="30"/>
      <c r="AC19" s="30"/>
      <c r="AD19" s="30"/>
      <c r="AE19" s="30"/>
    </row>
    <row r="20" spans="1:31" s="1" customFormat="1" x14ac:dyDescent="0.35">
      <c r="C20" s="2"/>
      <c r="D20" s="165"/>
      <c r="E20" s="46"/>
      <c r="F20" s="8"/>
      <c r="G20" s="8"/>
      <c r="H20" s="356"/>
      <c r="I20" s="8"/>
      <c r="J20" s="46"/>
      <c r="K20" s="8"/>
      <c r="L20" s="356"/>
      <c r="M20" s="4"/>
      <c r="N20" s="44"/>
      <c r="O20" s="44"/>
      <c r="P20" s="19"/>
      <c r="Q20" s="30"/>
      <c r="R20" s="30"/>
      <c r="S20" s="30"/>
      <c r="T20" s="30"/>
      <c r="U20" s="30"/>
      <c r="V20" s="30"/>
      <c r="W20" s="30"/>
      <c r="X20" s="30"/>
      <c r="Y20" s="30"/>
      <c r="Z20" s="30"/>
      <c r="AA20" s="30"/>
      <c r="AB20" s="30"/>
      <c r="AC20" s="30"/>
      <c r="AD20" s="30"/>
      <c r="AE20" s="30"/>
    </row>
    <row r="21" spans="1:31" s="1" customFormat="1" x14ac:dyDescent="0.35">
      <c r="C21" s="2" t="s">
        <v>40</v>
      </c>
      <c r="D21" s="165" t="s">
        <v>252</v>
      </c>
      <c r="E21" s="46"/>
      <c r="F21" s="8"/>
      <c r="G21" s="8"/>
      <c r="H21" s="8"/>
      <c r="I21" s="8"/>
      <c r="J21" s="46"/>
      <c r="K21" s="8"/>
      <c r="L21" s="8"/>
      <c r="M21" s="4"/>
      <c r="N21" s="44"/>
      <c r="O21" s="44"/>
      <c r="P21" s="30"/>
      <c r="Q21" s="30"/>
      <c r="R21" s="30"/>
      <c r="S21" s="30"/>
      <c r="T21" s="30"/>
      <c r="U21" s="30"/>
      <c r="V21" s="30"/>
      <c r="W21" s="30"/>
      <c r="X21" s="30"/>
      <c r="Y21" s="105"/>
      <c r="Z21" s="30"/>
      <c r="AA21" s="30"/>
      <c r="AB21" s="30"/>
      <c r="AC21" s="30"/>
      <c r="AD21" s="30"/>
      <c r="AE21" s="105"/>
    </row>
    <row r="22" spans="1:31" s="1" customFormat="1" x14ac:dyDescent="0.35">
      <c r="A22" s="5">
        <v>7</v>
      </c>
      <c r="C22" s="2" t="str">
        <f>+C14</f>
        <v xml:space="preserve">  Production</v>
      </c>
      <c r="D22" s="162" t="s">
        <v>190</v>
      </c>
      <c r="E22" s="107">
        <f>SUM('OATT Input Data'!$E$121:$E$123)</f>
        <v>3518815708.02</v>
      </c>
      <c r="F22" s="8"/>
      <c r="G22" s="8" t="s">
        <v>32</v>
      </c>
      <c r="H22" s="353"/>
      <c r="I22" s="8"/>
      <c r="J22" s="107"/>
      <c r="K22" s="8"/>
      <c r="L22" s="8"/>
      <c r="M22" s="4"/>
      <c r="N22" s="44"/>
      <c r="O22" s="109"/>
      <c r="P22" s="44"/>
      <c r="Q22" s="44"/>
      <c r="R22" s="30"/>
      <c r="S22" s="106"/>
      <c r="T22" s="107"/>
      <c r="U22" s="106"/>
      <c r="V22" s="107"/>
      <c r="W22" s="30"/>
      <c r="X22" s="63"/>
      <c r="Y22" s="63"/>
      <c r="Z22" s="30"/>
      <c r="AA22" s="63"/>
      <c r="AB22" s="63"/>
      <c r="AC22" s="63"/>
      <c r="AD22" s="63"/>
      <c r="AE22" s="63"/>
    </row>
    <row r="23" spans="1:31" s="1" customFormat="1" x14ac:dyDescent="0.35">
      <c r="A23" s="5">
        <v>8</v>
      </c>
      <c r="C23" s="2" t="str">
        <f>+C15</f>
        <v xml:space="preserve">  Transmission</v>
      </c>
      <c r="D23" s="162" t="s">
        <v>180</v>
      </c>
      <c r="E23" s="46">
        <f>'OATT Input Data'!$E$124</f>
        <v>515710452.29999995</v>
      </c>
      <c r="F23" s="8"/>
      <c r="G23" s="8" t="s">
        <v>9</v>
      </c>
      <c r="H23" s="123">
        <f>+H15</f>
        <v>0.96242000000000005</v>
      </c>
      <c r="I23" s="8"/>
      <c r="J23" s="107">
        <f>ROUND(E23*H23,0)</f>
        <v>496330054</v>
      </c>
      <c r="K23" s="8"/>
      <c r="L23" s="8"/>
      <c r="M23" s="4"/>
      <c r="N23" s="44"/>
      <c r="O23" s="50"/>
      <c r="P23" s="44"/>
      <c r="Q23" s="44"/>
      <c r="R23" s="30"/>
      <c r="S23" s="107"/>
      <c r="T23" s="107"/>
      <c r="U23" s="107"/>
      <c r="V23" s="107"/>
      <c r="W23" s="30"/>
      <c r="X23" s="63"/>
      <c r="Y23" s="63"/>
      <c r="Z23" s="30"/>
      <c r="AA23" s="63"/>
      <c r="AB23" s="63"/>
      <c r="AC23" s="63"/>
      <c r="AD23" s="63"/>
      <c r="AE23" s="63"/>
    </row>
    <row r="24" spans="1:31" s="1" customFormat="1" x14ac:dyDescent="0.35">
      <c r="A24" s="5">
        <v>9</v>
      </c>
      <c r="C24" s="2" t="str">
        <f>+C16</f>
        <v xml:space="preserve">  Distribution</v>
      </c>
      <c r="D24" s="162" t="s">
        <v>181</v>
      </c>
      <c r="E24" s="46">
        <f>'OATT Input Data'!$E$125</f>
        <v>1221756924.0799999</v>
      </c>
      <c r="F24" s="8"/>
      <c r="G24" s="8" t="str">
        <f>+G16</f>
        <v>NA</v>
      </c>
      <c r="H24" s="353"/>
      <c r="I24" s="8"/>
      <c r="J24" s="46"/>
      <c r="K24" s="8"/>
      <c r="L24" s="8"/>
      <c r="M24" s="4"/>
      <c r="N24" s="44"/>
      <c r="O24" s="109"/>
      <c r="P24" s="44"/>
      <c r="Q24" s="44"/>
      <c r="R24" s="30"/>
      <c r="S24" s="106"/>
      <c r="T24" s="107"/>
      <c r="U24" s="63"/>
      <c r="V24" s="107"/>
      <c r="W24" s="30"/>
      <c r="X24" s="63"/>
      <c r="Y24" s="63"/>
      <c r="Z24" s="30"/>
      <c r="AA24" s="63"/>
      <c r="AB24" s="63"/>
      <c r="AC24" s="63"/>
      <c r="AD24" s="30"/>
      <c r="AE24" s="30"/>
    </row>
    <row r="25" spans="1:31" s="1" customFormat="1" x14ac:dyDescent="0.35">
      <c r="A25" s="5">
        <v>10</v>
      </c>
      <c r="C25" s="2" t="str">
        <f>+C17</f>
        <v xml:space="preserve">  General &amp; Intangible</v>
      </c>
      <c r="D25" s="162" t="s">
        <v>182</v>
      </c>
      <c r="E25" s="46">
        <f>'OATT Input Data'!$E$120+'OATT Input Data'!$E$126</f>
        <v>124097421.64999999</v>
      </c>
      <c r="F25" s="8"/>
      <c r="G25" s="8" t="str">
        <f>+G17</f>
        <v>W/S</v>
      </c>
      <c r="H25" s="353">
        <f>+H17</f>
        <v>6.5449999999999994E-2</v>
      </c>
      <c r="I25" s="8"/>
      <c r="J25" s="46">
        <f>ROUND(E25*H25,0)</f>
        <v>8122176</v>
      </c>
      <c r="K25" s="8"/>
      <c r="L25" s="8"/>
      <c r="M25" s="4"/>
      <c r="N25" s="44"/>
      <c r="O25" s="109"/>
      <c r="P25" s="44"/>
      <c r="Q25" s="44"/>
      <c r="R25" s="30"/>
      <c r="S25" s="107"/>
      <c r="T25" s="107"/>
      <c r="U25" s="107"/>
      <c r="V25" s="107"/>
      <c r="W25" s="30"/>
      <c r="X25" s="63"/>
      <c r="Y25" s="63"/>
      <c r="Z25" s="30"/>
      <c r="AA25" s="30"/>
      <c r="AB25" s="63"/>
      <c r="AC25" s="30"/>
      <c r="AD25" s="30"/>
      <c r="AE25" s="30"/>
    </row>
    <row r="26" spans="1:31" s="1" customFormat="1" ht="18.5" x14ac:dyDescent="0.65">
      <c r="A26" s="5">
        <v>11</v>
      </c>
      <c r="C26" s="2" t="str">
        <f>+C18</f>
        <v xml:space="preserve">  Common</v>
      </c>
      <c r="D26" s="162" t="s">
        <v>179</v>
      </c>
      <c r="E26" s="354">
        <f>'OATT Input Data'!$E$127</f>
        <v>99426603.528899997</v>
      </c>
      <c r="F26" s="8"/>
      <c r="G26" s="8" t="str">
        <f>+G18</f>
        <v>CE</v>
      </c>
      <c r="H26" s="353">
        <f>+H18</f>
        <v>6.0389999999999999E-2</v>
      </c>
      <c r="I26" s="8"/>
      <c r="J26" s="354">
        <f>ROUND(E26*H26,0)</f>
        <v>6004373</v>
      </c>
      <c r="K26" s="8"/>
      <c r="L26" s="8"/>
      <c r="M26" s="4"/>
      <c r="N26" s="44"/>
      <c r="O26" s="110"/>
      <c r="P26" s="44"/>
      <c r="Q26" s="44"/>
      <c r="R26" s="30"/>
      <c r="S26" s="106"/>
      <c r="T26" s="107"/>
      <c r="U26" s="63"/>
      <c r="V26" s="107"/>
      <c r="W26" s="30"/>
      <c r="X26" s="30"/>
      <c r="Y26" s="30"/>
      <c r="Z26" s="30"/>
      <c r="AA26" s="30"/>
      <c r="AB26" s="63"/>
      <c r="AC26" s="30"/>
      <c r="AD26" s="30"/>
      <c r="AE26" s="30"/>
    </row>
    <row r="27" spans="1:31" s="1" customFormat="1" x14ac:dyDescent="0.35">
      <c r="A27" s="5">
        <v>12</v>
      </c>
      <c r="C27" s="7" t="s">
        <v>172</v>
      </c>
      <c r="D27" s="165" t="s">
        <v>266</v>
      </c>
      <c r="E27" s="107">
        <f>ROUND(SUM(E22:E26),0)</f>
        <v>5479807110</v>
      </c>
      <c r="F27" s="8"/>
      <c r="G27" s="8"/>
      <c r="H27" s="8"/>
      <c r="I27" s="8"/>
      <c r="J27" s="107">
        <f>ROUND(SUM(J23,J25:J26),0)</f>
        <v>510456603</v>
      </c>
      <c r="K27" s="8"/>
      <c r="L27" s="8"/>
      <c r="M27" s="4"/>
      <c r="N27" s="111"/>
      <c r="O27" s="29"/>
      <c r="P27" s="44"/>
      <c r="Q27" s="44"/>
      <c r="R27" s="30"/>
      <c r="S27" s="107"/>
      <c r="T27" s="107"/>
      <c r="U27" s="30"/>
      <c r="V27" s="30"/>
      <c r="W27" s="105"/>
      <c r="X27" s="63"/>
      <c r="Y27" s="30"/>
      <c r="Z27" s="30"/>
      <c r="AA27" s="30"/>
      <c r="AB27" s="63"/>
      <c r="AC27" s="30"/>
      <c r="AD27" s="30"/>
      <c r="AE27" s="30"/>
    </row>
    <row r="28" spans="1:31" s="1" customFormat="1" x14ac:dyDescent="0.35">
      <c r="A28" s="5"/>
      <c r="D28" s="8" t="s">
        <v>0</v>
      </c>
      <c r="E28" s="46"/>
      <c r="F28" s="8"/>
      <c r="G28" s="8"/>
      <c r="H28" s="356"/>
      <c r="I28" s="8"/>
      <c r="J28" s="46"/>
      <c r="K28" s="8"/>
      <c r="L28" s="356"/>
      <c r="M28" s="4"/>
      <c r="N28" s="44"/>
      <c r="O28" s="44"/>
      <c r="P28" s="19"/>
      <c r="Q28" s="30"/>
      <c r="R28" s="30"/>
      <c r="S28" s="30"/>
      <c r="T28" s="30"/>
      <c r="U28" s="30"/>
      <c r="V28" s="30"/>
      <c r="W28" s="30"/>
      <c r="X28" s="63"/>
      <c r="Y28" s="30"/>
      <c r="Z28" s="30"/>
      <c r="AA28" s="30"/>
      <c r="AB28" s="63"/>
      <c r="AC28" s="30"/>
      <c r="AD28" s="30"/>
      <c r="AE28" s="30"/>
    </row>
    <row r="29" spans="1:31" s="1" customFormat="1" x14ac:dyDescent="0.35">
      <c r="A29" s="5"/>
      <c r="C29" s="2" t="s">
        <v>42</v>
      </c>
      <c r="D29" s="8"/>
      <c r="E29" s="46"/>
      <c r="F29" s="8"/>
      <c r="G29" s="8"/>
      <c r="H29" s="8"/>
      <c r="I29" s="8"/>
      <c r="J29" s="46"/>
      <c r="K29" s="8"/>
      <c r="L29" s="8"/>
      <c r="M29" s="4"/>
      <c r="N29" s="44"/>
      <c r="O29" s="44"/>
      <c r="P29" s="44"/>
      <c r="Q29" s="44"/>
      <c r="R29" s="30"/>
      <c r="S29" s="106"/>
      <c r="T29" s="107"/>
      <c r="U29" s="106"/>
      <c r="V29" s="30"/>
      <c r="W29" s="30"/>
      <c r="X29" s="63"/>
      <c r="Y29" s="30"/>
      <c r="Z29" s="30"/>
      <c r="AA29" s="30"/>
      <c r="AB29" s="30"/>
      <c r="AC29" s="30"/>
      <c r="AD29" s="30"/>
      <c r="AE29" s="30"/>
    </row>
    <row r="30" spans="1:31" s="1" customFormat="1" x14ac:dyDescent="0.35">
      <c r="A30" s="5">
        <v>13</v>
      </c>
      <c r="C30" s="2" t="str">
        <f>+C22</f>
        <v xml:space="preserve">  Production</v>
      </c>
      <c r="D30" s="165" t="s">
        <v>267</v>
      </c>
      <c r="E30" s="107">
        <f>E14-E22</f>
        <v>6785399423.9799995</v>
      </c>
      <c r="F30" s="8"/>
      <c r="G30" s="8"/>
      <c r="H30" s="356"/>
      <c r="I30" s="8"/>
      <c r="J30" s="107"/>
      <c r="K30" s="8"/>
      <c r="L30" s="356"/>
      <c r="M30" s="4"/>
      <c r="N30" s="44"/>
      <c r="O30" s="44"/>
      <c r="P30" s="44"/>
      <c r="Q30" s="44"/>
      <c r="R30" s="30"/>
      <c r="S30" s="106"/>
      <c r="T30" s="107"/>
      <c r="U30" s="106"/>
      <c r="V30" s="30"/>
      <c r="W30" s="30"/>
      <c r="X30" s="63"/>
      <c r="Y30" s="63"/>
      <c r="Z30" s="30"/>
      <c r="AA30" s="30"/>
      <c r="AB30" s="105"/>
      <c r="AC30" s="105"/>
      <c r="AD30" s="30"/>
      <c r="AE30" s="30"/>
    </row>
    <row r="31" spans="1:31" s="1" customFormat="1" x14ac:dyDescent="0.35">
      <c r="A31" s="5">
        <v>14</v>
      </c>
      <c r="C31" s="2" t="str">
        <f>+C23</f>
        <v xml:space="preserve">  Transmission</v>
      </c>
      <c r="D31" s="165" t="s">
        <v>268</v>
      </c>
      <c r="E31" s="46">
        <f t="shared" ref="E31:E34" si="0">E15-E23</f>
        <v>1113789966.7</v>
      </c>
      <c r="F31" s="8"/>
      <c r="G31" s="8"/>
      <c r="H31" s="353"/>
      <c r="I31" s="8"/>
      <c r="J31" s="107">
        <f>J15-J23</f>
        <v>1071933739</v>
      </c>
      <c r="K31" s="8"/>
      <c r="L31" s="356"/>
      <c r="M31" s="4"/>
      <c r="N31" s="44"/>
      <c r="O31" s="44"/>
      <c r="P31" s="44"/>
      <c r="Q31" s="44"/>
      <c r="R31" s="30"/>
      <c r="S31" s="106"/>
      <c r="T31" s="107"/>
      <c r="U31" s="106"/>
      <c r="V31" s="30"/>
      <c r="W31" s="30"/>
      <c r="X31" s="30"/>
      <c r="Y31" s="63"/>
      <c r="Z31" s="30"/>
      <c r="AA31" s="63"/>
      <c r="AB31" s="63"/>
      <c r="AC31" s="30"/>
      <c r="AD31" s="30"/>
      <c r="AE31" s="30"/>
    </row>
    <row r="32" spans="1:31" s="1" customFormat="1" x14ac:dyDescent="0.35">
      <c r="A32" s="5">
        <v>15</v>
      </c>
      <c r="C32" s="2" t="str">
        <f>+C24</f>
        <v xml:space="preserve">  Distribution</v>
      </c>
      <c r="D32" s="165" t="s">
        <v>269</v>
      </c>
      <c r="E32" s="46">
        <f t="shared" si="0"/>
        <v>2385798506.9200001</v>
      </c>
      <c r="F32" s="8"/>
      <c r="G32" s="8"/>
      <c r="H32" s="356"/>
      <c r="I32" s="8"/>
      <c r="J32" s="46"/>
      <c r="K32" s="8"/>
      <c r="L32" s="356"/>
      <c r="M32" s="4"/>
      <c r="N32" s="44"/>
      <c r="O32" s="81"/>
      <c r="P32" s="44"/>
      <c r="Q32" s="30"/>
      <c r="R32" s="105"/>
      <c r="S32" s="106"/>
      <c r="T32" s="107"/>
      <c r="U32" s="107"/>
      <c r="V32" s="30"/>
      <c r="W32" s="30"/>
      <c r="X32" s="63"/>
      <c r="Y32" s="63"/>
      <c r="Z32" s="30"/>
      <c r="AA32" s="63"/>
      <c r="AB32" s="63"/>
      <c r="AC32" s="112"/>
      <c r="AD32" s="30"/>
      <c r="AE32" s="30"/>
    </row>
    <row r="33" spans="1:28" s="1" customFormat="1" x14ac:dyDescent="0.35">
      <c r="A33" s="5">
        <v>16</v>
      </c>
      <c r="C33" s="2" t="str">
        <f>+C25</f>
        <v xml:space="preserve">  General &amp; Intangible</v>
      </c>
      <c r="D33" s="165" t="s">
        <v>270</v>
      </c>
      <c r="E33" s="46">
        <f t="shared" si="0"/>
        <v>213346046.35000002</v>
      </c>
      <c r="F33" s="8"/>
      <c r="G33" s="8"/>
      <c r="H33" s="356"/>
      <c r="I33" s="8"/>
      <c r="J33" s="46">
        <f>J17-J25</f>
        <v>13963499</v>
      </c>
      <c r="K33" s="8"/>
      <c r="L33" s="356"/>
      <c r="M33" s="4"/>
      <c r="N33" s="44"/>
      <c r="O33" s="29"/>
      <c r="P33" s="19"/>
      <c r="Q33" s="30"/>
      <c r="R33" s="30"/>
      <c r="S33" s="30"/>
      <c r="T33" s="30"/>
      <c r="U33" s="30"/>
      <c r="V33" s="30"/>
      <c r="W33" s="30"/>
      <c r="X33" s="63"/>
      <c r="Y33" s="63"/>
      <c r="Z33" s="30"/>
      <c r="AA33" s="63"/>
      <c r="AB33" s="63"/>
    </row>
    <row r="34" spans="1:28" s="1" customFormat="1" ht="18.5" x14ac:dyDescent="0.65">
      <c r="A34" s="5">
        <v>17</v>
      </c>
      <c r="C34" s="2" t="str">
        <f>+C26</f>
        <v xml:space="preserve">  Common</v>
      </c>
      <c r="D34" s="165" t="s">
        <v>271</v>
      </c>
      <c r="E34" s="354">
        <f t="shared" si="0"/>
        <v>78199574.141099989</v>
      </c>
      <c r="F34" s="8"/>
      <c r="G34" s="8"/>
      <c r="H34" s="356"/>
      <c r="I34" s="8"/>
      <c r="J34" s="354">
        <f>J18-J26</f>
        <v>4722472</v>
      </c>
      <c r="K34" s="8"/>
      <c r="L34" s="356"/>
      <c r="M34" s="4"/>
      <c r="N34" s="44"/>
      <c r="O34" s="29"/>
      <c r="P34" s="19"/>
      <c r="Q34" s="30"/>
      <c r="R34" s="30"/>
      <c r="S34" s="30"/>
      <c r="T34" s="30"/>
      <c r="U34" s="30"/>
      <c r="V34" s="30"/>
      <c r="W34" s="30"/>
      <c r="X34" s="63"/>
      <c r="Y34" s="30"/>
      <c r="Z34" s="30"/>
      <c r="AA34" s="30"/>
      <c r="AB34" s="63"/>
    </row>
    <row r="35" spans="1:28" s="1" customFormat="1" x14ac:dyDescent="0.35">
      <c r="A35" s="5">
        <v>18</v>
      </c>
      <c r="C35" s="7" t="s">
        <v>171</v>
      </c>
      <c r="D35" s="165" t="s">
        <v>272</v>
      </c>
      <c r="E35" s="107">
        <f>ROUND(SUM(E30:E34),0)</f>
        <v>10576533518</v>
      </c>
      <c r="F35" s="8"/>
      <c r="G35" s="8" t="s">
        <v>320</v>
      </c>
      <c r="H35" s="355">
        <f>ROUND(J35/E35,5)</f>
        <v>0.10312</v>
      </c>
      <c r="I35" s="8"/>
      <c r="J35" s="107">
        <f>ROUND(SUM(J31,J33:J34),0)</f>
        <v>1090619710</v>
      </c>
      <c r="K35" s="8"/>
      <c r="L35" s="8"/>
      <c r="M35" s="4"/>
      <c r="N35" s="113"/>
      <c r="O35" s="44"/>
      <c r="P35" s="19"/>
      <c r="Q35" s="30"/>
      <c r="R35" s="30"/>
      <c r="S35" s="30"/>
      <c r="T35" s="30"/>
      <c r="U35" s="30"/>
      <c r="V35" s="30"/>
      <c r="W35" s="30"/>
      <c r="X35" s="63"/>
      <c r="Y35" s="30"/>
      <c r="Z35" s="30"/>
      <c r="AA35" s="30"/>
      <c r="AB35" s="30"/>
    </row>
    <row r="36" spans="1:28" s="1" customFormat="1" x14ac:dyDescent="0.35">
      <c r="A36" s="5"/>
      <c r="D36" s="8"/>
      <c r="E36" s="46"/>
      <c r="F36" s="8"/>
      <c r="I36" s="8"/>
      <c r="J36" s="46"/>
      <c r="K36" s="8"/>
      <c r="L36" s="356"/>
      <c r="M36" s="4"/>
      <c r="N36" s="44"/>
      <c r="O36" s="44"/>
      <c r="P36" s="19"/>
      <c r="Q36" s="30"/>
      <c r="R36" s="30"/>
      <c r="S36" s="30"/>
      <c r="T36" s="30"/>
      <c r="U36" s="30"/>
      <c r="V36" s="30"/>
      <c r="W36" s="30"/>
      <c r="X36" s="30"/>
      <c r="Y36" s="30"/>
      <c r="Z36" s="30"/>
      <c r="AA36" s="30"/>
      <c r="AB36" s="63"/>
    </row>
    <row r="37" spans="1:28" s="1" customFormat="1" x14ac:dyDescent="0.35">
      <c r="A37" s="5"/>
      <c r="C37" s="7" t="s">
        <v>191</v>
      </c>
      <c r="D37" s="165" t="s">
        <v>253</v>
      </c>
      <c r="E37" s="46"/>
      <c r="F37" s="8"/>
      <c r="G37" s="8"/>
      <c r="H37" s="8"/>
      <c r="I37" s="8"/>
      <c r="J37" s="46"/>
      <c r="K37" s="8"/>
      <c r="L37" s="8"/>
      <c r="M37" s="4"/>
      <c r="N37" s="44"/>
      <c r="O37" s="44"/>
      <c r="P37" s="19"/>
      <c r="Q37" s="30"/>
      <c r="R37" s="30"/>
      <c r="S37" s="30"/>
      <c r="T37" s="30"/>
      <c r="U37" s="30"/>
      <c r="V37" s="44"/>
      <c r="W37" s="30"/>
      <c r="X37" s="30"/>
      <c r="Y37" s="30"/>
      <c r="Z37" s="30"/>
      <c r="AA37" s="30"/>
      <c r="AB37" s="30"/>
    </row>
    <row r="38" spans="1:28" s="1" customFormat="1" x14ac:dyDescent="0.35">
      <c r="A38" s="5">
        <v>19</v>
      </c>
      <c r="C38" s="2" t="s">
        <v>44</v>
      </c>
      <c r="D38" s="162" t="s">
        <v>379</v>
      </c>
      <c r="E38" s="308">
        <f>'OATT Input Data'!$E$133*-1</f>
        <v>0</v>
      </c>
      <c r="F38" s="8"/>
      <c r="G38" s="8" t="s">
        <v>32</v>
      </c>
      <c r="H38" s="123"/>
      <c r="I38" s="8"/>
      <c r="J38" s="107"/>
      <c r="K38" s="8"/>
      <c r="L38" s="356"/>
      <c r="M38" s="4"/>
      <c r="N38" s="114"/>
      <c r="O38" s="29"/>
      <c r="P38" s="44"/>
      <c r="Q38" s="44"/>
      <c r="R38" s="30"/>
      <c r="S38" s="107"/>
      <c r="T38" s="107"/>
      <c r="U38" s="107"/>
      <c r="V38" s="107"/>
      <c r="W38" s="30"/>
      <c r="X38" s="30"/>
      <c r="Y38" s="30"/>
      <c r="Z38" s="30"/>
      <c r="AA38" s="30"/>
      <c r="AB38" s="30"/>
    </row>
    <row r="39" spans="1:28" s="1" customFormat="1" x14ac:dyDescent="0.35">
      <c r="A39" s="5">
        <f>A38+1</f>
        <v>20</v>
      </c>
      <c r="C39" s="2" t="s">
        <v>45</v>
      </c>
      <c r="D39" s="162" t="s">
        <v>260</v>
      </c>
      <c r="E39" s="46">
        <f>'OATT Input Data'!$E$137*-1</f>
        <v>-2358132761</v>
      </c>
      <c r="F39" s="8"/>
      <c r="G39" s="8" t="s">
        <v>46</v>
      </c>
      <c r="H39" s="353">
        <f>+H35</f>
        <v>0.10312</v>
      </c>
      <c r="I39" s="8"/>
      <c r="J39" s="107">
        <f t="shared" ref="J39:J46" si="1">ROUND(E39*H39,0)</f>
        <v>-243170650</v>
      </c>
      <c r="K39" s="8"/>
      <c r="L39" s="356"/>
      <c r="M39" s="4"/>
      <c r="N39" s="114"/>
      <c r="O39" s="29"/>
      <c r="P39" s="44"/>
      <c r="Q39" s="44"/>
      <c r="R39" s="30"/>
      <c r="S39" s="106"/>
      <c r="T39" s="107"/>
      <c r="U39" s="106"/>
      <c r="V39" s="107"/>
      <c r="W39" s="30"/>
      <c r="X39" s="30"/>
      <c r="Y39" s="30"/>
      <c r="Z39" s="30"/>
      <c r="AA39" s="30"/>
      <c r="AB39" s="30"/>
    </row>
    <row r="40" spans="1:28" s="1" customFormat="1" x14ac:dyDescent="0.35">
      <c r="A40" s="5">
        <f>A39+1</f>
        <v>21</v>
      </c>
      <c r="C40" s="2" t="s">
        <v>47</v>
      </c>
      <c r="D40" s="230" t="s">
        <v>261</v>
      </c>
      <c r="E40" s="46">
        <f>'OATT Input Data'!$E$142*-1</f>
        <v>-264142468</v>
      </c>
      <c r="F40" s="8"/>
      <c r="G40" s="8" t="s">
        <v>46</v>
      </c>
      <c r="H40" s="353">
        <f>+H35</f>
        <v>0.10312</v>
      </c>
      <c r="I40" s="8"/>
      <c r="J40" s="46">
        <f>ROUND(E40*H40,0)</f>
        <v>-27238371</v>
      </c>
      <c r="K40" s="8"/>
      <c r="L40" s="356"/>
      <c r="M40" s="4"/>
      <c r="N40" s="270"/>
      <c r="O40" s="29"/>
      <c r="P40" s="44"/>
      <c r="Q40" s="44"/>
      <c r="R40" s="30"/>
      <c r="S40" s="106"/>
      <c r="T40" s="106"/>
      <c r="U40" s="106"/>
      <c r="V40" s="106"/>
      <c r="W40" s="30"/>
      <c r="X40" s="30"/>
      <c r="Y40" s="30"/>
      <c r="Z40" s="30"/>
      <c r="AA40" s="30"/>
      <c r="AB40" s="30"/>
    </row>
    <row r="41" spans="1:28" s="1" customFormat="1" x14ac:dyDescent="0.35">
      <c r="A41" s="5">
        <f>A40+1</f>
        <v>22</v>
      </c>
      <c r="C41" s="2" t="s">
        <v>48</v>
      </c>
      <c r="D41" s="230" t="s">
        <v>262</v>
      </c>
      <c r="E41" s="46">
        <f>'OATT Input Data'!$E$152</f>
        <v>199588921</v>
      </c>
      <c r="F41" s="8"/>
      <c r="G41" s="8" t="s">
        <v>46</v>
      </c>
      <c r="H41" s="353">
        <f>+H35</f>
        <v>0.10312</v>
      </c>
      <c r="I41" s="8"/>
      <c r="J41" s="46">
        <f>ROUND(E41*H41,0)</f>
        <v>20581610</v>
      </c>
      <c r="K41" s="8"/>
      <c r="L41" s="356"/>
      <c r="M41" s="4"/>
      <c r="N41" s="270"/>
      <c r="O41" s="29"/>
      <c r="P41" s="44"/>
      <c r="Q41" s="44"/>
      <c r="R41" s="30"/>
      <c r="S41" s="106"/>
      <c r="T41" s="106"/>
      <c r="U41" s="106"/>
      <c r="V41" s="106"/>
      <c r="W41" s="30"/>
      <c r="X41" s="30"/>
      <c r="Y41" s="30"/>
      <c r="Z41" s="30"/>
      <c r="AA41" s="30"/>
      <c r="AB41" s="30"/>
    </row>
    <row r="42" spans="1:28" s="1" customFormat="1" x14ac:dyDescent="0.35">
      <c r="A42" s="5">
        <f>A41+1</f>
        <v>23</v>
      </c>
      <c r="C42" s="1" t="s">
        <v>49</v>
      </c>
      <c r="D42" s="162" t="s">
        <v>263</v>
      </c>
      <c r="E42" s="357">
        <f>'OATT Input Data'!$E$153*-1</f>
        <v>0</v>
      </c>
      <c r="F42" s="8"/>
      <c r="G42" s="8" t="s">
        <v>46</v>
      </c>
      <c r="H42" s="353">
        <f>+H40</f>
        <v>0.10312</v>
      </c>
      <c r="I42" s="8"/>
      <c r="J42" s="357">
        <f t="shared" si="1"/>
        <v>0</v>
      </c>
      <c r="K42" s="8"/>
      <c r="L42" s="356"/>
      <c r="M42" s="4"/>
      <c r="N42" s="271"/>
      <c r="O42" s="29"/>
      <c r="P42" s="44"/>
      <c r="Q42" s="44"/>
      <c r="R42" s="30"/>
      <c r="S42" s="30"/>
      <c r="T42" s="30"/>
      <c r="U42" s="30"/>
      <c r="V42" s="30"/>
      <c r="W42" s="30"/>
      <c r="X42" s="30"/>
      <c r="Y42" s="30"/>
      <c r="Z42" s="30"/>
      <c r="AA42" s="30"/>
      <c r="AB42" s="30"/>
    </row>
    <row r="43" spans="1:28" s="1" customFormat="1" x14ac:dyDescent="0.35">
      <c r="A43" s="5">
        <f t="shared" ref="A43:A47" si="2">A42+1</f>
        <v>24</v>
      </c>
      <c r="C43" s="2" t="s">
        <v>50</v>
      </c>
      <c r="D43" s="228" t="s">
        <v>286</v>
      </c>
      <c r="E43" s="357">
        <f>'OATT Input Data'!$E$166*-1</f>
        <v>-1889592.7646360728</v>
      </c>
      <c r="F43" s="8"/>
      <c r="G43" s="8" t="str">
        <f>G15</f>
        <v>TP</v>
      </c>
      <c r="H43" s="123">
        <f>H15</f>
        <v>0.96242000000000005</v>
      </c>
      <c r="I43" s="8"/>
      <c r="J43" s="357">
        <f t="shared" si="1"/>
        <v>-1818582</v>
      </c>
      <c r="K43" s="8"/>
      <c r="L43" s="356"/>
      <c r="M43" s="4"/>
      <c r="N43" s="271"/>
      <c r="O43" s="29"/>
      <c r="P43" s="44"/>
      <c r="Q43" s="44"/>
      <c r="R43" s="30"/>
      <c r="S43" s="30"/>
      <c r="T43" s="30"/>
      <c r="U43" s="30"/>
      <c r="V43" s="30"/>
      <c r="W43" s="30"/>
      <c r="X43" s="30"/>
      <c r="Y43" s="30"/>
      <c r="Z43" s="30"/>
      <c r="AA43" s="30"/>
      <c r="AB43" s="30"/>
    </row>
    <row r="44" spans="1:28" s="1" customFormat="1" x14ac:dyDescent="0.35">
      <c r="A44" s="5">
        <f t="shared" si="2"/>
        <v>25</v>
      </c>
      <c r="C44" s="358" t="s">
        <v>51</v>
      </c>
      <c r="D44" s="228" t="s">
        <v>286</v>
      </c>
      <c r="E44" s="46">
        <f>'OATT Input Data'!$E$173*-1</f>
        <v>-18763845.092523225</v>
      </c>
      <c r="F44" s="8"/>
      <c r="G44" s="8"/>
      <c r="H44" s="359">
        <v>1</v>
      </c>
      <c r="I44" s="8"/>
      <c r="J44" s="46">
        <f t="shared" si="1"/>
        <v>-18763845</v>
      </c>
      <c r="K44" s="8"/>
      <c r="L44" s="356"/>
      <c r="M44" s="4"/>
      <c r="N44" s="272"/>
      <c r="O44" s="29"/>
      <c r="P44" s="44"/>
      <c r="Q44" s="44"/>
      <c r="R44" s="30"/>
      <c r="S44" s="30"/>
      <c r="T44" s="30"/>
      <c r="U44" s="30"/>
      <c r="V44" s="30"/>
      <c r="W44" s="30"/>
      <c r="X44" s="30"/>
      <c r="Y44" s="30"/>
      <c r="Z44" s="30"/>
      <c r="AA44" s="30"/>
      <c r="AB44" s="30"/>
    </row>
    <row r="45" spans="1:28" s="1" customFormat="1" x14ac:dyDescent="0.35">
      <c r="A45" s="5">
        <f t="shared" si="2"/>
        <v>26</v>
      </c>
      <c r="C45" s="360" t="s">
        <v>183</v>
      </c>
      <c r="E45" s="46">
        <f>'OATT Input Data'!$E$157*-1</f>
        <v>-298666.83999999997</v>
      </c>
      <c r="F45" s="8"/>
      <c r="G45" s="8" t="str">
        <f>$G$15</f>
        <v>TP</v>
      </c>
      <c r="H45" s="123">
        <f>$H$15</f>
        <v>0.96242000000000005</v>
      </c>
      <c r="I45" s="8"/>
      <c r="J45" s="46">
        <f t="shared" si="1"/>
        <v>-287443</v>
      </c>
      <c r="K45" s="8"/>
      <c r="L45" s="356"/>
      <c r="M45" s="4"/>
      <c r="N45" s="272"/>
      <c r="O45" s="29"/>
      <c r="P45" s="44"/>
      <c r="Q45" s="44"/>
      <c r="R45" s="30"/>
      <c r="S45" s="30"/>
      <c r="T45" s="30"/>
      <c r="U45" s="30"/>
      <c r="V45" s="30"/>
      <c r="W45" s="30"/>
      <c r="X45" s="30"/>
      <c r="Y45" s="30"/>
      <c r="Z45" s="30"/>
      <c r="AA45" s="30"/>
      <c r="AB45" s="30"/>
    </row>
    <row r="46" spans="1:28" s="1" customFormat="1" ht="18.5" x14ac:dyDescent="0.65">
      <c r="A46" s="5">
        <f t="shared" si="2"/>
        <v>27</v>
      </c>
      <c r="C46" s="360" t="s">
        <v>184</v>
      </c>
      <c r="E46" s="361">
        <f>'OATT Input Data'!$E$160*-1</f>
        <v>0</v>
      </c>
      <c r="F46" s="8"/>
      <c r="G46" s="8" t="str">
        <f>$G$18</f>
        <v>CE</v>
      </c>
      <c r="H46" s="123">
        <f>$H$18</f>
        <v>6.0389999999999999E-2</v>
      </c>
      <c r="I46" s="8"/>
      <c r="J46" s="361">
        <f t="shared" si="1"/>
        <v>0</v>
      </c>
      <c r="K46" s="8"/>
      <c r="L46" s="356"/>
      <c r="M46" s="4"/>
      <c r="N46" s="272"/>
      <c r="O46" s="29"/>
      <c r="P46" s="44"/>
      <c r="Q46" s="44"/>
      <c r="R46" s="30"/>
      <c r="S46" s="30"/>
      <c r="T46" s="30"/>
      <c r="U46" s="30"/>
      <c r="V46" s="30"/>
      <c r="W46" s="30"/>
      <c r="X46" s="30"/>
      <c r="Y46" s="30"/>
      <c r="Z46" s="30"/>
      <c r="AA46" s="30"/>
      <c r="AB46" s="30"/>
    </row>
    <row r="47" spans="1:28" s="1" customFormat="1" x14ac:dyDescent="0.35">
      <c r="A47" s="5">
        <f t="shared" si="2"/>
        <v>28</v>
      </c>
      <c r="C47" s="7" t="s">
        <v>192</v>
      </c>
      <c r="D47" s="165" t="s">
        <v>264</v>
      </c>
      <c r="E47" s="107">
        <f>ROUND(SUM(E38:E46),0)</f>
        <v>-2443638413</v>
      </c>
      <c r="F47" s="8"/>
      <c r="G47" s="8"/>
      <c r="H47" s="8"/>
      <c r="I47" s="8"/>
      <c r="J47" s="107">
        <f>ROUND(SUM(J39:J46),0)</f>
        <v>-270697281</v>
      </c>
      <c r="K47" s="8"/>
      <c r="L47" s="8"/>
      <c r="M47" s="4"/>
      <c r="N47" s="116"/>
      <c r="O47" s="44"/>
      <c r="P47" s="19"/>
      <c r="Q47" s="30"/>
      <c r="R47" s="30"/>
      <c r="S47" s="30"/>
      <c r="T47" s="30"/>
      <c r="U47" s="30"/>
      <c r="V47" s="30"/>
      <c r="W47" s="30"/>
      <c r="X47" s="30"/>
      <c r="Y47" s="30"/>
      <c r="Z47" s="30"/>
      <c r="AA47" s="30"/>
      <c r="AB47" s="30"/>
    </row>
    <row r="48" spans="1:28" s="1" customFormat="1" x14ac:dyDescent="0.35">
      <c r="A48" s="5"/>
      <c r="D48" s="8"/>
      <c r="E48" s="46"/>
      <c r="F48" s="8"/>
      <c r="G48" s="8"/>
      <c r="H48" s="356"/>
      <c r="I48" s="8"/>
      <c r="J48" s="46"/>
      <c r="K48" s="8"/>
      <c r="L48" s="356"/>
      <c r="M48" s="4"/>
      <c r="N48" s="62"/>
      <c r="O48" s="44"/>
      <c r="P48" s="30"/>
      <c r="Q48" s="30"/>
      <c r="R48" s="30"/>
      <c r="S48" s="30"/>
      <c r="T48" s="30"/>
      <c r="U48" s="30"/>
      <c r="V48" s="30"/>
      <c r="W48" s="30"/>
      <c r="X48" s="30"/>
      <c r="Y48" s="30"/>
      <c r="Z48" s="30"/>
      <c r="AA48" s="30"/>
      <c r="AB48" s="30"/>
    </row>
    <row r="49" spans="1:19" x14ac:dyDescent="0.35">
      <c r="A49" s="5">
        <f>A47+1</f>
        <v>29</v>
      </c>
      <c r="C49" s="2" t="s">
        <v>259</v>
      </c>
      <c r="D49" s="162" t="s">
        <v>334</v>
      </c>
      <c r="E49" s="308">
        <f>'OATT Input Data'!$E$175*-1</f>
        <v>0</v>
      </c>
      <c r="F49" s="8"/>
      <c r="G49" s="8" t="str">
        <f>+G23</f>
        <v>TP</v>
      </c>
      <c r="H49" s="353">
        <f>+H23</f>
        <v>0.96242000000000005</v>
      </c>
      <c r="I49" s="8"/>
      <c r="J49" s="308">
        <f>ROUND(E49*H49,0)</f>
        <v>0</v>
      </c>
      <c r="K49" s="8"/>
      <c r="L49" s="8"/>
      <c r="M49" s="4"/>
      <c r="N49" s="62"/>
      <c r="O49" s="44"/>
      <c r="P49" s="44"/>
      <c r="Q49" s="44"/>
    </row>
    <row r="50" spans="1:19" x14ac:dyDescent="0.35">
      <c r="A50" s="5"/>
      <c r="C50" s="2"/>
      <c r="D50" s="8"/>
      <c r="E50" s="46"/>
      <c r="F50" s="8"/>
      <c r="G50" s="8"/>
      <c r="H50" s="8"/>
      <c r="I50" s="8"/>
      <c r="J50" s="46"/>
      <c r="K50" s="8"/>
      <c r="L50" s="8"/>
      <c r="M50" s="4"/>
      <c r="N50" s="62"/>
      <c r="O50" s="44"/>
      <c r="P50" s="19"/>
    </row>
    <row r="51" spans="1:19" x14ac:dyDescent="0.35">
      <c r="A51" s="5"/>
      <c r="C51" s="7" t="s">
        <v>255</v>
      </c>
      <c r="D51" s="165" t="s">
        <v>254</v>
      </c>
      <c r="E51" s="46"/>
      <c r="F51" s="8"/>
      <c r="G51" s="8"/>
      <c r="H51" s="8"/>
      <c r="I51" s="8"/>
      <c r="J51" s="46"/>
      <c r="K51" s="8"/>
      <c r="L51" s="8"/>
      <c r="M51" s="4"/>
      <c r="N51" s="44"/>
      <c r="O51" s="44"/>
      <c r="P51" s="19"/>
    </row>
    <row r="52" spans="1:19" x14ac:dyDescent="0.35">
      <c r="A52" s="5">
        <f>A49+1</f>
        <v>30</v>
      </c>
      <c r="C52" s="360" t="s">
        <v>169</v>
      </c>
      <c r="D52" s="80" t="s">
        <v>52</v>
      </c>
      <c r="E52" s="107">
        <f>ROUND('NITS Pg 3 of 5'!$E$22/8,0)</f>
        <v>31641465</v>
      </c>
      <c r="F52" s="8"/>
      <c r="G52" s="8"/>
      <c r="H52" s="356"/>
      <c r="I52" s="8"/>
      <c r="J52" s="107">
        <f>ROUND('NITS Pg 3 of 5'!$J$22/8,0)</f>
        <v>9131772</v>
      </c>
      <c r="K52" s="4"/>
      <c r="L52" s="356"/>
      <c r="M52" s="4"/>
      <c r="N52" s="117"/>
      <c r="O52" s="118"/>
      <c r="P52" s="19"/>
    </row>
    <row r="53" spans="1:19" x14ac:dyDescent="0.35">
      <c r="A53" s="5">
        <f>A52+1</f>
        <v>31</v>
      </c>
      <c r="C53" s="360" t="s">
        <v>256</v>
      </c>
      <c r="D53" s="162" t="s">
        <v>382</v>
      </c>
      <c r="E53" s="46">
        <f>'OATT Input Data'!$E$182</f>
        <v>16940223.293587647</v>
      </c>
      <c r="F53" s="8"/>
      <c r="G53" s="8" t="s">
        <v>53</v>
      </c>
      <c r="H53" s="353">
        <f>'NITS Pg 4 of 5'!$J$25</f>
        <v>0.87946000000000002</v>
      </c>
      <c r="I53" s="8"/>
      <c r="J53" s="46">
        <f t="shared" ref="J53:J54" si="3">ROUND(E53*H53,0)</f>
        <v>14898249</v>
      </c>
      <c r="K53" s="8" t="s">
        <v>0</v>
      </c>
      <c r="L53" s="356"/>
      <c r="M53" s="4"/>
      <c r="N53" s="119"/>
      <c r="O53" s="118"/>
      <c r="P53" s="47"/>
      <c r="Q53" s="47"/>
    </row>
    <row r="54" spans="1:19" ht="18.5" x14ac:dyDescent="0.65">
      <c r="A54" s="5">
        <f t="shared" ref="A54:A55" si="4">A53+1</f>
        <v>32</v>
      </c>
      <c r="C54" s="358" t="s">
        <v>170</v>
      </c>
      <c r="D54" s="162" t="s">
        <v>417</v>
      </c>
      <c r="E54" s="595">
        <f>'OATT Input Data'!$E$188</f>
        <v>33076522</v>
      </c>
      <c r="F54" s="8"/>
      <c r="G54" s="8" t="s">
        <v>54</v>
      </c>
      <c r="H54" s="353">
        <f>+H19</f>
        <v>9.9720000000000003E-2</v>
      </c>
      <c r="I54" s="8"/>
      <c r="J54" s="354">
        <f t="shared" si="3"/>
        <v>3298391</v>
      </c>
      <c r="K54" s="8">
        <v>3736103</v>
      </c>
      <c r="L54" s="635">
        <f>K54-J54</f>
        <v>437712</v>
      </c>
      <c r="M54" s="4"/>
      <c r="N54" s="119"/>
      <c r="O54" s="29"/>
      <c r="P54" s="47"/>
      <c r="Q54" s="47"/>
    </row>
    <row r="55" spans="1:19" x14ac:dyDescent="0.35">
      <c r="A55" s="5">
        <f t="shared" si="4"/>
        <v>33</v>
      </c>
      <c r="C55" s="7" t="s">
        <v>193</v>
      </c>
      <c r="D55" s="165" t="str">
        <f>"Sum of Ls. "&amp;A52&amp;" - "&amp;A54</f>
        <v>Sum of Ls. 30 - 32</v>
      </c>
      <c r="E55" s="107">
        <f>ROUND(SUM(E52:E54),0)</f>
        <v>81658210</v>
      </c>
      <c r="F55" s="4"/>
      <c r="G55" s="4"/>
      <c r="H55" s="4"/>
      <c r="I55" s="4"/>
      <c r="J55" s="107">
        <f>ROUND(SUM(J52:J54),0)</f>
        <v>27328412</v>
      </c>
      <c r="K55" s="4"/>
      <c r="L55" s="4"/>
      <c r="M55" s="4"/>
      <c r="N55" s="111"/>
      <c r="O55" s="44"/>
      <c r="P55" s="19"/>
    </row>
    <row r="56" spans="1:19" x14ac:dyDescent="0.35">
      <c r="D56" s="8"/>
      <c r="E56" s="46"/>
      <c r="F56" s="8"/>
      <c r="G56" s="8"/>
      <c r="H56" s="8"/>
      <c r="I56" s="8"/>
      <c r="J56" s="46"/>
      <c r="K56" s="8"/>
      <c r="L56" s="8"/>
      <c r="M56" s="4"/>
      <c r="N56" s="44"/>
      <c r="O56" s="44"/>
      <c r="P56" s="19"/>
    </row>
    <row r="57" spans="1:19" x14ac:dyDescent="0.35">
      <c r="A57" s="5">
        <f>A55+1</f>
        <v>34</v>
      </c>
      <c r="C57" s="2" t="s">
        <v>257</v>
      </c>
      <c r="D57" s="165" t="s">
        <v>258</v>
      </c>
      <c r="E57" s="362">
        <f>ROUND(E55+E49+E47+E35,0)</f>
        <v>8214553315</v>
      </c>
      <c r="F57" s="8"/>
      <c r="G57" s="8"/>
      <c r="H57" s="356"/>
      <c r="I57" s="8"/>
      <c r="J57" s="362">
        <f>ROUND(J55+J49+J47+J35,0)</f>
        <v>847250841</v>
      </c>
      <c r="K57" s="8"/>
      <c r="L57" s="356"/>
      <c r="M57" s="8"/>
      <c r="N57" s="44"/>
      <c r="O57" s="44"/>
      <c r="P57" s="19"/>
    </row>
    <row r="58" spans="1:19" x14ac:dyDescent="0.35">
      <c r="A58" s="5"/>
      <c r="C58" s="2"/>
      <c r="D58" s="8"/>
      <c r="E58" s="8"/>
      <c r="F58" s="8"/>
      <c r="G58" s="8"/>
      <c r="H58" s="8"/>
      <c r="I58" s="8"/>
      <c r="J58" s="8"/>
      <c r="K58" s="8"/>
      <c r="L58" s="8"/>
      <c r="M58" s="8"/>
      <c r="N58" s="44"/>
      <c r="O58" s="44"/>
      <c r="P58" s="19"/>
    </row>
    <row r="59" spans="1:19" x14ac:dyDescent="0.35">
      <c r="Q59" s="79"/>
      <c r="R59" s="79"/>
      <c r="S59" s="79"/>
    </row>
    <row r="60" spans="1:19" x14ac:dyDescent="0.35">
      <c r="Q60" s="79"/>
      <c r="R60" s="79"/>
      <c r="S60" s="79"/>
    </row>
    <row r="61" spans="1:19" x14ac:dyDescent="0.35">
      <c r="Q61" s="79"/>
      <c r="R61" s="79"/>
      <c r="S61" s="79"/>
    </row>
    <row r="62" spans="1:19" x14ac:dyDescent="0.35">
      <c r="Q62" s="79"/>
      <c r="R62" s="79"/>
      <c r="S62" s="79"/>
    </row>
    <row r="63" spans="1:19" x14ac:dyDescent="0.35">
      <c r="Q63" s="79"/>
      <c r="R63" s="79"/>
      <c r="S63" s="79"/>
    </row>
    <row r="64" spans="1:19" x14ac:dyDescent="0.35">
      <c r="Q64" s="79"/>
      <c r="R64" s="79"/>
      <c r="S64" s="79"/>
    </row>
    <row r="65" spans="17:43" s="1" customFormat="1" x14ac:dyDescent="0.35">
      <c r="Q65" s="79"/>
      <c r="R65" s="79"/>
      <c r="S65" s="79"/>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7:43" s="1" customFormat="1" x14ac:dyDescent="0.35">
      <c r="Q66" s="79"/>
      <c r="R66" s="79"/>
      <c r="S66" s="79"/>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7:43" s="1" customFormat="1" x14ac:dyDescent="0.35">
      <c r="Q67" s="79"/>
      <c r="R67" s="79"/>
      <c r="S67" s="79"/>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7:43" s="1" customFormat="1" x14ac:dyDescent="0.35">
      <c r="Q68" s="79"/>
      <c r="R68" s="79"/>
      <c r="S68" s="79"/>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7:43" s="1" customFormat="1" x14ac:dyDescent="0.35">
      <c r="Q69" s="79"/>
      <c r="R69" s="79"/>
      <c r="S69" s="79"/>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17:43" s="1" customFormat="1" x14ac:dyDescent="0.35">
      <c r="Q70" s="79"/>
      <c r="R70" s="79"/>
      <c r="S70" s="79"/>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row>
    <row r="71" spans="17:43" s="1" customFormat="1" x14ac:dyDescent="0.35">
      <c r="Q71" s="79"/>
      <c r="R71" s="79"/>
      <c r="S71" s="79"/>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row>
    <row r="72" spans="17:43" s="1" customFormat="1" x14ac:dyDescent="0.35">
      <c r="Q72" s="79"/>
      <c r="R72" s="79"/>
      <c r="S72" s="79"/>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row>
    <row r="73" spans="17:43" s="1" customFormat="1" x14ac:dyDescent="0.35">
      <c r="Q73" s="79"/>
      <c r="R73" s="79"/>
      <c r="S73" s="79"/>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row>
    <row r="74" spans="17:43" s="1" customFormat="1" x14ac:dyDescent="0.35">
      <c r="Q74" s="79"/>
      <c r="R74" s="79"/>
      <c r="S74" s="79"/>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row>
    <row r="75" spans="17:43" s="1" customFormat="1" x14ac:dyDescent="0.35">
      <c r="Q75" s="79"/>
      <c r="R75" s="79"/>
      <c r="S75" s="79"/>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row>
    <row r="76" spans="17:43" s="1" customFormat="1" x14ac:dyDescent="0.35">
      <c r="Q76" s="79"/>
      <c r="R76" s="79"/>
      <c r="S76" s="79"/>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row>
    <row r="77" spans="17:43" s="1" customFormat="1" x14ac:dyDescent="0.35">
      <c r="Q77" s="79"/>
      <c r="R77" s="79"/>
      <c r="S77" s="79"/>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row>
    <row r="78" spans="17:43" s="1" customFormat="1" x14ac:dyDescent="0.35">
      <c r="Q78" s="79"/>
      <c r="R78" s="79"/>
      <c r="S78" s="79"/>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row>
    <row r="79" spans="17:43" s="1" customFormat="1" x14ac:dyDescent="0.35">
      <c r="Q79" s="79"/>
      <c r="R79" s="79"/>
      <c r="S79" s="79"/>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row>
    <row r="80" spans="17:43" s="1" customFormat="1" x14ac:dyDescent="0.35">
      <c r="Q80" s="79"/>
      <c r="R80" s="79"/>
      <c r="S80" s="79"/>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row>
    <row r="81" spans="17:43" s="1" customFormat="1" x14ac:dyDescent="0.35">
      <c r="Q81" s="79"/>
      <c r="R81" s="79"/>
      <c r="S81" s="79"/>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row>
    <row r="82" spans="17:43" s="1" customFormat="1" x14ac:dyDescent="0.35">
      <c r="Q82" s="79"/>
      <c r="R82" s="79"/>
      <c r="S82" s="79"/>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row>
    <row r="83" spans="17:43" s="1" customFormat="1" x14ac:dyDescent="0.35">
      <c r="Q83" s="79"/>
      <c r="R83" s="79"/>
      <c r="S83" s="79"/>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row>
    <row r="84" spans="17:43" s="1" customFormat="1" x14ac:dyDescent="0.35">
      <c r="Q84" s="79"/>
      <c r="R84" s="79"/>
      <c r="S84" s="79"/>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row>
    <row r="85" spans="17:43" s="1" customFormat="1" x14ac:dyDescent="0.35">
      <c r="Q85" s="79"/>
      <c r="R85" s="79"/>
      <c r="S85" s="79"/>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row>
    <row r="86" spans="17:43" s="1" customFormat="1" x14ac:dyDescent="0.35">
      <c r="Q86" s="79"/>
      <c r="R86" s="79"/>
      <c r="S86" s="79"/>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row>
    <row r="87" spans="17:43" s="1" customFormat="1" x14ac:dyDescent="0.35">
      <c r="Q87" s="79"/>
      <c r="R87" s="79"/>
      <c r="S87" s="79"/>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row>
    <row r="88" spans="17:43" s="1" customFormat="1" x14ac:dyDescent="0.35">
      <c r="Q88" s="79"/>
      <c r="R88" s="79"/>
      <c r="S88" s="79"/>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row>
    <row r="89" spans="17:43" s="1" customFormat="1" x14ac:dyDescent="0.35">
      <c r="Q89" s="79"/>
      <c r="R89" s="79"/>
      <c r="S89" s="79"/>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row>
    <row r="90" spans="17:43" s="1" customFormat="1" x14ac:dyDescent="0.35">
      <c r="Q90" s="79"/>
      <c r="R90" s="79"/>
      <c r="S90" s="79"/>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7:43" s="1" customFormat="1" x14ac:dyDescent="0.35">
      <c r="Q91" s="79"/>
      <c r="R91" s="79"/>
      <c r="S91" s="79"/>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row>
    <row r="92" spans="17:43" s="1" customFormat="1" x14ac:dyDescent="0.35">
      <c r="Q92" s="79"/>
      <c r="R92" s="79"/>
      <c r="S92" s="79"/>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pans="17:43" s="1" customFormat="1" x14ac:dyDescent="0.35">
      <c r="Q93" s="79"/>
      <c r="R93" s="79"/>
      <c r="S93" s="79"/>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row>
    <row r="94" spans="17:43" s="1" customFormat="1" x14ac:dyDescent="0.35">
      <c r="Q94" s="79"/>
      <c r="R94" s="79"/>
      <c r="S94" s="79"/>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17:43" s="1" customFormat="1" x14ac:dyDescent="0.35">
      <c r="Q95" s="79"/>
      <c r="R95" s="79"/>
      <c r="S95" s="79"/>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17:43" s="1" customFormat="1" x14ac:dyDescent="0.35">
      <c r="Q96" s="79"/>
      <c r="R96" s="79"/>
      <c r="S96" s="79"/>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17:43" s="1" customFormat="1" x14ac:dyDescent="0.35">
      <c r="Q97" s="79"/>
      <c r="R97" s="79"/>
      <c r="S97" s="79"/>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row>
    <row r="98" spans="17:43" s="1" customFormat="1" x14ac:dyDescent="0.35">
      <c r="Q98" s="79"/>
      <c r="R98" s="79"/>
      <c r="S98" s="79"/>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row>
    <row r="99" spans="17:43" s="1" customFormat="1" x14ac:dyDescent="0.35">
      <c r="Q99" s="79"/>
      <c r="R99" s="79"/>
      <c r="S99" s="79"/>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7:43" s="1" customFormat="1" x14ac:dyDescent="0.35">
      <c r="Q100" s="79"/>
      <c r="R100" s="79"/>
      <c r="S100" s="79"/>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row>
    <row r="101" spans="17:43" s="1" customFormat="1" x14ac:dyDescent="0.35">
      <c r="Q101" s="79"/>
      <c r="R101" s="79"/>
      <c r="S101" s="79"/>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row>
    <row r="102" spans="17:43" s="1" customFormat="1" x14ac:dyDescent="0.35">
      <c r="Q102" s="79"/>
      <c r="R102" s="79"/>
      <c r="S102" s="79"/>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row>
    <row r="103" spans="17:43" s="1" customFormat="1" x14ac:dyDescent="0.35">
      <c r="Q103" s="79"/>
      <c r="R103" s="79"/>
      <c r="S103" s="79"/>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row>
    <row r="104" spans="17:43" s="1" customFormat="1" x14ac:dyDescent="0.35">
      <c r="Q104" s="79"/>
      <c r="R104" s="79"/>
      <c r="S104" s="79"/>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row>
    <row r="105" spans="17:43" s="1" customFormat="1" x14ac:dyDescent="0.35">
      <c r="Q105" s="79"/>
      <c r="R105" s="79"/>
      <c r="S105" s="79"/>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row>
    <row r="106" spans="17:43" s="1" customFormat="1" x14ac:dyDescent="0.35">
      <c r="Q106" s="79"/>
      <c r="R106" s="79"/>
      <c r="S106" s="79"/>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row>
    <row r="107" spans="17:43" s="1" customFormat="1" x14ac:dyDescent="0.35">
      <c r="Q107" s="79"/>
      <c r="R107" s="79"/>
      <c r="S107" s="79"/>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row>
    <row r="108" spans="17:43" s="1" customFormat="1" x14ac:dyDescent="0.35">
      <c r="Q108" s="79"/>
      <c r="R108" s="79"/>
      <c r="S108" s="79"/>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row>
    <row r="109" spans="17:43" s="1" customFormat="1" x14ac:dyDescent="0.35">
      <c r="Q109" s="79"/>
      <c r="R109" s="79"/>
      <c r="S109" s="79"/>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row>
    <row r="110" spans="17:43" s="1" customFormat="1" x14ac:dyDescent="0.35">
      <c r="Q110" s="79"/>
      <c r="R110" s="79"/>
      <c r="S110" s="79"/>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row>
    <row r="111" spans="17:43" s="1" customFormat="1" x14ac:dyDescent="0.35">
      <c r="Q111" s="79"/>
      <c r="R111" s="79"/>
      <c r="S111" s="79"/>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row>
    <row r="112" spans="17:43" s="1" customFormat="1" x14ac:dyDescent="0.35">
      <c r="Q112" s="79"/>
      <c r="R112" s="79"/>
      <c r="S112" s="79"/>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row>
    <row r="113" spans="17:43" s="1" customFormat="1" x14ac:dyDescent="0.35">
      <c r="Q113" s="79"/>
      <c r="R113" s="79"/>
      <c r="S113" s="79"/>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row>
    <row r="114" spans="17:43" s="1" customFormat="1" x14ac:dyDescent="0.35">
      <c r="Q114" s="79"/>
      <c r="R114" s="79"/>
      <c r="S114" s="79"/>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row>
    <row r="115" spans="17:43" s="1" customFormat="1" x14ac:dyDescent="0.35">
      <c r="Q115" s="79"/>
      <c r="R115" s="79"/>
      <c r="S115" s="79"/>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row r="116" spans="17:43" s="1" customFormat="1" x14ac:dyDescent="0.35">
      <c r="Q116" s="79"/>
      <c r="R116" s="79"/>
      <c r="S116" s="79"/>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7:43" s="1" customFormat="1" x14ac:dyDescent="0.35">
      <c r="Q117" s="79"/>
      <c r="R117" s="79"/>
      <c r="S117" s="79"/>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7:43" s="1" customFormat="1" x14ac:dyDescent="0.35">
      <c r="Q118" s="79"/>
      <c r="R118" s="79"/>
      <c r="S118" s="79"/>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7:43" s="1" customFormat="1" x14ac:dyDescent="0.35">
      <c r="Q119" s="79"/>
      <c r="R119" s="79"/>
      <c r="S119" s="79"/>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7:43" s="1" customFormat="1" x14ac:dyDescent="0.35">
      <c r="Q120" s="79"/>
      <c r="R120" s="79"/>
      <c r="S120" s="79"/>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7:43" s="1" customFormat="1" x14ac:dyDescent="0.35">
      <c r="Q121" s="79"/>
      <c r="R121" s="79"/>
      <c r="S121" s="79"/>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7:43" s="1" customFormat="1" x14ac:dyDescent="0.35">
      <c r="Q122" s="79"/>
      <c r="R122" s="79"/>
      <c r="S122" s="79"/>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7:43" s="1" customFormat="1" x14ac:dyDescent="0.35">
      <c r="Q123" s="79"/>
      <c r="R123" s="79"/>
      <c r="S123" s="79"/>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7:43" s="1" customFormat="1" x14ac:dyDescent="0.35">
      <c r="Q124" s="79"/>
      <c r="R124" s="79"/>
      <c r="S124" s="79"/>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7:43" s="1" customFormat="1" x14ac:dyDescent="0.35">
      <c r="Q125" s="79"/>
      <c r="R125" s="79"/>
      <c r="S125" s="7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7:43" s="1" customFormat="1" x14ac:dyDescent="0.35">
      <c r="Q126" s="79"/>
      <c r="R126" s="79"/>
      <c r="S126" s="79"/>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row r="127" spans="17:43" s="1" customFormat="1" x14ac:dyDescent="0.35">
      <c r="Q127" s="79"/>
      <c r="R127" s="79"/>
      <c r="S127" s="79"/>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row>
    <row r="128" spans="17:43" s="1" customFormat="1" x14ac:dyDescent="0.35">
      <c r="Q128" s="79"/>
      <c r="R128" s="79"/>
      <c r="S128" s="79"/>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row>
    <row r="129" spans="17:43" s="1" customFormat="1" x14ac:dyDescent="0.35">
      <c r="Q129" s="79"/>
      <c r="R129" s="79"/>
      <c r="S129" s="79"/>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row>
    <row r="130" spans="17:43" s="1" customFormat="1" x14ac:dyDescent="0.35">
      <c r="Q130" s="79"/>
      <c r="R130" s="79"/>
      <c r="S130" s="79"/>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row>
    <row r="131" spans="17:43" s="1" customFormat="1" x14ac:dyDescent="0.35">
      <c r="Q131" s="79"/>
      <c r="R131" s="79"/>
      <c r="S131" s="79"/>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row>
    <row r="132" spans="17:43" s="1" customFormat="1" x14ac:dyDescent="0.35">
      <c r="Q132" s="79"/>
      <c r="R132" s="79"/>
      <c r="S132" s="79"/>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row>
    <row r="133" spans="17:43" s="1" customFormat="1" x14ac:dyDescent="0.35">
      <c r="Q133" s="79"/>
      <c r="R133" s="79"/>
      <c r="S133" s="79"/>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row>
    <row r="134" spans="17:43" s="1" customFormat="1" x14ac:dyDescent="0.35">
      <c r="Q134" s="79"/>
      <c r="R134" s="79"/>
      <c r="S134" s="79"/>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row r="135" spans="17:43" s="1" customFormat="1" x14ac:dyDescent="0.35">
      <c r="Q135" s="79"/>
      <c r="R135" s="79"/>
      <c r="S135" s="79"/>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row>
    <row r="136" spans="17:43" s="1" customFormat="1" x14ac:dyDescent="0.35">
      <c r="Q136" s="79"/>
      <c r="R136" s="79"/>
      <c r="S136" s="79"/>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row>
    <row r="137" spans="17:43" s="1" customFormat="1" x14ac:dyDescent="0.35">
      <c r="Q137" s="79"/>
      <c r="R137" s="79"/>
      <c r="S137" s="79"/>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row>
    <row r="138" spans="17:43" s="1" customFormat="1" x14ac:dyDescent="0.35">
      <c r="Q138" s="79"/>
      <c r="R138" s="79"/>
      <c r="S138" s="79"/>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row>
    <row r="139" spans="17:43" s="1" customFormat="1" x14ac:dyDescent="0.35">
      <c r="Q139" s="79"/>
      <c r="R139" s="79"/>
      <c r="S139" s="79"/>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row>
    <row r="140" spans="17:43" s="1" customFormat="1" x14ac:dyDescent="0.35">
      <c r="Q140" s="79"/>
      <c r="R140" s="79"/>
      <c r="S140" s="79"/>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row>
    <row r="141" spans="17:43" s="1" customFormat="1" x14ac:dyDescent="0.35">
      <c r="Q141" s="79"/>
      <c r="R141" s="79"/>
      <c r="S141" s="79"/>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row>
    <row r="142" spans="17:43" s="1" customFormat="1" x14ac:dyDescent="0.35">
      <c r="Q142" s="79"/>
      <c r="R142" s="79"/>
      <c r="S142" s="79"/>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row>
    <row r="143" spans="17:43" s="1" customFormat="1" x14ac:dyDescent="0.35">
      <c r="Q143" s="79"/>
      <c r="R143" s="79"/>
      <c r="S143" s="79"/>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row>
    <row r="144" spans="17:43" s="1" customFormat="1" x14ac:dyDescent="0.35">
      <c r="Q144" s="79"/>
      <c r="R144" s="79"/>
      <c r="S144" s="79"/>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row>
    <row r="145" spans="17:43" s="1" customFormat="1" x14ac:dyDescent="0.35">
      <c r="Q145" s="79"/>
      <c r="R145" s="79"/>
      <c r="S145" s="79"/>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row>
    <row r="146" spans="17:43" s="1" customFormat="1" x14ac:dyDescent="0.35">
      <c r="Q146" s="79"/>
      <c r="R146" s="79"/>
      <c r="S146" s="79"/>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row>
    <row r="147" spans="17:43" s="1" customFormat="1" x14ac:dyDescent="0.35">
      <c r="Q147" s="79"/>
      <c r="R147" s="79"/>
      <c r="S147" s="79"/>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row>
    <row r="148" spans="17:43" s="1" customFormat="1" x14ac:dyDescent="0.35">
      <c r="Q148" s="79"/>
      <c r="R148" s="79"/>
      <c r="S148" s="79"/>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row>
    <row r="149" spans="17:43" s="1" customFormat="1" x14ac:dyDescent="0.35">
      <c r="Q149" s="79"/>
      <c r="R149" s="79"/>
      <c r="S149" s="79"/>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row>
    <row r="150" spans="17:43" s="1" customFormat="1" x14ac:dyDescent="0.35">
      <c r="Q150" s="79"/>
      <c r="R150" s="79"/>
      <c r="S150" s="79"/>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row>
    <row r="151" spans="17:43" s="1" customFormat="1" x14ac:dyDescent="0.35">
      <c r="Q151" s="79"/>
      <c r="R151" s="79"/>
      <c r="S151" s="79"/>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row>
    <row r="152" spans="17:43" s="1" customFormat="1" x14ac:dyDescent="0.35">
      <c r="Q152" s="79"/>
      <c r="R152" s="79"/>
      <c r="S152" s="79"/>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row>
    <row r="153" spans="17:43" s="1" customFormat="1" x14ac:dyDescent="0.35">
      <c r="Q153" s="79"/>
      <c r="R153" s="79"/>
      <c r="S153" s="79"/>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row>
    <row r="154" spans="17:43" s="1" customFormat="1" x14ac:dyDescent="0.35">
      <c r="Q154" s="79"/>
      <c r="R154" s="79"/>
      <c r="S154" s="79"/>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row>
    <row r="155" spans="17:43" s="1" customFormat="1" x14ac:dyDescent="0.35">
      <c r="Q155" s="79"/>
      <c r="R155" s="79"/>
      <c r="S155" s="79"/>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row>
    <row r="156" spans="17:43" s="1" customFormat="1" x14ac:dyDescent="0.35">
      <c r="Q156" s="79"/>
      <c r="R156" s="79"/>
      <c r="S156" s="79"/>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row>
    <row r="157" spans="17:43" s="1" customFormat="1" x14ac:dyDescent="0.35">
      <c r="Q157" s="79"/>
      <c r="R157" s="79"/>
      <c r="S157" s="79"/>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row>
    <row r="158" spans="17:43" s="1" customFormat="1" x14ac:dyDescent="0.35">
      <c r="Q158" s="79"/>
      <c r="R158" s="79"/>
      <c r="S158" s="79"/>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row>
    <row r="159" spans="17:43" s="1" customFormat="1" x14ac:dyDescent="0.35">
      <c r="Q159" s="79"/>
      <c r="R159" s="79"/>
      <c r="S159" s="79"/>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row>
    <row r="160" spans="17:43" s="1" customFormat="1" x14ac:dyDescent="0.35">
      <c r="Q160" s="79"/>
      <c r="R160" s="79"/>
      <c r="S160" s="79"/>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row>
    <row r="161" spans="17:43" s="1" customFormat="1" x14ac:dyDescent="0.35">
      <c r="Q161" s="79"/>
      <c r="R161" s="79"/>
      <c r="S161" s="79"/>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row>
    <row r="162" spans="17:43" s="1" customFormat="1" x14ac:dyDescent="0.35">
      <c r="Q162" s="79"/>
      <c r="R162" s="79"/>
      <c r="S162" s="79"/>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row>
    <row r="163" spans="17:43" s="1" customFormat="1" x14ac:dyDescent="0.35">
      <c r="Q163" s="79"/>
      <c r="R163" s="79"/>
      <c r="S163" s="79"/>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row>
    <row r="164" spans="17:43" s="1" customFormat="1" x14ac:dyDescent="0.35">
      <c r="Q164" s="79"/>
      <c r="R164" s="79"/>
      <c r="S164" s="79"/>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row>
    <row r="165" spans="17:43" s="1" customFormat="1" x14ac:dyDescent="0.35">
      <c r="Q165" s="79"/>
      <c r="R165" s="79"/>
      <c r="S165" s="79"/>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row>
    <row r="166" spans="17:43" s="1" customFormat="1" x14ac:dyDescent="0.35">
      <c r="Q166" s="79"/>
      <c r="R166" s="79"/>
      <c r="S166" s="79"/>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row>
    <row r="167" spans="17:43" s="1" customFormat="1" x14ac:dyDescent="0.35">
      <c r="Q167" s="79"/>
      <c r="R167" s="79"/>
      <c r="S167" s="79"/>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row>
    <row r="168" spans="17:43" s="1" customFormat="1" x14ac:dyDescent="0.35">
      <c r="Q168" s="79"/>
      <c r="R168" s="79"/>
      <c r="S168" s="79"/>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row>
    <row r="169" spans="17:43" s="1" customFormat="1" x14ac:dyDescent="0.35">
      <c r="Q169" s="79"/>
      <c r="R169" s="79"/>
      <c r="S169" s="79"/>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row>
    <row r="170" spans="17:43" s="1" customFormat="1" x14ac:dyDescent="0.35">
      <c r="Q170" s="79"/>
      <c r="R170" s="79"/>
      <c r="S170" s="79"/>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row>
    <row r="171" spans="17:43" s="1" customFormat="1" x14ac:dyDescent="0.35">
      <c r="Q171" s="79"/>
      <c r="R171" s="79"/>
      <c r="S171" s="79"/>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row>
    <row r="172" spans="17:43" s="1" customFormat="1" x14ac:dyDescent="0.35">
      <c r="Q172" s="79"/>
      <c r="R172" s="79"/>
      <c r="S172" s="79"/>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row>
    <row r="173" spans="17:43" s="1" customFormat="1" x14ac:dyDescent="0.35">
      <c r="Q173" s="79"/>
      <c r="R173" s="79"/>
      <c r="S173" s="79"/>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row>
    <row r="174" spans="17:43" s="1" customFormat="1" x14ac:dyDescent="0.35">
      <c r="Q174" s="79"/>
      <c r="R174" s="79"/>
      <c r="S174" s="79"/>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row>
    <row r="175" spans="17:43" s="1" customFormat="1" x14ac:dyDescent="0.35">
      <c r="Q175" s="79"/>
      <c r="R175" s="79"/>
      <c r="S175" s="79"/>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row>
    <row r="176" spans="17:43" s="1" customFormat="1" x14ac:dyDescent="0.35">
      <c r="Q176" s="79"/>
      <c r="R176" s="79"/>
      <c r="S176" s="79"/>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row>
    <row r="177" spans="3:19" x14ac:dyDescent="0.35">
      <c r="Q177" s="79"/>
      <c r="R177" s="79"/>
      <c r="S177" s="79"/>
    </row>
    <row r="178" spans="3:19" x14ac:dyDescent="0.35">
      <c r="Q178" s="79"/>
      <c r="R178" s="79"/>
      <c r="S178" s="79"/>
    </row>
    <row r="179" spans="3:19" x14ac:dyDescent="0.35">
      <c r="Q179" s="79"/>
      <c r="R179" s="79"/>
      <c r="S179" s="79"/>
    </row>
    <row r="180" spans="3:19" x14ac:dyDescent="0.35">
      <c r="Q180" s="79"/>
      <c r="R180" s="79"/>
      <c r="S180" s="79"/>
    </row>
    <row r="181" spans="3:19" x14ac:dyDescent="0.35">
      <c r="Q181" s="79"/>
      <c r="R181" s="79"/>
      <c r="S181" s="79"/>
    </row>
    <row r="182" spans="3:19" x14ac:dyDescent="0.35">
      <c r="Q182" s="79"/>
      <c r="R182" s="79"/>
      <c r="S182" s="79"/>
    </row>
    <row r="183" spans="3:19" x14ac:dyDescent="0.35">
      <c r="C183" s="80"/>
      <c r="D183" s="80"/>
      <c r="E183" s="80"/>
      <c r="F183" s="80"/>
      <c r="G183" s="80"/>
      <c r="H183" s="80"/>
      <c r="I183" s="80"/>
      <c r="J183" s="80"/>
      <c r="K183" s="80"/>
      <c r="L183" s="80"/>
      <c r="M183" s="80"/>
      <c r="N183" s="79"/>
      <c r="O183" s="79"/>
      <c r="Q183" s="79"/>
      <c r="R183" s="79"/>
      <c r="S183" s="79"/>
    </row>
    <row r="184" spans="3:19" x14ac:dyDescent="0.35">
      <c r="C184" s="80"/>
      <c r="D184" s="80"/>
      <c r="E184" s="80"/>
      <c r="F184" s="80"/>
      <c r="G184" s="80"/>
      <c r="H184" s="80"/>
      <c r="I184" s="80"/>
      <c r="J184" s="80"/>
      <c r="K184" s="80"/>
      <c r="L184" s="80"/>
      <c r="M184" s="80"/>
      <c r="N184" s="79"/>
      <c r="O184" s="79"/>
      <c r="P184" s="79"/>
      <c r="Q184" s="79"/>
      <c r="R184" s="79"/>
      <c r="S184" s="79"/>
    </row>
    <row r="185" spans="3:19" x14ac:dyDescent="0.35">
      <c r="C185" s="80"/>
      <c r="D185" s="80"/>
      <c r="E185" s="80"/>
      <c r="F185" s="80"/>
      <c r="G185" s="80"/>
      <c r="H185" s="80"/>
      <c r="I185" s="80"/>
      <c r="J185" s="80"/>
      <c r="K185" s="80"/>
      <c r="L185" s="80"/>
      <c r="M185" s="80"/>
      <c r="N185" s="79"/>
      <c r="O185" s="79"/>
      <c r="P185" s="79"/>
      <c r="Q185" s="79"/>
      <c r="R185" s="79"/>
      <c r="S185" s="79"/>
    </row>
    <row r="186" spans="3:19" x14ac:dyDescent="0.35">
      <c r="C186" s="80"/>
      <c r="D186" s="80"/>
      <c r="E186" s="80"/>
      <c r="F186" s="80"/>
      <c r="G186" s="80"/>
      <c r="H186" s="80"/>
      <c r="I186" s="80"/>
      <c r="J186" s="80"/>
      <c r="K186" s="80"/>
      <c r="L186" s="80"/>
      <c r="M186" s="80"/>
      <c r="N186" s="79"/>
      <c r="O186" s="79"/>
      <c r="P186" s="79"/>
      <c r="Q186" s="79"/>
      <c r="R186" s="79"/>
      <c r="S186" s="79"/>
    </row>
    <row r="187" spans="3:19" x14ac:dyDescent="0.35">
      <c r="C187" s="80"/>
      <c r="D187" s="80"/>
      <c r="E187" s="80"/>
      <c r="F187" s="80"/>
      <c r="G187" s="80"/>
      <c r="H187" s="80"/>
      <c r="I187" s="80"/>
      <c r="J187" s="80"/>
      <c r="K187" s="80"/>
      <c r="L187" s="80"/>
      <c r="M187" s="80"/>
      <c r="N187" s="79"/>
      <c r="O187" s="79"/>
      <c r="P187" s="79"/>
      <c r="Q187" s="79"/>
      <c r="R187" s="79"/>
      <c r="S187" s="79"/>
    </row>
    <row r="188" spans="3:19" x14ac:dyDescent="0.35">
      <c r="C188" s="80"/>
      <c r="D188" s="80"/>
      <c r="E188" s="80"/>
      <c r="F188" s="80"/>
      <c r="G188" s="80"/>
      <c r="H188" s="80"/>
      <c r="I188" s="80"/>
      <c r="J188" s="80"/>
      <c r="K188" s="80"/>
      <c r="L188" s="80"/>
      <c r="M188" s="80"/>
      <c r="N188" s="79"/>
      <c r="O188" s="79"/>
      <c r="P188" s="79"/>
      <c r="Q188" s="79"/>
      <c r="R188" s="79"/>
      <c r="S188" s="79"/>
    </row>
    <row r="189" spans="3:19" x14ac:dyDescent="0.35">
      <c r="C189" s="80"/>
      <c r="D189" s="80"/>
      <c r="E189" s="80"/>
      <c r="F189" s="80"/>
      <c r="G189" s="80"/>
      <c r="H189" s="80"/>
      <c r="I189" s="80"/>
      <c r="J189" s="80"/>
      <c r="K189" s="80"/>
      <c r="L189" s="80"/>
      <c r="M189" s="80"/>
      <c r="N189" s="79"/>
      <c r="O189" s="79"/>
      <c r="P189" s="79"/>
      <c r="Q189" s="79"/>
      <c r="R189" s="79"/>
      <c r="S189" s="79"/>
    </row>
    <row r="190" spans="3:19" x14ac:dyDescent="0.35">
      <c r="C190" s="80"/>
      <c r="D190" s="80"/>
      <c r="E190" s="80"/>
      <c r="F190" s="80"/>
      <c r="G190" s="80"/>
      <c r="H190" s="80"/>
      <c r="I190" s="80"/>
      <c r="J190" s="80"/>
      <c r="K190" s="80"/>
      <c r="L190" s="80"/>
      <c r="M190" s="80"/>
      <c r="N190" s="79"/>
      <c r="O190" s="79"/>
      <c r="P190" s="79"/>
      <c r="Q190" s="79"/>
      <c r="R190" s="79"/>
      <c r="S190" s="79"/>
    </row>
    <row r="191" spans="3:19" x14ac:dyDescent="0.35">
      <c r="C191" s="80"/>
      <c r="D191" s="80"/>
      <c r="E191" s="80"/>
      <c r="F191" s="80"/>
      <c r="G191" s="80"/>
      <c r="H191" s="80"/>
      <c r="I191" s="80"/>
      <c r="J191" s="80"/>
      <c r="K191" s="80"/>
      <c r="L191" s="80"/>
      <c r="M191" s="80"/>
      <c r="N191" s="79"/>
      <c r="O191" s="79"/>
      <c r="P191" s="79"/>
      <c r="Q191" s="79"/>
      <c r="R191" s="79"/>
      <c r="S191" s="79"/>
    </row>
    <row r="192" spans="3:19" x14ac:dyDescent="0.35">
      <c r="C192" s="80"/>
      <c r="D192" s="80"/>
      <c r="E192" s="80"/>
      <c r="F192" s="80"/>
      <c r="G192" s="80"/>
      <c r="H192" s="80"/>
      <c r="I192" s="80"/>
      <c r="J192" s="80"/>
      <c r="K192" s="80"/>
      <c r="L192" s="80"/>
      <c r="M192" s="80"/>
      <c r="N192" s="79"/>
      <c r="O192" s="79"/>
      <c r="P192" s="79"/>
      <c r="Q192" s="79"/>
      <c r="R192" s="79"/>
      <c r="S192" s="79"/>
    </row>
    <row r="193" spans="3:19" x14ac:dyDescent="0.35">
      <c r="C193" s="80"/>
      <c r="D193" s="80"/>
      <c r="E193" s="80"/>
      <c r="F193" s="80"/>
      <c r="G193" s="80"/>
      <c r="H193" s="80"/>
      <c r="I193" s="80"/>
      <c r="J193" s="80"/>
      <c r="K193" s="80"/>
      <c r="L193" s="80"/>
      <c r="M193" s="80"/>
      <c r="N193" s="79"/>
      <c r="O193" s="79"/>
      <c r="P193" s="79"/>
      <c r="Q193" s="79"/>
      <c r="R193" s="79"/>
      <c r="S193" s="79"/>
    </row>
    <row r="194" spans="3:19" x14ac:dyDescent="0.35">
      <c r="C194" s="80"/>
      <c r="D194" s="80"/>
      <c r="E194" s="80"/>
      <c r="F194" s="80"/>
      <c r="G194" s="80"/>
      <c r="H194" s="80"/>
      <c r="I194" s="80"/>
      <c r="J194" s="80"/>
      <c r="K194" s="80"/>
      <c r="L194" s="80"/>
      <c r="M194" s="80"/>
      <c r="N194" s="79"/>
      <c r="O194" s="79"/>
      <c r="P194" s="79"/>
      <c r="Q194" s="79"/>
      <c r="R194" s="79"/>
      <c r="S194" s="79"/>
    </row>
    <row r="195" spans="3:19" x14ac:dyDescent="0.35">
      <c r="C195" s="80"/>
      <c r="D195" s="80"/>
      <c r="E195" s="80"/>
      <c r="F195" s="80"/>
      <c r="G195" s="80"/>
      <c r="H195" s="80"/>
      <c r="I195" s="80"/>
      <c r="J195" s="80"/>
      <c r="K195" s="80"/>
      <c r="L195" s="80"/>
      <c r="M195" s="80"/>
      <c r="N195" s="79"/>
      <c r="O195" s="79"/>
      <c r="P195" s="79"/>
      <c r="Q195" s="79"/>
      <c r="R195" s="79"/>
      <c r="S195" s="79"/>
    </row>
    <row r="196" spans="3:19" x14ac:dyDescent="0.35">
      <c r="C196" s="80"/>
      <c r="D196" s="80"/>
      <c r="E196" s="80"/>
      <c r="F196" s="80"/>
      <c r="G196" s="80"/>
      <c r="H196" s="80"/>
      <c r="I196" s="80"/>
      <c r="J196" s="80"/>
      <c r="K196" s="80"/>
      <c r="L196" s="80"/>
      <c r="M196" s="80"/>
      <c r="N196" s="79"/>
      <c r="O196" s="79"/>
      <c r="P196" s="79"/>
      <c r="Q196" s="79"/>
      <c r="R196" s="79"/>
      <c r="S196" s="79"/>
    </row>
    <row r="197" spans="3:19" x14ac:dyDescent="0.35">
      <c r="C197" s="80"/>
      <c r="D197" s="80"/>
      <c r="E197" s="80"/>
      <c r="F197" s="80"/>
      <c r="G197" s="80"/>
      <c r="H197" s="80"/>
      <c r="I197" s="80"/>
      <c r="J197" s="80"/>
      <c r="K197" s="80"/>
      <c r="L197" s="80"/>
      <c r="M197" s="80"/>
      <c r="N197" s="79"/>
      <c r="O197" s="79"/>
      <c r="P197" s="79"/>
      <c r="Q197" s="79"/>
      <c r="R197" s="79"/>
      <c r="S197" s="79"/>
    </row>
    <row r="198" spans="3:19" x14ac:dyDescent="0.35">
      <c r="C198" s="80"/>
      <c r="D198" s="80"/>
      <c r="E198" s="80"/>
      <c r="F198" s="80"/>
      <c r="G198" s="80"/>
      <c r="H198" s="80"/>
      <c r="I198" s="80"/>
      <c r="J198" s="80"/>
      <c r="K198" s="80"/>
      <c r="L198" s="80"/>
      <c r="M198" s="80"/>
      <c r="N198" s="79"/>
      <c r="O198" s="79"/>
      <c r="P198" s="79"/>
      <c r="Q198" s="79"/>
      <c r="R198" s="79"/>
      <c r="S198" s="79"/>
    </row>
    <row r="199" spans="3:19" x14ac:dyDescent="0.35">
      <c r="C199" s="80"/>
      <c r="D199" s="80"/>
      <c r="E199" s="80"/>
      <c r="F199" s="80"/>
      <c r="G199" s="80"/>
      <c r="H199" s="80"/>
      <c r="I199" s="80"/>
      <c r="J199" s="80"/>
      <c r="K199" s="80"/>
      <c r="L199" s="80"/>
      <c r="M199" s="80"/>
      <c r="N199" s="79"/>
      <c r="O199" s="79"/>
      <c r="P199" s="79"/>
      <c r="Q199" s="79"/>
      <c r="R199" s="79"/>
      <c r="S199" s="79"/>
    </row>
    <row r="200" spans="3:19" x14ac:dyDescent="0.35">
      <c r="C200" s="80"/>
      <c r="D200" s="80"/>
      <c r="E200" s="80"/>
      <c r="F200" s="80"/>
      <c r="G200" s="80"/>
      <c r="H200" s="80"/>
      <c r="I200" s="80"/>
      <c r="J200" s="80"/>
      <c r="K200" s="80"/>
      <c r="L200" s="80"/>
      <c r="M200" s="80"/>
      <c r="N200" s="79"/>
      <c r="O200" s="79"/>
      <c r="P200" s="79"/>
      <c r="Q200" s="79"/>
      <c r="R200" s="79"/>
      <c r="S200" s="79"/>
    </row>
    <row r="201" spans="3:19" x14ac:dyDescent="0.35">
      <c r="C201" s="80"/>
      <c r="D201" s="80"/>
      <c r="E201" s="80"/>
      <c r="F201" s="80"/>
      <c r="G201" s="80"/>
      <c r="H201" s="80"/>
      <c r="I201" s="80"/>
      <c r="J201" s="80"/>
      <c r="K201" s="80"/>
      <c r="L201" s="80"/>
      <c r="M201" s="80"/>
      <c r="N201" s="79"/>
      <c r="O201" s="79"/>
      <c r="P201" s="79"/>
      <c r="Q201" s="79"/>
      <c r="R201" s="79"/>
      <c r="S201" s="79"/>
    </row>
    <row r="202" spans="3:19" x14ac:dyDescent="0.35">
      <c r="C202" s="80"/>
      <c r="D202" s="80"/>
      <c r="E202" s="80"/>
      <c r="F202" s="80"/>
      <c r="G202" s="80"/>
      <c r="H202" s="80"/>
      <c r="I202" s="80"/>
      <c r="J202" s="80"/>
      <c r="K202" s="80"/>
      <c r="L202" s="80"/>
      <c r="M202" s="80"/>
      <c r="N202" s="79"/>
      <c r="O202" s="79"/>
      <c r="P202" s="79"/>
      <c r="Q202" s="79"/>
      <c r="R202" s="79"/>
      <c r="S202" s="79"/>
    </row>
    <row r="203" spans="3:19" x14ac:dyDescent="0.35">
      <c r="C203" s="80"/>
      <c r="D203" s="80"/>
      <c r="E203" s="80"/>
      <c r="F203" s="80"/>
      <c r="G203" s="80"/>
      <c r="H203" s="80"/>
      <c r="I203" s="80"/>
      <c r="J203" s="80"/>
      <c r="K203" s="80"/>
      <c r="L203" s="80"/>
      <c r="M203" s="80"/>
      <c r="N203" s="79"/>
      <c r="O203" s="79"/>
      <c r="P203" s="79"/>
      <c r="Q203" s="79"/>
      <c r="R203" s="79"/>
      <c r="S203" s="79"/>
    </row>
    <row r="204" spans="3:19" x14ac:dyDescent="0.35">
      <c r="C204" s="80"/>
      <c r="D204" s="80"/>
      <c r="E204" s="80"/>
      <c r="F204" s="80"/>
      <c r="G204" s="80"/>
      <c r="H204" s="80"/>
      <c r="I204" s="80"/>
      <c r="J204" s="80"/>
      <c r="K204" s="80"/>
      <c r="L204" s="80"/>
      <c r="M204" s="80"/>
      <c r="N204" s="79"/>
      <c r="O204" s="79"/>
      <c r="P204" s="79"/>
      <c r="Q204" s="79"/>
      <c r="R204" s="79"/>
      <c r="S204" s="79"/>
    </row>
    <row r="205" spans="3:19" x14ac:dyDescent="0.35">
      <c r="C205" s="80"/>
      <c r="D205" s="80"/>
      <c r="E205" s="80"/>
      <c r="F205" s="80"/>
      <c r="G205" s="80"/>
      <c r="H205" s="80"/>
      <c r="I205" s="80"/>
      <c r="J205" s="80"/>
      <c r="K205" s="80"/>
      <c r="L205" s="80"/>
      <c r="M205" s="80"/>
      <c r="N205" s="79"/>
      <c r="O205" s="79"/>
      <c r="P205" s="79"/>
      <c r="Q205" s="79"/>
      <c r="R205" s="79"/>
      <c r="S205" s="79"/>
    </row>
    <row r="206" spans="3:19" x14ac:dyDescent="0.35">
      <c r="C206" s="80"/>
      <c r="D206" s="80"/>
      <c r="E206" s="80"/>
      <c r="F206" s="80"/>
      <c r="G206" s="80"/>
      <c r="H206" s="80"/>
      <c r="I206" s="80"/>
      <c r="J206" s="80"/>
      <c r="K206" s="80"/>
      <c r="L206" s="80"/>
      <c r="M206" s="80"/>
      <c r="N206" s="79"/>
      <c r="O206" s="79"/>
      <c r="P206" s="79"/>
      <c r="Q206" s="79"/>
      <c r="R206" s="79"/>
      <c r="S206" s="79"/>
    </row>
    <row r="207" spans="3:19" x14ac:dyDescent="0.35">
      <c r="C207" s="80"/>
      <c r="D207" s="80"/>
      <c r="E207" s="80"/>
      <c r="F207" s="80"/>
      <c r="G207" s="80"/>
      <c r="H207" s="80"/>
      <c r="I207" s="80"/>
      <c r="J207" s="80"/>
      <c r="K207" s="80"/>
      <c r="L207" s="80"/>
      <c r="M207" s="80"/>
      <c r="N207" s="79"/>
      <c r="O207" s="79"/>
      <c r="P207" s="79"/>
      <c r="Q207" s="79"/>
      <c r="R207" s="79"/>
      <c r="S207" s="79"/>
    </row>
    <row r="208" spans="3:19" x14ac:dyDescent="0.35">
      <c r="C208" s="80"/>
      <c r="D208" s="80"/>
      <c r="E208" s="80"/>
      <c r="F208" s="80"/>
      <c r="G208" s="80"/>
      <c r="H208" s="80"/>
      <c r="I208" s="80"/>
      <c r="J208" s="80"/>
      <c r="K208" s="80"/>
      <c r="L208" s="80"/>
      <c r="M208" s="80"/>
      <c r="N208" s="79"/>
      <c r="O208" s="79"/>
      <c r="P208" s="79"/>
      <c r="Q208" s="79"/>
      <c r="R208" s="79"/>
      <c r="S208" s="79"/>
    </row>
    <row r="209" spans="3:19" x14ac:dyDescent="0.35">
      <c r="C209" s="80"/>
      <c r="D209" s="80"/>
      <c r="E209" s="80"/>
      <c r="F209" s="80"/>
      <c r="G209" s="80"/>
      <c r="H209" s="80"/>
      <c r="I209" s="80"/>
      <c r="J209" s="80"/>
      <c r="K209" s="80"/>
      <c r="L209" s="80"/>
      <c r="M209" s="80"/>
      <c r="N209" s="79"/>
      <c r="O209" s="79"/>
      <c r="P209" s="79"/>
      <c r="Q209" s="79"/>
      <c r="R209" s="79"/>
      <c r="S209" s="79"/>
    </row>
    <row r="210" spans="3:19" x14ac:dyDescent="0.35">
      <c r="C210" s="80"/>
      <c r="D210" s="80"/>
      <c r="E210" s="80"/>
      <c r="F210" s="80"/>
      <c r="G210" s="80"/>
      <c r="H210" s="80"/>
      <c r="I210" s="80"/>
      <c r="J210" s="80"/>
      <c r="K210" s="80"/>
      <c r="L210" s="80"/>
      <c r="M210" s="80"/>
      <c r="N210" s="79"/>
      <c r="O210" s="79"/>
      <c r="P210" s="79"/>
      <c r="Q210" s="79"/>
      <c r="R210" s="79"/>
      <c r="S210" s="79"/>
    </row>
    <row r="211" spans="3:19" x14ac:dyDescent="0.35">
      <c r="C211" s="80"/>
      <c r="D211" s="80"/>
      <c r="E211" s="80"/>
      <c r="F211" s="80"/>
      <c r="G211" s="80"/>
      <c r="H211" s="80"/>
      <c r="I211" s="80"/>
      <c r="J211" s="80"/>
      <c r="K211" s="80"/>
      <c r="L211" s="80"/>
      <c r="M211" s="80"/>
      <c r="N211" s="79"/>
      <c r="O211" s="79"/>
      <c r="P211" s="79"/>
      <c r="Q211" s="79"/>
      <c r="R211" s="79"/>
      <c r="S211" s="79"/>
    </row>
    <row r="212" spans="3:19" x14ac:dyDescent="0.35">
      <c r="C212" s="80"/>
      <c r="D212" s="80"/>
      <c r="E212" s="80"/>
      <c r="F212" s="80"/>
      <c r="G212" s="80"/>
      <c r="H212" s="80"/>
      <c r="I212" s="80"/>
      <c r="J212" s="80"/>
      <c r="K212" s="80"/>
      <c r="L212" s="80"/>
      <c r="M212" s="80"/>
      <c r="N212" s="79"/>
      <c r="O212" s="79"/>
      <c r="P212" s="79"/>
      <c r="Q212" s="79"/>
      <c r="R212" s="79"/>
      <c r="S212" s="79"/>
    </row>
    <row r="213" spans="3:19" x14ac:dyDescent="0.35">
      <c r="C213" s="80"/>
      <c r="D213" s="80"/>
      <c r="E213" s="80"/>
      <c r="F213" s="80"/>
      <c r="G213" s="80"/>
      <c r="H213" s="80"/>
      <c r="I213" s="80"/>
      <c r="J213" s="80"/>
      <c r="K213" s="80"/>
      <c r="L213" s="80"/>
      <c r="M213" s="80"/>
      <c r="N213" s="79"/>
      <c r="O213" s="79"/>
      <c r="P213" s="79"/>
      <c r="Q213" s="79"/>
      <c r="R213" s="79"/>
      <c r="S213" s="79"/>
    </row>
    <row r="214" spans="3:19" x14ac:dyDescent="0.35">
      <c r="C214" s="80"/>
      <c r="D214" s="80"/>
      <c r="E214" s="80"/>
      <c r="F214" s="80"/>
      <c r="G214" s="80"/>
      <c r="H214" s="80"/>
      <c r="I214" s="80"/>
      <c r="J214" s="80"/>
      <c r="K214" s="80"/>
      <c r="L214" s="80"/>
      <c r="M214" s="80"/>
      <c r="N214" s="79"/>
      <c r="O214" s="79"/>
      <c r="P214" s="79"/>
      <c r="Q214" s="79"/>
      <c r="R214" s="79"/>
      <c r="S214" s="79"/>
    </row>
    <row r="215" spans="3:19" x14ac:dyDescent="0.35">
      <c r="C215" s="80"/>
      <c r="D215" s="80"/>
      <c r="E215" s="80"/>
      <c r="F215" s="80"/>
      <c r="G215" s="80"/>
      <c r="H215" s="80"/>
      <c r="I215" s="80"/>
      <c r="J215" s="80"/>
      <c r="K215" s="80"/>
      <c r="L215" s="80"/>
      <c r="M215" s="80"/>
      <c r="N215" s="79"/>
      <c r="O215" s="79"/>
      <c r="P215" s="79"/>
      <c r="Q215" s="79"/>
      <c r="R215" s="79"/>
      <c r="S215" s="79"/>
    </row>
    <row r="216" spans="3:19" x14ac:dyDescent="0.35">
      <c r="C216" s="80"/>
      <c r="D216" s="80"/>
      <c r="E216" s="80"/>
      <c r="F216" s="80"/>
      <c r="G216" s="80"/>
      <c r="H216" s="80"/>
      <c r="I216" s="80"/>
      <c r="J216" s="80"/>
      <c r="K216" s="80"/>
      <c r="L216" s="80"/>
      <c r="M216" s="80"/>
      <c r="N216" s="79"/>
      <c r="O216" s="79"/>
      <c r="P216" s="79"/>
      <c r="Q216" s="79"/>
      <c r="R216" s="79"/>
      <c r="S216" s="79"/>
    </row>
    <row r="217" spans="3:19" x14ac:dyDescent="0.35">
      <c r="C217" s="80"/>
      <c r="D217" s="80"/>
      <c r="E217" s="80"/>
      <c r="F217" s="80"/>
      <c r="G217" s="80"/>
      <c r="H217" s="80"/>
      <c r="I217" s="80"/>
      <c r="J217" s="80"/>
      <c r="K217" s="80"/>
      <c r="L217" s="80"/>
      <c r="M217" s="80"/>
      <c r="N217" s="79"/>
      <c r="O217" s="79"/>
      <c r="P217" s="79"/>
      <c r="Q217" s="79"/>
      <c r="R217" s="79"/>
      <c r="S217" s="79"/>
    </row>
    <row r="218" spans="3:19" x14ac:dyDescent="0.35">
      <c r="C218" s="80"/>
      <c r="D218" s="80"/>
      <c r="E218" s="80"/>
      <c r="F218" s="80"/>
      <c r="G218" s="80"/>
      <c r="H218" s="80"/>
      <c r="I218" s="80"/>
      <c r="J218" s="80"/>
      <c r="K218" s="80"/>
      <c r="L218" s="80"/>
      <c r="M218" s="80"/>
      <c r="N218" s="79"/>
      <c r="O218" s="79"/>
      <c r="P218" s="79"/>
      <c r="Q218" s="79"/>
      <c r="R218" s="79"/>
      <c r="S218" s="79"/>
    </row>
    <row r="219" spans="3:19" x14ac:dyDescent="0.35">
      <c r="C219" s="80"/>
      <c r="D219" s="80"/>
      <c r="E219" s="80"/>
      <c r="F219" s="80"/>
      <c r="G219" s="80"/>
      <c r="H219" s="80"/>
      <c r="I219" s="80"/>
      <c r="J219" s="80"/>
      <c r="K219" s="80"/>
      <c r="L219" s="80"/>
      <c r="M219" s="80"/>
      <c r="N219" s="79"/>
      <c r="O219" s="79"/>
      <c r="P219" s="79"/>
      <c r="Q219" s="79"/>
      <c r="R219" s="79"/>
      <c r="S219" s="79"/>
    </row>
    <row r="220" spans="3:19" x14ac:dyDescent="0.35">
      <c r="C220" s="80"/>
      <c r="D220" s="80"/>
      <c r="E220" s="80"/>
      <c r="F220" s="80"/>
      <c r="G220" s="80"/>
      <c r="H220" s="80"/>
      <c r="I220" s="80"/>
      <c r="J220" s="80"/>
      <c r="K220" s="80"/>
      <c r="L220" s="80"/>
      <c r="M220" s="80"/>
      <c r="N220" s="79"/>
      <c r="O220" s="79"/>
      <c r="P220" s="79"/>
      <c r="Q220" s="79"/>
      <c r="R220" s="79"/>
      <c r="S220" s="79"/>
    </row>
    <row r="221" spans="3:19" x14ac:dyDescent="0.35">
      <c r="C221" s="80"/>
      <c r="D221" s="80"/>
      <c r="E221" s="80"/>
      <c r="F221" s="80"/>
      <c r="G221" s="80"/>
      <c r="H221" s="80"/>
      <c r="I221" s="80"/>
      <c r="J221" s="80"/>
      <c r="K221" s="80"/>
      <c r="L221" s="80"/>
      <c r="M221" s="80"/>
      <c r="N221" s="79"/>
      <c r="O221" s="79"/>
      <c r="P221" s="79"/>
      <c r="Q221" s="79"/>
      <c r="R221" s="79"/>
      <c r="S221" s="79"/>
    </row>
    <row r="222" spans="3:19" x14ac:dyDescent="0.35">
      <c r="C222" s="80"/>
      <c r="D222" s="80"/>
      <c r="E222" s="80"/>
      <c r="F222" s="80"/>
      <c r="G222" s="80"/>
      <c r="H222" s="80"/>
      <c r="I222" s="80"/>
      <c r="J222" s="80"/>
      <c r="K222" s="80"/>
      <c r="L222" s="80"/>
      <c r="M222" s="80"/>
      <c r="N222" s="79"/>
      <c r="O222" s="79"/>
      <c r="P222" s="79"/>
      <c r="Q222" s="79"/>
      <c r="R222" s="79"/>
      <c r="S222" s="79"/>
    </row>
    <row r="223" spans="3:19" x14ac:dyDescent="0.35">
      <c r="C223" s="80"/>
      <c r="D223" s="80"/>
      <c r="E223" s="80"/>
      <c r="F223" s="80"/>
      <c r="G223" s="80"/>
      <c r="H223" s="80"/>
      <c r="I223" s="80"/>
      <c r="J223" s="80"/>
      <c r="K223" s="80"/>
      <c r="L223" s="80"/>
      <c r="M223" s="80"/>
      <c r="N223" s="79"/>
      <c r="O223" s="79"/>
      <c r="P223" s="79"/>
      <c r="Q223" s="79"/>
      <c r="R223" s="79"/>
      <c r="S223" s="79"/>
    </row>
    <row r="224" spans="3:19" x14ac:dyDescent="0.35">
      <c r="C224" s="80"/>
      <c r="D224" s="80"/>
      <c r="E224" s="80"/>
      <c r="F224" s="80"/>
      <c r="G224" s="80"/>
      <c r="H224" s="80"/>
      <c r="I224" s="80"/>
      <c r="J224" s="80"/>
      <c r="K224" s="80"/>
      <c r="L224" s="80"/>
      <c r="M224" s="80"/>
      <c r="N224" s="79"/>
      <c r="O224" s="79"/>
      <c r="P224" s="79"/>
      <c r="Q224" s="79"/>
      <c r="R224" s="79"/>
      <c r="S224" s="79"/>
    </row>
    <row r="225" spans="3:19" x14ac:dyDescent="0.35">
      <c r="C225" s="80"/>
      <c r="D225" s="80"/>
      <c r="E225" s="80"/>
      <c r="F225" s="80"/>
      <c r="G225" s="80"/>
      <c r="H225" s="80"/>
      <c r="I225" s="80"/>
      <c r="J225" s="80"/>
      <c r="K225" s="80"/>
      <c r="L225" s="80"/>
      <c r="M225" s="80"/>
      <c r="N225" s="79"/>
      <c r="O225" s="79"/>
      <c r="P225" s="79"/>
      <c r="Q225" s="79"/>
      <c r="R225" s="79"/>
      <c r="S225" s="79"/>
    </row>
    <row r="226" spans="3:19" x14ac:dyDescent="0.35">
      <c r="C226" s="80"/>
      <c r="D226" s="80"/>
      <c r="E226" s="80"/>
      <c r="F226" s="80"/>
      <c r="G226" s="80"/>
      <c r="H226" s="80"/>
      <c r="I226" s="80"/>
      <c r="J226" s="80"/>
      <c r="K226" s="80"/>
      <c r="L226" s="80"/>
      <c r="M226" s="80"/>
      <c r="N226" s="79"/>
      <c r="O226" s="79"/>
      <c r="P226" s="79"/>
      <c r="Q226" s="79"/>
      <c r="R226" s="79"/>
      <c r="S226" s="79"/>
    </row>
    <row r="227" spans="3:19" x14ac:dyDescent="0.35">
      <c r="C227" s="80"/>
      <c r="D227" s="80"/>
      <c r="E227" s="80"/>
      <c r="F227" s="80"/>
      <c r="G227" s="80"/>
      <c r="H227" s="80"/>
      <c r="I227" s="80"/>
      <c r="J227" s="80"/>
      <c r="K227" s="80"/>
      <c r="L227" s="80"/>
      <c r="M227" s="80"/>
      <c r="N227" s="79"/>
      <c r="O227" s="79"/>
      <c r="P227" s="79"/>
      <c r="Q227" s="79"/>
      <c r="R227" s="79"/>
      <c r="S227" s="79"/>
    </row>
    <row r="228" spans="3:19" x14ac:dyDescent="0.35">
      <c r="C228" s="80"/>
      <c r="D228" s="80"/>
      <c r="E228" s="80"/>
      <c r="F228" s="80"/>
      <c r="G228" s="80"/>
      <c r="H228" s="80"/>
      <c r="I228" s="80"/>
      <c r="J228" s="80"/>
      <c r="K228" s="80"/>
      <c r="L228" s="80"/>
      <c r="M228" s="80"/>
      <c r="N228" s="79"/>
      <c r="O228" s="79"/>
      <c r="P228" s="79"/>
      <c r="Q228" s="79"/>
      <c r="R228" s="79"/>
      <c r="S228" s="79"/>
    </row>
    <row r="229" spans="3:19" x14ac:dyDescent="0.35">
      <c r="C229" s="80"/>
      <c r="D229" s="80"/>
      <c r="E229" s="80"/>
      <c r="F229" s="80"/>
      <c r="G229" s="80"/>
      <c r="H229" s="80"/>
      <c r="I229" s="80"/>
      <c r="J229" s="80"/>
      <c r="K229" s="80"/>
      <c r="L229" s="80"/>
      <c r="M229" s="80"/>
      <c r="N229" s="79"/>
      <c r="O229" s="79"/>
      <c r="P229" s="79"/>
      <c r="Q229" s="79"/>
      <c r="R229" s="79"/>
      <c r="S229" s="79"/>
    </row>
    <row r="230" spans="3:19" x14ac:dyDescent="0.35">
      <c r="C230" s="80"/>
      <c r="D230" s="80"/>
      <c r="E230" s="80"/>
      <c r="F230" s="80"/>
      <c r="G230" s="80"/>
      <c r="H230" s="80"/>
      <c r="I230" s="80"/>
      <c r="J230" s="80"/>
      <c r="K230" s="80"/>
      <c r="L230" s="80"/>
      <c r="M230" s="80"/>
      <c r="N230" s="79"/>
      <c r="O230" s="79"/>
      <c r="P230" s="79"/>
      <c r="Q230" s="79"/>
      <c r="R230" s="79"/>
      <c r="S230" s="79"/>
    </row>
    <row r="231" spans="3:19" x14ac:dyDescent="0.35">
      <c r="C231" s="80"/>
      <c r="D231" s="80"/>
      <c r="E231" s="80"/>
      <c r="F231" s="80"/>
      <c r="G231" s="80"/>
      <c r="H231" s="80"/>
      <c r="I231" s="80"/>
      <c r="J231" s="80"/>
      <c r="K231" s="80"/>
      <c r="L231" s="80"/>
      <c r="M231" s="80"/>
      <c r="N231" s="79"/>
      <c r="O231" s="79"/>
      <c r="P231" s="79"/>
      <c r="Q231" s="79"/>
      <c r="R231" s="79"/>
      <c r="S231" s="79"/>
    </row>
    <row r="232" spans="3:19" x14ac:dyDescent="0.35">
      <c r="C232" s="80"/>
      <c r="D232" s="80"/>
      <c r="E232" s="80"/>
      <c r="F232" s="80"/>
      <c r="G232" s="80"/>
      <c r="H232" s="80"/>
      <c r="I232" s="80"/>
      <c r="J232" s="80"/>
      <c r="K232" s="80"/>
      <c r="L232" s="80"/>
      <c r="M232" s="80"/>
      <c r="N232" s="79"/>
      <c r="O232" s="79"/>
      <c r="P232" s="79"/>
      <c r="Q232" s="79"/>
      <c r="R232" s="79"/>
      <c r="S232" s="79"/>
    </row>
    <row r="233" spans="3:19" x14ac:dyDescent="0.35">
      <c r="C233" s="80"/>
      <c r="D233" s="80"/>
      <c r="E233" s="80"/>
      <c r="F233" s="80"/>
      <c r="G233" s="80"/>
      <c r="H233" s="80"/>
      <c r="I233" s="80"/>
      <c r="J233" s="80"/>
      <c r="K233" s="80"/>
      <c r="L233" s="80"/>
      <c r="M233" s="80"/>
      <c r="N233" s="79"/>
      <c r="O233" s="79"/>
      <c r="P233" s="79"/>
      <c r="Q233" s="79"/>
      <c r="R233" s="79"/>
      <c r="S233" s="79"/>
    </row>
    <row r="234" spans="3:19" x14ac:dyDescent="0.35">
      <c r="C234" s="80"/>
      <c r="D234" s="80"/>
      <c r="E234" s="80"/>
      <c r="F234" s="80"/>
      <c r="G234" s="80"/>
      <c r="H234" s="80"/>
      <c r="I234" s="80"/>
      <c r="J234" s="80"/>
      <c r="K234" s="80"/>
      <c r="L234" s="80"/>
      <c r="M234" s="80"/>
      <c r="N234" s="79"/>
      <c r="O234" s="79"/>
      <c r="P234" s="79"/>
      <c r="Q234" s="79"/>
      <c r="R234" s="79"/>
      <c r="S234" s="79"/>
    </row>
    <row r="235" spans="3:19" x14ac:dyDescent="0.35">
      <c r="C235" s="80"/>
      <c r="D235" s="80"/>
      <c r="E235" s="80"/>
      <c r="F235" s="80"/>
      <c r="G235" s="80"/>
      <c r="H235" s="80"/>
      <c r="I235" s="80"/>
      <c r="J235" s="80"/>
      <c r="K235" s="80"/>
      <c r="L235" s="80"/>
      <c r="M235" s="80"/>
      <c r="N235" s="79"/>
      <c r="O235" s="79"/>
      <c r="P235" s="79"/>
      <c r="Q235" s="79"/>
      <c r="R235" s="79"/>
      <c r="S235" s="79"/>
    </row>
    <row r="236" spans="3:19" x14ac:dyDescent="0.35">
      <c r="C236" s="80"/>
      <c r="D236" s="80"/>
      <c r="E236" s="80"/>
      <c r="F236" s="80"/>
      <c r="G236" s="80"/>
      <c r="H236" s="80"/>
      <c r="I236" s="80"/>
      <c r="J236" s="80"/>
      <c r="K236" s="80"/>
      <c r="L236" s="80"/>
      <c r="M236" s="80"/>
      <c r="N236" s="79"/>
      <c r="O236" s="79"/>
      <c r="P236" s="79"/>
      <c r="Q236" s="79"/>
      <c r="R236" s="79"/>
      <c r="S236" s="79"/>
    </row>
    <row r="237" spans="3:19" x14ac:dyDescent="0.35">
      <c r="C237" s="80"/>
      <c r="D237" s="80"/>
      <c r="E237" s="80"/>
      <c r="F237" s="80"/>
      <c r="G237" s="80"/>
      <c r="H237" s="80"/>
      <c r="I237" s="80"/>
      <c r="J237" s="80"/>
      <c r="K237" s="80"/>
      <c r="L237" s="80"/>
      <c r="M237" s="80"/>
      <c r="N237" s="79"/>
      <c r="O237" s="79"/>
      <c r="P237" s="79"/>
      <c r="Q237" s="79"/>
      <c r="R237" s="79"/>
      <c r="S237" s="79"/>
    </row>
    <row r="238" spans="3:19" x14ac:dyDescent="0.35">
      <c r="C238" s="80"/>
      <c r="D238" s="80"/>
      <c r="E238" s="80"/>
      <c r="F238" s="80"/>
      <c r="G238" s="80"/>
      <c r="H238" s="80"/>
      <c r="I238" s="80"/>
      <c r="J238" s="80"/>
      <c r="K238" s="80"/>
      <c r="L238" s="80"/>
      <c r="M238" s="80"/>
      <c r="N238" s="79"/>
      <c r="O238" s="79"/>
      <c r="P238" s="79"/>
      <c r="Q238" s="79"/>
      <c r="R238" s="79"/>
      <c r="S238" s="79"/>
    </row>
    <row r="239" spans="3:19" x14ac:dyDescent="0.35">
      <c r="P239" s="79"/>
      <c r="Q239" s="79"/>
      <c r="R239" s="79"/>
      <c r="S239" s="79"/>
    </row>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sheetData>
  <printOptions horizontalCentered="1"/>
  <pageMargins left="0.75" right="0.75" top="0.52" bottom="0.49" header="0.5" footer="0.5"/>
  <pageSetup scale="59" orientation="landscape" r:id="rId1"/>
  <headerFooter alignWithMargins="0"/>
  <rowBreaks count="2" manualBreakCount="2">
    <brk id="20" max="9" man="1"/>
    <brk id="57" max="9"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tabColor rgb="FFFFFF99"/>
    <pageSetUpPr fitToPage="1"/>
  </sheetPr>
  <dimension ref="A1:X240"/>
  <sheetViews>
    <sheetView zoomScale="85" zoomScaleNormal="85" workbookViewId="0"/>
  </sheetViews>
  <sheetFormatPr defaultColWidth="9.296875" defaultRowHeight="15.5" x14ac:dyDescent="0.35"/>
  <cols>
    <col min="1" max="1" width="9" style="83" customWidth="1"/>
    <col min="2" max="2" width="2.09765625" style="83" customWidth="1"/>
    <col min="3" max="3" width="71.296875" style="83" customWidth="1"/>
    <col min="4" max="4" width="35.69921875" style="83" customWidth="1"/>
    <col min="5" max="5" width="23" style="83" customWidth="1"/>
    <col min="6" max="6" width="15" style="83" customWidth="1"/>
    <col min="7" max="7" width="20.69921875" style="83" customWidth="1"/>
    <col min="8" max="8" width="18.3984375" style="83" customWidth="1"/>
    <col min="9" max="9" width="8.69921875" style="83" customWidth="1"/>
    <col min="10" max="10" width="23" style="83" customWidth="1"/>
    <col min="11" max="11" width="9.296875" style="83" customWidth="1"/>
    <col min="12" max="12" width="11.69921875" style="83" customWidth="1"/>
    <col min="13" max="13" width="2.69921875" style="83" customWidth="1"/>
    <col min="14" max="14" width="41" style="83" customWidth="1"/>
    <col min="15" max="15" width="48.69921875" style="83" customWidth="1"/>
    <col min="16" max="16" width="23.3984375" style="83" customWidth="1"/>
    <col min="17" max="17" width="20.3984375" style="83" customWidth="1"/>
    <col min="18" max="18" width="20.69921875" style="83" customWidth="1"/>
    <col min="19" max="19" width="23.69921875" style="83" bestFit="1" customWidth="1"/>
    <col min="20" max="20" width="22.09765625" style="83" bestFit="1" customWidth="1"/>
    <col min="21" max="21" width="23" style="83" bestFit="1" customWidth="1"/>
    <col min="22" max="22" width="19.69921875" style="83" customWidth="1"/>
    <col min="23" max="23" width="20.296875" style="83" customWidth="1"/>
    <col min="24" max="24" width="23.3984375" style="83" bestFit="1" customWidth="1"/>
    <col min="25" max="25" width="21.69921875" style="83" bestFit="1" customWidth="1"/>
    <col min="26" max="26" width="16.09765625" style="83" customWidth="1"/>
    <col min="27" max="28" width="23.3984375" style="83" bestFit="1" customWidth="1"/>
    <col min="29" max="29" width="21.296875" style="83" bestFit="1" customWidth="1"/>
    <col min="30" max="30" width="23.3984375" style="83" bestFit="1" customWidth="1"/>
    <col min="31" max="31" width="21.296875" style="83" bestFit="1" customWidth="1"/>
    <col min="32" max="32" width="20.69921875" style="83" bestFit="1" customWidth="1"/>
    <col min="33" max="16384" width="9.296875" style="83"/>
  </cols>
  <sheetData>
    <row r="1" spans="1:24" x14ac:dyDescent="0.35">
      <c r="A1" s="167" t="s">
        <v>185</v>
      </c>
      <c r="B1" s="168"/>
      <c r="C1" s="169"/>
      <c r="D1" s="169"/>
      <c r="E1" s="169"/>
      <c r="F1" s="169"/>
      <c r="G1" s="169"/>
      <c r="H1" s="169"/>
      <c r="I1" s="169"/>
      <c r="J1" s="169"/>
      <c r="K1" s="169"/>
      <c r="L1" s="169"/>
      <c r="M1" s="166"/>
      <c r="N1" s="90"/>
      <c r="O1" s="90"/>
      <c r="P1" s="90"/>
    </row>
    <row r="2" spans="1:24" x14ac:dyDescent="0.35">
      <c r="A2" s="167" t="s">
        <v>425</v>
      </c>
      <c r="B2" s="168"/>
      <c r="C2" s="169"/>
      <c r="D2" s="169"/>
      <c r="E2" s="169"/>
      <c r="F2" s="169"/>
      <c r="G2" s="169"/>
      <c r="H2" s="169"/>
      <c r="I2" s="169"/>
      <c r="J2" s="169"/>
      <c r="K2" s="169"/>
      <c r="L2" s="169"/>
      <c r="M2" s="166"/>
      <c r="N2" s="90"/>
      <c r="O2" s="90"/>
      <c r="P2" s="90"/>
    </row>
    <row r="3" spans="1:24" x14ac:dyDescent="0.35">
      <c r="A3" s="1"/>
      <c r="B3" s="1"/>
      <c r="C3" s="6"/>
      <c r="D3" s="2"/>
      <c r="E3" s="3"/>
      <c r="F3" s="2"/>
      <c r="G3" s="2"/>
      <c r="H3" s="2"/>
      <c r="I3" s="4"/>
      <c r="J3" s="4"/>
      <c r="K3" s="4"/>
      <c r="L3" s="4"/>
      <c r="M3" s="4"/>
      <c r="N3" s="90"/>
      <c r="O3" s="90"/>
      <c r="P3" s="90"/>
    </row>
    <row r="4" spans="1:24" x14ac:dyDescent="0.35">
      <c r="A4" s="1" t="s">
        <v>186</v>
      </c>
      <c r="B4" s="1"/>
      <c r="C4" s="2"/>
      <c r="D4" s="2"/>
      <c r="E4" s="7"/>
      <c r="F4" s="2"/>
      <c r="G4" s="2"/>
      <c r="H4" s="2"/>
      <c r="I4" s="4"/>
      <c r="J4" s="181" t="str">
        <f>"For the 12 months ended "&amp;TEXT('OATT Input Data'!B4,"MM/DD/YYYY")</f>
        <v>For the 12 months ended 12/31/2019</v>
      </c>
      <c r="K4" s="4"/>
      <c r="L4" s="4"/>
      <c r="M4" s="4"/>
      <c r="N4" s="90"/>
      <c r="O4" s="90"/>
      <c r="P4" s="90"/>
    </row>
    <row r="5" spans="1:24" x14ac:dyDescent="0.35">
      <c r="A5" s="182" t="s">
        <v>187</v>
      </c>
      <c r="B5" s="1"/>
      <c r="C5" s="2"/>
      <c r="D5" s="1" t="s">
        <v>0</v>
      </c>
      <c r="E5" s="1"/>
      <c r="F5" s="8"/>
      <c r="G5" s="8"/>
      <c r="H5" s="8"/>
      <c r="I5" s="2"/>
      <c r="J5" s="181" t="s">
        <v>124</v>
      </c>
      <c r="K5" s="169"/>
      <c r="L5" s="169"/>
      <c r="M5" s="4"/>
      <c r="N5" s="90"/>
      <c r="O5" s="90"/>
      <c r="P5" s="90"/>
    </row>
    <row r="6" spans="1:24" x14ac:dyDescent="0.35">
      <c r="A6" s="1"/>
      <c r="B6" s="1"/>
      <c r="C6" s="4"/>
      <c r="D6" s="4"/>
      <c r="E6" s="4"/>
      <c r="F6" s="4"/>
      <c r="G6" s="4"/>
      <c r="H6" s="4"/>
      <c r="I6" s="4"/>
      <c r="J6" s="4"/>
      <c r="K6" s="4"/>
      <c r="L6" s="4"/>
      <c r="M6" s="4"/>
      <c r="N6" s="90"/>
      <c r="O6" s="90"/>
      <c r="P6" s="90"/>
    </row>
    <row r="7" spans="1:24" x14ac:dyDescent="0.35">
      <c r="A7" s="184" t="str">
        <f>'NITS Pg 2 of 5'!A7</f>
        <v>LG&amp;E and KU</v>
      </c>
      <c r="B7" s="168"/>
      <c r="C7" s="169"/>
      <c r="D7" s="169"/>
      <c r="E7" s="168"/>
      <c r="F7" s="169"/>
      <c r="G7" s="169"/>
      <c r="H7" s="169"/>
      <c r="I7" s="169"/>
      <c r="J7" s="169"/>
      <c r="K7" s="169"/>
      <c r="L7" s="169"/>
      <c r="M7" s="4"/>
      <c r="N7" s="125"/>
      <c r="O7" s="125"/>
      <c r="P7" s="134"/>
    </row>
    <row r="8" spans="1:24" x14ac:dyDescent="0.35">
      <c r="A8" s="82"/>
      <c r="C8" s="135" t="s">
        <v>18</v>
      </c>
      <c r="D8" s="135" t="s">
        <v>19</v>
      </c>
      <c r="E8" s="135" t="s">
        <v>20</v>
      </c>
      <c r="F8" s="125" t="s">
        <v>0</v>
      </c>
      <c r="G8" s="125"/>
      <c r="H8" s="596" t="s">
        <v>21</v>
      </c>
      <c r="I8" s="125"/>
      <c r="J8" s="132" t="s">
        <v>22</v>
      </c>
      <c r="K8" s="125"/>
      <c r="L8" s="125"/>
      <c r="M8" s="125"/>
      <c r="N8" s="90"/>
      <c r="O8" s="125"/>
      <c r="P8" s="134"/>
    </row>
    <row r="9" spans="1:24" x14ac:dyDescent="0.35">
      <c r="A9" s="82"/>
      <c r="C9" s="135"/>
      <c r="D9" s="93"/>
      <c r="E9" s="93"/>
      <c r="F9" s="93"/>
      <c r="G9" s="93"/>
      <c r="H9" s="93"/>
      <c r="I9" s="93"/>
      <c r="J9" s="93"/>
      <c r="K9" s="93"/>
      <c r="L9" s="597"/>
      <c r="M9" s="93"/>
      <c r="N9" s="93"/>
      <c r="O9" s="125"/>
      <c r="P9" s="134"/>
    </row>
    <row r="10" spans="1:24" x14ac:dyDescent="0.35">
      <c r="A10" s="82" t="s">
        <v>1</v>
      </c>
      <c r="C10" s="134"/>
      <c r="D10" s="147" t="s">
        <v>23</v>
      </c>
      <c r="E10" s="125"/>
      <c r="F10" s="125"/>
      <c r="G10" s="125"/>
      <c r="H10" s="82"/>
      <c r="I10" s="125"/>
      <c r="J10" s="597" t="s">
        <v>24</v>
      </c>
      <c r="K10" s="125"/>
      <c r="L10" s="597"/>
      <c r="M10" s="125"/>
      <c r="N10" s="90"/>
      <c r="O10" s="125"/>
      <c r="P10" s="134"/>
    </row>
    <row r="11" spans="1:24" ht="16" thickBot="1" x14ac:dyDescent="0.4">
      <c r="A11" s="368" t="s">
        <v>3</v>
      </c>
      <c r="C11" s="134"/>
      <c r="D11" s="598" t="s">
        <v>25</v>
      </c>
      <c r="E11" s="597" t="s">
        <v>26</v>
      </c>
      <c r="F11" s="599"/>
      <c r="G11" s="600" t="s">
        <v>7</v>
      </c>
      <c r="H11" s="364"/>
      <c r="I11" s="599"/>
      <c r="J11" s="601" t="s">
        <v>28</v>
      </c>
      <c r="K11" s="125"/>
      <c r="L11" s="597"/>
      <c r="M11" s="602"/>
      <c r="N11" s="597"/>
      <c r="O11" s="125"/>
    </row>
    <row r="12" spans="1:24" x14ac:dyDescent="0.35">
      <c r="C12" s="134"/>
      <c r="D12" s="125"/>
      <c r="E12" s="603"/>
      <c r="F12" s="604"/>
      <c r="G12" s="605"/>
      <c r="I12" s="604"/>
      <c r="J12" s="603"/>
      <c r="K12" s="125"/>
      <c r="L12" s="125"/>
      <c r="M12" s="125"/>
      <c r="N12" s="125"/>
      <c r="O12" s="125"/>
      <c r="Q12" s="152"/>
      <c r="V12" s="146"/>
      <c r="X12" s="153"/>
    </row>
    <row r="13" spans="1:24" x14ac:dyDescent="0.35">
      <c r="A13" s="82"/>
      <c r="C13" s="134" t="s">
        <v>55</v>
      </c>
      <c r="D13" s="125"/>
      <c r="E13" s="125"/>
      <c r="F13" s="125"/>
      <c r="G13" s="125"/>
      <c r="H13" s="125"/>
      <c r="I13" s="125"/>
      <c r="J13" s="125"/>
      <c r="K13" s="125"/>
      <c r="L13" s="125"/>
      <c r="M13" s="125"/>
      <c r="N13" s="125"/>
      <c r="O13" s="125"/>
      <c r="P13" s="134"/>
    </row>
    <row r="14" spans="1:24" x14ac:dyDescent="0.35">
      <c r="A14" s="82">
        <v>1</v>
      </c>
      <c r="C14" s="171" t="s">
        <v>24</v>
      </c>
      <c r="D14" s="230" t="s">
        <v>383</v>
      </c>
      <c r="E14" s="370">
        <f>'OATT Input Data'!E199</f>
        <v>73608859.129999995</v>
      </c>
      <c r="F14" s="125"/>
      <c r="G14" s="125" t="s">
        <v>53</v>
      </c>
      <c r="H14" s="378">
        <f>'NITS Pg 4 of 5'!$J$25</f>
        <v>0.87946000000000002</v>
      </c>
      <c r="I14" s="125"/>
      <c r="J14" s="370">
        <f>ROUND(E14*H14,0)</f>
        <v>64736047</v>
      </c>
      <c r="K14" s="90"/>
      <c r="L14" s="125"/>
      <c r="M14" s="125"/>
      <c r="N14" s="125"/>
      <c r="O14" s="134"/>
      <c r="P14" s="125"/>
      <c r="Q14" s="125"/>
    </row>
    <row r="15" spans="1:24" x14ac:dyDescent="0.35">
      <c r="A15" s="82">
        <v>2</v>
      </c>
      <c r="C15" s="171" t="s">
        <v>198</v>
      </c>
      <c r="D15" s="162" t="s">
        <v>273</v>
      </c>
      <c r="E15" s="126">
        <f>'OATT Input Data'!E200*-1</f>
        <v>-4189581</v>
      </c>
      <c r="F15" s="125"/>
      <c r="G15" s="125" t="s">
        <v>0</v>
      </c>
      <c r="H15" s="378">
        <v>1</v>
      </c>
      <c r="I15" s="125"/>
      <c r="J15" s="126">
        <f>ROUND(E15*H15,0)</f>
        <v>-4189581</v>
      </c>
      <c r="K15" s="90"/>
      <c r="L15" s="125"/>
      <c r="M15" s="125"/>
      <c r="N15" s="125"/>
      <c r="O15" s="135"/>
      <c r="P15" s="125"/>
      <c r="Q15" s="125"/>
    </row>
    <row r="16" spans="1:24" x14ac:dyDescent="0.35">
      <c r="A16" s="82">
        <v>3</v>
      </c>
      <c r="C16" s="134" t="s">
        <v>56</v>
      </c>
      <c r="D16" s="162" t="s">
        <v>274</v>
      </c>
      <c r="E16" s="126">
        <f>'OATT Input Data'!E206</f>
        <v>189084004.65000001</v>
      </c>
      <c r="F16" s="125"/>
      <c r="G16" s="125" t="s">
        <v>36</v>
      </c>
      <c r="H16" s="378">
        <f>'NITS Pg 4 of 5'!$J$33</f>
        <v>6.5449999999999994E-2</v>
      </c>
      <c r="I16" s="125"/>
      <c r="J16" s="126">
        <f t="shared" ref="J16:J19" si="0">ROUND(E16*H16,0)</f>
        <v>12375548</v>
      </c>
      <c r="K16" s="125"/>
      <c r="L16" s="125" t="s">
        <v>0</v>
      </c>
      <c r="M16" s="125"/>
      <c r="N16" s="125"/>
      <c r="O16" s="135"/>
      <c r="P16" s="125"/>
      <c r="Q16" s="125"/>
    </row>
    <row r="17" spans="1:21" x14ac:dyDescent="0.35">
      <c r="A17" s="82">
        <v>4</v>
      </c>
      <c r="C17" s="171" t="s">
        <v>200</v>
      </c>
      <c r="D17" s="162" t="s">
        <v>275</v>
      </c>
      <c r="E17" s="126">
        <f>'OATT Input Data'!E208*-1</f>
        <v>-921817</v>
      </c>
      <c r="F17" s="125"/>
      <c r="G17" s="125" t="str">
        <f>+G16</f>
        <v>W/S</v>
      </c>
      <c r="H17" s="378">
        <f>'NITS Pg 4 of 5'!$J$33</f>
        <v>6.5449999999999994E-2</v>
      </c>
      <c r="I17" s="125"/>
      <c r="J17" s="126">
        <f t="shared" si="0"/>
        <v>-60333</v>
      </c>
      <c r="K17" s="125"/>
      <c r="L17" s="125"/>
      <c r="M17" s="125"/>
      <c r="N17" s="125"/>
      <c r="O17" s="135"/>
      <c r="P17" s="125"/>
      <c r="Q17" s="125"/>
    </row>
    <row r="18" spans="1:21" x14ac:dyDescent="0.35">
      <c r="A18" s="606">
        <v>5</v>
      </c>
      <c r="C18" s="175" t="s">
        <v>278</v>
      </c>
      <c r="D18" s="442" t="s">
        <v>276</v>
      </c>
      <c r="E18" s="126">
        <f>'OATT Input Data'!E214*-1</f>
        <v>-5044011</v>
      </c>
      <c r="F18" s="443"/>
      <c r="G18" s="443" t="str">
        <f>+G17</f>
        <v>W/S</v>
      </c>
      <c r="H18" s="444">
        <f>'NITS Pg 4 of 5'!$J$33</f>
        <v>6.5449999999999994E-2</v>
      </c>
      <c r="I18" s="443"/>
      <c r="J18" s="126">
        <f t="shared" si="0"/>
        <v>-330131</v>
      </c>
      <c r="K18" s="125"/>
      <c r="L18" s="125"/>
      <c r="M18" s="125"/>
      <c r="N18" s="125"/>
      <c r="O18" s="134"/>
      <c r="P18" s="125"/>
      <c r="Q18" s="125"/>
    </row>
    <row r="19" spans="1:21" x14ac:dyDescent="0.35">
      <c r="A19" s="82">
        <v>6</v>
      </c>
      <c r="C19" s="171" t="s">
        <v>277</v>
      </c>
      <c r="D19" s="374" t="s">
        <v>276</v>
      </c>
      <c r="E19" s="126">
        <f>'OATT Input Data'!E215</f>
        <v>594261</v>
      </c>
      <c r="F19" s="125"/>
      <c r="G19" s="155" t="str">
        <f>+G14</f>
        <v>TE</v>
      </c>
      <c r="H19" s="378">
        <f>'NITS Pg 4 of 5'!$J$25</f>
        <v>0.87946000000000002</v>
      </c>
      <c r="I19" s="125"/>
      <c r="J19" s="126">
        <f t="shared" si="0"/>
        <v>522629</v>
      </c>
      <c r="K19" s="125"/>
      <c r="L19" s="125"/>
      <c r="M19" s="125"/>
      <c r="O19" s="135"/>
      <c r="P19" s="125"/>
      <c r="Q19" s="125"/>
    </row>
    <row r="20" spans="1:21" x14ac:dyDescent="0.35">
      <c r="A20" s="82">
        <v>7</v>
      </c>
      <c r="C20" s="134" t="s">
        <v>43</v>
      </c>
      <c r="D20" s="162" t="s">
        <v>179</v>
      </c>
      <c r="E20" s="309">
        <f>'OATT Input Data'!E216</f>
        <v>0</v>
      </c>
      <c r="F20" s="125"/>
      <c r="G20" s="125" t="s">
        <v>38</v>
      </c>
      <c r="H20" s="378">
        <f>'NITS Pg 4 of 5'!$J$41</f>
        <v>6.0389999999999999E-2</v>
      </c>
      <c r="I20" s="125"/>
      <c r="J20" s="309">
        <f>ROUND(E20*H20,0)</f>
        <v>0</v>
      </c>
      <c r="K20" s="125"/>
      <c r="L20" s="125"/>
      <c r="M20" s="125"/>
      <c r="N20" s="125"/>
      <c r="O20" s="135"/>
      <c r="P20" s="125"/>
      <c r="Q20" s="125"/>
    </row>
    <row r="21" spans="1:21" ht="18.5" x14ac:dyDescent="0.65">
      <c r="A21" s="82">
        <v>8</v>
      </c>
      <c r="C21" s="134" t="s">
        <v>199</v>
      </c>
      <c r="D21" s="125"/>
      <c r="E21" s="373">
        <f>'OATT Input Data'!E217</f>
        <v>0</v>
      </c>
      <c r="F21" s="125"/>
      <c r="G21" s="125" t="s">
        <v>0</v>
      </c>
      <c r="H21" s="378">
        <v>1</v>
      </c>
      <c r="I21" s="125"/>
      <c r="J21" s="373">
        <f>ROUND(E21*H21,0)</f>
        <v>0</v>
      </c>
      <c r="K21" s="125"/>
      <c r="L21" s="125"/>
      <c r="M21" s="125"/>
      <c r="N21" s="125"/>
      <c r="O21" s="135"/>
      <c r="P21" s="125"/>
      <c r="Q21" s="125"/>
    </row>
    <row r="22" spans="1:21" x14ac:dyDescent="0.35">
      <c r="A22" s="82">
        <v>9</v>
      </c>
      <c r="C22" s="171" t="s">
        <v>197</v>
      </c>
      <c r="D22" s="369" t="s">
        <v>321</v>
      </c>
      <c r="E22" s="370">
        <f>ROUND(SUM(E14:E21),0)</f>
        <v>253131716</v>
      </c>
      <c r="F22" s="125"/>
      <c r="G22" s="125"/>
      <c r="H22" s="125"/>
      <c r="I22" s="125"/>
      <c r="J22" s="370">
        <f>ROUND(SUM(J14:J21),0)</f>
        <v>73054179</v>
      </c>
      <c r="K22" s="125"/>
      <c r="L22" s="125"/>
      <c r="M22" s="125"/>
      <c r="N22" s="607"/>
      <c r="O22" s="125"/>
      <c r="P22" s="134"/>
    </row>
    <row r="23" spans="1:21" x14ac:dyDescent="0.35">
      <c r="A23" s="82"/>
      <c r="D23" s="125"/>
      <c r="E23" s="126"/>
      <c r="F23" s="125"/>
      <c r="G23" s="125"/>
      <c r="H23" s="125"/>
      <c r="I23" s="125"/>
      <c r="J23" s="126"/>
      <c r="K23" s="125"/>
      <c r="L23" s="125"/>
      <c r="M23" s="125"/>
      <c r="N23" s="125"/>
      <c r="O23" s="125"/>
      <c r="P23" s="134"/>
    </row>
    <row r="24" spans="1:21" x14ac:dyDescent="0.35">
      <c r="A24" s="82"/>
      <c r="C24" s="171" t="s">
        <v>414</v>
      </c>
      <c r="D24" s="374" t="s">
        <v>252</v>
      </c>
      <c r="E24" s="126"/>
      <c r="F24" s="125"/>
      <c r="G24" s="125"/>
      <c r="H24" s="125"/>
      <c r="I24" s="125"/>
      <c r="J24" s="126"/>
      <c r="K24" s="125"/>
      <c r="L24" s="125"/>
      <c r="M24" s="125"/>
      <c r="N24" s="125"/>
      <c r="O24" s="125"/>
      <c r="P24" s="134"/>
    </row>
    <row r="25" spans="1:21" x14ac:dyDescent="0.35">
      <c r="A25" s="82">
        <v>10</v>
      </c>
      <c r="C25" s="608" t="s">
        <v>412</v>
      </c>
      <c r="D25" s="369" t="s">
        <v>194</v>
      </c>
      <c r="E25" s="370">
        <f>'OATT Input Data'!$E$222-'OATT Input Data'!$E$228</f>
        <v>30260452.140000001</v>
      </c>
      <c r="F25" s="125"/>
      <c r="G25" s="125" t="s">
        <v>9</v>
      </c>
      <c r="H25" s="378">
        <f>'NITS Pg 4 of 5'!$J$24</f>
        <v>0.96242000000000005</v>
      </c>
      <c r="I25" s="125"/>
      <c r="J25" s="370">
        <f t="shared" ref="J25" si="1">ROUND(H25*E25,0)</f>
        <v>29123264</v>
      </c>
      <c r="K25" s="125"/>
      <c r="L25" s="393"/>
      <c r="M25" s="125"/>
      <c r="N25" s="125"/>
      <c r="O25" s="135"/>
      <c r="P25" s="134"/>
    </row>
    <row r="26" spans="1:21" x14ac:dyDescent="0.35">
      <c r="A26" s="82">
        <v>11</v>
      </c>
      <c r="C26" s="608" t="s">
        <v>398</v>
      </c>
      <c r="D26" s="369" t="s">
        <v>195</v>
      </c>
      <c r="E26" s="126">
        <f>'OATT Input Data'!$E$225</f>
        <v>28541360.370000001</v>
      </c>
      <c r="F26" s="125"/>
      <c r="G26" s="125" t="s">
        <v>36</v>
      </c>
      <c r="H26" s="378">
        <f>'NITS Pg 4 of 5'!$J$33</f>
        <v>6.5449999999999994E-2</v>
      </c>
      <c r="I26" s="125"/>
      <c r="J26" s="126">
        <f>ROUND(H26*E26,0)</f>
        <v>1868032</v>
      </c>
      <c r="K26" s="125"/>
      <c r="L26" s="393"/>
      <c r="M26" s="125"/>
      <c r="N26" s="609"/>
      <c r="O26" s="135"/>
      <c r="P26" s="134"/>
    </row>
    <row r="27" spans="1:21" x14ac:dyDescent="0.35">
      <c r="A27" s="82">
        <v>12</v>
      </c>
      <c r="C27" s="608" t="s">
        <v>413</v>
      </c>
      <c r="D27" s="369" t="s">
        <v>196</v>
      </c>
      <c r="E27" s="389">
        <f>'OATT Input Data'!$E$226</f>
        <v>19614332.707600001</v>
      </c>
      <c r="F27" s="125"/>
      <c r="G27" s="125" t="s">
        <v>38</v>
      </c>
      <c r="H27" s="378">
        <f>'NITS Pg 4 of 5'!$J$41</f>
        <v>6.0389999999999999E-2</v>
      </c>
      <c r="I27" s="125"/>
      <c r="J27" s="389">
        <f t="shared" ref="J27" si="2">ROUND(H27*E27,0)</f>
        <v>1184510</v>
      </c>
      <c r="K27" s="125"/>
      <c r="L27" s="393"/>
      <c r="M27" s="125"/>
      <c r="N27" s="609"/>
      <c r="O27" s="135"/>
      <c r="P27" s="134"/>
    </row>
    <row r="28" spans="1:21" x14ac:dyDescent="0.35">
      <c r="A28" s="82">
        <v>13</v>
      </c>
      <c r="C28" s="171" t="s">
        <v>201</v>
      </c>
      <c r="D28" s="369" t="s">
        <v>335</v>
      </c>
      <c r="E28" s="370">
        <f>ROUND(SUM(E25:E27),0)</f>
        <v>78416145</v>
      </c>
      <c r="F28" s="125"/>
      <c r="G28" s="125"/>
      <c r="H28" s="125"/>
      <c r="I28" s="125"/>
      <c r="J28" s="370">
        <f>ROUND(SUM(J25:J27),0)</f>
        <v>32175806</v>
      </c>
      <c r="K28" s="125"/>
      <c r="L28" s="125"/>
      <c r="M28" s="125"/>
      <c r="N28" s="125"/>
      <c r="O28" s="125"/>
      <c r="P28" s="134"/>
      <c r="U28" s="610"/>
    </row>
    <row r="29" spans="1:21" x14ac:dyDescent="0.35">
      <c r="A29" s="82"/>
      <c r="C29" s="134"/>
      <c r="D29" s="125"/>
      <c r="E29" s="126"/>
      <c r="F29" s="125"/>
      <c r="G29" s="125"/>
      <c r="H29" s="125"/>
      <c r="I29" s="125"/>
      <c r="J29" s="126"/>
      <c r="K29" s="125"/>
      <c r="L29" s="125"/>
      <c r="M29" s="125"/>
      <c r="N29" s="125"/>
      <c r="O29" s="125"/>
      <c r="P29" s="134"/>
    </row>
    <row r="30" spans="1:21" x14ac:dyDescent="0.35">
      <c r="A30" s="82" t="s">
        <v>0</v>
      </c>
      <c r="C30" s="171" t="s">
        <v>279</v>
      </c>
      <c r="D30" s="100" t="s">
        <v>302</v>
      </c>
      <c r="E30" s="126"/>
      <c r="F30" s="125"/>
      <c r="G30" s="125"/>
      <c r="H30" s="125"/>
      <c r="I30" s="125"/>
      <c r="J30" s="126"/>
      <c r="K30" s="125"/>
      <c r="L30" s="125"/>
      <c r="M30" s="125"/>
      <c r="N30" s="125"/>
      <c r="O30" s="125"/>
      <c r="P30" s="134"/>
    </row>
    <row r="31" spans="1:21" x14ac:dyDescent="0.35">
      <c r="A31" s="82"/>
      <c r="C31" s="134" t="s">
        <v>57</v>
      </c>
      <c r="D31" s="100"/>
      <c r="E31" s="126"/>
      <c r="F31" s="125"/>
      <c r="G31" s="125"/>
      <c r="I31" s="125"/>
      <c r="J31" s="126"/>
      <c r="K31" s="125"/>
      <c r="L31" s="393"/>
      <c r="M31" s="125"/>
      <c r="N31" s="129"/>
      <c r="O31" s="135"/>
      <c r="P31" s="134"/>
    </row>
    <row r="32" spans="1:21" x14ac:dyDescent="0.35">
      <c r="A32" s="82">
        <v>14</v>
      </c>
      <c r="C32" s="611" t="s">
        <v>59</v>
      </c>
      <c r="D32" s="374" t="s">
        <v>58</v>
      </c>
      <c r="E32" s="370">
        <f>'OATT Input Data'!$E$241</f>
        <v>16455373.870000001</v>
      </c>
      <c r="F32" s="125"/>
      <c r="G32" s="125" t="s">
        <v>36</v>
      </c>
      <c r="H32" s="378">
        <f>'NITS Pg 4 of 5'!$J$33</f>
        <v>6.5449999999999994E-2</v>
      </c>
      <c r="I32" s="125"/>
      <c r="J32" s="370">
        <f>ROUND(H32*E32,0)</f>
        <v>1077004</v>
      </c>
      <c r="K32" s="125"/>
      <c r="L32" s="393"/>
      <c r="M32" s="125"/>
      <c r="N32" s="129"/>
      <c r="P32" s="135"/>
      <c r="Q32" s="135"/>
    </row>
    <row r="33" spans="1:17" x14ac:dyDescent="0.35">
      <c r="A33" s="82">
        <v>15</v>
      </c>
      <c r="C33" s="611" t="s">
        <v>389</v>
      </c>
      <c r="D33" s="374" t="s">
        <v>58</v>
      </c>
      <c r="E33" s="309">
        <f>'OATT Input Data'!$E$242</f>
        <v>113092.42</v>
      </c>
      <c r="F33" s="125"/>
      <c r="G33" s="125" t="str">
        <f>+G32</f>
        <v>W/S</v>
      </c>
      <c r="H33" s="378">
        <f>'NITS Pg 4 of 5'!$J$33</f>
        <v>6.5449999999999994E-2</v>
      </c>
      <c r="I33" s="125"/>
      <c r="J33" s="309">
        <f>ROUND(H33*E33,0)</f>
        <v>7402</v>
      </c>
      <c r="K33" s="125"/>
      <c r="L33" s="393"/>
      <c r="M33" s="125"/>
      <c r="N33" s="129"/>
      <c r="P33" s="125"/>
      <c r="Q33" s="125"/>
    </row>
    <row r="34" spans="1:17" x14ac:dyDescent="0.35">
      <c r="A34" s="82">
        <v>16</v>
      </c>
      <c r="C34" s="134" t="s">
        <v>60</v>
      </c>
      <c r="D34" s="374" t="s">
        <v>0</v>
      </c>
      <c r="E34" s="126"/>
      <c r="F34" s="125"/>
      <c r="G34" s="125"/>
      <c r="I34" s="125"/>
      <c r="J34" s="126"/>
      <c r="K34" s="125"/>
      <c r="L34" s="393"/>
      <c r="M34" s="125"/>
      <c r="N34" s="129"/>
      <c r="P34" s="125"/>
      <c r="Q34" s="125"/>
    </row>
    <row r="35" spans="1:17" x14ac:dyDescent="0.35">
      <c r="A35" s="82">
        <v>17</v>
      </c>
      <c r="C35" s="611" t="s">
        <v>61</v>
      </c>
      <c r="D35" s="374" t="s">
        <v>58</v>
      </c>
      <c r="E35" s="126">
        <f>'OATT Input Data'!$E$244</f>
        <v>58750695</v>
      </c>
      <c r="F35" s="125"/>
      <c r="G35" s="125" t="s">
        <v>54</v>
      </c>
      <c r="H35" s="398">
        <f>'NITS Pg 2 of 5'!$H$19</f>
        <v>9.9720000000000003E-2</v>
      </c>
      <c r="I35" s="125"/>
      <c r="J35" s="126">
        <f>ROUND(H35*E35,0)</f>
        <v>5858619</v>
      </c>
      <c r="K35" s="125"/>
      <c r="L35" s="393"/>
      <c r="M35" s="125"/>
      <c r="N35" s="129"/>
      <c r="P35" s="125"/>
      <c r="Q35" s="125"/>
    </row>
    <row r="36" spans="1:17" x14ac:dyDescent="0.35">
      <c r="A36" s="82">
        <v>18</v>
      </c>
      <c r="C36" s="611" t="s">
        <v>41</v>
      </c>
      <c r="D36" s="374" t="s">
        <v>58</v>
      </c>
      <c r="E36" s="126">
        <f>'OATT Input Data'!$E$250</f>
        <v>5490463</v>
      </c>
      <c r="F36" s="125"/>
      <c r="G36" s="125" t="str">
        <f>+G35</f>
        <v>GP</v>
      </c>
      <c r="H36" s="398">
        <f>'NITS Pg 2 of 5'!$H$19</f>
        <v>9.9720000000000003E-2</v>
      </c>
      <c r="I36" s="125"/>
      <c r="J36" s="126">
        <f>ROUND(H36*E36,0)</f>
        <v>547509</v>
      </c>
      <c r="K36" s="125"/>
      <c r="L36" s="393"/>
      <c r="M36" s="125"/>
      <c r="P36" s="136"/>
      <c r="Q36" s="136"/>
    </row>
    <row r="37" spans="1:17" x14ac:dyDescent="0.35">
      <c r="A37" s="82">
        <v>19</v>
      </c>
      <c r="C37" s="611" t="s">
        <v>390</v>
      </c>
      <c r="D37" s="125"/>
      <c r="E37" s="445">
        <v>0</v>
      </c>
      <c r="F37" s="125"/>
      <c r="G37" s="125" t="s">
        <v>54</v>
      </c>
      <c r="H37" s="398">
        <f>'NITS Pg 2 of 5'!$H$19</f>
        <v>9.9720000000000003E-2</v>
      </c>
      <c r="I37" s="125"/>
      <c r="J37" s="445">
        <f>ROUND(H37*E37,0)</f>
        <v>0</v>
      </c>
      <c r="K37" s="125"/>
      <c r="L37" s="393"/>
      <c r="M37" s="125"/>
      <c r="N37" s="129"/>
      <c r="O37" s="129"/>
      <c r="P37" s="125"/>
      <c r="Q37" s="125"/>
    </row>
    <row r="38" spans="1:17" x14ac:dyDescent="0.35">
      <c r="A38" s="82">
        <v>20</v>
      </c>
      <c r="C38" s="171" t="s">
        <v>202</v>
      </c>
      <c r="D38" s="369" t="s">
        <v>409</v>
      </c>
      <c r="E38" s="370">
        <f>ROUND(SUM(E32:E37),0)</f>
        <v>80809624</v>
      </c>
      <c r="F38" s="125"/>
      <c r="G38" s="125"/>
      <c r="H38" s="398"/>
      <c r="I38" s="125"/>
      <c r="J38" s="370">
        <f>ROUND(SUM(J32:J37),0)</f>
        <v>7490534</v>
      </c>
      <c r="K38" s="125"/>
      <c r="L38" s="125"/>
      <c r="M38" s="125"/>
      <c r="N38" s="129"/>
      <c r="O38" s="147"/>
      <c r="P38" s="125"/>
      <c r="Q38" s="125"/>
    </row>
    <row r="39" spans="1:17" x14ac:dyDescent="0.35">
      <c r="A39" s="82"/>
      <c r="C39" s="134"/>
      <c r="D39" s="125"/>
      <c r="E39" s="126"/>
      <c r="F39" s="125"/>
      <c r="G39" s="125"/>
      <c r="H39" s="398"/>
      <c r="I39" s="125"/>
      <c r="J39" s="126"/>
      <c r="K39" s="125"/>
      <c r="L39" s="125"/>
      <c r="M39" s="125"/>
      <c r="N39" s="134"/>
      <c r="P39" s="135"/>
      <c r="Q39" s="135"/>
    </row>
    <row r="40" spans="1:17" x14ac:dyDescent="0.35">
      <c r="A40" s="82" t="s">
        <v>62</v>
      </c>
      <c r="C40" s="134"/>
      <c r="D40" s="125"/>
      <c r="E40" s="126"/>
      <c r="F40" s="125"/>
      <c r="G40" s="125"/>
      <c r="H40" s="398"/>
      <c r="I40" s="125"/>
      <c r="J40" s="126"/>
      <c r="K40" s="125"/>
      <c r="L40" s="125"/>
      <c r="M40" s="125"/>
      <c r="N40" s="125"/>
      <c r="P40" s="135"/>
      <c r="Q40" s="135"/>
    </row>
    <row r="41" spans="1:17" x14ac:dyDescent="0.35">
      <c r="A41" s="82" t="s">
        <v>0</v>
      </c>
      <c r="C41" s="171" t="s">
        <v>306</v>
      </c>
      <c r="D41" s="374" t="s">
        <v>304</v>
      </c>
      <c r="E41" s="126"/>
      <c r="F41" s="125"/>
      <c r="H41" s="392"/>
      <c r="I41" s="125"/>
      <c r="J41" s="126"/>
      <c r="K41" s="125"/>
      <c r="M41" s="125"/>
      <c r="N41" s="144"/>
      <c r="P41" s="135"/>
      <c r="Q41" s="135"/>
    </row>
    <row r="42" spans="1:17" x14ac:dyDescent="0.35">
      <c r="A42" s="82">
        <v>21</v>
      </c>
      <c r="C42" s="612" t="s">
        <v>399</v>
      </c>
      <c r="D42" s="125"/>
      <c r="E42" s="446">
        <f>IF('OATT Input Data'!$B$255&gt;0,1-(((1-'OATT Input Data'!$B$256)*(1-'OATT Input Data'!$B$255))/(1-'OATT Input Data'!$B$256*'OATT Input Data'!$B$255*'OATT Input Data'!$B$257)),0)</f>
        <v>0.24950000000000006</v>
      </c>
      <c r="F42" s="125"/>
      <c r="H42" s="392"/>
      <c r="I42" s="125"/>
      <c r="J42" s="126"/>
      <c r="K42" s="125"/>
      <c r="M42" s="125"/>
      <c r="N42" s="125"/>
      <c r="P42" s="135"/>
      <c r="Q42" s="135"/>
    </row>
    <row r="43" spans="1:17" x14ac:dyDescent="0.35">
      <c r="A43" s="82">
        <v>22</v>
      </c>
      <c r="C43" s="613" t="s">
        <v>400</v>
      </c>
      <c r="D43" s="125"/>
      <c r="E43" s="446">
        <f>IF('NITS Pg 4 of 5'!$J$56&gt;0,ROUND((E42/(1-E42))*(1-'NITS Pg 4 of 5'!$J$53/'NITS Pg 4 of 5'!$J$56),4),0)</f>
        <v>0.2515</v>
      </c>
      <c r="F43" s="125"/>
      <c r="H43" s="392"/>
      <c r="I43" s="125"/>
      <c r="J43" s="126"/>
      <c r="K43" s="125"/>
      <c r="M43" s="125"/>
      <c r="N43" s="125"/>
      <c r="O43" s="147"/>
      <c r="P43" s="135"/>
      <c r="Q43" s="135"/>
    </row>
    <row r="44" spans="1:17" x14ac:dyDescent="0.35">
      <c r="A44" s="82"/>
      <c r="C44" s="397" t="s">
        <v>336</v>
      </c>
      <c r="D44" s="369" t="s">
        <v>332</v>
      </c>
      <c r="E44" s="447">
        <f>'NITS Pg 4 of 5'!J53</f>
        <v>1.8700000000000001E-2</v>
      </c>
      <c r="F44" s="125"/>
      <c r="H44" s="392"/>
      <c r="I44" s="125"/>
      <c r="J44" s="126"/>
      <c r="K44" s="125"/>
      <c r="M44" s="125"/>
      <c r="P44" s="125"/>
    </row>
    <row r="45" spans="1:17" x14ac:dyDescent="0.35">
      <c r="A45" s="82"/>
      <c r="C45" s="397" t="s">
        <v>337</v>
      </c>
      <c r="D45" s="369" t="s">
        <v>333</v>
      </c>
      <c r="E45" s="447">
        <f>'NITS Pg 4 of 5'!J56</f>
        <v>7.6800000010000008E-2</v>
      </c>
      <c r="F45" s="125"/>
      <c r="H45" s="392"/>
      <c r="I45" s="125"/>
      <c r="J45" s="126"/>
      <c r="K45" s="125"/>
      <c r="M45" s="125"/>
      <c r="N45" s="125"/>
      <c r="O45" s="129"/>
      <c r="P45" s="125"/>
    </row>
    <row r="46" spans="1:17" x14ac:dyDescent="0.35">
      <c r="A46" s="82"/>
      <c r="C46" s="397" t="s">
        <v>305</v>
      </c>
      <c r="D46" s="374" t="s">
        <v>304</v>
      </c>
      <c r="E46" s="126"/>
      <c r="F46" s="125"/>
      <c r="H46" s="392"/>
      <c r="I46" s="125"/>
      <c r="J46" s="126"/>
      <c r="K46" s="125"/>
      <c r="M46" s="125"/>
      <c r="N46" s="125"/>
      <c r="O46" s="129"/>
      <c r="P46" s="125"/>
    </row>
    <row r="47" spans="1:17" x14ac:dyDescent="0.35">
      <c r="A47" s="82">
        <v>23</v>
      </c>
      <c r="C47" s="614" t="s">
        <v>307</v>
      </c>
      <c r="D47" s="369" t="s">
        <v>860</v>
      </c>
      <c r="E47" s="448">
        <f>IF(E42&gt;0,ROUND(1/(1-E42),8),0)</f>
        <v>1.3324450400000001</v>
      </c>
      <c r="F47" s="125"/>
      <c r="H47" s="392"/>
      <c r="I47" s="125"/>
      <c r="J47" s="126"/>
      <c r="K47" s="125"/>
      <c r="M47" s="125"/>
      <c r="N47" s="125"/>
      <c r="O47" s="129"/>
      <c r="P47" s="156"/>
      <c r="Q47" s="156"/>
    </row>
    <row r="48" spans="1:17" x14ac:dyDescent="0.35">
      <c r="A48" s="82">
        <v>24</v>
      </c>
      <c r="C48" s="171" t="s">
        <v>308</v>
      </c>
      <c r="D48" s="369" t="s">
        <v>391</v>
      </c>
      <c r="E48" s="309">
        <v>0</v>
      </c>
      <c r="F48" s="125"/>
      <c r="H48" s="392"/>
      <c r="I48" s="125"/>
      <c r="J48" s="126"/>
      <c r="K48" s="125"/>
      <c r="M48" s="125"/>
      <c r="N48" s="125"/>
      <c r="O48" s="129"/>
      <c r="P48" s="125"/>
      <c r="Q48" s="125"/>
    </row>
    <row r="49" spans="1:19" x14ac:dyDescent="0.35">
      <c r="A49" s="82" t="s">
        <v>1077</v>
      </c>
      <c r="C49" s="134" t="s">
        <v>1080</v>
      </c>
      <c r="D49" s="369" t="s">
        <v>1103</v>
      </c>
      <c r="E49" s="309">
        <f>'ADIT Worksheet'!C3</f>
        <v>-36660167</v>
      </c>
      <c r="F49" s="125"/>
      <c r="H49" s="392"/>
      <c r="I49" s="125"/>
      <c r="J49" s="126"/>
      <c r="K49" s="125"/>
      <c r="M49" s="125"/>
      <c r="N49" s="125"/>
      <c r="O49" s="129"/>
      <c r="P49" s="129"/>
    </row>
    <row r="50" spans="1:19" x14ac:dyDescent="0.35">
      <c r="A50" s="82" t="s">
        <v>1078</v>
      </c>
      <c r="C50" s="134" t="s">
        <v>1081</v>
      </c>
      <c r="D50" s="369" t="s">
        <v>1104</v>
      </c>
      <c r="E50" s="309">
        <f>'ADIT Worksheet'!C4</f>
        <v>-4056978</v>
      </c>
      <c r="F50" s="125"/>
      <c r="H50" s="392"/>
      <c r="I50" s="125"/>
      <c r="J50" s="126"/>
      <c r="K50" s="125"/>
      <c r="M50" s="125"/>
      <c r="N50" s="125"/>
      <c r="O50" s="129"/>
      <c r="P50" s="129"/>
    </row>
    <row r="51" spans="1:19" x14ac:dyDescent="0.35">
      <c r="A51" s="82"/>
      <c r="C51" s="134"/>
      <c r="D51" s="369"/>
      <c r="E51" s="309"/>
      <c r="F51" s="125"/>
      <c r="H51" s="392"/>
      <c r="I51" s="125"/>
      <c r="J51" s="126"/>
      <c r="K51" s="125"/>
      <c r="M51" s="125"/>
      <c r="N51" s="125"/>
      <c r="O51" s="129"/>
      <c r="P51" s="129"/>
    </row>
    <row r="52" spans="1:19" x14ac:dyDescent="0.35">
      <c r="A52" s="82">
        <v>25</v>
      </c>
      <c r="C52" s="614" t="s">
        <v>310</v>
      </c>
      <c r="D52" s="449" t="s">
        <v>410</v>
      </c>
      <c r="E52" s="370">
        <f>ROUND(E43*E58,0)</f>
        <v>158665740</v>
      </c>
      <c r="F52" s="125"/>
      <c r="G52" s="125"/>
      <c r="H52" s="398"/>
      <c r="I52" s="125"/>
      <c r="J52" s="370">
        <f>ROUND(E43*J58,0)</f>
        <v>16364820</v>
      </c>
      <c r="K52" s="125"/>
      <c r="L52" s="548" t="s">
        <v>0</v>
      </c>
      <c r="M52" s="125"/>
      <c r="N52" s="125"/>
      <c r="O52" s="129"/>
      <c r="P52" s="129"/>
    </row>
    <row r="53" spans="1:19" x14ac:dyDescent="0.35">
      <c r="A53" s="82">
        <v>26</v>
      </c>
      <c r="C53" s="146" t="s">
        <v>311</v>
      </c>
      <c r="D53" s="449" t="s">
        <v>411</v>
      </c>
      <c r="E53" s="309">
        <f>ROUND(E47*E48,0)</f>
        <v>0</v>
      </c>
      <c r="F53" s="125"/>
      <c r="G53" s="83" t="s">
        <v>46</v>
      </c>
      <c r="H53" s="398">
        <f>'NITS Pg 2 of 5'!$H$35</f>
        <v>0.10312</v>
      </c>
      <c r="I53" s="125"/>
      <c r="J53" s="309">
        <f>ROUND(H53*E53,0)</f>
        <v>0</v>
      </c>
      <c r="K53" s="125"/>
      <c r="L53" s="548"/>
      <c r="M53" s="125"/>
      <c r="N53" s="125"/>
      <c r="O53" s="129"/>
      <c r="P53" s="129"/>
    </row>
    <row r="54" spans="1:19" x14ac:dyDescent="0.35">
      <c r="A54" s="82" t="s">
        <v>1007</v>
      </c>
      <c r="C54" s="146" t="s">
        <v>1083</v>
      </c>
      <c r="D54" s="449" t="s">
        <v>1105</v>
      </c>
      <c r="E54" s="309">
        <f>E49*E47</f>
        <v>-48847657.684721686</v>
      </c>
      <c r="F54" s="125"/>
      <c r="G54" s="125" t="s">
        <v>46</v>
      </c>
      <c r="H54" s="398">
        <f>'NITS Pg 2 of 5'!$H$35</f>
        <v>0.10312</v>
      </c>
      <c r="I54" s="125"/>
      <c r="J54" s="547">
        <f>IF(ROUND(H54*E54,0)=0,0.001,ROUND(H54*E54,0))</f>
        <v>-5037170</v>
      </c>
      <c r="K54" s="125"/>
      <c r="L54" s="548"/>
      <c r="M54" s="125"/>
      <c r="N54" s="125"/>
      <c r="O54" s="129"/>
      <c r="P54" s="129"/>
    </row>
    <row r="55" spans="1:19" ht="18.5" x14ac:dyDescent="0.65">
      <c r="A55" s="82" t="s">
        <v>1008</v>
      </c>
      <c r="C55" s="146" t="s">
        <v>1082</v>
      </c>
      <c r="D55" s="449" t="s">
        <v>1106</v>
      </c>
      <c r="E55" s="373">
        <f>E50*E47</f>
        <v>-5405700.2134891199</v>
      </c>
      <c r="F55" s="125"/>
      <c r="G55" s="125" t="s">
        <v>36</v>
      </c>
      <c r="H55" s="378">
        <f>'NITS Pg 4 of 5'!$J$33</f>
        <v>6.5449999999999994E-2</v>
      </c>
      <c r="I55" s="125"/>
      <c r="J55" s="549">
        <f>IF(ROUND(H55*E55,0)=0,0.001,ROUND(H55*E55,0))</f>
        <v>-353803</v>
      </c>
      <c r="K55" s="125"/>
      <c r="L55" s="548"/>
      <c r="M55" s="125"/>
      <c r="N55" s="125"/>
      <c r="O55" s="129"/>
      <c r="P55" s="129"/>
    </row>
    <row r="56" spans="1:19" x14ac:dyDescent="0.35">
      <c r="A56" s="82">
        <v>27</v>
      </c>
      <c r="C56" s="550" t="s">
        <v>63</v>
      </c>
      <c r="D56" s="372" t="s">
        <v>1079</v>
      </c>
      <c r="E56" s="551">
        <f>SUM(E52:E55)</f>
        <v>104412382.10178921</v>
      </c>
      <c r="F56" s="125"/>
      <c r="G56" s="125" t="s">
        <v>0</v>
      </c>
      <c r="H56" s="398" t="s">
        <v>0</v>
      </c>
      <c r="I56" s="125"/>
      <c r="J56" s="551">
        <f>SUM(J52:J55)</f>
        <v>10973847</v>
      </c>
      <c r="K56" s="125"/>
      <c r="L56" s="125"/>
      <c r="M56" s="125"/>
      <c r="N56" s="125"/>
      <c r="O56" s="125"/>
      <c r="P56" s="134"/>
    </row>
    <row r="57" spans="1:19" x14ac:dyDescent="0.35">
      <c r="A57" s="82" t="s">
        <v>0</v>
      </c>
      <c r="D57" s="450"/>
      <c r="E57" s="126"/>
      <c r="F57" s="125"/>
      <c r="G57" s="125"/>
      <c r="H57" s="398"/>
      <c r="I57" s="125"/>
      <c r="J57" s="126"/>
      <c r="K57" s="125"/>
      <c r="L57" s="125"/>
      <c r="M57" s="125"/>
      <c r="N57" s="125"/>
      <c r="O57" s="125"/>
      <c r="P57" s="134"/>
    </row>
    <row r="58" spans="1:19" ht="18.5" x14ac:dyDescent="0.65">
      <c r="A58" s="82">
        <v>28</v>
      </c>
      <c r="C58" s="171" t="s">
        <v>309</v>
      </c>
      <c r="D58" s="372" t="s">
        <v>338</v>
      </c>
      <c r="E58" s="451">
        <f>ROUND('NITS Pg 4 of 5'!$J$56*'NITS Pg 2 of 5'!$E$57,0)</f>
        <v>630877695</v>
      </c>
      <c r="F58" s="125"/>
      <c r="G58" s="125"/>
      <c r="H58" s="392"/>
      <c r="I58" s="125"/>
      <c r="J58" s="451">
        <f>ROUND('NITS Pg 4 of 5'!$J$56*'NITS Pg 2 of 5'!$J$57,0)</f>
        <v>65068865</v>
      </c>
      <c r="K58" s="125"/>
      <c r="M58" s="125"/>
      <c r="N58" s="125"/>
      <c r="O58" s="135"/>
      <c r="P58" s="125"/>
    </row>
    <row r="59" spans="1:19" x14ac:dyDescent="0.35">
      <c r="A59" s="82"/>
      <c r="C59" s="134"/>
      <c r="E59" s="126"/>
      <c r="F59" s="125"/>
      <c r="G59" s="125"/>
      <c r="H59" s="392"/>
      <c r="I59" s="125"/>
      <c r="J59" s="126"/>
      <c r="K59" s="125"/>
      <c r="L59" s="393"/>
      <c r="M59" s="125"/>
      <c r="N59" s="125"/>
      <c r="O59" s="135"/>
      <c r="P59" s="125"/>
    </row>
    <row r="60" spans="1:19" ht="17" x14ac:dyDescent="0.5">
      <c r="A60" s="82">
        <v>29</v>
      </c>
      <c r="C60" s="171" t="s">
        <v>203</v>
      </c>
      <c r="D60" s="369" t="s">
        <v>407</v>
      </c>
      <c r="E60" s="452">
        <f>ROUND(E58+E56+E38+E28+E22,0)</f>
        <v>1147647562</v>
      </c>
      <c r="F60" s="125"/>
      <c r="G60" s="125"/>
      <c r="H60" s="125"/>
      <c r="I60" s="125"/>
      <c r="J60" s="452">
        <f>ROUND(J58+J56+J38+J28+J22,0)</f>
        <v>188763231</v>
      </c>
      <c r="K60" s="90"/>
      <c r="L60" s="90"/>
      <c r="M60" s="90"/>
      <c r="N60" s="90"/>
      <c r="O60" s="90"/>
      <c r="P60" s="134"/>
    </row>
    <row r="61" spans="1:19" x14ac:dyDescent="0.35">
      <c r="Q61" s="100"/>
      <c r="R61" s="100"/>
      <c r="S61" s="100"/>
    </row>
    <row r="62" spans="1:19" x14ac:dyDescent="0.35">
      <c r="Q62" s="100"/>
      <c r="R62" s="100"/>
      <c r="S62" s="100"/>
    </row>
    <row r="63" spans="1:19" x14ac:dyDescent="0.35">
      <c r="Q63" s="100"/>
      <c r="R63" s="100"/>
      <c r="S63" s="100"/>
    </row>
    <row r="64" spans="1:19" x14ac:dyDescent="0.35">
      <c r="Q64" s="100"/>
      <c r="R64" s="100"/>
      <c r="S64" s="100"/>
    </row>
    <row r="65" spans="16:19" x14ac:dyDescent="0.35">
      <c r="P65" s="83" t="s">
        <v>0</v>
      </c>
      <c r="Q65" s="100"/>
      <c r="R65" s="100"/>
      <c r="S65" s="100"/>
    </row>
    <row r="66" spans="16:19" x14ac:dyDescent="0.35">
      <c r="Q66" s="100"/>
      <c r="R66" s="100"/>
      <c r="S66" s="100"/>
    </row>
    <row r="67" spans="16:19" x14ac:dyDescent="0.35">
      <c r="Q67" s="100"/>
      <c r="R67" s="100"/>
      <c r="S67" s="100"/>
    </row>
    <row r="68" spans="16:19" x14ac:dyDescent="0.35">
      <c r="Q68" s="100"/>
      <c r="R68" s="100"/>
      <c r="S68" s="100"/>
    </row>
    <row r="69" spans="16:19" x14ac:dyDescent="0.35">
      <c r="Q69" s="100"/>
      <c r="R69" s="100"/>
      <c r="S69" s="100"/>
    </row>
    <row r="70" spans="16:19" x14ac:dyDescent="0.35">
      <c r="Q70" s="100"/>
      <c r="R70" s="100"/>
      <c r="S70" s="100"/>
    </row>
    <row r="71" spans="16:19" x14ac:dyDescent="0.35">
      <c r="Q71" s="100"/>
      <c r="R71" s="100"/>
      <c r="S71" s="100"/>
    </row>
    <row r="72" spans="16:19" x14ac:dyDescent="0.35">
      <c r="Q72" s="100"/>
      <c r="R72" s="100"/>
      <c r="S72" s="100"/>
    </row>
    <row r="73" spans="16:19" x14ac:dyDescent="0.35">
      <c r="Q73" s="100"/>
      <c r="R73" s="100"/>
      <c r="S73" s="100"/>
    </row>
    <row r="74" spans="16:19" x14ac:dyDescent="0.35">
      <c r="Q74" s="100"/>
      <c r="R74" s="100"/>
      <c r="S74" s="100"/>
    </row>
    <row r="75" spans="16:19" x14ac:dyDescent="0.35">
      <c r="Q75" s="100"/>
      <c r="R75" s="100"/>
      <c r="S75" s="100"/>
    </row>
    <row r="76" spans="16:19" x14ac:dyDescent="0.35">
      <c r="Q76" s="100"/>
      <c r="R76" s="100"/>
      <c r="S76" s="100"/>
    </row>
    <row r="77" spans="16:19" x14ac:dyDescent="0.35">
      <c r="Q77" s="100"/>
      <c r="R77" s="100"/>
      <c r="S77" s="100"/>
    </row>
    <row r="78" spans="16:19" x14ac:dyDescent="0.35">
      <c r="Q78" s="100"/>
      <c r="R78" s="100"/>
      <c r="S78" s="100"/>
    </row>
    <row r="79" spans="16:19" x14ac:dyDescent="0.35">
      <c r="Q79" s="100"/>
      <c r="R79" s="100"/>
      <c r="S79" s="100"/>
    </row>
    <row r="80" spans="16:19" x14ac:dyDescent="0.35">
      <c r="Q80" s="100"/>
      <c r="R80" s="100"/>
      <c r="S80" s="100"/>
    </row>
    <row r="81" spans="17:19" x14ac:dyDescent="0.35">
      <c r="Q81" s="100"/>
      <c r="R81" s="100"/>
      <c r="S81" s="100"/>
    </row>
    <row r="82" spans="17:19" x14ac:dyDescent="0.35">
      <c r="Q82" s="100"/>
      <c r="R82" s="100"/>
      <c r="S82" s="100"/>
    </row>
    <row r="83" spans="17:19" x14ac:dyDescent="0.35">
      <c r="Q83" s="100"/>
      <c r="R83" s="100"/>
      <c r="S83" s="100"/>
    </row>
    <row r="84" spans="17:19" x14ac:dyDescent="0.35">
      <c r="Q84" s="100"/>
      <c r="R84" s="100"/>
      <c r="S84" s="100"/>
    </row>
    <row r="85" spans="17:19" x14ac:dyDescent="0.35">
      <c r="Q85" s="100"/>
      <c r="R85" s="100"/>
      <c r="S85" s="100"/>
    </row>
    <row r="86" spans="17:19" x14ac:dyDescent="0.35">
      <c r="Q86" s="100"/>
      <c r="R86" s="100"/>
      <c r="S86" s="100"/>
    </row>
    <row r="87" spans="17:19" x14ac:dyDescent="0.35">
      <c r="Q87" s="100"/>
      <c r="R87" s="100"/>
      <c r="S87" s="100"/>
    </row>
    <row r="88" spans="17:19" x14ac:dyDescent="0.35">
      <c r="Q88" s="100"/>
      <c r="R88" s="100"/>
      <c r="S88" s="100"/>
    </row>
    <row r="89" spans="17:19" x14ac:dyDescent="0.35">
      <c r="Q89" s="100"/>
      <c r="R89" s="100"/>
      <c r="S89" s="100"/>
    </row>
    <row r="90" spans="17:19" x14ac:dyDescent="0.35">
      <c r="Q90" s="100"/>
      <c r="R90" s="100"/>
      <c r="S90" s="100"/>
    </row>
    <row r="91" spans="17:19" x14ac:dyDescent="0.35">
      <c r="Q91" s="100"/>
      <c r="R91" s="100"/>
      <c r="S91" s="100"/>
    </row>
    <row r="92" spans="17:19" x14ac:dyDescent="0.35">
      <c r="Q92" s="100"/>
      <c r="R92" s="100"/>
      <c r="S92" s="100"/>
    </row>
    <row r="93" spans="17:19" x14ac:dyDescent="0.35">
      <c r="Q93" s="100"/>
      <c r="R93" s="100"/>
      <c r="S93" s="100"/>
    </row>
    <row r="94" spans="17:19" x14ac:dyDescent="0.35">
      <c r="Q94" s="100"/>
      <c r="R94" s="100"/>
      <c r="S94" s="100"/>
    </row>
    <row r="95" spans="17:19" x14ac:dyDescent="0.35">
      <c r="Q95" s="100"/>
      <c r="R95" s="100"/>
      <c r="S95" s="100"/>
    </row>
    <row r="96" spans="17:19" x14ac:dyDescent="0.35">
      <c r="Q96" s="100"/>
      <c r="R96" s="100"/>
      <c r="S96" s="100"/>
    </row>
    <row r="97" spans="17:19" x14ac:dyDescent="0.35">
      <c r="Q97" s="100"/>
      <c r="R97" s="100"/>
      <c r="S97" s="100"/>
    </row>
    <row r="98" spans="17:19" x14ac:dyDescent="0.35">
      <c r="Q98" s="100"/>
      <c r="R98" s="100"/>
      <c r="S98" s="100"/>
    </row>
    <row r="99" spans="17:19" x14ac:dyDescent="0.35">
      <c r="Q99" s="100"/>
      <c r="R99" s="100"/>
      <c r="S99" s="100"/>
    </row>
    <row r="100" spans="17:19" x14ac:dyDescent="0.35">
      <c r="Q100" s="100"/>
      <c r="R100" s="100"/>
      <c r="S100" s="100"/>
    </row>
    <row r="101" spans="17:19" x14ac:dyDescent="0.35">
      <c r="Q101" s="100"/>
      <c r="R101" s="100"/>
      <c r="S101" s="100"/>
    </row>
    <row r="102" spans="17:19" x14ac:dyDescent="0.35">
      <c r="Q102" s="100"/>
      <c r="R102" s="100"/>
      <c r="S102" s="100"/>
    </row>
    <row r="103" spans="17:19" x14ac:dyDescent="0.35">
      <c r="Q103" s="100"/>
      <c r="R103" s="100"/>
      <c r="S103" s="100"/>
    </row>
    <row r="104" spans="17:19" x14ac:dyDescent="0.35">
      <c r="Q104" s="100"/>
      <c r="R104" s="100"/>
      <c r="S104" s="100"/>
    </row>
    <row r="105" spans="17:19" x14ac:dyDescent="0.35">
      <c r="Q105" s="100"/>
      <c r="R105" s="100"/>
      <c r="S105" s="100"/>
    </row>
    <row r="106" spans="17:19" x14ac:dyDescent="0.35">
      <c r="Q106" s="100"/>
      <c r="R106" s="100"/>
      <c r="S106" s="100"/>
    </row>
    <row r="107" spans="17:19" x14ac:dyDescent="0.35">
      <c r="Q107" s="100"/>
      <c r="R107" s="100"/>
      <c r="S107" s="100"/>
    </row>
    <row r="108" spans="17:19" x14ac:dyDescent="0.35">
      <c r="Q108" s="100"/>
      <c r="R108" s="100"/>
      <c r="S108" s="100"/>
    </row>
    <row r="109" spans="17:19" x14ac:dyDescent="0.35">
      <c r="Q109" s="100"/>
      <c r="R109" s="100"/>
      <c r="S109" s="100"/>
    </row>
    <row r="110" spans="17:19" x14ac:dyDescent="0.35">
      <c r="Q110" s="100"/>
      <c r="R110" s="100"/>
      <c r="S110" s="100"/>
    </row>
    <row r="111" spans="17:19" x14ac:dyDescent="0.35">
      <c r="Q111" s="100"/>
      <c r="R111" s="100"/>
      <c r="S111" s="100"/>
    </row>
    <row r="112" spans="17:19" x14ac:dyDescent="0.35">
      <c r="Q112" s="100"/>
      <c r="R112" s="100"/>
      <c r="S112" s="100"/>
    </row>
    <row r="113" spans="17:19" x14ac:dyDescent="0.35">
      <c r="Q113" s="100"/>
      <c r="R113" s="100"/>
      <c r="S113" s="100"/>
    </row>
    <row r="114" spans="17:19" x14ac:dyDescent="0.35">
      <c r="Q114" s="100"/>
      <c r="R114" s="100"/>
      <c r="S114" s="100"/>
    </row>
    <row r="115" spans="17:19" x14ac:dyDescent="0.35">
      <c r="Q115" s="100"/>
      <c r="R115" s="100"/>
      <c r="S115" s="100"/>
    </row>
    <row r="116" spans="17:19" x14ac:dyDescent="0.35">
      <c r="Q116" s="100"/>
      <c r="R116" s="100"/>
      <c r="S116" s="100"/>
    </row>
    <row r="117" spans="17:19" x14ac:dyDescent="0.35">
      <c r="Q117" s="100"/>
      <c r="R117" s="100"/>
      <c r="S117" s="100"/>
    </row>
    <row r="118" spans="17:19" x14ac:dyDescent="0.35">
      <c r="Q118" s="100"/>
      <c r="R118" s="100"/>
      <c r="S118" s="100"/>
    </row>
    <row r="119" spans="17:19" x14ac:dyDescent="0.35">
      <c r="Q119" s="100"/>
      <c r="R119" s="100"/>
      <c r="S119" s="100"/>
    </row>
    <row r="120" spans="17:19" x14ac:dyDescent="0.35">
      <c r="Q120" s="100"/>
      <c r="R120" s="100"/>
      <c r="S120" s="100"/>
    </row>
    <row r="121" spans="17:19" x14ac:dyDescent="0.35">
      <c r="Q121" s="100"/>
      <c r="R121" s="100"/>
      <c r="S121" s="100"/>
    </row>
    <row r="122" spans="17:19" x14ac:dyDescent="0.35">
      <c r="Q122" s="100"/>
      <c r="R122" s="100"/>
      <c r="S122" s="100"/>
    </row>
    <row r="123" spans="17:19" x14ac:dyDescent="0.35">
      <c r="Q123" s="100"/>
      <c r="R123" s="100"/>
      <c r="S123" s="100"/>
    </row>
    <row r="124" spans="17:19" x14ac:dyDescent="0.35">
      <c r="Q124" s="100"/>
      <c r="R124" s="100"/>
      <c r="S124" s="100"/>
    </row>
    <row r="125" spans="17:19" x14ac:dyDescent="0.35">
      <c r="Q125" s="100"/>
      <c r="R125" s="100"/>
      <c r="S125" s="100"/>
    </row>
    <row r="126" spans="17:19" x14ac:dyDescent="0.35">
      <c r="Q126" s="100"/>
      <c r="R126" s="100"/>
      <c r="S126" s="100"/>
    </row>
    <row r="127" spans="17:19" x14ac:dyDescent="0.35">
      <c r="Q127" s="100"/>
      <c r="R127" s="100"/>
      <c r="S127" s="100"/>
    </row>
    <row r="128" spans="17:19" x14ac:dyDescent="0.35">
      <c r="Q128" s="100"/>
      <c r="R128" s="100"/>
      <c r="S128" s="100"/>
    </row>
    <row r="129" spans="17:19" x14ac:dyDescent="0.35">
      <c r="Q129" s="100"/>
      <c r="R129" s="100"/>
      <c r="S129" s="100"/>
    </row>
    <row r="130" spans="17:19" x14ac:dyDescent="0.35">
      <c r="Q130" s="100"/>
      <c r="R130" s="100"/>
      <c r="S130" s="100"/>
    </row>
    <row r="131" spans="17:19" x14ac:dyDescent="0.35">
      <c r="Q131" s="100"/>
      <c r="R131" s="100"/>
      <c r="S131" s="100"/>
    </row>
    <row r="132" spans="17:19" x14ac:dyDescent="0.35">
      <c r="Q132" s="100"/>
      <c r="R132" s="100"/>
      <c r="S132" s="100"/>
    </row>
    <row r="133" spans="17:19" x14ac:dyDescent="0.35">
      <c r="Q133" s="100"/>
      <c r="R133" s="100"/>
      <c r="S133" s="100"/>
    </row>
    <row r="134" spans="17:19" x14ac:dyDescent="0.35">
      <c r="Q134" s="100"/>
      <c r="R134" s="100"/>
      <c r="S134" s="100"/>
    </row>
    <row r="135" spans="17:19" x14ac:dyDescent="0.35">
      <c r="Q135" s="100"/>
      <c r="R135" s="100"/>
      <c r="S135" s="100"/>
    </row>
    <row r="136" spans="17:19" x14ac:dyDescent="0.35">
      <c r="Q136" s="100"/>
      <c r="R136" s="100"/>
      <c r="S136" s="100"/>
    </row>
    <row r="137" spans="17:19" x14ac:dyDescent="0.35">
      <c r="Q137" s="100"/>
      <c r="R137" s="100"/>
      <c r="S137" s="100"/>
    </row>
    <row r="138" spans="17:19" x14ac:dyDescent="0.35">
      <c r="Q138" s="100"/>
      <c r="R138" s="100"/>
      <c r="S138" s="100"/>
    </row>
    <row r="139" spans="17:19" x14ac:dyDescent="0.35">
      <c r="Q139" s="100"/>
      <c r="R139" s="100"/>
      <c r="S139" s="100"/>
    </row>
    <row r="140" spans="17:19" x14ac:dyDescent="0.35">
      <c r="Q140" s="100"/>
      <c r="R140" s="100"/>
      <c r="S140" s="100"/>
    </row>
    <row r="141" spans="17:19" x14ac:dyDescent="0.35">
      <c r="Q141" s="100"/>
      <c r="R141" s="100"/>
      <c r="S141" s="100"/>
    </row>
    <row r="142" spans="17:19" x14ac:dyDescent="0.35">
      <c r="Q142" s="100"/>
      <c r="R142" s="100"/>
      <c r="S142" s="100"/>
    </row>
    <row r="143" spans="17:19" x14ac:dyDescent="0.35">
      <c r="Q143" s="100"/>
      <c r="R143" s="100"/>
      <c r="S143" s="100"/>
    </row>
    <row r="144" spans="17:19" x14ac:dyDescent="0.35">
      <c r="Q144" s="100"/>
      <c r="R144" s="100"/>
      <c r="S144" s="100"/>
    </row>
    <row r="145" spans="17:19" x14ac:dyDescent="0.35">
      <c r="Q145" s="100"/>
      <c r="R145" s="100"/>
      <c r="S145" s="100"/>
    </row>
    <row r="146" spans="17:19" x14ac:dyDescent="0.35">
      <c r="Q146" s="100"/>
      <c r="R146" s="100"/>
      <c r="S146" s="100"/>
    </row>
    <row r="147" spans="17:19" x14ac:dyDescent="0.35">
      <c r="Q147" s="100"/>
      <c r="R147" s="100"/>
      <c r="S147" s="100"/>
    </row>
    <row r="148" spans="17:19" x14ac:dyDescent="0.35">
      <c r="Q148" s="100"/>
      <c r="R148" s="100"/>
      <c r="S148" s="100"/>
    </row>
    <row r="149" spans="17:19" x14ac:dyDescent="0.35">
      <c r="Q149" s="100"/>
      <c r="R149" s="100"/>
      <c r="S149" s="100"/>
    </row>
    <row r="150" spans="17:19" x14ac:dyDescent="0.35">
      <c r="Q150" s="100"/>
      <c r="R150" s="100"/>
      <c r="S150" s="100"/>
    </row>
    <row r="151" spans="17:19" x14ac:dyDescent="0.35">
      <c r="Q151" s="100"/>
      <c r="R151" s="100"/>
      <c r="S151" s="100"/>
    </row>
    <row r="152" spans="17:19" x14ac:dyDescent="0.35">
      <c r="Q152" s="100"/>
      <c r="R152" s="100"/>
      <c r="S152" s="100"/>
    </row>
    <row r="153" spans="17:19" x14ac:dyDescent="0.35">
      <c r="Q153" s="100"/>
      <c r="R153" s="100"/>
      <c r="S153" s="100"/>
    </row>
    <row r="154" spans="17:19" x14ac:dyDescent="0.35">
      <c r="Q154" s="100"/>
      <c r="R154" s="100"/>
      <c r="S154" s="100"/>
    </row>
    <row r="155" spans="17:19" x14ac:dyDescent="0.35">
      <c r="Q155" s="100"/>
      <c r="R155" s="100"/>
      <c r="S155" s="100"/>
    </row>
    <row r="156" spans="17:19" x14ac:dyDescent="0.35">
      <c r="Q156" s="100"/>
      <c r="R156" s="100"/>
      <c r="S156" s="100"/>
    </row>
    <row r="157" spans="17:19" x14ac:dyDescent="0.35">
      <c r="Q157" s="100"/>
      <c r="R157" s="100"/>
      <c r="S157" s="100"/>
    </row>
    <row r="158" spans="17:19" x14ac:dyDescent="0.35">
      <c r="Q158" s="100"/>
      <c r="R158" s="100"/>
      <c r="S158" s="100"/>
    </row>
    <row r="159" spans="17:19" x14ac:dyDescent="0.35">
      <c r="Q159" s="100"/>
      <c r="R159" s="100"/>
      <c r="S159" s="100"/>
    </row>
    <row r="160" spans="17:19" x14ac:dyDescent="0.35">
      <c r="Q160" s="100"/>
      <c r="R160" s="100"/>
      <c r="S160" s="100"/>
    </row>
    <row r="161" spans="17:19" x14ac:dyDescent="0.35">
      <c r="Q161" s="100"/>
      <c r="R161" s="100"/>
      <c r="S161" s="100"/>
    </row>
    <row r="162" spans="17:19" x14ac:dyDescent="0.35">
      <c r="Q162" s="100"/>
      <c r="R162" s="100"/>
      <c r="S162" s="100"/>
    </row>
    <row r="163" spans="17:19" x14ac:dyDescent="0.35">
      <c r="Q163" s="100"/>
      <c r="R163" s="100"/>
      <c r="S163" s="100"/>
    </row>
    <row r="164" spans="17:19" x14ac:dyDescent="0.35">
      <c r="Q164" s="100"/>
      <c r="R164" s="100"/>
      <c r="S164" s="100"/>
    </row>
    <row r="165" spans="17:19" x14ac:dyDescent="0.35">
      <c r="Q165" s="100"/>
      <c r="R165" s="100"/>
      <c r="S165" s="100"/>
    </row>
    <row r="166" spans="17:19" x14ac:dyDescent="0.35">
      <c r="Q166" s="100"/>
      <c r="R166" s="100"/>
      <c r="S166" s="100"/>
    </row>
    <row r="167" spans="17:19" x14ac:dyDescent="0.35">
      <c r="Q167" s="100"/>
      <c r="R167" s="100"/>
      <c r="S167" s="100"/>
    </row>
    <row r="168" spans="17:19" x14ac:dyDescent="0.35">
      <c r="Q168" s="100"/>
      <c r="R168" s="100"/>
      <c r="S168" s="100"/>
    </row>
    <row r="169" spans="17:19" x14ac:dyDescent="0.35">
      <c r="Q169" s="100"/>
      <c r="R169" s="100"/>
      <c r="S169" s="100"/>
    </row>
    <row r="170" spans="17:19" x14ac:dyDescent="0.35">
      <c r="Q170" s="100"/>
      <c r="R170" s="100"/>
      <c r="S170" s="100"/>
    </row>
    <row r="171" spans="17:19" x14ac:dyDescent="0.35">
      <c r="Q171" s="100"/>
      <c r="R171" s="100"/>
      <c r="S171" s="100"/>
    </row>
    <row r="172" spans="17:19" x14ac:dyDescent="0.35">
      <c r="Q172" s="100"/>
      <c r="R172" s="100"/>
      <c r="S172" s="100"/>
    </row>
    <row r="173" spans="17:19" x14ac:dyDescent="0.35">
      <c r="Q173" s="100"/>
      <c r="R173" s="100"/>
      <c r="S173" s="100"/>
    </row>
    <row r="174" spans="17:19" x14ac:dyDescent="0.35">
      <c r="Q174" s="100"/>
      <c r="R174" s="100"/>
      <c r="S174" s="100"/>
    </row>
    <row r="175" spans="17:19" x14ac:dyDescent="0.35">
      <c r="Q175" s="100"/>
      <c r="R175" s="100"/>
      <c r="S175" s="100"/>
    </row>
    <row r="176" spans="17:19" x14ac:dyDescent="0.35">
      <c r="Q176" s="100"/>
      <c r="R176" s="100"/>
      <c r="S176" s="100"/>
    </row>
    <row r="177" spans="3:19" x14ac:dyDescent="0.35">
      <c r="Q177" s="100"/>
      <c r="R177" s="100"/>
      <c r="S177" s="100"/>
    </row>
    <row r="178" spans="3:19" x14ac:dyDescent="0.35">
      <c r="Q178" s="100"/>
      <c r="R178" s="100"/>
      <c r="S178" s="100"/>
    </row>
    <row r="179" spans="3:19" x14ac:dyDescent="0.35">
      <c r="Q179" s="100"/>
      <c r="R179" s="100"/>
      <c r="S179" s="100"/>
    </row>
    <row r="180" spans="3:19" x14ac:dyDescent="0.35">
      <c r="Q180" s="100"/>
      <c r="R180" s="100"/>
      <c r="S180" s="100"/>
    </row>
    <row r="181" spans="3:19" x14ac:dyDescent="0.35">
      <c r="Q181" s="100"/>
      <c r="R181" s="100"/>
      <c r="S181" s="100"/>
    </row>
    <row r="182" spans="3:19" x14ac:dyDescent="0.35">
      <c r="Q182" s="100"/>
      <c r="R182" s="100"/>
      <c r="S182" s="100"/>
    </row>
    <row r="183" spans="3:19" x14ac:dyDescent="0.35">
      <c r="Q183" s="100"/>
      <c r="R183" s="100"/>
      <c r="S183" s="100"/>
    </row>
    <row r="184" spans="3:19" x14ac:dyDescent="0.35">
      <c r="C184" s="100"/>
      <c r="D184" s="100"/>
      <c r="E184" s="100"/>
      <c r="F184" s="100"/>
      <c r="G184" s="100"/>
      <c r="H184" s="100"/>
      <c r="I184" s="100"/>
      <c r="J184" s="100"/>
      <c r="K184" s="100"/>
      <c r="L184" s="100"/>
      <c r="M184" s="100"/>
      <c r="N184" s="100"/>
      <c r="O184" s="100"/>
      <c r="Q184" s="100"/>
      <c r="R184" s="100"/>
      <c r="S184" s="100"/>
    </row>
    <row r="185" spans="3:19" x14ac:dyDescent="0.35">
      <c r="C185" s="100"/>
      <c r="D185" s="100"/>
      <c r="E185" s="100"/>
      <c r="F185" s="100"/>
      <c r="G185" s="100"/>
      <c r="H185" s="100"/>
      <c r="I185" s="100"/>
      <c r="J185" s="100"/>
      <c r="K185" s="100"/>
      <c r="L185" s="100"/>
      <c r="M185" s="100"/>
      <c r="N185" s="100"/>
      <c r="O185" s="100"/>
      <c r="P185" s="100"/>
      <c r="Q185" s="100"/>
      <c r="R185" s="100"/>
      <c r="S185" s="100"/>
    </row>
    <row r="186" spans="3:19" x14ac:dyDescent="0.35">
      <c r="C186" s="100"/>
      <c r="D186" s="100"/>
      <c r="E186" s="100"/>
      <c r="F186" s="100"/>
      <c r="G186" s="100"/>
      <c r="H186" s="100"/>
      <c r="I186" s="100"/>
      <c r="J186" s="100"/>
      <c r="K186" s="100"/>
      <c r="L186" s="100"/>
      <c r="M186" s="100"/>
      <c r="N186" s="100"/>
      <c r="O186" s="100"/>
      <c r="P186" s="100"/>
      <c r="Q186" s="100"/>
      <c r="R186" s="100"/>
      <c r="S186" s="100"/>
    </row>
    <row r="187" spans="3:19" x14ac:dyDescent="0.35">
      <c r="C187" s="100"/>
      <c r="D187" s="100"/>
      <c r="E187" s="100"/>
      <c r="F187" s="100"/>
      <c r="G187" s="100"/>
      <c r="H187" s="100"/>
      <c r="I187" s="100"/>
      <c r="J187" s="100"/>
      <c r="K187" s="100"/>
      <c r="L187" s="100"/>
      <c r="M187" s="100"/>
      <c r="N187" s="100"/>
      <c r="O187" s="100"/>
      <c r="P187" s="100"/>
      <c r="Q187" s="100"/>
      <c r="R187" s="100"/>
      <c r="S187" s="100"/>
    </row>
    <row r="188" spans="3:19" x14ac:dyDescent="0.35">
      <c r="C188" s="100"/>
      <c r="D188" s="100"/>
      <c r="E188" s="100"/>
      <c r="F188" s="100"/>
      <c r="G188" s="100"/>
      <c r="H188" s="100"/>
      <c r="I188" s="100"/>
      <c r="J188" s="100"/>
      <c r="K188" s="100"/>
      <c r="L188" s="100"/>
      <c r="M188" s="100"/>
      <c r="N188" s="100"/>
      <c r="O188" s="100"/>
      <c r="P188" s="100"/>
      <c r="Q188" s="100"/>
      <c r="R188" s="100"/>
      <c r="S188" s="100"/>
    </row>
    <row r="189" spans="3:19" x14ac:dyDescent="0.35">
      <c r="C189" s="100"/>
      <c r="D189" s="100"/>
      <c r="E189" s="100"/>
      <c r="F189" s="100"/>
      <c r="G189" s="100"/>
      <c r="H189" s="100"/>
      <c r="I189" s="100"/>
      <c r="J189" s="100"/>
      <c r="K189" s="100"/>
      <c r="L189" s="100"/>
      <c r="M189" s="100"/>
      <c r="N189" s="100"/>
      <c r="O189" s="100"/>
      <c r="P189" s="100"/>
      <c r="Q189" s="100"/>
      <c r="R189" s="100"/>
      <c r="S189" s="100"/>
    </row>
    <row r="190" spans="3:19" x14ac:dyDescent="0.35">
      <c r="C190" s="100"/>
      <c r="D190" s="100"/>
      <c r="E190" s="100"/>
      <c r="F190" s="100"/>
      <c r="G190" s="100"/>
      <c r="H190" s="100"/>
      <c r="I190" s="100"/>
      <c r="J190" s="100"/>
      <c r="K190" s="100"/>
      <c r="L190" s="100"/>
      <c r="M190" s="100"/>
      <c r="N190" s="100"/>
      <c r="O190" s="100"/>
      <c r="P190" s="100"/>
      <c r="Q190" s="100"/>
      <c r="R190" s="100"/>
      <c r="S190" s="100"/>
    </row>
    <row r="191" spans="3:19" x14ac:dyDescent="0.35">
      <c r="C191" s="100"/>
      <c r="D191" s="100"/>
      <c r="E191" s="100"/>
      <c r="F191" s="100"/>
      <c r="G191" s="100"/>
      <c r="H191" s="100"/>
      <c r="I191" s="100"/>
      <c r="J191" s="100"/>
      <c r="K191" s="100"/>
      <c r="L191" s="100"/>
      <c r="M191" s="100"/>
      <c r="N191" s="100"/>
      <c r="O191" s="100"/>
      <c r="P191" s="100"/>
      <c r="Q191" s="100"/>
      <c r="R191" s="100"/>
      <c r="S191" s="100"/>
    </row>
    <row r="192" spans="3:19" x14ac:dyDescent="0.35">
      <c r="C192" s="100"/>
      <c r="D192" s="100"/>
      <c r="E192" s="100"/>
      <c r="F192" s="100"/>
      <c r="G192" s="100"/>
      <c r="H192" s="100"/>
      <c r="I192" s="100"/>
      <c r="J192" s="100"/>
      <c r="K192" s="100"/>
      <c r="L192" s="100"/>
      <c r="M192" s="100"/>
      <c r="N192" s="100"/>
      <c r="O192" s="100"/>
      <c r="P192" s="100"/>
      <c r="Q192" s="100"/>
      <c r="R192" s="100"/>
      <c r="S192" s="100"/>
    </row>
    <row r="193" spans="3:19" x14ac:dyDescent="0.35">
      <c r="C193" s="100"/>
      <c r="D193" s="100"/>
      <c r="E193" s="100"/>
      <c r="F193" s="100"/>
      <c r="G193" s="100"/>
      <c r="H193" s="100"/>
      <c r="I193" s="100"/>
      <c r="J193" s="100"/>
      <c r="K193" s="100"/>
      <c r="L193" s="100"/>
      <c r="M193" s="100"/>
      <c r="N193" s="100"/>
      <c r="O193" s="100"/>
      <c r="P193" s="100"/>
      <c r="Q193" s="100"/>
      <c r="R193" s="100"/>
      <c r="S193" s="100"/>
    </row>
    <row r="194" spans="3:19" x14ac:dyDescent="0.35">
      <c r="C194" s="100"/>
      <c r="D194" s="100"/>
      <c r="E194" s="100"/>
      <c r="F194" s="100"/>
      <c r="G194" s="100"/>
      <c r="H194" s="100"/>
      <c r="I194" s="100"/>
      <c r="J194" s="100"/>
      <c r="K194" s="100"/>
      <c r="L194" s="100"/>
      <c r="M194" s="100"/>
      <c r="N194" s="100"/>
      <c r="O194" s="100"/>
      <c r="P194" s="100"/>
      <c r="Q194" s="100"/>
      <c r="R194" s="100"/>
      <c r="S194" s="100"/>
    </row>
    <row r="195" spans="3:19" x14ac:dyDescent="0.35">
      <c r="C195" s="100"/>
      <c r="D195" s="100"/>
      <c r="E195" s="100"/>
      <c r="F195" s="100"/>
      <c r="G195" s="100"/>
      <c r="H195" s="100"/>
      <c r="I195" s="100"/>
      <c r="J195" s="100"/>
      <c r="K195" s="100"/>
      <c r="L195" s="100"/>
      <c r="M195" s="100"/>
      <c r="N195" s="100"/>
      <c r="O195" s="100"/>
      <c r="P195" s="100"/>
      <c r="Q195" s="100"/>
      <c r="R195" s="100"/>
      <c r="S195" s="100"/>
    </row>
    <row r="196" spans="3:19" x14ac:dyDescent="0.35">
      <c r="C196" s="100"/>
      <c r="D196" s="100"/>
      <c r="E196" s="100"/>
      <c r="F196" s="100"/>
      <c r="G196" s="100"/>
      <c r="H196" s="100"/>
      <c r="I196" s="100"/>
      <c r="J196" s="100"/>
      <c r="K196" s="100"/>
      <c r="L196" s="100"/>
      <c r="M196" s="100"/>
      <c r="N196" s="100"/>
      <c r="O196" s="100"/>
      <c r="P196" s="100"/>
      <c r="Q196" s="100"/>
      <c r="R196" s="100"/>
      <c r="S196" s="100"/>
    </row>
    <row r="197" spans="3:19" x14ac:dyDescent="0.35">
      <c r="C197" s="100"/>
      <c r="D197" s="100"/>
      <c r="E197" s="100"/>
      <c r="F197" s="100"/>
      <c r="G197" s="100"/>
      <c r="H197" s="100"/>
      <c r="I197" s="100"/>
      <c r="J197" s="100"/>
      <c r="K197" s="100"/>
      <c r="L197" s="100"/>
      <c r="M197" s="100"/>
      <c r="N197" s="100"/>
      <c r="O197" s="100"/>
      <c r="P197" s="100"/>
      <c r="Q197" s="100"/>
      <c r="R197" s="100"/>
      <c r="S197" s="100"/>
    </row>
    <row r="198" spans="3:19" x14ac:dyDescent="0.35">
      <c r="C198" s="100"/>
      <c r="D198" s="100"/>
      <c r="E198" s="100"/>
      <c r="F198" s="100"/>
      <c r="G198" s="100"/>
      <c r="H198" s="100"/>
      <c r="I198" s="100"/>
      <c r="J198" s="100"/>
      <c r="K198" s="100"/>
      <c r="L198" s="100"/>
      <c r="M198" s="100"/>
      <c r="N198" s="100"/>
      <c r="O198" s="100"/>
      <c r="P198" s="100"/>
      <c r="Q198" s="100"/>
      <c r="R198" s="100"/>
      <c r="S198" s="100"/>
    </row>
    <row r="199" spans="3:19" x14ac:dyDescent="0.35">
      <c r="C199" s="100"/>
      <c r="D199" s="100"/>
      <c r="E199" s="100"/>
      <c r="F199" s="100"/>
      <c r="G199" s="100"/>
      <c r="H199" s="100"/>
      <c r="I199" s="100"/>
      <c r="J199" s="100"/>
      <c r="K199" s="100"/>
      <c r="L199" s="100"/>
      <c r="M199" s="100"/>
      <c r="N199" s="100"/>
      <c r="O199" s="100"/>
      <c r="P199" s="100"/>
      <c r="Q199" s="100"/>
      <c r="R199" s="100"/>
      <c r="S199" s="100"/>
    </row>
    <row r="200" spans="3:19" x14ac:dyDescent="0.35">
      <c r="C200" s="100"/>
      <c r="D200" s="100"/>
      <c r="E200" s="100"/>
      <c r="F200" s="100"/>
      <c r="G200" s="100"/>
      <c r="H200" s="100"/>
      <c r="I200" s="100"/>
      <c r="J200" s="100"/>
      <c r="K200" s="100"/>
      <c r="L200" s="100"/>
      <c r="M200" s="100"/>
      <c r="N200" s="100"/>
      <c r="O200" s="100"/>
      <c r="P200" s="100"/>
      <c r="Q200" s="100"/>
      <c r="R200" s="100"/>
      <c r="S200" s="100"/>
    </row>
    <row r="201" spans="3:19" x14ac:dyDescent="0.35">
      <c r="C201" s="100"/>
      <c r="D201" s="100"/>
      <c r="E201" s="100"/>
      <c r="F201" s="100"/>
      <c r="G201" s="100"/>
      <c r="H201" s="100"/>
      <c r="I201" s="100"/>
      <c r="J201" s="100"/>
      <c r="K201" s="100"/>
      <c r="L201" s="100"/>
      <c r="M201" s="100"/>
      <c r="N201" s="100"/>
      <c r="O201" s="100"/>
      <c r="P201" s="100"/>
      <c r="Q201" s="100"/>
      <c r="R201" s="100"/>
      <c r="S201" s="100"/>
    </row>
    <row r="202" spans="3:19" x14ac:dyDescent="0.35">
      <c r="C202" s="100"/>
      <c r="D202" s="100"/>
      <c r="E202" s="100"/>
      <c r="F202" s="100"/>
      <c r="G202" s="100"/>
      <c r="H202" s="100"/>
      <c r="I202" s="100"/>
      <c r="J202" s="100"/>
      <c r="K202" s="100"/>
      <c r="L202" s="100"/>
      <c r="M202" s="100"/>
      <c r="N202" s="100"/>
      <c r="O202" s="100"/>
      <c r="P202" s="100"/>
      <c r="Q202" s="100"/>
      <c r="R202" s="100"/>
      <c r="S202" s="100"/>
    </row>
    <row r="203" spans="3:19" x14ac:dyDescent="0.35">
      <c r="C203" s="100"/>
      <c r="D203" s="100"/>
      <c r="E203" s="100"/>
      <c r="F203" s="100"/>
      <c r="G203" s="100"/>
      <c r="H203" s="100"/>
      <c r="I203" s="100"/>
      <c r="J203" s="100"/>
      <c r="K203" s="100"/>
      <c r="L203" s="100"/>
      <c r="M203" s="100"/>
      <c r="N203" s="100"/>
      <c r="O203" s="100"/>
      <c r="P203" s="100"/>
      <c r="Q203" s="100"/>
      <c r="R203" s="100"/>
      <c r="S203" s="100"/>
    </row>
    <row r="204" spans="3:19" x14ac:dyDescent="0.35">
      <c r="C204" s="100"/>
      <c r="D204" s="100"/>
      <c r="E204" s="100"/>
      <c r="F204" s="100"/>
      <c r="G204" s="100"/>
      <c r="H204" s="100"/>
      <c r="I204" s="100"/>
      <c r="J204" s="100"/>
      <c r="K204" s="100"/>
      <c r="L204" s="100"/>
      <c r="M204" s="100"/>
      <c r="N204" s="100"/>
      <c r="O204" s="100"/>
      <c r="P204" s="100"/>
      <c r="Q204" s="100"/>
      <c r="R204" s="100"/>
      <c r="S204" s="100"/>
    </row>
    <row r="205" spans="3:19" x14ac:dyDescent="0.35">
      <c r="C205" s="100"/>
      <c r="D205" s="100"/>
      <c r="E205" s="100"/>
      <c r="F205" s="100"/>
      <c r="G205" s="100"/>
      <c r="H205" s="100"/>
      <c r="I205" s="100"/>
      <c r="J205" s="100"/>
      <c r="K205" s="100"/>
      <c r="L205" s="100"/>
      <c r="M205" s="100"/>
      <c r="N205" s="100"/>
      <c r="O205" s="100"/>
      <c r="P205" s="100"/>
      <c r="Q205" s="100"/>
      <c r="R205" s="100"/>
      <c r="S205" s="100"/>
    </row>
    <row r="206" spans="3:19" x14ac:dyDescent="0.35">
      <c r="C206" s="100"/>
      <c r="D206" s="100"/>
      <c r="E206" s="100"/>
      <c r="F206" s="100"/>
      <c r="G206" s="100"/>
      <c r="H206" s="100"/>
      <c r="I206" s="100"/>
      <c r="J206" s="100"/>
      <c r="K206" s="100"/>
      <c r="L206" s="100"/>
      <c r="M206" s="100"/>
      <c r="N206" s="100"/>
      <c r="O206" s="100"/>
      <c r="P206" s="100"/>
      <c r="Q206" s="100"/>
      <c r="R206" s="100"/>
      <c r="S206" s="100"/>
    </row>
    <row r="207" spans="3:19" x14ac:dyDescent="0.35">
      <c r="C207" s="100"/>
      <c r="D207" s="100"/>
      <c r="E207" s="100"/>
      <c r="F207" s="100"/>
      <c r="G207" s="100"/>
      <c r="H207" s="100"/>
      <c r="I207" s="100"/>
      <c r="J207" s="100"/>
      <c r="K207" s="100"/>
      <c r="L207" s="100"/>
      <c r="M207" s="100"/>
      <c r="N207" s="100"/>
      <c r="O207" s="100"/>
      <c r="P207" s="100"/>
      <c r="Q207" s="100"/>
      <c r="R207" s="100"/>
      <c r="S207" s="100"/>
    </row>
    <row r="208" spans="3:19" x14ac:dyDescent="0.35">
      <c r="C208" s="100"/>
      <c r="D208" s="100"/>
      <c r="E208" s="100"/>
      <c r="F208" s="100"/>
      <c r="G208" s="100"/>
      <c r="H208" s="100"/>
      <c r="I208" s="100"/>
      <c r="J208" s="100"/>
      <c r="K208" s="100"/>
      <c r="L208" s="100"/>
      <c r="M208" s="100"/>
      <c r="N208" s="100"/>
      <c r="O208" s="100"/>
      <c r="P208" s="100"/>
      <c r="Q208" s="100"/>
      <c r="R208" s="100"/>
      <c r="S208" s="100"/>
    </row>
    <row r="209" spans="3:19" x14ac:dyDescent="0.35">
      <c r="C209" s="100"/>
      <c r="D209" s="100"/>
      <c r="E209" s="100"/>
      <c r="F209" s="100"/>
      <c r="G209" s="100"/>
      <c r="H209" s="100"/>
      <c r="I209" s="100"/>
      <c r="J209" s="100"/>
      <c r="K209" s="100"/>
      <c r="L209" s="100"/>
      <c r="M209" s="100"/>
      <c r="N209" s="100"/>
      <c r="O209" s="100"/>
      <c r="P209" s="100"/>
      <c r="Q209" s="100"/>
      <c r="R209" s="100"/>
      <c r="S209" s="100"/>
    </row>
    <row r="210" spans="3:19" x14ac:dyDescent="0.35">
      <c r="C210" s="100"/>
      <c r="D210" s="100"/>
      <c r="E210" s="100"/>
      <c r="F210" s="100"/>
      <c r="G210" s="100"/>
      <c r="H210" s="100"/>
      <c r="I210" s="100"/>
      <c r="J210" s="100"/>
      <c r="K210" s="100"/>
      <c r="L210" s="100"/>
      <c r="M210" s="100"/>
      <c r="N210" s="100"/>
      <c r="O210" s="100"/>
      <c r="P210" s="100"/>
      <c r="Q210" s="100"/>
      <c r="R210" s="100"/>
      <c r="S210" s="100"/>
    </row>
    <row r="211" spans="3:19" x14ac:dyDescent="0.35">
      <c r="C211" s="100"/>
      <c r="D211" s="100"/>
      <c r="E211" s="100"/>
      <c r="F211" s="100"/>
      <c r="G211" s="100"/>
      <c r="H211" s="100"/>
      <c r="I211" s="100"/>
      <c r="J211" s="100"/>
      <c r="K211" s="100"/>
      <c r="L211" s="100"/>
      <c r="M211" s="100"/>
      <c r="N211" s="100"/>
      <c r="O211" s="100"/>
      <c r="P211" s="100"/>
      <c r="Q211" s="100"/>
      <c r="R211" s="100"/>
      <c r="S211" s="100"/>
    </row>
    <row r="212" spans="3:19" x14ac:dyDescent="0.35">
      <c r="C212" s="100"/>
      <c r="D212" s="100"/>
      <c r="E212" s="100"/>
      <c r="F212" s="100"/>
      <c r="G212" s="100"/>
      <c r="H212" s="100"/>
      <c r="I212" s="100"/>
      <c r="J212" s="100"/>
      <c r="K212" s="100"/>
      <c r="L212" s="100"/>
      <c r="M212" s="100"/>
      <c r="N212" s="100"/>
      <c r="O212" s="100"/>
      <c r="P212" s="100"/>
      <c r="Q212" s="100"/>
      <c r="R212" s="100"/>
      <c r="S212" s="100"/>
    </row>
    <row r="213" spans="3:19" x14ac:dyDescent="0.35">
      <c r="C213" s="100"/>
      <c r="D213" s="100"/>
      <c r="E213" s="100"/>
      <c r="F213" s="100"/>
      <c r="G213" s="100"/>
      <c r="H213" s="100"/>
      <c r="I213" s="100"/>
      <c r="J213" s="100"/>
      <c r="K213" s="100"/>
      <c r="L213" s="100"/>
      <c r="M213" s="100"/>
      <c r="N213" s="100"/>
      <c r="O213" s="100"/>
      <c r="P213" s="100"/>
      <c r="Q213" s="100"/>
      <c r="R213" s="100"/>
      <c r="S213" s="100"/>
    </row>
    <row r="214" spans="3:19" x14ac:dyDescent="0.35">
      <c r="C214" s="100"/>
      <c r="D214" s="100"/>
      <c r="E214" s="100"/>
      <c r="F214" s="100"/>
      <c r="G214" s="100"/>
      <c r="H214" s="100"/>
      <c r="I214" s="100"/>
      <c r="J214" s="100"/>
      <c r="K214" s="100"/>
      <c r="L214" s="100"/>
      <c r="M214" s="100"/>
      <c r="N214" s="100"/>
      <c r="O214" s="100"/>
      <c r="P214" s="100"/>
      <c r="Q214" s="100"/>
      <c r="R214" s="100"/>
      <c r="S214" s="100"/>
    </row>
    <row r="215" spans="3:19" x14ac:dyDescent="0.35">
      <c r="C215" s="100"/>
      <c r="D215" s="100"/>
      <c r="E215" s="100"/>
      <c r="F215" s="100"/>
      <c r="G215" s="100"/>
      <c r="H215" s="100"/>
      <c r="I215" s="100"/>
      <c r="J215" s="100"/>
      <c r="K215" s="100"/>
      <c r="L215" s="100"/>
      <c r="M215" s="100"/>
      <c r="N215" s="100"/>
      <c r="O215" s="100"/>
      <c r="P215" s="100"/>
      <c r="Q215" s="100"/>
      <c r="R215" s="100"/>
      <c r="S215" s="100"/>
    </row>
    <row r="216" spans="3:19" x14ac:dyDescent="0.35">
      <c r="C216" s="100"/>
      <c r="D216" s="100"/>
      <c r="E216" s="100"/>
      <c r="F216" s="100"/>
      <c r="G216" s="100"/>
      <c r="H216" s="100"/>
      <c r="I216" s="100"/>
      <c r="J216" s="100"/>
      <c r="K216" s="100"/>
      <c r="L216" s="100"/>
      <c r="M216" s="100"/>
      <c r="N216" s="100"/>
      <c r="O216" s="100"/>
      <c r="P216" s="100"/>
      <c r="Q216" s="100"/>
      <c r="R216" s="100"/>
      <c r="S216" s="100"/>
    </row>
    <row r="217" spans="3:19" x14ac:dyDescent="0.35">
      <c r="C217" s="100"/>
      <c r="D217" s="100"/>
      <c r="E217" s="100"/>
      <c r="F217" s="100"/>
      <c r="G217" s="100"/>
      <c r="H217" s="100"/>
      <c r="I217" s="100"/>
      <c r="J217" s="100"/>
      <c r="K217" s="100"/>
      <c r="L217" s="100"/>
      <c r="M217" s="100"/>
      <c r="N217" s="100"/>
      <c r="O217" s="100"/>
      <c r="P217" s="100"/>
      <c r="Q217" s="100"/>
      <c r="R217" s="100"/>
      <c r="S217" s="100"/>
    </row>
    <row r="218" spans="3:19" x14ac:dyDescent="0.35">
      <c r="C218" s="100"/>
      <c r="D218" s="100"/>
      <c r="E218" s="100"/>
      <c r="F218" s="100"/>
      <c r="G218" s="100"/>
      <c r="H218" s="100"/>
      <c r="I218" s="100"/>
      <c r="J218" s="100"/>
      <c r="K218" s="100"/>
      <c r="L218" s="100"/>
      <c r="M218" s="100"/>
      <c r="N218" s="100"/>
      <c r="O218" s="100"/>
      <c r="P218" s="100"/>
      <c r="Q218" s="100"/>
      <c r="R218" s="100"/>
      <c r="S218" s="100"/>
    </row>
    <row r="219" spans="3:19" x14ac:dyDescent="0.35">
      <c r="C219" s="100"/>
      <c r="D219" s="100"/>
      <c r="E219" s="100"/>
      <c r="F219" s="100"/>
      <c r="G219" s="100"/>
      <c r="H219" s="100"/>
      <c r="I219" s="100"/>
      <c r="J219" s="100"/>
      <c r="K219" s="100"/>
      <c r="L219" s="100"/>
      <c r="M219" s="100"/>
      <c r="N219" s="100"/>
      <c r="O219" s="100"/>
      <c r="P219" s="100"/>
      <c r="Q219" s="100"/>
      <c r="R219" s="100"/>
      <c r="S219" s="100"/>
    </row>
    <row r="220" spans="3:19" x14ac:dyDescent="0.35">
      <c r="C220" s="100"/>
      <c r="D220" s="100"/>
      <c r="E220" s="100"/>
      <c r="F220" s="100"/>
      <c r="G220" s="100"/>
      <c r="H220" s="100"/>
      <c r="I220" s="100"/>
      <c r="J220" s="100"/>
      <c r="K220" s="100"/>
      <c r="L220" s="100"/>
      <c r="M220" s="100"/>
      <c r="N220" s="100"/>
      <c r="O220" s="100"/>
      <c r="P220" s="100"/>
      <c r="Q220" s="100"/>
      <c r="R220" s="100"/>
      <c r="S220" s="100"/>
    </row>
    <row r="221" spans="3:19" x14ac:dyDescent="0.35">
      <c r="C221" s="100"/>
      <c r="D221" s="100"/>
      <c r="E221" s="100"/>
      <c r="F221" s="100"/>
      <c r="G221" s="100"/>
      <c r="H221" s="100"/>
      <c r="I221" s="100"/>
      <c r="J221" s="100"/>
      <c r="K221" s="100"/>
      <c r="L221" s="100"/>
      <c r="M221" s="100"/>
      <c r="N221" s="100"/>
      <c r="O221" s="100"/>
      <c r="P221" s="100"/>
      <c r="Q221" s="100"/>
      <c r="R221" s="100"/>
      <c r="S221" s="100"/>
    </row>
    <row r="222" spans="3:19" x14ac:dyDescent="0.35">
      <c r="C222" s="100"/>
      <c r="D222" s="100"/>
      <c r="E222" s="100"/>
      <c r="F222" s="100"/>
      <c r="G222" s="100"/>
      <c r="H222" s="100"/>
      <c r="I222" s="100"/>
      <c r="J222" s="100"/>
      <c r="K222" s="100"/>
      <c r="L222" s="100"/>
      <c r="M222" s="100"/>
      <c r="N222" s="100"/>
      <c r="O222" s="100"/>
      <c r="P222" s="100"/>
      <c r="Q222" s="100"/>
      <c r="R222" s="100"/>
      <c r="S222" s="100"/>
    </row>
    <row r="223" spans="3:19" x14ac:dyDescent="0.35">
      <c r="C223" s="100"/>
      <c r="D223" s="100"/>
      <c r="E223" s="100"/>
      <c r="F223" s="100"/>
      <c r="G223" s="100"/>
      <c r="H223" s="100"/>
      <c r="I223" s="100"/>
      <c r="J223" s="100"/>
      <c r="K223" s="100"/>
      <c r="L223" s="100"/>
      <c r="M223" s="100"/>
      <c r="N223" s="100"/>
      <c r="O223" s="100"/>
      <c r="P223" s="100"/>
      <c r="Q223" s="100"/>
      <c r="R223" s="100"/>
      <c r="S223" s="100"/>
    </row>
    <row r="224" spans="3:19" x14ac:dyDescent="0.35">
      <c r="C224" s="100"/>
      <c r="D224" s="100"/>
      <c r="E224" s="100"/>
      <c r="F224" s="100"/>
      <c r="G224" s="100"/>
      <c r="H224" s="100"/>
      <c r="I224" s="100"/>
      <c r="J224" s="100"/>
      <c r="K224" s="100"/>
      <c r="L224" s="100"/>
      <c r="M224" s="100"/>
      <c r="N224" s="100"/>
      <c r="O224" s="100"/>
      <c r="P224" s="100"/>
      <c r="Q224" s="100"/>
      <c r="R224" s="100"/>
      <c r="S224" s="100"/>
    </row>
    <row r="225" spans="3:19" x14ac:dyDescent="0.35">
      <c r="C225" s="100"/>
      <c r="D225" s="100"/>
      <c r="E225" s="100"/>
      <c r="F225" s="100"/>
      <c r="G225" s="100"/>
      <c r="H225" s="100"/>
      <c r="I225" s="100"/>
      <c r="J225" s="100"/>
      <c r="K225" s="100"/>
      <c r="L225" s="100"/>
      <c r="M225" s="100"/>
      <c r="N225" s="100"/>
      <c r="O225" s="100"/>
      <c r="P225" s="100"/>
      <c r="Q225" s="100"/>
      <c r="R225" s="100"/>
      <c r="S225" s="100"/>
    </row>
    <row r="226" spans="3:19" x14ac:dyDescent="0.35">
      <c r="C226" s="100"/>
      <c r="D226" s="100"/>
      <c r="E226" s="100"/>
      <c r="F226" s="100"/>
      <c r="G226" s="100"/>
      <c r="H226" s="100"/>
      <c r="I226" s="100"/>
      <c r="J226" s="100"/>
      <c r="K226" s="100"/>
      <c r="L226" s="100"/>
      <c r="M226" s="100"/>
      <c r="N226" s="100"/>
      <c r="O226" s="100"/>
      <c r="P226" s="100"/>
      <c r="Q226" s="100"/>
      <c r="R226" s="100"/>
      <c r="S226" s="100"/>
    </row>
    <row r="227" spans="3:19" x14ac:dyDescent="0.35">
      <c r="C227" s="100"/>
      <c r="D227" s="100"/>
      <c r="E227" s="100"/>
      <c r="F227" s="100"/>
      <c r="G227" s="100"/>
      <c r="H227" s="100"/>
      <c r="I227" s="100"/>
      <c r="J227" s="100"/>
      <c r="K227" s="100"/>
      <c r="L227" s="100"/>
      <c r="M227" s="100"/>
      <c r="N227" s="100"/>
      <c r="O227" s="100"/>
      <c r="P227" s="100"/>
      <c r="Q227" s="100"/>
      <c r="R227" s="100"/>
      <c r="S227" s="100"/>
    </row>
    <row r="228" spans="3:19" x14ac:dyDescent="0.35">
      <c r="C228" s="100"/>
      <c r="D228" s="100"/>
      <c r="E228" s="100"/>
      <c r="F228" s="100"/>
      <c r="G228" s="100"/>
      <c r="H228" s="100"/>
      <c r="I228" s="100"/>
      <c r="J228" s="100"/>
      <c r="K228" s="100"/>
      <c r="L228" s="100"/>
      <c r="M228" s="100"/>
      <c r="N228" s="100"/>
      <c r="O228" s="100"/>
      <c r="P228" s="100"/>
      <c r="Q228" s="100"/>
      <c r="R228" s="100"/>
      <c r="S228" s="100"/>
    </row>
    <row r="229" spans="3:19" x14ac:dyDescent="0.35">
      <c r="C229" s="100"/>
      <c r="D229" s="100"/>
      <c r="E229" s="100"/>
      <c r="F229" s="100"/>
      <c r="G229" s="100"/>
      <c r="H229" s="100"/>
      <c r="I229" s="100"/>
      <c r="J229" s="100"/>
      <c r="K229" s="100"/>
      <c r="L229" s="100"/>
      <c r="M229" s="100"/>
      <c r="N229" s="100"/>
      <c r="O229" s="100"/>
      <c r="P229" s="100"/>
      <c r="Q229" s="100"/>
      <c r="R229" s="100"/>
      <c r="S229" s="100"/>
    </row>
    <row r="230" spans="3:19" x14ac:dyDescent="0.35">
      <c r="C230" s="100"/>
      <c r="D230" s="100"/>
      <c r="E230" s="100"/>
      <c r="F230" s="100"/>
      <c r="G230" s="100"/>
      <c r="H230" s="100"/>
      <c r="I230" s="100"/>
      <c r="J230" s="100"/>
      <c r="K230" s="100"/>
      <c r="L230" s="100"/>
      <c r="M230" s="100"/>
      <c r="N230" s="100"/>
      <c r="O230" s="100"/>
      <c r="P230" s="100"/>
      <c r="Q230" s="100"/>
      <c r="R230" s="100"/>
      <c r="S230" s="100"/>
    </row>
    <row r="231" spans="3:19" x14ac:dyDescent="0.35">
      <c r="C231" s="100"/>
      <c r="D231" s="100"/>
      <c r="E231" s="100"/>
      <c r="F231" s="100"/>
      <c r="G231" s="100"/>
      <c r="H231" s="100"/>
      <c r="I231" s="100"/>
      <c r="J231" s="100"/>
      <c r="K231" s="100"/>
      <c r="L231" s="100"/>
      <c r="M231" s="100"/>
      <c r="N231" s="100"/>
      <c r="O231" s="100"/>
      <c r="P231" s="100"/>
      <c r="Q231" s="100"/>
      <c r="R231" s="100"/>
      <c r="S231" s="100"/>
    </row>
    <row r="232" spans="3:19" x14ac:dyDescent="0.35">
      <c r="C232" s="100"/>
      <c r="D232" s="100"/>
      <c r="E232" s="100"/>
      <c r="F232" s="100"/>
      <c r="G232" s="100"/>
      <c r="H232" s="100"/>
      <c r="I232" s="100"/>
      <c r="J232" s="100"/>
      <c r="K232" s="100"/>
      <c r="L232" s="100"/>
      <c r="M232" s="100"/>
      <c r="N232" s="100"/>
      <c r="O232" s="100"/>
      <c r="P232" s="100"/>
      <c r="Q232" s="100"/>
      <c r="R232" s="100"/>
      <c r="S232" s="100"/>
    </row>
    <row r="233" spans="3:19" x14ac:dyDescent="0.35">
      <c r="C233" s="100"/>
      <c r="D233" s="100"/>
      <c r="E233" s="100"/>
      <c r="F233" s="100"/>
      <c r="G233" s="100"/>
      <c r="H233" s="100"/>
      <c r="I233" s="100"/>
      <c r="J233" s="100"/>
      <c r="K233" s="100"/>
      <c r="L233" s="100"/>
      <c r="M233" s="100"/>
      <c r="N233" s="100"/>
      <c r="O233" s="100"/>
      <c r="P233" s="100"/>
      <c r="Q233" s="100"/>
      <c r="R233" s="100"/>
      <c r="S233" s="100"/>
    </row>
    <row r="234" spans="3:19" x14ac:dyDescent="0.35">
      <c r="C234" s="100"/>
      <c r="D234" s="100"/>
      <c r="E234" s="100"/>
      <c r="F234" s="100"/>
      <c r="G234" s="100"/>
      <c r="H234" s="100"/>
      <c r="I234" s="100"/>
      <c r="J234" s="100"/>
      <c r="K234" s="100"/>
      <c r="L234" s="100"/>
      <c r="M234" s="100"/>
      <c r="N234" s="100"/>
      <c r="O234" s="100"/>
      <c r="P234" s="100"/>
      <c r="Q234" s="100"/>
      <c r="R234" s="100"/>
      <c r="S234" s="100"/>
    </row>
    <row r="235" spans="3:19" x14ac:dyDescent="0.35">
      <c r="C235" s="100"/>
      <c r="D235" s="100"/>
      <c r="E235" s="100"/>
      <c r="F235" s="100"/>
      <c r="G235" s="100"/>
      <c r="H235" s="100"/>
      <c r="I235" s="100"/>
      <c r="J235" s="100"/>
      <c r="K235" s="100"/>
      <c r="L235" s="100"/>
      <c r="M235" s="100"/>
      <c r="N235" s="100"/>
      <c r="O235" s="100"/>
      <c r="P235" s="100"/>
      <c r="Q235" s="100"/>
      <c r="R235" s="100"/>
      <c r="S235" s="100"/>
    </row>
    <row r="236" spans="3:19" x14ac:dyDescent="0.35">
      <c r="C236" s="100"/>
      <c r="D236" s="100"/>
      <c r="E236" s="100"/>
      <c r="F236" s="100"/>
      <c r="G236" s="100"/>
      <c r="H236" s="100"/>
      <c r="I236" s="100"/>
      <c r="J236" s="100"/>
      <c r="K236" s="100"/>
      <c r="L236" s="100"/>
      <c r="M236" s="100"/>
      <c r="N236" s="100"/>
      <c r="O236" s="100"/>
      <c r="P236" s="100"/>
      <c r="Q236" s="100"/>
      <c r="R236" s="100"/>
      <c r="S236" s="100"/>
    </row>
    <row r="237" spans="3:19" x14ac:dyDescent="0.35">
      <c r="C237" s="100"/>
      <c r="D237" s="100"/>
      <c r="E237" s="100"/>
      <c r="F237" s="100"/>
      <c r="G237" s="100"/>
      <c r="H237" s="100"/>
      <c r="I237" s="100"/>
      <c r="J237" s="100"/>
      <c r="K237" s="100"/>
      <c r="L237" s="100"/>
      <c r="M237" s="100"/>
      <c r="N237" s="100"/>
      <c r="O237" s="100"/>
      <c r="P237" s="100"/>
      <c r="Q237" s="100"/>
      <c r="R237" s="100"/>
      <c r="S237" s="100"/>
    </row>
    <row r="238" spans="3:19" x14ac:dyDescent="0.35">
      <c r="C238" s="100"/>
      <c r="D238" s="100"/>
      <c r="E238" s="100"/>
      <c r="F238" s="100"/>
      <c r="G238" s="100"/>
      <c r="H238" s="100"/>
      <c r="I238" s="100"/>
      <c r="J238" s="100"/>
      <c r="K238" s="100"/>
      <c r="L238" s="100"/>
      <c r="M238" s="100"/>
      <c r="N238" s="100"/>
      <c r="O238" s="100"/>
      <c r="P238" s="100"/>
      <c r="Q238" s="100"/>
      <c r="R238" s="100"/>
      <c r="S238" s="100"/>
    </row>
    <row r="239" spans="3:19" x14ac:dyDescent="0.35">
      <c r="C239" s="100"/>
      <c r="D239" s="100"/>
      <c r="E239" s="100"/>
      <c r="F239" s="100"/>
      <c r="G239" s="100"/>
      <c r="H239" s="100"/>
      <c r="I239" s="100"/>
      <c r="J239" s="100"/>
      <c r="K239" s="100"/>
      <c r="L239" s="100"/>
      <c r="M239" s="100"/>
      <c r="N239" s="100"/>
      <c r="O239" s="100"/>
      <c r="P239" s="100"/>
      <c r="Q239" s="100"/>
      <c r="R239" s="100"/>
      <c r="S239" s="100"/>
    </row>
    <row r="240" spans="3:19" x14ac:dyDescent="0.35">
      <c r="P240" s="100"/>
      <c r="Q240" s="100"/>
      <c r="R240" s="100"/>
      <c r="S240" s="100"/>
    </row>
  </sheetData>
  <printOptions horizontalCentered="1"/>
  <pageMargins left="0.75" right="0.75" top="0.53" bottom="0.51" header="0.5" footer="0.5"/>
  <pageSetup scale="61" orientation="landscape" r:id="rId1"/>
  <headerFooter alignWithMargins="0"/>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tabColor rgb="FFFFFF99"/>
    <pageSetUpPr fitToPage="1"/>
  </sheetPr>
  <dimension ref="A1:V260"/>
  <sheetViews>
    <sheetView workbookViewId="0"/>
  </sheetViews>
  <sheetFormatPr defaultColWidth="9.296875" defaultRowHeight="15.5" x14ac:dyDescent="0.35"/>
  <cols>
    <col min="1" max="1" width="9" style="83" customWidth="1"/>
    <col min="2" max="2" width="2.09765625" style="83" customWidth="1"/>
    <col min="3" max="3" width="44.69921875" style="83" customWidth="1"/>
    <col min="4" max="4" width="31.09765625" style="83" customWidth="1"/>
    <col min="5" max="5" width="26.296875" style="83" customWidth="1"/>
    <col min="6" max="6" width="15" style="83" customWidth="1"/>
    <col min="7" max="7" width="20.69921875" style="83" customWidth="1"/>
    <col min="8" max="8" width="18.3984375" style="83" customWidth="1"/>
    <col min="9" max="9" width="8.69921875" style="83" customWidth="1"/>
    <col min="10" max="10" width="23" style="83" customWidth="1"/>
    <col min="11" max="11" width="12.09765625" style="83" customWidth="1"/>
    <col min="12" max="12" width="11.69921875" style="83" customWidth="1"/>
    <col min="13" max="13" width="2.69921875" style="83" customWidth="1"/>
    <col min="14" max="14" width="41" style="83" customWidth="1"/>
    <col min="15" max="15" width="48.69921875" style="83" customWidth="1"/>
    <col min="16" max="16" width="23.3984375" style="83" customWidth="1"/>
    <col min="17" max="17" width="20.3984375" style="83" customWidth="1"/>
    <col min="18" max="18" width="20.69921875" style="83" customWidth="1"/>
    <col min="19" max="19" width="23.69921875" style="83" bestFit="1" customWidth="1"/>
    <col min="20" max="20" width="22.09765625" style="83" bestFit="1" customWidth="1"/>
    <col min="21" max="21" width="23" style="83" bestFit="1" customWidth="1"/>
    <col min="22" max="22" width="19.69921875" style="83" customWidth="1"/>
    <col min="23" max="23" width="20.296875" style="83" customWidth="1"/>
    <col min="24" max="24" width="23.3984375" style="83" bestFit="1" customWidth="1"/>
    <col min="25" max="25" width="21.69921875" style="83" bestFit="1" customWidth="1"/>
    <col min="26" max="26" width="16.09765625" style="83" customWidth="1"/>
    <col min="27" max="28" width="23.3984375" style="83" bestFit="1" customWidth="1"/>
    <col min="29" max="29" width="21.296875" style="83" bestFit="1" customWidth="1"/>
    <col min="30" max="30" width="23.3984375" style="83" bestFit="1" customWidth="1"/>
    <col min="31" max="31" width="21.296875" style="83" bestFit="1" customWidth="1"/>
    <col min="32" max="32" width="20.69921875" style="83" bestFit="1" customWidth="1"/>
    <col min="33" max="16384" width="9.296875" style="83"/>
  </cols>
  <sheetData>
    <row r="1" spans="1:16" s="1" customFormat="1" x14ac:dyDescent="0.35">
      <c r="A1" s="167" t="s">
        <v>185</v>
      </c>
      <c r="B1" s="168"/>
      <c r="C1" s="169"/>
      <c r="D1" s="169"/>
      <c r="E1" s="169"/>
      <c r="F1" s="169"/>
      <c r="G1" s="169"/>
      <c r="H1" s="169"/>
      <c r="I1" s="169"/>
      <c r="J1" s="169"/>
      <c r="K1" s="169"/>
      <c r="L1" s="2"/>
      <c r="M1" s="158"/>
      <c r="N1" s="4"/>
      <c r="O1" s="4"/>
      <c r="P1" s="4"/>
    </row>
    <row r="2" spans="1:16" s="1" customFormat="1" x14ac:dyDescent="0.35">
      <c r="A2" s="167" t="s">
        <v>425</v>
      </c>
      <c r="B2" s="168"/>
      <c r="C2" s="169"/>
      <c r="D2" s="169"/>
      <c r="E2" s="169"/>
      <c r="F2" s="169"/>
      <c r="G2" s="169"/>
      <c r="H2" s="169"/>
      <c r="I2" s="169"/>
      <c r="J2" s="169"/>
      <c r="K2" s="169"/>
      <c r="L2" s="2"/>
      <c r="M2" s="166"/>
      <c r="N2" s="4"/>
      <c r="O2" s="4"/>
      <c r="P2" s="4"/>
    </row>
    <row r="3" spans="1:16" s="1" customFormat="1" x14ac:dyDescent="0.35">
      <c r="C3" s="6"/>
      <c r="D3" s="2"/>
      <c r="E3" s="3"/>
      <c r="F3" s="2"/>
      <c r="G3" s="2"/>
      <c r="H3" s="2"/>
      <c r="I3" s="4"/>
      <c r="J3" s="4"/>
      <c r="K3" s="4"/>
      <c r="L3" s="4"/>
      <c r="M3" s="4"/>
      <c r="N3" s="4"/>
      <c r="O3" s="4"/>
      <c r="P3" s="4"/>
    </row>
    <row r="4" spans="1:16" s="1" customFormat="1" x14ac:dyDescent="0.35">
      <c r="A4" s="1" t="s">
        <v>186</v>
      </c>
      <c r="C4" s="2"/>
      <c r="D4" s="2"/>
      <c r="E4" s="7"/>
      <c r="F4" s="2"/>
      <c r="G4" s="2"/>
      <c r="H4" s="2"/>
      <c r="I4" s="4"/>
      <c r="K4" s="181" t="str">
        <f>"For the 12 months ended "&amp;TEXT('OATT Input Data'!B4,"MM/DD/YYYY")</f>
        <v>For the 12 months ended 12/31/2019</v>
      </c>
      <c r="L4" s="4"/>
      <c r="M4" s="4"/>
      <c r="N4" s="4"/>
      <c r="O4" s="5"/>
      <c r="P4" s="4"/>
    </row>
    <row r="5" spans="1:16" s="1" customFormat="1" x14ac:dyDescent="0.35">
      <c r="A5" s="182" t="s">
        <v>187</v>
      </c>
      <c r="C5" s="2"/>
      <c r="D5" s="8"/>
      <c r="F5" s="8"/>
      <c r="G5" s="8"/>
      <c r="H5" s="8"/>
      <c r="I5" s="2"/>
      <c r="J5" s="2"/>
      <c r="K5" s="181" t="s">
        <v>125</v>
      </c>
      <c r="L5" s="169"/>
      <c r="M5" s="4"/>
      <c r="N5" s="4"/>
      <c r="O5" s="4"/>
      <c r="P5" s="4"/>
    </row>
    <row r="6" spans="1:16" s="1" customFormat="1" x14ac:dyDescent="0.35">
      <c r="C6" s="4"/>
      <c r="D6" s="4"/>
      <c r="E6" s="4"/>
      <c r="F6" s="4"/>
      <c r="G6" s="4"/>
      <c r="H6" s="4"/>
      <c r="I6" s="4"/>
      <c r="J6" s="4"/>
      <c r="K6" s="4"/>
      <c r="L6" s="4"/>
      <c r="M6" s="4"/>
      <c r="N6" s="4"/>
      <c r="O6" s="4"/>
      <c r="P6" s="4"/>
    </row>
    <row r="7" spans="1:16" s="1" customFormat="1" x14ac:dyDescent="0.35">
      <c r="A7" s="184" t="s">
        <v>130</v>
      </c>
      <c r="B7" s="167"/>
      <c r="C7" s="185"/>
      <c r="D7" s="185"/>
      <c r="E7" s="167"/>
      <c r="F7" s="185"/>
      <c r="G7" s="185"/>
      <c r="H7" s="185"/>
      <c r="I7" s="185"/>
      <c r="J7" s="185"/>
      <c r="K7" s="185"/>
      <c r="L7" s="2"/>
      <c r="M7" s="4"/>
      <c r="N7" s="4"/>
      <c r="O7" s="4"/>
      <c r="P7" s="4"/>
    </row>
    <row r="8" spans="1:16" x14ac:dyDescent="0.35">
      <c r="A8" s="363" t="s">
        <v>388</v>
      </c>
      <c r="B8" s="364"/>
      <c r="C8" s="364"/>
      <c r="D8" s="364"/>
      <c r="E8" s="364"/>
      <c r="F8" s="365"/>
      <c r="G8" s="365"/>
      <c r="H8" s="365"/>
      <c r="I8" s="365"/>
      <c r="J8" s="365"/>
      <c r="K8" s="366"/>
      <c r="L8" s="125"/>
      <c r="M8" s="125"/>
      <c r="N8" s="90"/>
      <c r="O8" s="125"/>
      <c r="P8" s="134"/>
    </row>
    <row r="9" spans="1:16" x14ac:dyDescent="0.35">
      <c r="A9" s="82" t="s">
        <v>1</v>
      </c>
      <c r="C9" s="367"/>
      <c r="D9" s="90"/>
      <c r="E9" s="90"/>
      <c r="F9" s="90"/>
      <c r="G9" s="90"/>
      <c r="H9" s="90"/>
      <c r="I9" s="90"/>
      <c r="J9" s="90"/>
      <c r="K9" s="125"/>
      <c r="L9" s="125"/>
      <c r="M9" s="125"/>
      <c r="N9" s="90"/>
      <c r="O9" s="125"/>
      <c r="P9" s="134"/>
    </row>
    <row r="10" spans="1:16" ht="16" thickBot="1" x14ac:dyDescent="0.4">
      <c r="A10" s="368" t="s">
        <v>3</v>
      </c>
      <c r="C10" s="124" t="s">
        <v>204</v>
      </c>
      <c r="D10" s="90"/>
      <c r="E10" s="90"/>
      <c r="F10" s="90"/>
      <c r="G10" s="90"/>
      <c r="H10" s="90"/>
      <c r="K10" s="125"/>
      <c r="L10" s="125"/>
      <c r="M10" s="125"/>
      <c r="N10" s="90"/>
      <c r="O10" s="125"/>
      <c r="P10" s="134"/>
    </row>
    <row r="11" spans="1:16" x14ac:dyDescent="0.35">
      <c r="A11" s="82">
        <v>1</v>
      </c>
      <c r="C11" s="124" t="s">
        <v>205</v>
      </c>
      <c r="D11" s="90"/>
      <c r="E11" s="125"/>
      <c r="F11" s="125"/>
      <c r="G11" s="369" t="s">
        <v>330</v>
      </c>
      <c r="H11" s="125"/>
      <c r="I11" s="125"/>
      <c r="J11" s="370">
        <f>'NITS Pg 2 of 5'!E15</f>
        <v>1629500419</v>
      </c>
      <c r="K11" s="125"/>
      <c r="L11" s="125"/>
      <c r="M11" s="125"/>
      <c r="N11" s="90"/>
      <c r="O11" s="125"/>
      <c r="P11" s="134"/>
    </row>
    <row r="12" spans="1:16" x14ac:dyDescent="0.35">
      <c r="A12" s="82">
        <v>2</v>
      </c>
      <c r="C12" s="124" t="s">
        <v>207</v>
      </c>
      <c r="G12" s="100" t="s">
        <v>206</v>
      </c>
      <c r="J12" s="126">
        <f>ROUND('VA Transmission'!$G$60,0)</f>
        <v>61242957</v>
      </c>
      <c r="K12" s="125"/>
      <c r="L12" s="125"/>
      <c r="M12" s="125"/>
      <c r="N12" s="90"/>
      <c r="O12" s="125"/>
      <c r="P12" s="371"/>
    </row>
    <row r="13" spans="1:16" ht="19" thickBot="1" x14ac:dyDescent="0.7">
      <c r="A13" s="82">
        <v>3</v>
      </c>
      <c r="C13" s="172" t="s">
        <v>209</v>
      </c>
      <c r="D13" s="127"/>
      <c r="E13" s="128"/>
      <c r="F13" s="125"/>
      <c r="G13" s="372" t="s">
        <v>208</v>
      </c>
      <c r="H13" s="129"/>
      <c r="I13" s="125"/>
      <c r="J13" s="373">
        <v>0</v>
      </c>
      <c r="K13" s="125"/>
      <c r="L13" s="125"/>
      <c r="M13" s="125"/>
      <c r="N13" s="90"/>
      <c r="O13" s="125"/>
      <c r="P13" s="371"/>
    </row>
    <row r="14" spans="1:16" x14ac:dyDescent="0.35">
      <c r="A14" s="82">
        <v>4</v>
      </c>
      <c r="C14" s="124" t="s">
        <v>339</v>
      </c>
      <c r="D14" s="90"/>
      <c r="E14" s="125"/>
      <c r="F14" s="125"/>
      <c r="G14" s="374" t="s">
        <v>210</v>
      </c>
      <c r="H14" s="129"/>
      <c r="I14" s="125"/>
      <c r="J14" s="370">
        <f>ROUND(J11-J12-J13,0)</f>
        <v>1568257462</v>
      </c>
      <c r="K14" s="125"/>
      <c r="L14" s="125"/>
      <c r="M14" s="125"/>
      <c r="N14" s="90"/>
      <c r="O14" s="125"/>
      <c r="P14" s="134"/>
    </row>
    <row r="15" spans="1:16" x14ac:dyDescent="0.35">
      <c r="A15" s="82"/>
      <c r="D15" s="90"/>
      <c r="E15" s="125"/>
      <c r="F15" s="125"/>
      <c r="G15" s="125"/>
      <c r="H15" s="129"/>
      <c r="I15" s="125"/>
      <c r="J15" s="126"/>
      <c r="K15" s="125"/>
      <c r="L15" s="125"/>
      <c r="M15" s="125"/>
      <c r="N15" s="90"/>
    </row>
    <row r="16" spans="1:16" x14ac:dyDescent="0.35">
      <c r="A16" s="82">
        <v>5</v>
      </c>
      <c r="C16" s="124" t="s">
        <v>340</v>
      </c>
      <c r="D16" s="130"/>
      <c r="E16" s="131"/>
      <c r="F16" s="131"/>
      <c r="G16" s="375" t="s">
        <v>211</v>
      </c>
      <c r="H16" s="132"/>
      <c r="I16" s="125" t="s">
        <v>64</v>
      </c>
      <c r="J16" s="376">
        <f>IF(J11&gt;0,ROUND(J14/J11,5),0)</f>
        <v>0.96242000000000005</v>
      </c>
      <c r="K16" s="125"/>
      <c r="L16" s="125"/>
      <c r="M16" s="125"/>
      <c r="N16" s="90"/>
    </row>
    <row r="17" spans="1:22" x14ac:dyDescent="0.35">
      <c r="A17" s="82"/>
      <c r="J17" s="126"/>
      <c r="K17" s="125"/>
      <c r="L17" s="125"/>
      <c r="M17" s="125"/>
      <c r="N17" s="90"/>
      <c r="R17" s="133"/>
      <c r="S17" s="133"/>
      <c r="T17" s="133"/>
      <c r="U17" s="133"/>
      <c r="V17" s="133"/>
    </row>
    <row r="18" spans="1:22" x14ac:dyDescent="0.35">
      <c r="A18" s="82"/>
      <c r="C18" s="134" t="s">
        <v>65</v>
      </c>
      <c r="J18" s="126"/>
      <c r="K18" s="125"/>
      <c r="L18" s="125"/>
      <c r="M18" s="125"/>
      <c r="N18" s="90"/>
      <c r="R18" s="133"/>
      <c r="S18" s="133"/>
      <c r="T18" s="133"/>
      <c r="U18" s="133"/>
      <c r="V18" s="133"/>
    </row>
    <row r="19" spans="1:22" x14ac:dyDescent="0.35">
      <c r="A19" s="82">
        <v>6</v>
      </c>
      <c r="C19" s="146" t="s">
        <v>216</v>
      </c>
      <c r="E19" s="90"/>
      <c r="F19" s="90"/>
      <c r="G19" s="369" t="s">
        <v>331</v>
      </c>
      <c r="H19" s="135"/>
      <c r="I19" s="90"/>
      <c r="J19" s="370">
        <f>'NITS Pg 3 of 5'!E14</f>
        <v>73608859.129999995</v>
      </c>
      <c r="K19" s="125"/>
      <c r="L19" s="125"/>
      <c r="M19" s="125"/>
      <c r="N19" s="125"/>
      <c r="R19" s="136"/>
      <c r="S19" s="137"/>
      <c r="T19" s="133"/>
      <c r="U19" s="133"/>
      <c r="V19" s="133"/>
    </row>
    <row r="20" spans="1:22" ht="19" thickBot="1" x14ac:dyDescent="0.7">
      <c r="A20" s="82">
        <v>7</v>
      </c>
      <c r="C20" s="172" t="s">
        <v>215</v>
      </c>
      <c r="D20" s="127"/>
      <c r="E20" s="128"/>
      <c r="F20" s="136"/>
      <c r="G20" s="372" t="s">
        <v>212</v>
      </c>
      <c r="H20" s="125"/>
      <c r="I20" s="125"/>
      <c r="J20" s="615">
        <f>'Sch 1'!$D$21</f>
        <v>6345273</v>
      </c>
      <c r="K20" s="125"/>
      <c r="L20" s="125"/>
      <c r="M20" s="125"/>
      <c r="N20" s="136"/>
      <c r="R20" s="136"/>
      <c r="S20" s="137"/>
      <c r="T20" s="133"/>
      <c r="U20" s="133"/>
      <c r="V20" s="133"/>
    </row>
    <row r="21" spans="1:22" x14ac:dyDescent="0.35">
      <c r="A21" s="82">
        <v>8</v>
      </c>
      <c r="C21" s="124" t="s">
        <v>214</v>
      </c>
      <c r="D21" s="130"/>
      <c r="E21" s="131"/>
      <c r="F21" s="131"/>
      <c r="G21" s="369" t="s">
        <v>213</v>
      </c>
      <c r="H21" s="132"/>
      <c r="I21" s="131"/>
      <c r="J21" s="370">
        <f>ROUND(J19-J20,0)</f>
        <v>67263586</v>
      </c>
      <c r="M21" s="125"/>
      <c r="N21" s="125"/>
      <c r="S21" s="133"/>
      <c r="T21" s="133"/>
      <c r="U21" s="133"/>
      <c r="V21" s="133"/>
    </row>
    <row r="22" spans="1:22" x14ac:dyDescent="0.35">
      <c r="A22" s="82"/>
      <c r="C22" s="93"/>
      <c r="D22" s="90"/>
      <c r="E22" s="125"/>
      <c r="F22" s="125"/>
      <c r="G22" s="125"/>
      <c r="H22" s="125"/>
      <c r="M22" s="125"/>
      <c r="N22" s="125"/>
      <c r="S22" s="133"/>
      <c r="T22" s="133"/>
      <c r="U22" s="133"/>
      <c r="V22" s="133"/>
    </row>
    <row r="23" spans="1:22" x14ac:dyDescent="0.35">
      <c r="A23" s="82">
        <v>9</v>
      </c>
      <c r="C23" s="124" t="s">
        <v>220</v>
      </c>
      <c r="D23" s="90"/>
      <c r="E23" s="125"/>
      <c r="F23" s="125"/>
      <c r="G23" s="377" t="s">
        <v>217</v>
      </c>
      <c r="H23" s="125"/>
      <c r="I23" s="125"/>
      <c r="J23" s="378">
        <f>ROUND(J21/J19,5)</f>
        <v>0.91379999999999995</v>
      </c>
      <c r="M23" s="125"/>
      <c r="N23" s="125"/>
      <c r="S23" s="138"/>
      <c r="T23" s="133"/>
      <c r="U23" s="133"/>
      <c r="V23" s="133"/>
    </row>
    <row r="24" spans="1:22" x14ac:dyDescent="0.35">
      <c r="A24" s="82">
        <v>10</v>
      </c>
      <c r="C24" s="124" t="s">
        <v>340</v>
      </c>
      <c r="D24" s="90"/>
      <c r="E24" s="125"/>
      <c r="F24" s="125"/>
      <c r="G24" s="372" t="s">
        <v>218</v>
      </c>
      <c r="H24" s="125"/>
      <c r="I24" s="90" t="s">
        <v>9</v>
      </c>
      <c r="J24" s="379">
        <f>J16</f>
        <v>0.96242000000000005</v>
      </c>
      <c r="M24" s="125"/>
      <c r="N24" s="125"/>
      <c r="S24" s="138"/>
      <c r="T24" s="133"/>
      <c r="U24" s="133"/>
      <c r="V24" s="133"/>
    </row>
    <row r="25" spans="1:22" x14ac:dyDescent="0.35">
      <c r="A25" s="82">
        <v>11</v>
      </c>
      <c r="C25" s="124" t="s">
        <v>341</v>
      </c>
      <c r="D25" s="90"/>
      <c r="E25" s="90"/>
      <c r="F25" s="90"/>
      <c r="G25" s="372" t="s">
        <v>219</v>
      </c>
      <c r="H25" s="90"/>
      <c r="I25" s="90" t="s">
        <v>66</v>
      </c>
      <c r="J25" s="380">
        <f>ROUND(J24*J23,5)</f>
        <v>0.87946000000000002</v>
      </c>
      <c r="M25" s="125"/>
      <c r="N25" s="125"/>
      <c r="S25" s="138"/>
      <c r="T25" s="133"/>
      <c r="U25" s="133"/>
      <c r="V25" s="133"/>
    </row>
    <row r="26" spans="1:22" x14ac:dyDescent="0.35">
      <c r="A26" s="82"/>
      <c r="D26" s="90"/>
      <c r="E26" s="125"/>
      <c r="F26" s="125"/>
      <c r="G26" s="125"/>
      <c r="H26" s="129"/>
      <c r="I26" s="125"/>
      <c r="M26" s="125"/>
      <c r="N26" s="125"/>
      <c r="S26" s="139"/>
      <c r="T26" s="133"/>
      <c r="U26" s="133"/>
      <c r="V26" s="133"/>
    </row>
    <row r="27" spans="1:22" x14ac:dyDescent="0.35">
      <c r="A27" s="82" t="s">
        <v>0</v>
      </c>
      <c r="C27" s="171" t="s">
        <v>167</v>
      </c>
      <c r="D27" s="125"/>
      <c r="E27" s="125"/>
      <c r="F27" s="125"/>
      <c r="G27" s="125"/>
      <c r="H27" s="125"/>
      <c r="I27" s="125"/>
      <c r="J27" s="125"/>
      <c r="K27" s="125"/>
      <c r="L27" s="125"/>
      <c r="M27" s="125"/>
      <c r="N27" s="125"/>
      <c r="S27" s="137"/>
      <c r="T27" s="133"/>
      <c r="U27" s="133"/>
      <c r="V27" s="133"/>
    </row>
    <row r="28" spans="1:22" x14ac:dyDescent="0.35">
      <c r="A28" s="82" t="s">
        <v>0</v>
      </c>
      <c r="C28" s="134"/>
      <c r="D28" s="381" t="s">
        <v>67</v>
      </c>
      <c r="E28" s="382" t="s">
        <v>230</v>
      </c>
      <c r="F28" s="382" t="s">
        <v>9</v>
      </c>
      <c r="G28" s="125"/>
      <c r="H28" s="382" t="s">
        <v>229</v>
      </c>
      <c r="I28" s="125"/>
      <c r="J28" s="125"/>
      <c r="K28" s="125"/>
      <c r="L28" s="125"/>
      <c r="M28" s="125"/>
      <c r="N28" s="125"/>
      <c r="S28" s="137"/>
      <c r="T28" s="133"/>
      <c r="U28" s="133"/>
      <c r="V28" s="133"/>
    </row>
    <row r="29" spans="1:22" x14ac:dyDescent="0.35">
      <c r="A29" s="82">
        <v>12</v>
      </c>
      <c r="C29" s="134" t="s">
        <v>31</v>
      </c>
      <c r="D29" s="369" t="s">
        <v>174</v>
      </c>
      <c r="E29" s="383">
        <f>'OATT Input Data'!$E$284</f>
        <v>75901235</v>
      </c>
      <c r="F29" s="384">
        <v>0</v>
      </c>
      <c r="G29" s="384"/>
      <c r="H29" s="385">
        <f>ROUND(E29*F29,0)</f>
        <v>0</v>
      </c>
      <c r="I29" s="125"/>
      <c r="J29" s="125"/>
      <c r="K29" s="125"/>
      <c r="L29" s="125"/>
      <c r="M29" s="125"/>
      <c r="N29" s="144"/>
      <c r="S29" s="133"/>
      <c r="T29" s="133"/>
      <c r="U29" s="133"/>
      <c r="V29" s="133"/>
    </row>
    <row r="30" spans="1:22" x14ac:dyDescent="0.35">
      <c r="A30" s="82">
        <v>13</v>
      </c>
      <c r="C30" s="134" t="s">
        <v>33</v>
      </c>
      <c r="D30" s="369" t="s">
        <v>221</v>
      </c>
      <c r="E30" s="140">
        <f>'OATT Input Data'!$E$285</f>
        <v>9113621</v>
      </c>
      <c r="F30" s="378">
        <f>+J16</f>
        <v>0.96242000000000005</v>
      </c>
      <c r="G30" s="384"/>
      <c r="H30" s="140">
        <f t="shared" ref="H30:H32" si="0">ROUND(E30*F30,0)</f>
        <v>8771131</v>
      </c>
      <c r="I30" s="125"/>
      <c r="J30" s="125"/>
      <c r="K30" s="125"/>
      <c r="L30" s="125"/>
      <c r="M30" s="90"/>
      <c r="N30" s="386"/>
    </row>
    <row r="31" spans="1:22" x14ac:dyDescent="0.35">
      <c r="A31" s="82">
        <v>14</v>
      </c>
      <c r="C31" s="134" t="s">
        <v>34</v>
      </c>
      <c r="D31" s="369" t="s">
        <v>222</v>
      </c>
      <c r="E31" s="140">
        <f>'OATT Input Data'!$E$286</f>
        <v>28727096</v>
      </c>
      <c r="F31" s="384">
        <v>0</v>
      </c>
      <c r="G31" s="384"/>
      <c r="H31" s="387">
        <f t="shared" si="0"/>
        <v>0</v>
      </c>
      <c r="I31" s="125"/>
      <c r="J31" s="388" t="s">
        <v>68</v>
      </c>
      <c r="K31" s="125"/>
      <c r="L31" s="125"/>
      <c r="M31" s="125"/>
      <c r="N31" s="386"/>
    </row>
    <row r="32" spans="1:22" ht="22.65" customHeight="1" x14ac:dyDescent="0.65">
      <c r="A32" s="82">
        <v>15</v>
      </c>
      <c r="C32" s="134" t="s">
        <v>69</v>
      </c>
      <c r="D32" s="369" t="s">
        <v>847</v>
      </c>
      <c r="E32" s="389">
        <f>'OATT Input Data'!$E$291</f>
        <v>20266104</v>
      </c>
      <c r="F32" s="384">
        <v>0</v>
      </c>
      <c r="G32" s="384"/>
      <c r="H32" s="373">
        <f t="shared" si="0"/>
        <v>0</v>
      </c>
      <c r="I32" s="125"/>
      <c r="J32" s="390" t="s">
        <v>392</v>
      </c>
      <c r="K32" s="125"/>
      <c r="L32" s="125"/>
      <c r="M32" s="125"/>
      <c r="N32" s="386"/>
    </row>
    <row r="33" spans="1:22" x14ac:dyDescent="0.35">
      <c r="A33" s="82">
        <v>16</v>
      </c>
      <c r="C33" s="171" t="s">
        <v>223</v>
      </c>
      <c r="D33" s="374" t="s">
        <v>224</v>
      </c>
      <c r="E33" s="383">
        <f>ROUND(SUM(E29:E32),0)</f>
        <v>134008056</v>
      </c>
      <c r="F33" s="125"/>
      <c r="G33" s="125"/>
      <c r="H33" s="383">
        <f>ROUND(SUM(H29:H32),0)</f>
        <v>8771131</v>
      </c>
      <c r="I33" s="135" t="s">
        <v>70</v>
      </c>
      <c r="J33" s="378">
        <f>IF(H33&gt;0,ROUND(H33/E33,5),0)</f>
        <v>6.5449999999999994E-2</v>
      </c>
      <c r="K33" s="470" t="s">
        <v>322</v>
      </c>
      <c r="L33" s="125"/>
      <c r="M33" s="125"/>
      <c r="N33" s="125"/>
      <c r="O33" s="125"/>
      <c r="P33" s="134"/>
    </row>
    <row r="34" spans="1:22" x14ac:dyDescent="0.35">
      <c r="A34" s="82"/>
      <c r="C34" s="134"/>
      <c r="D34" s="374"/>
      <c r="E34" s="140"/>
      <c r="F34" s="125"/>
      <c r="G34" s="125"/>
      <c r="H34" s="125"/>
      <c r="I34" s="125"/>
      <c r="J34" s="125"/>
      <c r="K34" s="125"/>
      <c r="L34" s="125"/>
      <c r="M34" s="125" t="s">
        <v>0</v>
      </c>
      <c r="N34" s="125"/>
      <c r="O34" s="125"/>
      <c r="P34" s="134"/>
    </row>
    <row r="35" spans="1:22" x14ac:dyDescent="0.35">
      <c r="A35" s="82"/>
      <c r="C35" s="171" t="s">
        <v>225</v>
      </c>
      <c r="D35" s="374" t="s">
        <v>226</v>
      </c>
      <c r="E35" s="140"/>
      <c r="F35" s="125"/>
      <c r="G35" s="125"/>
      <c r="H35" s="125"/>
      <c r="I35" s="125"/>
      <c r="J35" s="125"/>
      <c r="K35" s="125"/>
      <c r="L35" s="125"/>
      <c r="M35" s="125"/>
      <c r="N35" s="125"/>
      <c r="O35" s="125"/>
      <c r="P35" s="134"/>
    </row>
    <row r="36" spans="1:22" x14ac:dyDescent="0.35">
      <c r="A36" s="82"/>
      <c r="C36" s="134"/>
      <c r="D36" s="374"/>
      <c r="E36" s="391" t="s">
        <v>231</v>
      </c>
      <c r="F36" s="125"/>
      <c r="G36" s="125"/>
      <c r="H36" s="129"/>
      <c r="I36" s="392" t="s">
        <v>0</v>
      </c>
      <c r="J36" s="393"/>
      <c r="M36" s="125"/>
      <c r="N36" s="125"/>
      <c r="O36" s="125"/>
      <c r="P36" s="136"/>
      <c r="Q36" s="141"/>
    </row>
    <row r="37" spans="1:22" x14ac:dyDescent="0.35">
      <c r="A37" s="82">
        <v>17</v>
      </c>
      <c r="C37" s="134" t="s">
        <v>71</v>
      </c>
      <c r="D37" s="374" t="s">
        <v>72</v>
      </c>
      <c r="E37" s="383">
        <f>ROUND('OATT Input Data'!E296,0)</f>
        <v>14790857027</v>
      </c>
      <c r="F37" s="125"/>
      <c r="H37" s="394"/>
      <c r="I37" s="395"/>
      <c r="J37" s="82"/>
      <c r="K37" s="125"/>
      <c r="L37" s="135"/>
      <c r="M37" s="125"/>
      <c r="N37" s="125"/>
      <c r="O37" s="125"/>
      <c r="P37" s="125"/>
      <c r="Q37" s="125"/>
      <c r="R37" s="142"/>
      <c r="S37" s="140"/>
      <c r="T37" s="142"/>
      <c r="U37" s="142"/>
    </row>
    <row r="38" spans="1:22" x14ac:dyDescent="0.35">
      <c r="A38" s="82">
        <v>18</v>
      </c>
      <c r="C38" s="134" t="s">
        <v>73</v>
      </c>
      <c r="D38" s="374" t="s">
        <v>74</v>
      </c>
      <c r="E38" s="140">
        <f>ROUND('OATT Input Data'!E297,0)</f>
        <v>1240375887</v>
      </c>
      <c r="F38" s="125"/>
      <c r="I38" s="129"/>
      <c r="K38" s="392"/>
      <c r="M38" s="125"/>
      <c r="N38" s="125"/>
      <c r="O38" s="125"/>
      <c r="P38" s="134"/>
      <c r="Q38" s="125"/>
      <c r="R38" s="140"/>
      <c r="S38" s="140"/>
      <c r="T38" s="142"/>
      <c r="U38" s="142"/>
    </row>
    <row r="39" spans="1:22" ht="18.5" x14ac:dyDescent="0.65">
      <c r="A39" s="82">
        <v>19</v>
      </c>
      <c r="C39" s="137" t="s">
        <v>75</v>
      </c>
      <c r="D39" s="396" t="s">
        <v>76</v>
      </c>
      <c r="E39" s="373">
        <f>ROUND('OATT Input Data'!E298,0)</f>
        <v>0</v>
      </c>
      <c r="F39" s="125"/>
      <c r="G39" s="125"/>
      <c r="H39" s="125" t="s">
        <v>0</v>
      </c>
      <c r="I39" s="125"/>
      <c r="J39" s="125"/>
      <c r="K39" s="125"/>
      <c r="L39" s="125"/>
      <c r="M39" s="125"/>
      <c r="N39" s="125"/>
      <c r="O39" s="125"/>
      <c r="P39" s="134"/>
      <c r="R39" s="140"/>
      <c r="S39" s="140"/>
      <c r="T39" s="140"/>
      <c r="U39" s="140"/>
    </row>
    <row r="40" spans="1:22" x14ac:dyDescent="0.35">
      <c r="A40" s="82">
        <v>20</v>
      </c>
      <c r="C40" s="171" t="s">
        <v>228</v>
      </c>
      <c r="D40" s="374" t="s">
        <v>227</v>
      </c>
      <c r="E40" s="383">
        <f>ROUND(SUM(E37:E39),0)</f>
        <v>16031232914</v>
      </c>
      <c r="F40" s="125"/>
      <c r="G40" s="125"/>
      <c r="H40" s="125"/>
      <c r="I40" s="125"/>
      <c r="J40" s="125"/>
      <c r="K40" s="125"/>
      <c r="L40" s="125"/>
      <c r="M40" s="125"/>
      <c r="N40" s="125"/>
      <c r="O40" s="125"/>
      <c r="P40" s="134"/>
      <c r="R40" s="140"/>
      <c r="S40" s="140"/>
      <c r="T40" s="140"/>
      <c r="U40" s="140"/>
    </row>
    <row r="41" spans="1:22" x14ac:dyDescent="0.35">
      <c r="A41" s="82">
        <v>21</v>
      </c>
      <c r="C41" s="397" t="s">
        <v>312</v>
      </c>
      <c r="D41" s="374" t="s">
        <v>313</v>
      </c>
      <c r="F41" s="398">
        <f>IF(E40&gt;0,ROUND(E37/E40,5),0)</f>
        <v>0.92262999999999995</v>
      </c>
      <c r="G41" s="399" t="s">
        <v>323</v>
      </c>
      <c r="H41" s="398">
        <f>J33</f>
        <v>6.5449999999999994E-2</v>
      </c>
      <c r="I41" s="125"/>
      <c r="J41" s="398">
        <f>ROUND(H41*F41,5)</f>
        <v>6.0389999999999999E-2</v>
      </c>
      <c r="K41" s="400" t="s">
        <v>314</v>
      </c>
      <c r="L41" s="125"/>
      <c r="M41" s="125"/>
      <c r="N41" s="125"/>
      <c r="O41" s="125"/>
      <c r="P41" s="134"/>
      <c r="R41" s="140"/>
      <c r="S41" s="140"/>
      <c r="T41" s="140"/>
      <c r="U41" s="140"/>
    </row>
    <row r="42" spans="1:22" x14ac:dyDescent="0.35">
      <c r="A42" s="82"/>
      <c r="C42" s="397"/>
      <c r="D42" s="374"/>
      <c r="F42" s="398"/>
      <c r="G42" s="401"/>
      <c r="H42" s="398"/>
      <c r="I42" s="125"/>
      <c r="J42" s="398"/>
      <c r="K42" s="400"/>
      <c r="L42" s="125"/>
      <c r="M42" s="125"/>
      <c r="N42" s="125"/>
      <c r="O42" s="125"/>
      <c r="P42" s="134"/>
      <c r="R42" s="140"/>
      <c r="S42" s="140"/>
      <c r="T42" s="140"/>
      <c r="U42" s="140"/>
    </row>
    <row r="43" spans="1:22" x14ac:dyDescent="0.35">
      <c r="A43" s="82"/>
      <c r="B43" s="93"/>
      <c r="C43" s="124" t="s">
        <v>315</v>
      </c>
      <c r="D43" s="125"/>
      <c r="E43" s="402" t="s">
        <v>232</v>
      </c>
      <c r="F43" s="125"/>
      <c r="G43" s="125"/>
      <c r="H43" s="125"/>
      <c r="I43" s="125"/>
      <c r="K43" s="125"/>
      <c r="L43" s="125"/>
      <c r="M43" s="125"/>
      <c r="N43" s="125"/>
      <c r="O43" s="125"/>
      <c r="P43" s="135"/>
      <c r="Q43" s="143"/>
      <c r="R43" s="140"/>
      <c r="S43" s="140"/>
      <c r="T43" s="140"/>
      <c r="U43" s="140"/>
    </row>
    <row r="44" spans="1:22" x14ac:dyDescent="0.35">
      <c r="A44" s="82">
        <v>22</v>
      </c>
      <c r="B44" s="93"/>
      <c r="C44" s="403" t="s">
        <v>77</v>
      </c>
      <c r="D44" s="369" t="s">
        <v>342</v>
      </c>
      <c r="E44" s="383">
        <f>'OATT Input Data'!$E$313</f>
        <v>187515285</v>
      </c>
      <c r="F44" s="125"/>
      <c r="H44" s="125"/>
      <c r="I44" s="125"/>
      <c r="K44" s="125"/>
      <c r="L44" s="125"/>
      <c r="M44" s="125"/>
      <c r="N44" s="125"/>
      <c r="O44" s="144"/>
      <c r="P44" s="125"/>
      <c r="Q44" s="125"/>
      <c r="R44" s="142"/>
      <c r="S44" s="142"/>
      <c r="T44" s="142"/>
      <c r="U44" s="142"/>
    </row>
    <row r="45" spans="1:22" x14ac:dyDescent="0.35">
      <c r="A45" s="82">
        <v>23</v>
      </c>
      <c r="B45" s="93"/>
      <c r="C45" s="403" t="s">
        <v>126</v>
      </c>
      <c r="D45" s="369" t="s">
        <v>233</v>
      </c>
      <c r="E45" s="387">
        <v>0</v>
      </c>
      <c r="F45" s="125"/>
      <c r="H45" s="125"/>
      <c r="I45" s="125"/>
      <c r="K45" s="125"/>
      <c r="L45" s="125"/>
      <c r="M45" s="125"/>
      <c r="N45" s="125"/>
      <c r="O45" s="125"/>
      <c r="P45" s="145"/>
      <c r="Q45" s="145"/>
      <c r="R45" s="140"/>
      <c r="S45" s="140"/>
      <c r="T45" s="140"/>
      <c r="U45" s="140"/>
    </row>
    <row r="46" spans="1:22" x14ac:dyDescent="0.35">
      <c r="A46" s="82"/>
      <c r="B46" s="93"/>
      <c r="C46" s="124" t="s">
        <v>129</v>
      </c>
      <c r="D46" s="125"/>
      <c r="E46" s="125"/>
      <c r="F46" s="125"/>
      <c r="G46" s="125"/>
      <c r="H46" s="125"/>
      <c r="I46" s="125"/>
      <c r="K46" s="125"/>
      <c r="L46" s="125"/>
      <c r="M46" s="125"/>
      <c r="N46" s="125"/>
      <c r="O46" s="125"/>
      <c r="P46" s="145"/>
      <c r="Q46" s="145"/>
      <c r="R46" s="142"/>
      <c r="S46" s="142"/>
      <c r="T46" s="142"/>
      <c r="U46" s="142"/>
      <c r="V46" s="146"/>
    </row>
    <row r="47" spans="1:22" x14ac:dyDescent="0.35">
      <c r="A47" s="82">
        <v>24</v>
      </c>
      <c r="B47" s="93"/>
      <c r="C47" s="403" t="s">
        <v>78</v>
      </c>
      <c r="D47" s="369" t="s">
        <v>343</v>
      </c>
      <c r="E47" s="383">
        <f>'OATT Input Data'!$E$329</f>
        <v>5340976075</v>
      </c>
      <c r="F47" s="125"/>
      <c r="H47" s="125"/>
      <c r="I47" s="125"/>
      <c r="K47" s="125"/>
      <c r="L47" s="125"/>
      <c r="M47" s="125"/>
      <c r="N47" s="125"/>
      <c r="O47" s="125"/>
      <c r="P47" s="125"/>
      <c r="Q47" s="125"/>
      <c r="R47" s="142"/>
      <c r="S47" s="142"/>
      <c r="T47" s="142"/>
      <c r="U47" s="142"/>
      <c r="V47" s="146"/>
    </row>
    <row r="48" spans="1:22" x14ac:dyDescent="0.35">
      <c r="A48" s="82">
        <v>25</v>
      </c>
      <c r="B48" s="93"/>
      <c r="C48" s="403" t="s">
        <v>317</v>
      </c>
      <c r="D48" s="369" t="s">
        <v>344</v>
      </c>
      <c r="E48" s="554">
        <f>-E54</f>
        <v>0</v>
      </c>
      <c r="F48" s="125"/>
      <c r="H48" s="125"/>
      <c r="I48" s="125"/>
      <c r="K48" s="125"/>
      <c r="L48" s="125"/>
      <c r="M48" s="125"/>
      <c r="N48" s="125"/>
      <c r="O48" s="125"/>
      <c r="P48" s="147"/>
      <c r="Q48" s="129"/>
      <c r="R48" s="142"/>
      <c r="S48" s="142"/>
      <c r="T48" s="142"/>
      <c r="U48" s="142"/>
    </row>
    <row r="49" spans="1:21" ht="18.5" x14ac:dyDescent="0.65">
      <c r="A49" s="82">
        <v>26</v>
      </c>
      <c r="B49" s="93"/>
      <c r="C49" s="403" t="s">
        <v>234</v>
      </c>
      <c r="D49" s="374" t="s">
        <v>235</v>
      </c>
      <c r="E49" s="615">
        <f>'OATT Input Data'!$E$340</f>
        <v>0</v>
      </c>
      <c r="F49" s="125"/>
      <c r="H49" s="125"/>
      <c r="I49" s="125"/>
      <c r="K49" s="125"/>
      <c r="L49" s="125"/>
      <c r="M49" s="125"/>
      <c r="N49" s="125"/>
      <c r="O49" s="125"/>
      <c r="P49" s="135"/>
      <c r="Q49" s="143"/>
      <c r="R49" s="142"/>
      <c r="S49" s="142"/>
      <c r="T49" s="142"/>
      <c r="U49" s="142"/>
    </row>
    <row r="50" spans="1:21" x14ac:dyDescent="0.35">
      <c r="A50" s="82">
        <v>27</v>
      </c>
      <c r="B50" s="93"/>
      <c r="C50" s="404" t="s">
        <v>345</v>
      </c>
      <c r="D50" s="405" t="s">
        <v>324</v>
      </c>
      <c r="E50" s="383">
        <f>ROUND(SUM(E47:E49),0)</f>
        <v>5340976075</v>
      </c>
      <c r="F50" s="93"/>
      <c r="H50" s="406"/>
      <c r="I50" s="93"/>
      <c r="K50" s="125"/>
      <c r="L50" s="125"/>
      <c r="M50" s="125"/>
      <c r="N50" s="125"/>
      <c r="O50" s="125"/>
      <c r="P50" s="125"/>
      <c r="Q50" s="125"/>
      <c r="R50" s="142"/>
      <c r="S50" s="142"/>
      <c r="T50" s="140"/>
      <c r="U50" s="140"/>
    </row>
    <row r="51" spans="1:21" x14ac:dyDescent="0.35">
      <c r="A51" s="82"/>
      <c r="B51" s="93"/>
      <c r="C51" s="93"/>
      <c r="D51" s="125"/>
      <c r="E51" s="93"/>
      <c r="F51" s="93"/>
      <c r="G51" s="407"/>
      <c r="H51" s="82" t="s">
        <v>237</v>
      </c>
      <c r="I51" s="93"/>
      <c r="J51" s="383"/>
      <c r="K51" s="125"/>
      <c r="L51" s="125"/>
      <c r="M51" s="125"/>
      <c r="N51" s="125"/>
      <c r="O51" s="125"/>
      <c r="P51" s="125"/>
      <c r="Q51" s="125"/>
      <c r="R51" s="142"/>
      <c r="S51" s="142"/>
      <c r="T51" s="140"/>
      <c r="U51" s="140"/>
    </row>
    <row r="52" spans="1:21" x14ac:dyDescent="0.35">
      <c r="A52" s="82"/>
      <c r="C52" s="134" t="s">
        <v>346</v>
      </c>
      <c r="D52" s="125"/>
      <c r="E52" s="408" t="s">
        <v>326</v>
      </c>
      <c r="F52" s="409" t="s">
        <v>79</v>
      </c>
      <c r="G52" s="125"/>
      <c r="H52" s="408" t="s">
        <v>138</v>
      </c>
      <c r="I52" s="125"/>
      <c r="J52" s="409" t="s">
        <v>80</v>
      </c>
      <c r="K52" s="125"/>
      <c r="L52" s="125"/>
      <c r="M52" s="125"/>
      <c r="N52" s="125"/>
      <c r="O52" s="125"/>
      <c r="P52" s="135"/>
      <c r="Q52" s="143"/>
      <c r="R52" s="140"/>
      <c r="S52" s="140"/>
      <c r="T52" s="140"/>
      <c r="U52" s="140"/>
    </row>
    <row r="53" spans="1:21" x14ac:dyDescent="0.35">
      <c r="A53" s="82">
        <v>28</v>
      </c>
      <c r="C53" s="124" t="s">
        <v>281</v>
      </c>
      <c r="D53" s="372" t="s">
        <v>401</v>
      </c>
      <c r="E53" s="383">
        <f>'OATT Input Data'!$E$348</f>
        <v>4659638629</v>
      </c>
      <c r="F53" s="410">
        <f>ROUND(E53/E56,4)</f>
        <v>0.46589999999999998</v>
      </c>
      <c r="G53" s="411"/>
      <c r="H53" s="411">
        <f>IF(E53&gt;0.01,ROUND(E44/E53,4),0)</f>
        <v>4.02E-2</v>
      </c>
      <c r="J53" s="412">
        <f>ROUND(F53*H53,4)</f>
        <v>1.8700000000000001E-2</v>
      </c>
      <c r="K53" s="470" t="s">
        <v>325</v>
      </c>
      <c r="M53" s="125"/>
      <c r="N53" s="125"/>
      <c r="O53" s="125"/>
      <c r="P53" s="135"/>
      <c r="Q53" s="143"/>
      <c r="R53" s="140"/>
      <c r="S53" s="140"/>
      <c r="T53" s="140"/>
      <c r="U53" s="140"/>
    </row>
    <row r="54" spans="1:21" x14ac:dyDescent="0.35">
      <c r="A54" s="82">
        <v>29</v>
      </c>
      <c r="C54" s="124" t="s">
        <v>282</v>
      </c>
      <c r="D54" s="100" t="s">
        <v>236</v>
      </c>
      <c r="E54" s="387">
        <v>0</v>
      </c>
      <c r="F54" s="410">
        <f>ROUND(E54/E56,4)+0.000001</f>
        <v>9.9999999999999995E-7</v>
      </c>
      <c r="G54" s="411"/>
      <c r="H54" s="411">
        <f>IF(E54&gt;0.01,E45/E54,0.00001)</f>
        <v>1.0000000000000001E-5</v>
      </c>
      <c r="J54" s="412">
        <f>F54*H54</f>
        <v>1.0000000000000001E-11</v>
      </c>
      <c r="K54" s="125"/>
      <c r="M54" s="125"/>
      <c r="N54" s="125"/>
      <c r="O54" s="125"/>
      <c r="P54" s="135"/>
      <c r="Q54" s="143"/>
      <c r="R54" s="140"/>
      <c r="S54" s="140"/>
      <c r="T54" s="140"/>
      <c r="U54" s="140"/>
    </row>
    <row r="55" spans="1:21" x14ac:dyDescent="0.35">
      <c r="A55" s="82">
        <v>30</v>
      </c>
      <c r="C55" s="124" t="s">
        <v>283</v>
      </c>
      <c r="D55" s="372" t="s">
        <v>347</v>
      </c>
      <c r="E55" s="413">
        <f>E50</f>
        <v>5340976075</v>
      </c>
      <c r="F55" s="410">
        <f>ROUND(E55/E56,4)</f>
        <v>0.53410000000000002</v>
      </c>
      <c r="G55" s="411"/>
      <c r="H55" s="411">
        <v>0.10879999999999999</v>
      </c>
      <c r="J55" s="414">
        <f t="shared" ref="J55" si="1">ROUND(F55*H55,4)</f>
        <v>5.8099999999999999E-2</v>
      </c>
      <c r="K55" s="125"/>
      <c r="M55" s="125"/>
      <c r="N55" s="125"/>
      <c r="O55" s="144"/>
      <c r="P55" s="145"/>
      <c r="Q55" s="145"/>
      <c r="R55" s="140"/>
      <c r="S55" s="140"/>
      <c r="T55" s="140"/>
      <c r="U55" s="140"/>
    </row>
    <row r="56" spans="1:21" x14ac:dyDescent="0.35">
      <c r="A56" s="82">
        <v>31</v>
      </c>
      <c r="C56" s="171" t="s">
        <v>284</v>
      </c>
      <c r="D56" s="372" t="s">
        <v>327</v>
      </c>
      <c r="E56" s="383">
        <f>ROUND(SUM(E53:E55),0)</f>
        <v>10000614704</v>
      </c>
      <c r="F56" s="125" t="s">
        <v>0</v>
      </c>
      <c r="G56" s="125"/>
      <c r="H56" s="125"/>
      <c r="I56" s="125"/>
      <c r="J56" s="412">
        <f>SUM(J53:J55)</f>
        <v>7.6800000010000008E-2</v>
      </c>
      <c r="K56" s="470" t="s">
        <v>316</v>
      </c>
      <c r="M56" s="125"/>
      <c r="N56" s="125"/>
      <c r="O56" s="144"/>
      <c r="P56" s="145"/>
      <c r="Q56" s="145"/>
      <c r="R56" s="140"/>
      <c r="S56" s="140"/>
      <c r="T56" s="140"/>
      <c r="U56" s="140"/>
    </row>
    <row r="57" spans="1:21" x14ac:dyDescent="0.35">
      <c r="A57" s="82"/>
      <c r="L57" s="125"/>
      <c r="M57" s="125"/>
      <c r="N57" s="125"/>
      <c r="O57" s="144"/>
      <c r="P57" s="125"/>
      <c r="Q57" s="125"/>
      <c r="R57" s="142"/>
      <c r="S57" s="140"/>
      <c r="T57" s="142"/>
      <c r="U57" s="142"/>
    </row>
    <row r="58" spans="1:21" x14ac:dyDescent="0.35">
      <c r="A58" s="82"/>
      <c r="C58" s="415" t="s">
        <v>81</v>
      </c>
      <c r="D58" s="93"/>
      <c r="E58" s="93"/>
      <c r="F58" s="93"/>
      <c r="G58" s="93"/>
      <c r="H58" s="93"/>
      <c r="I58" s="93"/>
      <c r="J58" s="93"/>
      <c r="K58" s="93"/>
      <c r="L58" s="93"/>
      <c r="M58" s="125"/>
      <c r="N58" s="129"/>
      <c r="P58" s="145"/>
      <c r="Q58" s="148"/>
    </row>
    <row r="59" spans="1:21" x14ac:dyDescent="0.35">
      <c r="A59" s="82"/>
      <c r="C59" s="415" t="s">
        <v>83</v>
      </c>
      <c r="D59" s="93"/>
      <c r="G59" s="93"/>
      <c r="I59" s="407"/>
      <c r="J59" s="409" t="s">
        <v>82</v>
      </c>
      <c r="K59" s="1"/>
      <c r="O59" s="125"/>
      <c r="P59" s="147"/>
      <c r="Q59" s="129"/>
    </row>
    <row r="60" spans="1:21" x14ac:dyDescent="0.35">
      <c r="A60" s="82">
        <v>32</v>
      </c>
      <c r="C60" s="146" t="s">
        <v>402</v>
      </c>
      <c r="D60" s="93"/>
      <c r="F60" s="405" t="s">
        <v>318</v>
      </c>
      <c r="G60" s="93"/>
      <c r="J60" s="616">
        <v>0</v>
      </c>
      <c r="K60" s="471"/>
      <c r="O60" s="125"/>
      <c r="P60" s="134"/>
    </row>
    <row r="61" spans="1:21" ht="18.5" x14ac:dyDescent="0.65">
      <c r="A61" s="82">
        <v>33</v>
      </c>
      <c r="C61" s="416" t="s">
        <v>403</v>
      </c>
      <c r="D61" s="417"/>
      <c r="E61" s="418"/>
      <c r="F61" s="405" t="s">
        <v>329</v>
      </c>
      <c r="G61" s="419"/>
      <c r="I61" s="93"/>
      <c r="J61" s="617">
        <f>+J60</f>
        <v>0</v>
      </c>
      <c r="K61" s="472"/>
      <c r="O61" s="125"/>
      <c r="P61" s="134"/>
    </row>
    <row r="62" spans="1:21" x14ac:dyDescent="0.35">
      <c r="A62" s="82">
        <v>34</v>
      </c>
      <c r="C62" s="146" t="s">
        <v>404</v>
      </c>
      <c r="D62" s="90"/>
      <c r="F62" s="420" t="s">
        <v>328</v>
      </c>
      <c r="G62" s="419"/>
      <c r="I62" s="93"/>
      <c r="J62" s="421">
        <f>+J60-J61</f>
        <v>0</v>
      </c>
      <c r="K62" s="471"/>
      <c r="O62" s="125"/>
      <c r="P62" s="134"/>
    </row>
    <row r="63" spans="1:21" x14ac:dyDescent="0.35">
      <c r="A63" s="82"/>
      <c r="C63" s="146" t="s">
        <v>0</v>
      </c>
      <c r="D63" s="90"/>
      <c r="F63" s="93"/>
      <c r="G63" s="93"/>
      <c r="H63" s="422"/>
      <c r="I63" s="93"/>
      <c r="J63" s="58" t="s">
        <v>0</v>
      </c>
      <c r="K63" s="1"/>
      <c r="L63" s="149"/>
      <c r="M63" s="125"/>
      <c r="N63" s="129"/>
      <c r="O63" s="125"/>
      <c r="P63" s="134"/>
    </row>
    <row r="64" spans="1:21" x14ac:dyDescent="0.35">
      <c r="A64" s="82">
        <v>35</v>
      </c>
      <c r="C64" s="124" t="s">
        <v>241</v>
      </c>
      <c r="D64" s="90"/>
      <c r="F64" s="405" t="s">
        <v>239</v>
      </c>
      <c r="G64" s="93"/>
      <c r="H64" s="423"/>
      <c r="I64" s="93"/>
      <c r="J64" s="618">
        <f>'OATT Input Data'!$E$355</f>
        <v>1268370.3700000001</v>
      </c>
      <c r="K64" s="1"/>
      <c r="L64" s="149"/>
      <c r="M64" s="125"/>
      <c r="N64" s="129"/>
      <c r="O64" s="125"/>
      <c r="P64" s="134"/>
    </row>
    <row r="65" spans="1:19" x14ac:dyDescent="0.35">
      <c r="C65" s="124" t="s">
        <v>240</v>
      </c>
      <c r="D65" s="93"/>
      <c r="E65" s="407" t="s">
        <v>84</v>
      </c>
      <c r="F65" s="405" t="s">
        <v>405</v>
      </c>
      <c r="G65" s="93"/>
      <c r="H65" s="93"/>
      <c r="I65" s="93"/>
      <c r="L65" s="150"/>
      <c r="M65" s="125"/>
      <c r="N65" s="129"/>
      <c r="O65" s="90"/>
      <c r="P65" s="129"/>
    </row>
    <row r="66" spans="1:19" x14ac:dyDescent="0.35">
      <c r="A66" s="82">
        <v>36</v>
      </c>
      <c r="C66" s="415" t="s">
        <v>85</v>
      </c>
      <c r="D66" s="125"/>
      <c r="E66" s="125"/>
      <c r="F66" s="125"/>
      <c r="G66" s="125"/>
      <c r="H66" s="125"/>
      <c r="I66" s="125"/>
      <c r="J66" s="424">
        <f>'OATT Input Data'!$E$357</f>
        <v>37510319</v>
      </c>
      <c r="K66" s="8"/>
      <c r="L66" s="150"/>
      <c r="M66" s="125"/>
      <c r="N66" s="129"/>
      <c r="O66" s="90"/>
      <c r="P66" s="425"/>
      <c r="Q66" s="425"/>
    </row>
    <row r="67" spans="1:19" ht="18.5" x14ac:dyDescent="0.65">
      <c r="A67" s="82">
        <v>37</v>
      </c>
      <c r="C67" s="426" t="s">
        <v>86</v>
      </c>
      <c r="D67" s="427"/>
      <c r="E67" s="427"/>
      <c r="F67" s="419"/>
      <c r="G67" s="419"/>
      <c r="H67" s="93"/>
      <c r="I67" s="93"/>
      <c r="J67" s="428">
        <f>'OATT Input Data'!$E$413</f>
        <v>33880523</v>
      </c>
      <c r="L67" s="151"/>
      <c r="M67" s="93"/>
      <c r="N67" s="82"/>
      <c r="O67" s="90"/>
      <c r="P67" s="429"/>
    </row>
    <row r="68" spans="1:19" x14ac:dyDescent="0.35">
      <c r="A68" s="82">
        <v>38</v>
      </c>
      <c r="C68" s="146" t="s">
        <v>238</v>
      </c>
      <c r="D68" s="82"/>
      <c r="E68" s="125"/>
      <c r="F68" s="420" t="s">
        <v>348</v>
      </c>
      <c r="G68" s="125"/>
      <c r="H68" s="125"/>
      <c r="I68" s="93"/>
      <c r="J68" s="107">
        <f>+J66-J67</f>
        <v>3629796</v>
      </c>
      <c r="K68" s="8"/>
      <c r="L68" s="8"/>
      <c r="M68" s="93"/>
      <c r="N68" s="82"/>
      <c r="O68" s="90"/>
      <c r="P68" s="429"/>
    </row>
    <row r="69" spans="1:19" x14ac:dyDescent="0.35">
      <c r="C69" s="146"/>
      <c r="Q69" s="100"/>
      <c r="R69" s="100"/>
      <c r="S69" s="100"/>
    </row>
    <row r="70" spans="1:19" x14ac:dyDescent="0.35">
      <c r="Q70" s="100"/>
      <c r="R70" s="100"/>
      <c r="S70" s="100"/>
    </row>
    <row r="71" spans="1:19" x14ac:dyDescent="0.35">
      <c r="Q71" s="100"/>
      <c r="R71" s="100"/>
      <c r="S71" s="100"/>
    </row>
    <row r="72" spans="1:19" x14ac:dyDescent="0.35">
      <c r="Q72" s="100"/>
      <c r="R72" s="100"/>
      <c r="S72" s="100"/>
    </row>
    <row r="73" spans="1:19" x14ac:dyDescent="0.35">
      <c r="Q73" s="100"/>
      <c r="R73" s="100"/>
      <c r="S73" s="100"/>
    </row>
    <row r="74" spans="1:19" x14ac:dyDescent="0.35">
      <c r="Q74" s="100"/>
      <c r="R74" s="100"/>
      <c r="S74" s="100"/>
    </row>
    <row r="75" spans="1:19" x14ac:dyDescent="0.35">
      <c r="Q75" s="100"/>
      <c r="R75" s="100"/>
      <c r="S75" s="100"/>
    </row>
    <row r="76" spans="1:19" x14ac:dyDescent="0.35">
      <c r="Q76" s="100"/>
      <c r="R76" s="100"/>
      <c r="S76" s="100"/>
    </row>
    <row r="77" spans="1:19" x14ac:dyDescent="0.35">
      <c r="Q77" s="100"/>
      <c r="R77" s="100"/>
      <c r="S77" s="100"/>
    </row>
    <row r="78" spans="1:19" x14ac:dyDescent="0.35">
      <c r="Q78" s="100"/>
      <c r="R78" s="100"/>
      <c r="S78" s="100"/>
    </row>
    <row r="79" spans="1:19" x14ac:dyDescent="0.35">
      <c r="Q79" s="100"/>
      <c r="R79" s="100"/>
      <c r="S79" s="100"/>
    </row>
    <row r="80" spans="1:19" x14ac:dyDescent="0.35">
      <c r="Q80" s="100"/>
      <c r="R80" s="100"/>
      <c r="S80" s="100"/>
    </row>
    <row r="81" spans="17:19" x14ac:dyDescent="0.35">
      <c r="Q81" s="100"/>
      <c r="R81" s="100"/>
      <c r="S81" s="100"/>
    </row>
    <row r="82" spans="17:19" x14ac:dyDescent="0.35">
      <c r="Q82" s="100"/>
      <c r="R82" s="100"/>
      <c r="S82" s="100"/>
    </row>
    <row r="83" spans="17:19" x14ac:dyDescent="0.35">
      <c r="Q83" s="100"/>
      <c r="R83" s="100"/>
      <c r="S83" s="100"/>
    </row>
    <row r="84" spans="17:19" x14ac:dyDescent="0.35">
      <c r="Q84" s="100"/>
      <c r="R84" s="100"/>
      <c r="S84" s="100"/>
    </row>
    <row r="85" spans="17:19" x14ac:dyDescent="0.35">
      <c r="Q85" s="100"/>
      <c r="R85" s="100"/>
      <c r="S85" s="100"/>
    </row>
    <row r="86" spans="17:19" x14ac:dyDescent="0.35">
      <c r="Q86" s="100"/>
      <c r="R86" s="100"/>
      <c r="S86" s="100"/>
    </row>
    <row r="87" spans="17:19" x14ac:dyDescent="0.35">
      <c r="Q87" s="100"/>
      <c r="R87" s="100"/>
      <c r="S87" s="100"/>
    </row>
    <row r="88" spans="17:19" x14ac:dyDescent="0.35">
      <c r="Q88" s="100"/>
      <c r="R88" s="100"/>
      <c r="S88" s="100"/>
    </row>
    <row r="89" spans="17:19" x14ac:dyDescent="0.35">
      <c r="Q89" s="100"/>
      <c r="R89" s="100"/>
      <c r="S89" s="100"/>
    </row>
    <row r="90" spans="17:19" x14ac:dyDescent="0.35">
      <c r="Q90" s="100"/>
      <c r="R90" s="100"/>
      <c r="S90" s="100"/>
    </row>
    <row r="91" spans="17:19" x14ac:dyDescent="0.35">
      <c r="Q91" s="100"/>
      <c r="R91" s="100"/>
      <c r="S91" s="100"/>
    </row>
    <row r="92" spans="17:19" x14ac:dyDescent="0.35">
      <c r="Q92" s="100"/>
      <c r="R92" s="100"/>
      <c r="S92" s="100"/>
    </row>
    <row r="93" spans="17:19" x14ac:dyDescent="0.35">
      <c r="Q93" s="100"/>
      <c r="R93" s="100"/>
      <c r="S93" s="100"/>
    </row>
    <row r="94" spans="17:19" x14ac:dyDescent="0.35">
      <c r="Q94" s="100"/>
      <c r="R94" s="100"/>
      <c r="S94" s="100"/>
    </row>
    <row r="95" spans="17:19" x14ac:dyDescent="0.35">
      <c r="Q95" s="100"/>
      <c r="R95" s="100"/>
      <c r="S95" s="100"/>
    </row>
    <row r="96" spans="17:19" x14ac:dyDescent="0.35">
      <c r="Q96" s="100"/>
      <c r="R96" s="100"/>
      <c r="S96" s="100"/>
    </row>
    <row r="97" spans="17:19" x14ac:dyDescent="0.35">
      <c r="Q97" s="100"/>
      <c r="R97" s="100"/>
      <c r="S97" s="100"/>
    </row>
    <row r="98" spans="17:19" x14ac:dyDescent="0.35">
      <c r="Q98" s="100"/>
      <c r="R98" s="100"/>
      <c r="S98" s="100"/>
    </row>
    <row r="99" spans="17:19" x14ac:dyDescent="0.35">
      <c r="Q99" s="100"/>
      <c r="R99" s="100"/>
      <c r="S99" s="100"/>
    </row>
    <row r="100" spans="17:19" x14ac:dyDescent="0.35">
      <c r="Q100" s="100"/>
      <c r="R100" s="100"/>
      <c r="S100" s="100"/>
    </row>
    <row r="101" spans="17:19" x14ac:dyDescent="0.35">
      <c r="Q101" s="100"/>
      <c r="R101" s="100"/>
      <c r="S101" s="100"/>
    </row>
    <row r="102" spans="17:19" x14ac:dyDescent="0.35">
      <c r="Q102" s="100"/>
      <c r="R102" s="100"/>
      <c r="S102" s="100"/>
    </row>
    <row r="103" spans="17:19" x14ac:dyDescent="0.35">
      <c r="Q103" s="100"/>
      <c r="R103" s="100"/>
      <c r="S103" s="100"/>
    </row>
    <row r="104" spans="17:19" x14ac:dyDescent="0.35">
      <c r="Q104" s="100"/>
      <c r="R104" s="100"/>
      <c r="S104" s="100"/>
    </row>
    <row r="105" spans="17:19" x14ac:dyDescent="0.35">
      <c r="Q105" s="100"/>
      <c r="R105" s="100"/>
      <c r="S105" s="100"/>
    </row>
    <row r="106" spans="17:19" x14ac:dyDescent="0.35">
      <c r="Q106" s="100"/>
      <c r="R106" s="100"/>
      <c r="S106" s="100"/>
    </row>
    <row r="107" spans="17:19" x14ac:dyDescent="0.35">
      <c r="Q107" s="100"/>
      <c r="R107" s="100"/>
      <c r="S107" s="100"/>
    </row>
    <row r="108" spans="17:19" x14ac:dyDescent="0.35">
      <c r="Q108" s="100"/>
      <c r="R108" s="100"/>
      <c r="S108" s="100"/>
    </row>
    <row r="109" spans="17:19" x14ac:dyDescent="0.35">
      <c r="Q109" s="100"/>
      <c r="R109" s="100"/>
      <c r="S109" s="100"/>
    </row>
    <row r="110" spans="17:19" x14ac:dyDescent="0.35">
      <c r="Q110" s="100"/>
      <c r="R110" s="100"/>
      <c r="S110" s="100"/>
    </row>
    <row r="111" spans="17:19" x14ac:dyDescent="0.35">
      <c r="Q111" s="100"/>
      <c r="R111" s="100"/>
      <c r="S111" s="100"/>
    </row>
    <row r="112" spans="17:19" x14ac:dyDescent="0.35">
      <c r="Q112" s="100"/>
      <c r="R112" s="100"/>
      <c r="S112" s="100"/>
    </row>
    <row r="113" spans="17:19" x14ac:dyDescent="0.35">
      <c r="Q113" s="100"/>
      <c r="R113" s="100"/>
      <c r="S113" s="100"/>
    </row>
    <row r="114" spans="17:19" x14ac:dyDescent="0.35">
      <c r="Q114" s="100"/>
      <c r="R114" s="100"/>
      <c r="S114" s="100"/>
    </row>
    <row r="115" spans="17:19" x14ac:dyDescent="0.35">
      <c r="Q115" s="100"/>
      <c r="R115" s="100"/>
      <c r="S115" s="100"/>
    </row>
    <row r="116" spans="17:19" x14ac:dyDescent="0.35">
      <c r="Q116" s="100"/>
      <c r="R116" s="100"/>
      <c r="S116" s="100"/>
    </row>
    <row r="117" spans="17:19" x14ac:dyDescent="0.35">
      <c r="Q117" s="100"/>
      <c r="R117" s="100"/>
      <c r="S117" s="100"/>
    </row>
    <row r="118" spans="17:19" x14ac:dyDescent="0.35">
      <c r="Q118" s="100"/>
      <c r="R118" s="100"/>
      <c r="S118" s="100"/>
    </row>
    <row r="119" spans="17:19" x14ac:dyDescent="0.35">
      <c r="Q119" s="100"/>
      <c r="R119" s="100"/>
      <c r="S119" s="100"/>
    </row>
    <row r="120" spans="17:19" x14ac:dyDescent="0.35">
      <c r="Q120" s="100"/>
      <c r="R120" s="100"/>
      <c r="S120" s="100"/>
    </row>
    <row r="121" spans="17:19" x14ac:dyDescent="0.35">
      <c r="Q121" s="100"/>
      <c r="R121" s="100"/>
      <c r="S121" s="100"/>
    </row>
    <row r="122" spans="17:19" x14ac:dyDescent="0.35">
      <c r="Q122" s="100"/>
      <c r="R122" s="100"/>
      <c r="S122" s="100"/>
    </row>
    <row r="123" spans="17:19" x14ac:dyDescent="0.35">
      <c r="Q123" s="100"/>
      <c r="R123" s="100"/>
      <c r="S123" s="100"/>
    </row>
    <row r="124" spans="17:19" x14ac:dyDescent="0.35">
      <c r="Q124" s="100"/>
      <c r="R124" s="100"/>
      <c r="S124" s="100"/>
    </row>
    <row r="125" spans="17:19" x14ac:dyDescent="0.35">
      <c r="Q125" s="100"/>
      <c r="R125" s="100"/>
      <c r="S125" s="100"/>
    </row>
    <row r="126" spans="17:19" x14ac:dyDescent="0.35">
      <c r="Q126" s="100"/>
      <c r="R126" s="100"/>
      <c r="S126" s="100"/>
    </row>
    <row r="127" spans="17:19" x14ac:dyDescent="0.35">
      <c r="Q127" s="100"/>
      <c r="R127" s="100"/>
      <c r="S127" s="100"/>
    </row>
    <row r="128" spans="17:19" x14ac:dyDescent="0.35">
      <c r="Q128" s="100"/>
      <c r="R128" s="100"/>
      <c r="S128" s="100"/>
    </row>
    <row r="129" spans="17:19" x14ac:dyDescent="0.35">
      <c r="Q129" s="100"/>
      <c r="R129" s="100"/>
      <c r="S129" s="100"/>
    </row>
    <row r="130" spans="17:19" x14ac:dyDescent="0.35">
      <c r="Q130" s="100"/>
      <c r="R130" s="100"/>
      <c r="S130" s="100"/>
    </row>
    <row r="131" spans="17:19" x14ac:dyDescent="0.35">
      <c r="Q131" s="100"/>
      <c r="R131" s="100"/>
      <c r="S131" s="100"/>
    </row>
    <row r="132" spans="17:19" x14ac:dyDescent="0.35">
      <c r="Q132" s="100"/>
      <c r="R132" s="100"/>
      <c r="S132" s="100"/>
    </row>
    <row r="133" spans="17:19" x14ac:dyDescent="0.35">
      <c r="Q133" s="100"/>
      <c r="R133" s="100"/>
      <c r="S133" s="100"/>
    </row>
    <row r="134" spans="17:19" x14ac:dyDescent="0.35">
      <c r="Q134" s="100"/>
      <c r="R134" s="100"/>
      <c r="S134" s="100"/>
    </row>
    <row r="135" spans="17:19" x14ac:dyDescent="0.35">
      <c r="Q135" s="100"/>
      <c r="R135" s="100"/>
      <c r="S135" s="100"/>
    </row>
    <row r="136" spans="17:19" x14ac:dyDescent="0.35">
      <c r="Q136" s="100"/>
      <c r="R136" s="100"/>
      <c r="S136" s="100"/>
    </row>
    <row r="137" spans="17:19" x14ac:dyDescent="0.35">
      <c r="Q137" s="100"/>
      <c r="R137" s="100"/>
      <c r="S137" s="100"/>
    </row>
    <row r="138" spans="17:19" x14ac:dyDescent="0.35">
      <c r="Q138" s="100"/>
      <c r="R138" s="100"/>
      <c r="S138" s="100"/>
    </row>
    <row r="139" spans="17:19" x14ac:dyDescent="0.35">
      <c r="Q139" s="100"/>
      <c r="R139" s="100"/>
      <c r="S139" s="100"/>
    </row>
    <row r="140" spans="17:19" x14ac:dyDescent="0.35">
      <c r="Q140" s="100"/>
      <c r="R140" s="100"/>
      <c r="S140" s="100"/>
    </row>
    <row r="141" spans="17:19" x14ac:dyDescent="0.35">
      <c r="Q141" s="100"/>
      <c r="R141" s="100"/>
      <c r="S141" s="100"/>
    </row>
    <row r="142" spans="17:19" x14ac:dyDescent="0.35">
      <c r="Q142" s="100"/>
      <c r="R142" s="100"/>
      <c r="S142" s="100"/>
    </row>
    <row r="143" spans="17:19" x14ac:dyDescent="0.35">
      <c r="Q143" s="100"/>
      <c r="R143" s="100"/>
      <c r="S143" s="100"/>
    </row>
    <row r="144" spans="17:19" x14ac:dyDescent="0.35">
      <c r="Q144" s="100"/>
      <c r="R144" s="100"/>
      <c r="S144" s="100"/>
    </row>
    <row r="145" spans="17:19" x14ac:dyDescent="0.35">
      <c r="Q145" s="100"/>
      <c r="R145" s="100"/>
      <c r="S145" s="100"/>
    </row>
    <row r="146" spans="17:19" x14ac:dyDescent="0.35">
      <c r="Q146" s="100"/>
      <c r="R146" s="100"/>
      <c r="S146" s="100"/>
    </row>
    <row r="147" spans="17:19" x14ac:dyDescent="0.35">
      <c r="Q147" s="100"/>
      <c r="R147" s="100"/>
      <c r="S147" s="100"/>
    </row>
    <row r="148" spans="17:19" x14ac:dyDescent="0.35">
      <c r="Q148" s="100"/>
      <c r="R148" s="100"/>
      <c r="S148" s="100"/>
    </row>
    <row r="149" spans="17:19" x14ac:dyDescent="0.35">
      <c r="Q149" s="100"/>
      <c r="R149" s="100"/>
      <c r="S149" s="100"/>
    </row>
    <row r="150" spans="17:19" x14ac:dyDescent="0.35">
      <c r="Q150" s="100"/>
      <c r="R150" s="100"/>
      <c r="S150" s="100"/>
    </row>
    <row r="151" spans="17:19" x14ac:dyDescent="0.35">
      <c r="Q151" s="100"/>
      <c r="R151" s="100"/>
      <c r="S151" s="100"/>
    </row>
    <row r="152" spans="17:19" x14ac:dyDescent="0.35">
      <c r="Q152" s="100"/>
      <c r="R152" s="100"/>
      <c r="S152" s="100"/>
    </row>
    <row r="153" spans="17:19" x14ac:dyDescent="0.35">
      <c r="Q153" s="100"/>
      <c r="R153" s="100"/>
      <c r="S153" s="100"/>
    </row>
    <row r="154" spans="17:19" x14ac:dyDescent="0.35">
      <c r="Q154" s="100"/>
      <c r="R154" s="100"/>
      <c r="S154" s="100"/>
    </row>
    <row r="155" spans="17:19" x14ac:dyDescent="0.35">
      <c r="Q155" s="100"/>
      <c r="R155" s="100"/>
      <c r="S155" s="100"/>
    </row>
    <row r="156" spans="17:19" x14ac:dyDescent="0.35">
      <c r="Q156" s="100"/>
      <c r="R156" s="100"/>
      <c r="S156" s="100"/>
    </row>
    <row r="157" spans="17:19" x14ac:dyDescent="0.35">
      <c r="Q157" s="100"/>
      <c r="R157" s="100"/>
      <c r="S157" s="100"/>
    </row>
    <row r="158" spans="17:19" x14ac:dyDescent="0.35">
      <c r="Q158" s="100"/>
      <c r="R158" s="100"/>
      <c r="S158" s="100"/>
    </row>
    <row r="159" spans="17:19" x14ac:dyDescent="0.35">
      <c r="Q159" s="100"/>
      <c r="R159" s="100"/>
      <c r="S159" s="100"/>
    </row>
    <row r="160" spans="17:19" x14ac:dyDescent="0.35">
      <c r="Q160" s="100"/>
      <c r="R160" s="100"/>
      <c r="S160" s="100"/>
    </row>
    <row r="161" spans="17:19" x14ac:dyDescent="0.35">
      <c r="Q161" s="100"/>
      <c r="R161" s="100"/>
      <c r="S161" s="100"/>
    </row>
    <row r="162" spans="17:19" x14ac:dyDescent="0.35">
      <c r="Q162" s="100"/>
      <c r="R162" s="100"/>
      <c r="S162" s="100"/>
    </row>
    <row r="163" spans="17:19" x14ac:dyDescent="0.35">
      <c r="Q163" s="100"/>
      <c r="R163" s="100"/>
      <c r="S163" s="100"/>
    </row>
    <row r="164" spans="17:19" x14ac:dyDescent="0.35">
      <c r="Q164" s="100"/>
      <c r="R164" s="100"/>
      <c r="S164" s="100"/>
    </row>
    <row r="165" spans="17:19" x14ac:dyDescent="0.35">
      <c r="Q165" s="100"/>
      <c r="R165" s="100"/>
      <c r="S165" s="100"/>
    </row>
    <row r="166" spans="17:19" x14ac:dyDescent="0.35">
      <c r="Q166" s="100"/>
      <c r="R166" s="100"/>
      <c r="S166" s="100"/>
    </row>
    <row r="167" spans="17:19" x14ac:dyDescent="0.35">
      <c r="Q167" s="100"/>
      <c r="R167" s="100"/>
      <c r="S167" s="100"/>
    </row>
    <row r="168" spans="17:19" x14ac:dyDescent="0.35">
      <c r="Q168" s="100"/>
      <c r="R168" s="100"/>
      <c r="S168" s="100"/>
    </row>
    <row r="169" spans="17:19" x14ac:dyDescent="0.35">
      <c r="Q169" s="100"/>
      <c r="R169" s="100"/>
      <c r="S169" s="100"/>
    </row>
    <row r="170" spans="17:19" x14ac:dyDescent="0.35">
      <c r="Q170" s="100"/>
      <c r="R170" s="100"/>
      <c r="S170" s="100"/>
    </row>
    <row r="171" spans="17:19" x14ac:dyDescent="0.35">
      <c r="Q171" s="100"/>
      <c r="R171" s="100"/>
      <c r="S171" s="100"/>
    </row>
    <row r="172" spans="17:19" x14ac:dyDescent="0.35">
      <c r="Q172" s="100"/>
      <c r="R172" s="100"/>
      <c r="S172" s="100"/>
    </row>
    <row r="173" spans="17:19" x14ac:dyDescent="0.35">
      <c r="Q173" s="100"/>
      <c r="R173" s="100"/>
      <c r="S173" s="100"/>
    </row>
    <row r="174" spans="17:19" x14ac:dyDescent="0.35">
      <c r="Q174" s="100"/>
      <c r="R174" s="100"/>
      <c r="S174" s="100"/>
    </row>
    <row r="175" spans="17:19" x14ac:dyDescent="0.35">
      <c r="Q175" s="100"/>
      <c r="R175" s="100"/>
      <c r="S175" s="100"/>
    </row>
    <row r="176" spans="17:19" x14ac:dyDescent="0.35">
      <c r="Q176" s="100"/>
      <c r="R176" s="100"/>
      <c r="S176" s="100"/>
    </row>
    <row r="177" spans="17:19" x14ac:dyDescent="0.35">
      <c r="Q177" s="100"/>
      <c r="R177" s="100"/>
      <c r="S177" s="100"/>
    </row>
    <row r="178" spans="17:19" x14ac:dyDescent="0.35">
      <c r="Q178" s="100"/>
      <c r="R178" s="100"/>
      <c r="S178" s="100"/>
    </row>
    <row r="179" spans="17:19" x14ac:dyDescent="0.35">
      <c r="Q179" s="100"/>
      <c r="R179" s="100"/>
      <c r="S179" s="100"/>
    </row>
    <row r="180" spans="17:19" x14ac:dyDescent="0.35">
      <c r="Q180" s="100"/>
      <c r="R180" s="100"/>
      <c r="S180" s="100"/>
    </row>
    <row r="181" spans="17:19" x14ac:dyDescent="0.35">
      <c r="Q181" s="100"/>
      <c r="R181" s="100"/>
      <c r="S181" s="100"/>
    </row>
    <row r="182" spans="17:19" x14ac:dyDescent="0.35">
      <c r="Q182" s="100"/>
      <c r="R182" s="100"/>
      <c r="S182" s="100"/>
    </row>
    <row r="183" spans="17:19" x14ac:dyDescent="0.35">
      <c r="Q183" s="100"/>
      <c r="R183" s="100"/>
      <c r="S183" s="100"/>
    </row>
    <row r="184" spans="17:19" x14ac:dyDescent="0.35">
      <c r="Q184" s="100"/>
      <c r="R184" s="100"/>
      <c r="S184" s="100"/>
    </row>
    <row r="185" spans="17:19" x14ac:dyDescent="0.35">
      <c r="Q185" s="100"/>
      <c r="R185" s="100"/>
      <c r="S185" s="100"/>
    </row>
    <row r="186" spans="17:19" x14ac:dyDescent="0.35">
      <c r="Q186" s="100"/>
      <c r="R186" s="100"/>
      <c r="S186" s="100"/>
    </row>
    <row r="187" spans="17:19" x14ac:dyDescent="0.35">
      <c r="Q187" s="100"/>
      <c r="R187" s="100"/>
      <c r="S187" s="100"/>
    </row>
    <row r="188" spans="17:19" x14ac:dyDescent="0.35">
      <c r="Q188" s="100"/>
      <c r="R188" s="100"/>
      <c r="S188" s="100"/>
    </row>
    <row r="189" spans="17:19" x14ac:dyDescent="0.35">
      <c r="Q189" s="100"/>
      <c r="R189" s="100"/>
      <c r="S189" s="100"/>
    </row>
    <row r="190" spans="17:19" x14ac:dyDescent="0.35">
      <c r="Q190" s="100"/>
      <c r="R190" s="100"/>
      <c r="S190" s="100"/>
    </row>
    <row r="191" spans="17:19" x14ac:dyDescent="0.35">
      <c r="Q191" s="100"/>
      <c r="R191" s="100"/>
      <c r="S191" s="100"/>
    </row>
    <row r="192" spans="17:19" x14ac:dyDescent="0.35">
      <c r="Q192" s="100"/>
      <c r="R192" s="100"/>
      <c r="S192" s="100"/>
    </row>
    <row r="193" spans="3:19" x14ac:dyDescent="0.35">
      <c r="Q193" s="100"/>
      <c r="R193" s="100"/>
      <c r="S193" s="100"/>
    </row>
    <row r="194" spans="3:19" x14ac:dyDescent="0.35">
      <c r="Q194" s="100"/>
      <c r="R194" s="100"/>
      <c r="S194" s="100"/>
    </row>
    <row r="195" spans="3:19" x14ac:dyDescent="0.35">
      <c r="Q195" s="100"/>
      <c r="R195" s="100"/>
      <c r="S195" s="100"/>
    </row>
    <row r="196" spans="3:19" x14ac:dyDescent="0.35">
      <c r="Q196" s="100"/>
      <c r="R196" s="100"/>
      <c r="S196" s="100"/>
    </row>
    <row r="197" spans="3:19" x14ac:dyDescent="0.35">
      <c r="Q197" s="100"/>
      <c r="R197" s="100"/>
      <c r="S197" s="100"/>
    </row>
    <row r="198" spans="3:19" x14ac:dyDescent="0.35">
      <c r="Q198" s="100"/>
      <c r="R198" s="100"/>
      <c r="S198" s="100"/>
    </row>
    <row r="199" spans="3:19" x14ac:dyDescent="0.35">
      <c r="Q199" s="100"/>
      <c r="R199" s="100"/>
      <c r="S199" s="100"/>
    </row>
    <row r="200" spans="3:19" x14ac:dyDescent="0.35">
      <c r="Q200" s="100"/>
      <c r="R200" s="100"/>
      <c r="S200" s="100"/>
    </row>
    <row r="201" spans="3:19" x14ac:dyDescent="0.35">
      <c r="Q201" s="100"/>
      <c r="R201" s="100"/>
      <c r="S201" s="100"/>
    </row>
    <row r="202" spans="3:19" x14ac:dyDescent="0.35">
      <c r="Q202" s="100"/>
      <c r="R202" s="100"/>
      <c r="S202" s="100"/>
    </row>
    <row r="203" spans="3:19" x14ac:dyDescent="0.35">
      <c r="Q203" s="100"/>
      <c r="R203" s="100"/>
      <c r="S203" s="100"/>
    </row>
    <row r="204" spans="3:19" x14ac:dyDescent="0.35">
      <c r="C204" s="100"/>
      <c r="D204" s="100"/>
      <c r="E204" s="100"/>
      <c r="F204" s="100"/>
      <c r="G204" s="100"/>
      <c r="H204" s="100"/>
      <c r="I204" s="100"/>
      <c r="J204" s="100"/>
      <c r="K204" s="100"/>
      <c r="L204" s="100"/>
      <c r="M204" s="100"/>
      <c r="N204" s="100"/>
      <c r="O204" s="100"/>
      <c r="Q204" s="100"/>
      <c r="R204" s="100"/>
      <c r="S204" s="100"/>
    </row>
    <row r="205" spans="3:19" x14ac:dyDescent="0.35">
      <c r="C205" s="100"/>
      <c r="D205" s="100"/>
      <c r="E205" s="100"/>
      <c r="F205" s="100"/>
      <c r="G205" s="100"/>
      <c r="H205" s="100"/>
      <c r="I205" s="100"/>
      <c r="J205" s="100"/>
      <c r="K205" s="100"/>
      <c r="L205" s="100"/>
      <c r="M205" s="100"/>
      <c r="N205" s="100"/>
      <c r="O205" s="100"/>
      <c r="P205" s="100"/>
      <c r="Q205" s="100"/>
      <c r="R205" s="100"/>
      <c r="S205" s="100"/>
    </row>
    <row r="206" spans="3:19" x14ac:dyDescent="0.35">
      <c r="C206" s="100"/>
      <c r="D206" s="100"/>
      <c r="E206" s="100"/>
      <c r="F206" s="100"/>
      <c r="G206" s="100"/>
      <c r="H206" s="100"/>
      <c r="I206" s="100"/>
      <c r="J206" s="100"/>
      <c r="K206" s="100"/>
      <c r="L206" s="100"/>
      <c r="M206" s="100"/>
      <c r="N206" s="100"/>
      <c r="O206" s="100"/>
      <c r="P206" s="100"/>
      <c r="Q206" s="100"/>
      <c r="R206" s="100"/>
      <c r="S206" s="100"/>
    </row>
    <row r="207" spans="3:19" x14ac:dyDescent="0.35">
      <c r="C207" s="100"/>
      <c r="D207" s="100"/>
      <c r="E207" s="100"/>
      <c r="F207" s="100"/>
      <c r="G207" s="100"/>
      <c r="H207" s="100"/>
      <c r="I207" s="100"/>
      <c r="J207" s="100"/>
      <c r="K207" s="100"/>
      <c r="L207" s="100"/>
      <c r="M207" s="100"/>
      <c r="N207" s="100"/>
      <c r="O207" s="100"/>
      <c r="P207" s="100"/>
      <c r="Q207" s="100"/>
      <c r="R207" s="100"/>
      <c r="S207" s="100"/>
    </row>
    <row r="208" spans="3:19" x14ac:dyDescent="0.35">
      <c r="C208" s="100"/>
      <c r="D208" s="100"/>
      <c r="E208" s="100"/>
      <c r="F208" s="100"/>
      <c r="G208" s="100"/>
      <c r="H208" s="100"/>
      <c r="I208" s="100"/>
      <c r="J208" s="100"/>
      <c r="K208" s="100"/>
      <c r="L208" s="100"/>
      <c r="M208" s="100"/>
      <c r="N208" s="100"/>
      <c r="O208" s="100"/>
      <c r="P208" s="100"/>
      <c r="Q208" s="100"/>
      <c r="R208" s="100"/>
      <c r="S208" s="100"/>
    </row>
    <row r="209" spans="3:19" x14ac:dyDescent="0.35">
      <c r="C209" s="100"/>
      <c r="D209" s="100"/>
      <c r="E209" s="100"/>
      <c r="F209" s="100"/>
      <c r="G209" s="100"/>
      <c r="H209" s="100"/>
      <c r="I209" s="100"/>
      <c r="J209" s="100"/>
      <c r="K209" s="100"/>
      <c r="L209" s="100"/>
      <c r="M209" s="100"/>
      <c r="N209" s="100"/>
      <c r="O209" s="100"/>
      <c r="P209" s="100"/>
      <c r="Q209" s="100"/>
      <c r="R209" s="100"/>
      <c r="S209" s="100"/>
    </row>
    <row r="210" spans="3:19" x14ac:dyDescent="0.35">
      <c r="C210" s="100"/>
      <c r="D210" s="100"/>
      <c r="E210" s="100"/>
      <c r="F210" s="100"/>
      <c r="G210" s="100"/>
      <c r="H210" s="100"/>
      <c r="I210" s="100"/>
      <c r="J210" s="100"/>
      <c r="K210" s="100"/>
      <c r="L210" s="100"/>
      <c r="M210" s="100"/>
      <c r="N210" s="100"/>
      <c r="O210" s="100"/>
      <c r="P210" s="100"/>
      <c r="Q210" s="100"/>
      <c r="R210" s="100"/>
      <c r="S210" s="100"/>
    </row>
    <row r="211" spans="3:19" x14ac:dyDescent="0.35">
      <c r="C211" s="100"/>
      <c r="D211" s="100"/>
      <c r="E211" s="100"/>
      <c r="F211" s="100"/>
      <c r="G211" s="100"/>
      <c r="H211" s="100"/>
      <c r="I211" s="100"/>
      <c r="J211" s="100"/>
      <c r="K211" s="100"/>
      <c r="L211" s="100"/>
      <c r="M211" s="100"/>
      <c r="N211" s="100"/>
      <c r="O211" s="100"/>
      <c r="P211" s="100"/>
      <c r="Q211" s="100"/>
      <c r="R211" s="100"/>
      <c r="S211" s="100"/>
    </row>
    <row r="212" spans="3:19" x14ac:dyDescent="0.35">
      <c r="C212" s="100"/>
      <c r="D212" s="100"/>
      <c r="E212" s="100"/>
      <c r="F212" s="100"/>
      <c r="G212" s="100"/>
      <c r="H212" s="100"/>
      <c r="I212" s="100"/>
      <c r="J212" s="100"/>
      <c r="K212" s="100"/>
      <c r="L212" s="100"/>
      <c r="M212" s="100"/>
      <c r="N212" s="100"/>
      <c r="O212" s="100"/>
      <c r="P212" s="100"/>
      <c r="Q212" s="100"/>
      <c r="R212" s="100"/>
      <c r="S212" s="100"/>
    </row>
    <row r="213" spans="3:19" x14ac:dyDescent="0.35">
      <c r="C213" s="100"/>
      <c r="D213" s="100"/>
      <c r="E213" s="100"/>
      <c r="F213" s="100"/>
      <c r="G213" s="100"/>
      <c r="H213" s="100"/>
      <c r="I213" s="100"/>
      <c r="J213" s="100"/>
      <c r="K213" s="100"/>
      <c r="L213" s="100"/>
      <c r="M213" s="100"/>
      <c r="N213" s="100"/>
      <c r="O213" s="100"/>
      <c r="P213" s="100"/>
      <c r="Q213" s="100"/>
      <c r="R213" s="100"/>
      <c r="S213" s="100"/>
    </row>
    <row r="214" spans="3:19" x14ac:dyDescent="0.35">
      <c r="C214" s="100"/>
      <c r="D214" s="100"/>
      <c r="E214" s="100"/>
      <c r="F214" s="100"/>
      <c r="G214" s="100"/>
      <c r="H214" s="100"/>
      <c r="I214" s="100"/>
      <c r="J214" s="100"/>
      <c r="K214" s="100"/>
      <c r="L214" s="100"/>
      <c r="M214" s="100"/>
      <c r="N214" s="100"/>
      <c r="O214" s="100"/>
      <c r="P214" s="100"/>
      <c r="Q214" s="100"/>
      <c r="R214" s="100"/>
      <c r="S214" s="100"/>
    </row>
    <row r="215" spans="3:19" x14ac:dyDescent="0.35">
      <c r="C215" s="100"/>
      <c r="D215" s="100"/>
      <c r="E215" s="100"/>
      <c r="F215" s="100"/>
      <c r="G215" s="100"/>
      <c r="H215" s="100"/>
      <c r="I215" s="100"/>
      <c r="J215" s="100"/>
      <c r="K215" s="100"/>
      <c r="L215" s="100"/>
      <c r="M215" s="100"/>
      <c r="N215" s="100"/>
      <c r="O215" s="100"/>
      <c r="P215" s="100"/>
      <c r="Q215" s="100"/>
      <c r="R215" s="100"/>
      <c r="S215" s="100"/>
    </row>
    <row r="216" spans="3:19" x14ac:dyDescent="0.35">
      <c r="C216" s="100"/>
      <c r="D216" s="100"/>
      <c r="E216" s="100"/>
      <c r="F216" s="100"/>
      <c r="G216" s="100"/>
      <c r="H216" s="100"/>
      <c r="I216" s="100"/>
      <c r="J216" s="100"/>
      <c r="K216" s="100"/>
      <c r="L216" s="100"/>
      <c r="M216" s="100"/>
      <c r="N216" s="100"/>
      <c r="O216" s="100"/>
      <c r="P216" s="100"/>
      <c r="Q216" s="100"/>
      <c r="R216" s="100"/>
      <c r="S216" s="100"/>
    </row>
    <row r="217" spans="3:19" x14ac:dyDescent="0.35">
      <c r="C217" s="100"/>
      <c r="D217" s="100"/>
      <c r="E217" s="100"/>
      <c r="F217" s="100"/>
      <c r="G217" s="100"/>
      <c r="H217" s="100"/>
      <c r="I217" s="100"/>
      <c r="J217" s="100"/>
      <c r="K217" s="100"/>
      <c r="L217" s="100"/>
      <c r="M217" s="100"/>
      <c r="N217" s="100"/>
      <c r="O217" s="100"/>
      <c r="P217" s="100"/>
      <c r="Q217" s="100"/>
      <c r="R217" s="100"/>
      <c r="S217" s="100"/>
    </row>
    <row r="218" spans="3:19" x14ac:dyDescent="0.35">
      <c r="C218" s="100"/>
      <c r="D218" s="100"/>
      <c r="E218" s="100"/>
      <c r="F218" s="100"/>
      <c r="G218" s="100"/>
      <c r="H218" s="100"/>
      <c r="I218" s="100"/>
      <c r="J218" s="100"/>
      <c r="K218" s="100"/>
      <c r="L218" s="100"/>
      <c r="M218" s="100"/>
      <c r="N218" s="100"/>
      <c r="O218" s="100"/>
      <c r="P218" s="100"/>
      <c r="Q218" s="100"/>
      <c r="R218" s="100"/>
      <c r="S218" s="100"/>
    </row>
    <row r="219" spans="3:19" x14ac:dyDescent="0.35">
      <c r="C219" s="100"/>
      <c r="D219" s="100"/>
      <c r="E219" s="100"/>
      <c r="F219" s="100"/>
      <c r="G219" s="100"/>
      <c r="H219" s="100"/>
      <c r="I219" s="100"/>
      <c r="J219" s="100"/>
      <c r="K219" s="100"/>
      <c r="L219" s="100"/>
      <c r="M219" s="100"/>
      <c r="N219" s="100"/>
      <c r="O219" s="100"/>
      <c r="P219" s="100"/>
      <c r="Q219" s="100"/>
      <c r="R219" s="100"/>
      <c r="S219" s="100"/>
    </row>
    <row r="220" spans="3:19" x14ac:dyDescent="0.35">
      <c r="C220" s="100"/>
      <c r="D220" s="100"/>
      <c r="E220" s="100"/>
      <c r="F220" s="100"/>
      <c r="G220" s="100"/>
      <c r="H220" s="100"/>
      <c r="I220" s="100"/>
      <c r="J220" s="100"/>
      <c r="K220" s="100"/>
      <c r="L220" s="100"/>
      <c r="M220" s="100"/>
      <c r="N220" s="100"/>
      <c r="O220" s="100"/>
      <c r="P220" s="100"/>
      <c r="Q220" s="100"/>
      <c r="R220" s="100"/>
      <c r="S220" s="100"/>
    </row>
    <row r="221" spans="3:19" x14ac:dyDescent="0.35">
      <c r="C221" s="100"/>
      <c r="D221" s="100"/>
      <c r="E221" s="100"/>
      <c r="F221" s="100"/>
      <c r="G221" s="100"/>
      <c r="H221" s="100"/>
      <c r="I221" s="100"/>
      <c r="J221" s="100"/>
      <c r="K221" s="100"/>
      <c r="L221" s="100"/>
      <c r="M221" s="100"/>
      <c r="N221" s="100"/>
      <c r="O221" s="100"/>
      <c r="P221" s="100"/>
      <c r="Q221" s="100"/>
      <c r="R221" s="100"/>
      <c r="S221" s="100"/>
    </row>
    <row r="222" spans="3:19" x14ac:dyDescent="0.35">
      <c r="C222" s="100"/>
      <c r="D222" s="100"/>
      <c r="E222" s="100"/>
      <c r="F222" s="100"/>
      <c r="G222" s="100"/>
      <c r="H222" s="100"/>
      <c r="I222" s="100"/>
      <c r="J222" s="100"/>
      <c r="K222" s="100"/>
      <c r="L222" s="100"/>
      <c r="M222" s="100"/>
      <c r="N222" s="100"/>
      <c r="O222" s="100"/>
      <c r="P222" s="100"/>
      <c r="Q222" s="100"/>
      <c r="R222" s="100"/>
      <c r="S222" s="100"/>
    </row>
    <row r="223" spans="3:19" x14ac:dyDescent="0.35">
      <c r="C223" s="100"/>
      <c r="D223" s="100"/>
      <c r="E223" s="100"/>
      <c r="F223" s="100"/>
      <c r="G223" s="100"/>
      <c r="H223" s="100"/>
      <c r="I223" s="100"/>
      <c r="J223" s="100"/>
      <c r="K223" s="100"/>
      <c r="L223" s="100"/>
      <c r="M223" s="100"/>
      <c r="N223" s="100"/>
      <c r="O223" s="100"/>
      <c r="P223" s="100"/>
      <c r="Q223" s="100"/>
      <c r="R223" s="100"/>
      <c r="S223" s="100"/>
    </row>
    <row r="224" spans="3:19" x14ac:dyDescent="0.35">
      <c r="C224" s="100"/>
      <c r="D224" s="100"/>
      <c r="E224" s="100"/>
      <c r="F224" s="100"/>
      <c r="G224" s="100"/>
      <c r="H224" s="100"/>
      <c r="I224" s="100"/>
      <c r="J224" s="100"/>
      <c r="K224" s="100"/>
      <c r="L224" s="100"/>
      <c r="M224" s="100"/>
      <c r="N224" s="100"/>
      <c r="O224" s="100"/>
      <c r="P224" s="100"/>
      <c r="Q224" s="100"/>
      <c r="R224" s="100"/>
      <c r="S224" s="100"/>
    </row>
    <row r="225" spans="3:19" x14ac:dyDescent="0.35">
      <c r="C225" s="100"/>
      <c r="D225" s="100"/>
      <c r="E225" s="100"/>
      <c r="F225" s="100"/>
      <c r="G225" s="100"/>
      <c r="H225" s="100"/>
      <c r="I225" s="100"/>
      <c r="J225" s="100"/>
      <c r="K225" s="100"/>
      <c r="L225" s="100"/>
      <c r="M225" s="100"/>
      <c r="N225" s="100"/>
      <c r="O225" s="100"/>
      <c r="P225" s="100"/>
      <c r="Q225" s="100"/>
      <c r="R225" s="100"/>
      <c r="S225" s="100"/>
    </row>
    <row r="226" spans="3:19" x14ac:dyDescent="0.35">
      <c r="C226" s="100"/>
      <c r="D226" s="100"/>
      <c r="E226" s="100"/>
      <c r="F226" s="100"/>
      <c r="G226" s="100"/>
      <c r="H226" s="100"/>
      <c r="I226" s="100"/>
      <c r="J226" s="100"/>
      <c r="K226" s="100"/>
      <c r="L226" s="100"/>
      <c r="M226" s="100"/>
      <c r="N226" s="100"/>
      <c r="O226" s="100"/>
      <c r="P226" s="100"/>
      <c r="Q226" s="100"/>
      <c r="R226" s="100"/>
      <c r="S226" s="100"/>
    </row>
    <row r="227" spans="3:19" x14ac:dyDescent="0.35">
      <c r="C227" s="100"/>
      <c r="D227" s="100"/>
      <c r="E227" s="100"/>
      <c r="F227" s="100"/>
      <c r="G227" s="100"/>
      <c r="H227" s="100"/>
      <c r="I227" s="100"/>
      <c r="J227" s="100"/>
      <c r="K227" s="100"/>
      <c r="L227" s="100"/>
      <c r="M227" s="100"/>
      <c r="N227" s="100"/>
      <c r="O227" s="100"/>
      <c r="P227" s="100"/>
      <c r="Q227" s="100"/>
      <c r="R227" s="100"/>
      <c r="S227" s="100"/>
    </row>
    <row r="228" spans="3:19" x14ac:dyDescent="0.35">
      <c r="C228" s="100"/>
      <c r="D228" s="100"/>
      <c r="E228" s="100"/>
      <c r="F228" s="100"/>
      <c r="G228" s="100"/>
      <c r="H228" s="100"/>
      <c r="I228" s="100"/>
      <c r="J228" s="100"/>
      <c r="K228" s="100"/>
      <c r="L228" s="100"/>
      <c r="M228" s="100"/>
      <c r="N228" s="100"/>
      <c r="O228" s="100"/>
      <c r="P228" s="100"/>
      <c r="Q228" s="100"/>
      <c r="R228" s="100"/>
      <c r="S228" s="100"/>
    </row>
    <row r="229" spans="3:19" x14ac:dyDescent="0.35">
      <c r="C229" s="100"/>
      <c r="D229" s="100"/>
      <c r="E229" s="100"/>
      <c r="F229" s="100"/>
      <c r="G229" s="100"/>
      <c r="H229" s="100"/>
      <c r="I229" s="100"/>
      <c r="J229" s="100"/>
      <c r="K229" s="100"/>
      <c r="L229" s="100"/>
      <c r="M229" s="100"/>
      <c r="N229" s="100"/>
      <c r="O229" s="100"/>
      <c r="P229" s="100"/>
      <c r="Q229" s="100"/>
      <c r="R229" s="100"/>
      <c r="S229" s="100"/>
    </row>
    <row r="230" spans="3:19" x14ac:dyDescent="0.35">
      <c r="C230" s="100"/>
      <c r="D230" s="100"/>
      <c r="E230" s="100"/>
      <c r="F230" s="100"/>
      <c r="G230" s="100"/>
      <c r="H230" s="100"/>
      <c r="I230" s="100"/>
      <c r="J230" s="100"/>
      <c r="K230" s="100"/>
      <c r="L230" s="100"/>
      <c r="M230" s="100"/>
      <c r="N230" s="100"/>
      <c r="O230" s="100"/>
      <c r="P230" s="100"/>
      <c r="Q230" s="100"/>
      <c r="R230" s="100"/>
      <c r="S230" s="100"/>
    </row>
    <row r="231" spans="3:19" x14ac:dyDescent="0.35">
      <c r="C231" s="100"/>
      <c r="D231" s="100"/>
      <c r="E231" s="100"/>
      <c r="F231" s="100"/>
      <c r="G231" s="100"/>
      <c r="H231" s="100"/>
      <c r="I231" s="100"/>
      <c r="J231" s="100"/>
      <c r="K231" s="100"/>
      <c r="L231" s="100"/>
      <c r="M231" s="100"/>
      <c r="N231" s="100"/>
      <c r="O231" s="100"/>
      <c r="P231" s="100"/>
      <c r="Q231" s="100"/>
      <c r="R231" s="100"/>
      <c r="S231" s="100"/>
    </row>
    <row r="232" spans="3:19" x14ac:dyDescent="0.35">
      <c r="C232" s="100"/>
      <c r="D232" s="100"/>
      <c r="E232" s="100"/>
      <c r="F232" s="100"/>
      <c r="G232" s="100"/>
      <c r="H232" s="100"/>
      <c r="I232" s="100"/>
      <c r="J232" s="100"/>
      <c r="K232" s="100"/>
      <c r="L232" s="100"/>
      <c r="M232" s="100"/>
      <c r="N232" s="100"/>
      <c r="O232" s="100"/>
      <c r="P232" s="100"/>
      <c r="Q232" s="100"/>
      <c r="R232" s="100"/>
      <c r="S232" s="100"/>
    </row>
    <row r="233" spans="3:19" x14ac:dyDescent="0.35">
      <c r="C233" s="100"/>
      <c r="D233" s="100"/>
      <c r="E233" s="100"/>
      <c r="F233" s="100"/>
      <c r="G233" s="100"/>
      <c r="H233" s="100"/>
      <c r="I233" s="100"/>
      <c r="J233" s="100"/>
      <c r="K233" s="100"/>
      <c r="L233" s="100"/>
      <c r="M233" s="100"/>
      <c r="N233" s="100"/>
      <c r="O233" s="100"/>
      <c r="P233" s="100"/>
      <c r="Q233" s="100"/>
      <c r="R233" s="100"/>
      <c r="S233" s="100"/>
    </row>
    <row r="234" spans="3:19" x14ac:dyDescent="0.35">
      <c r="C234" s="100"/>
      <c r="D234" s="100"/>
      <c r="E234" s="100"/>
      <c r="F234" s="100"/>
      <c r="G234" s="100"/>
      <c r="H234" s="100"/>
      <c r="I234" s="100"/>
      <c r="J234" s="100"/>
      <c r="K234" s="100"/>
      <c r="L234" s="100"/>
      <c r="M234" s="100"/>
      <c r="N234" s="100"/>
      <c r="O234" s="100"/>
      <c r="P234" s="100"/>
      <c r="Q234" s="100"/>
      <c r="R234" s="100"/>
      <c r="S234" s="100"/>
    </row>
    <row r="235" spans="3:19" x14ac:dyDescent="0.35">
      <c r="C235" s="100"/>
      <c r="D235" s="100"/>
      <c r="E235" s="100"/>
      <c r="F235" s="100"/>
      <c r="G235" s="100"/>
      <c r="H235" s="100"/>
      <c r="I235" s="100"/>
      <c r="J235" s="100"/>
      <c r="K235" s="100"/>
      <c r="L235" s="100"/>
      <c r="M235" s="100"/>
      <c r="N235" s="100"/>
      <c r="O235" s="100"/>
      <c r="P235" s="100"/>
      <c r="Q235" s="100"/>
      <c r="R235" s="100"/>
      <c r="S235" s="100"/>
    </row>
    <row r="236" spans="3:19" x14ac:dyDescent="0.35">
      <c r="C236" s="100"/>
      <c r="D236" s="100"/>
      <c r="E236" s="100"/>
      <c r="F236" s="100"/>
      <c r="G236" s="100"/>
      <c r="H236" s="100"/>
      <c r="I236" s="100"/>
      <c r="J236" s="100"/>
      <c r="K236" s="100"/>
      <c r="L236" s="100"/>
      <c r="M236" s="100"/>
      <c r="N236" s="100"/>
      <c r="O236" s="100"/>
      <c r="P236" s="100"/>
      <c r="Q236" s="100"/>
      <c r="R236" s="100"/>
      <c r="S236" s="100"/>
    </row>
    <row r="237" spans="3:19" x14ac:dyDescent="0.35">
      <c r="C237" s="100"/>
      <c r="D237" s="100"/>
      <c r="E237" s="100"/>
      <c r="F237" s="100"/>
      <c r="G237" s="100"/>
      <c r="H237" s="100"/>
      <c r="I237" s="100"/>
      <c r="J237" s="100"/>
      <c r="K237" s="100"/>
      <c r="L237" s="100"/>
      <c r="M237" s="100"/>
      <c r="N237" s="100"/>
      <c r="O237" s="100"/>
      <c r="P237" s="100"/>
      <c r="Q237" s="100"/>
      <c r="R237" s="100"/>
      <c r="S237" s="100"/>
    </row>
    <row r="238" spans="3:19" x14ac:dyDescent="0.35">
      <c r="C238" s="100"/>
      <c r="D238" s="100"/>
      <c r="E238" s="100"/>
      <c r="F238" s="100"/>
      <c r="G238" s="100"/>
      <c r="H238" s="100"/>
      <c r="I238" s="100"/>
      <c r="J238" s="100"/>
      <c r="K238" s="100"/>
      <c r="L238" s="100"/>
      <c r="M238" s="100"/>
      <c r="N238" s="100"/>
      <c r="O238" s="100"/>
      <c r="P238" s="100"/>
      <c r="Q238" s="100"/>
      <c r="R238" s="100"/>
      <c r="S238" s="100"/>
    </row>
    <row r="239" spans="3:19" x14ac:dyDescent="0.35">
      <c r="C239" s="100"/>
      <c r="D239" s="100"/>
      <c r="E239" s="100"/>
      <c r="F239" s="100"/>
      <c r="G239" s="100"/>
      <c r="H239" s="100"/>
      <c r="I239" s="100"/>
      <c r="J239" s="100"/>
      <c r="K239" s="100"/>
      <c r="L239" s="100"/>
      <c r="M239" s="100"/>
      <c r="N239" s="100"/>
      <c r="O239" s="100"/>
      <c r="P239" s="100"/>
      <c r="Q239" s="100"/>
      <c r="R239" s="100"/>
      <c r="S239" s="100"/>
    </row>
    <row r="240" spans="3:19" x14ac:dyDescent="0.35">
      <c r="C240" s="100"/>
      <c r="D240" s="100"/>
      <c r="E240" s="100"/>
      <c r="F240" s="100"/>
      <c r="G240" s="100"/>
      <c r="H240" s="100"/>
      <c r="I240" s="100"/>
      <c r="J240" s="100"/>
      <c r="K240" s="100"/>
      <c r="L240" s="100"/>
      <c r="M240" s="100"/>
      <c r="N240" s="100"/>
      <c r="O240" s="100"/>
      <c r="P240" s="100"/>
      <c r="Q240" s="100"/>
      <c r="R240" s="100"/>
      <c r="S240" s="100"/>
    </row>
    <row r="241" spans="3:19" x14ac:dyDescent="0.35">
      <c r="C241" s="100"/>
      <c r="D241" s="100"/>
      <c r="E241" s="100"/>
      <c r="F241" s="100"/>
      <c r="G241" s="100"/>
      <c r="H241" s="100"/>
      <c r="I241" s="100"/>
      <c r="J241" s="100"/>
      <c r="K241" s="100"/>
      <c r="L241" s="100"/>
      <c r="M241" s="100"/>
      <c r="N241" s="100"/>
      <c r="O241" s="100"/>
      <c r="P241" s="100"/>
      <c r="Q241" s="100"/>
      <c r="R241" s="100"/>
      <c r="S241" s="100"/>
    </row>
    <row r="242" spans="3:19" x14ac:dyDescent="0.35">
      <c r="C242" s="100"/>
      <c r="D242" s="100"/>
      <c r="E242" s="100"/>
      <c r="F242" s="100"/>
      <c r="G242" s="100"/>
      <c r="H242" s="100"/>
      <c r="I242" s="100"/>
      <c r="J242" s="100"/>
      <c r="K242" s="100"/>
      <c r="L242" s="100"/>
      <c r="M242" s="100"/>
      <c r="N242" s="100"/>
      <c r="O242" s="100"/>
      <c r="P242" s="100"/>
      <c r="Q242" s="100"/>
      <c r="R242" s="100"/>
      <c r="S242" s="100"/>
    </row>
    <row r="243" spans="3:19" x14ac:dyDescent="0.35">
      <c r="C243" s="100"/>
      <c r="D243" s="100"/>
      <c r="E243" s="100"/>
      <c r="F243" s="100"/>
      <c r="G243" s="100"/>
      <c r="H243" s="100"/>
      <c r="I243" s="100"/>
      <c r="J243" s="100"/>
      <c r="K243" s="100"/>
      <c r="L243" s="100"/>
      <c r="M243" s="100"/>
      <c r="N243" s="100"/>
      <c r="O243" s="100"/>
      <c r="P243" s="100"/>
      <c r="Q243" s="100"/>
      <c r="R243" s="100"/>
      <c r="S243" s="100"/>
    </row>
    <row r="244" spans="3:19" x14ac:dyDescent="0.35">
      <c r="C244" s="100"/>
      <c r="D244" s="100"/>
      <c r="E244" s="100"/>
      <c r="F244" s="100"/>
      <c r="G244" s="100"/>
      <c r="H244" s="100"/>
      <c r="I244" s="100"/>
      <c r="J244" s="100"/>
      <c r="K244" s="100"/>
      <c r="L244" s="100"/>
      <c r="M244" s="100"/>
      <c r="N244" s="100"/>
      <c r="O244" s="100"/>
      <c r="P244" s="100"/>
      <c r="Q244" s="100"/>
      <c r="R244" s="100"/>
      <c r="S244" s="100"/>
    </row>
    <row r="245" spans="3:19" x14ac:dyDescent="0.35">
      <c r="C245" s="100"/>
      <c r="D245" s="100"/>
      <c r="E245" s="100"/>
      <c r="F245" s="100"/>
      <c r="G245" s="100"/>
      <c r="H245" s="100"/>
      <c r="I245" s="100"/>
      <c r="J245" s="100"/>
      <c r="K245" s="100"/>
      <c r="L245" s="100"/>
      <c r="M245" s="100"/>
      <c r="N245" s="100"/>
      <c r="O245" s="100"/>
      <c r="P245" s="100"/>
      <c r="Q245" s="100"/>
      <c r="R245" s="100"/>
      <c r="S245" s="100"/>
    </row>
    <row r="246" spans="3:19" x14ac:dyDescent="0.35">
      <c r="C246" s="100"/>
      <c r="D246" s="100"/>
      <c r="E246" s="100"/>
      <c r="F246" s="100"/>
      <c r="G246" s="100"/>
      <c r="H246" s="100"/>
      <c r="I246" s="100"/>
      <c r="J246" s="100"/>
      <c r="K246" s="100"/>
      <c r="L246" s="100"/>
      <c r="M246" s="100"/>
      <c r="N246" s="100"/>
      <c r="O246" s="100"/>
      <c r="P246" s="100"/>
      <c r="Q246" s="100"/>
      <c r="R246" s="100"/>
      <c r="S246" s="100"/>
    </row>
    <row r="247" spans="3:19" x14ac:dyDescent="0.35">
      <c r="C247" s="100"/>
      <c r="D247" s="100"/>
      <c r="E247" s="100"/>
      <c r="F247" s="100"/>
      <c r="G247" s="100"/>
      <c r="H247" s="100"/>
      <c r="I247" s="100"/>
      <c r="J247" s="100"/>
      <c r="K247" s="100"/>
      <c r="L247" s="100"/>
      <c r="M247" s="100"/>
      <c r="N247" s="100"/>
      <c r="O247" s="100"/>
      <c r="P247" s="100"/>
      <c r="Q247" s="100"/>
      <c r="R247" s="100"/>
      <c r="S247" s="100"/>
    </row>
    <row r="248" spans="3:19" x14ac:dyDescent="0.35">
      <c r="C248" s="100"/>
      <c r="D248" s="100"/>
      <c r="E248" s="100"/>
      <c r="F248" s="100"/>
      <c r="G248" s="100"/>
      <c r="H248" s="100"/>
      <c r="I248" s="100"/>
      <c r="J248" s="100"/>
      <c r="K248" s="100"/>
      <c r="L248" s="100"/>
      <c r="M248" s="100"/>
      <c r="N248" s="100"/>
      <c r="O248" s="100"/>
      <c r="P248" s="100"/>
      <c r="Q248" s="100"/>
      <c r="R248" s="100"/>
      <c r="S248" s="100"/>
    </row>
    <row r="249" spans="3:19" x14ac:dyDescent="0.35">
      <c r="C249" s="100"/>
      <c r="D249" s="100"/>
      <c r="E249" s="100"/>
      <c r="F249" s="100"/>
      <c r="G249" s="100"/>
      <c r="H249" s="100"/>
      <c r="I249" s="100"/>
      <c r="J249" s="100"/>
      <c r="K249" s="100"/>
      <c r="L249" s="100"/>
      <c r="M249" s="100"/>
      <c r="N249" s="100"/>
      <c r="O249" s="100"/>
      <c r="P249" s="100"/>
      <c r="Q249" s="100"/>
      <c r="R249" s="100"/>
      <c r="S249" s="100"/>
    </row>
    <row r="250" spans="3:19" x14ac:dyDescent="0.35">
      <c r="C250" s="100"/>
      <c r="D250" s="100"/>
      <c r="E250" s="100"/>
      <c r="F250" s="100"/>
      <c r="G250" s="100"/>
      <c r="H250" s="100"/>
      <c r="I250" s="100"/>
      <c r="J250" s="100"/>
      <c r="K250" s="100"/>
      <c r="L250" s="100"/>
      <c r="M250" s="100"/>
      <c r="N250" s="100"/>
      <c r="O250" s="100"/>
      <c r="P250" s="100"/>
      <c r="Q250" s="100"/>
      <c r="R250" s="100"/>
      <c r="S250" s="100"/>
    </row>
    <row r="251" spans="3:19" x14ac:dyDescent="0.35">
      <c r="C251" s="100"/>
      <c r="D251" s="100"/>
      <c r="E251" s="100"/>
      <c r="F251" s="100"/>
      <c r="G251" s="100"/>
      <c r="H251" s="100"/>
      <c r="I251" s="100"/>
      <c r="J251" s="100"/>
      <c r="K251" s="100"/>
      <c r="L251" s="100"/>
      <c r="M251" s="100"/>
      <c r="N251" s="100"/>
      <c r="O251" s="100"/>
      <c r="P251" s="100"/>
      <c r="Q251" s="100"/>
      <c r="R251" s="100"/>
      <c r="S251" s="100"/>
    </row>
    <row r="252" spans="3:19" x14ac:dyDescent="0.35">
      <c r="C252" s="100"/>
      <c r="D252" s="100"/>
      <c r="E252" s="100"/>
      <c r="F252" s="100"/>
      <c r="G252" s="100"/>
      <c r="H252" s="100"/>
      <c r="I252" s="100"/>
      <c r="J252" s="100"/>
      <c r="K252" s="100"/>
      <c r="L252" s="100"/>
      <c r="M252" s="100"/>
      <c r="N252" s="100"/>
      <c r="O252" s="100"/>
      <c r="P252" s="100"/>
      <c r="Q252" s="100"/>
      <c r="R252" s="100"/>
      <c r="S252" s="100"/>
    </row>
    <row r="253" spans="3:19" x14ac:dyDescent="0.35">
      <c r="C253" s="100"/>
      <c r="D253" s="100"/>
      <c r="E253" s="100"/>
      <c r="F253" s="100"/>
      <c r="G253" s="100"/>
      <c r="H253" s="100"/>
      <c r="I253" s="100"/>
      <c r="J253" s="100"/>
      <c r="K253" s="100"/>
      <c r="L253" s="100"/>
      <c r="M253" s="100"/>
      <c r="N253" s="100"/>
      <c r="O253" s="100"/>
      <c r="P253" s="100"/>
      <c r="Q253" s="100"/>
      <c r="R253" s="100"/>
      <c r="S253" s="100"/>
    </row>
    <row r="254" spans="3:19" x14ac:dyDescent="0.35">
      <c r="C254" s="100"/>
      <c r="D254" s="100"/>
      <c r="E254" s="100"/>
      <c r="F254" s="100"/>
      <c r="G254" s="100"/>
      <c r="H254" s="100"/>
      <c r="I254" s="100"/>
      <c r="J254" s="100"/>
      <c r="K254" s="100"/>
      <c r="L254" s="100"/>
      <c r="M254" s="100"/>
      <c r="N254" s="100"/>
      <c r="O254" s="100"/>
      <c r="P254" s="100"/>
      <c r="Q254" s="100"/>
      <c r="R254" s="100"/>
      <c r="S254" s="100"/>
    </row>
    <row r="255" spans="3:19" x14ac:dyDescent="0.35">
      <c r="C255" s="100"/>
      <c r="D255" s="100"/>
      <c r="E255" s="100"/>
      <c r="F255" s="100"/>
      <c r="G255" s="100"/>
      <c r="H255" s="100"/>
      <c r="I255" s="100"/>
      <c r="J255" s="100"/>
      <c r="K255" s="100"/>
      <c r="L255" s="100"/>
      <c r="M255" s="100"/>
      <c r="N255" s="100"/>
      <c r="O255" s="100"/>
      <c r="P255" s="100"/>
      <c r="Q255" s="100"/>
      <c r="R255" s="100"/>
      <c r="S255" s="100"/>
    </row>
    <row r="256" spans="3:19" x14ac:dyDescent="0.35">
      <c r="C256" s="100"/>
      <c r="D256" s="100"/>
      <c r="E256" s="100"/>
      <c r="F256" s="100"/>
      <c r="G256" s="100"/>
      <c r="H256" s="100"/>
      <c r="I256" s="100"/>
      <c r="J256" s="100"/>
      <c r="K256" s="100"/>
      <c r="L256" s="100"/>
      <c r="M256" s="100"/>
      <c r="N256" s="100"/>
      <c r="O256" s="100"/>
      <c r="P256" s="100"/>
      <c r="Q256" s="100"/>
      <c r="R256" s="100"/>
      <c r="S256" s="100"/>
    </row>
    <row r="257" spans="3:19" x14ac:dyDescent="0.35">
      <c r="C257" s="100"/>
      <c r="D257" s="100"/>
      <c r="E257" s="100"/>
      <c r="F257" s="100"/>
      <c r="G257" s="100"/>
      <c r="H257" s="100"/>
      <c r="I257" s="100"/>
      <c r="J257" s="100"/>
      <c r="K257" s="100"/>
      <c r="L257" s="100"/>
      <c r="M257" s="100"/>
      <c r="N257" s="100"/>
      <c r="O257" s="100"/>
      <c r="P257" s="100"/>
      <c r="Q257" s="100"/>
      <c r="R257" s="100"/>
      <c r="S257" s="100"/>
    </row>
    <row r="258" spans="3:19" x14ac:dyDescent="0.35">
      <c r="C258" s="100"/>
      <c r="D258" s="100"/>
      <c r="E258" s="100"/>
      <c r="F258" s="100"/>
      <c r="G258" s="100"/>
      <c r="H258" s="100"/>
      <c r="I258" s="100"/>
      <c r="J258" s="100"/>
      <c r="K258" s="100"/>
      <c r="L258" s="100"/>
      <c r="M258" s="100"/>
      <c r="N258" s="100"/>
      <c r="O258" s="100"/>
      <c r="P258" s="100"/>
      <c r="Q258" s="100"/>
      <c r="R258" s="100"/>
      <c r="S258" s="100"/>
    </row>
    <row r="259" spans="3:19" x14ac:dyDescent="0.35">
      <c r="C259" s="100"/>
      <c r="D259" s="100"/>
      <c r="E259" s="100"/>
      <c r="F259" s="100"/>
      <c r="G259" s="100"/>
      <c r="H259" s="100"/>
      <c r="I259" s="100"/>
      <c r="J259" s="100"/>
      <c r="K259" s="100"/>
      <c r="L259" s="100"/>
      <c r="M259" s="100"/>
      <c r="N259" s="100"/>
      <c r="O259" s="100"/>
      <c r="P259" s="100"/>
      <c r="Q259" s="100"/>
      <c r="R259" s="100"/>
      <c r="S259" s="100"/>
    </row>
    <row r="260" spans="3:19" x14ac:dyDescent="0.35">
      <c r="P260" s="100"/>
      <c r="Q260" s="100"/>
      <c r="R260" s="100"/>
      <c r="S260" s="100"/>
    </row>
  </sheetData>
  <printOptions horizontalCentered="1"/>
  <pageMargins left="0.75" right="0.75" top="0.51" bottom="0.49" header="0.5" footer="0.5"/>
  <pageSetup scale="51"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U344"/>
  <sheetViews>
    <sheetView workbookViewId="0"/>
  </sheetViews>
  <sheetFormatPr defaultColWidth="9.296875" defaultRowHeight="15.5" x14ac:dyDescent="0.35"/>
  <cols>
    <col min="1" max="1" width="9" style="1" customWidth="1"/>
    <col min="2" max="2" width="2.09765625" style="1" customWidth="1"/>
    <col min="3" max="3" width="41.69921875" style="1" customWidth="1"/>
    <col min="4" max="4" width="31.09765625" style="1" customWidth="1"/>
    <col min="5" max="5" width="23" style="1" customWidth="1"/>
    <col min="6" max="6" width="15" style="1" customWidth="1"/>
    <col min="7" max="7" width="20.69921875" style="1" customWidth="1"/>
    <col min="8" max="8" width="18.3984375" style="1" customWidth="1"/>
    <col min="9" max="9" width="8.69921875" style="1" customWidth="1"/>
    <col min="10" max="10" width="23" style="1" customWidth="1"/>
    <col min="11" max="11" width="15.3984375" style="1" customWidth="1"/>
    <col min="12" max="12" width="11.69921875" style="1" customWidth="1"/>
    <col min="13" max="13" width="2.69921875" style="1" customWidth="1"/>
    <col min="14" max="14" width="41" style="1" customWidth="1"/>
    <col min="15" max="15" width="15.69921875" style="1" customWidth="1"/>
    <col min="16" max="16" width="23.3984375" style="1" customWidth="1"/>
    <col min="17" max="17" width="20.3984375" style="1" customWidth="1"/>
    <col min="18" max="18" width="20.69921875" style="1" customWidth="1"/>
    <col min="19" max="19" width="23.69921875" style="1" bestFit="1" customWidth="1"/>
    <col min="20" max="20" width="22.09765625" style="1" bestFit="1" customWidth="1"/>
    <col min="21" max="21" width="23" style="1" bestFit="1" customWidth="1"/>
    <col min="22" max="22" width="19.69921875" style="1" customWidth="1"/>
    <col min="23" max="23" width="20.296875" style="1" customWidth="1"/>
    <col min="24" max="24" width="23.3984375" style="1" bestFit="1" customWidth="1"/>
    <col min="25" max="25" width="21.69921875" style="1" bestFit="1" customWidth="1"/>
    <col min="26" max="26" width="16.09765625" style="1" customWidth="1"/>
    <col min="27" max="28" width="23.3984375" style="1" bestFit="1" customWidth="1"/>
    <col min="29" max="29" width="21.296875" style="1" bestFit="1" customWidth="1"/>
    <col min="30" max="30" width="23.3984375" style="1" bestFit="1" customWidth="1"/>
    <col min="31" max="31" width="21.296875" style="1" bestFit="1" customWidth="1"/>
    <col min="32" max="32" width="20.69921875" style="1" bestFit="1" customWidth="1"/>
    <col min="33" max="16384" width="9.296875" style="1"/>
  </cols>
  <sheetData>
    <row r="1" spans="1:16" x14ac:dyDescent="0.35">
      <c r="A1" s="167" t="s">
        <v>185</v>
      </c>
      <c r="B1" s="168"/>
      <c r="C1" s="169"/>
      <c r="D1" s="169"/>
      <c r="E1" s="169"/>
      <c r="F1" s="169"/>
      <c r="G1" s="169"/>
      <c r="H1" s="169"/>
      <c r="I1" s="169"/>
      <c r="J1" s="169"/>
      <c r="K1" s="169"/>
      <c r="L1" s="169"/>
      <c r="M1" s="166"/>
      <c r="N1" s="4"/>
      <c r="O1" s="4"/>
      <c r="P1" s="4"/>
    </row>
    <row r="2" spans="1:16" x14ac:dyDescent="0.35">
      <c r="A2" s="167" t="s">
        <v>249</v>
      </c>
      <c r="B2" s="168"/>
      <c r="C2" s="169"/>
      <c r="D2" s="169"/>
      <c r="E2" s="169"/>
      <c r="F2" s="169"/>
      <c r="G2" s="169"/>
      <c r="H2" s="169"/>
      <c r="I2" s="169"/>
      <c r="J2" s="169"/>
      <c r="K2" s="169"/>
      <c r="L2" s="169"/>
      <c r="M2" s="166"/>
      <c r="N2" s="4"/>
      <c r="O2" s="4"/>
      <c r="P2" s="4"/>
    </row>
    <row r="3" spans="1:16" x14ac:dyDescent="0.35">
      <c r="C3" s="6"/>
      <c r="D3" s="2"/>
      <c r="E3" s="3"/>
      <c r="F3" s="2"/>
      <c r="G3" s="2"/>
      <c r="H3" s="2"/>
      <c r="I3" s="4"/>
      <c r="J3" s="4"/>
      <c r="K3" s="4"/>
      <c r="L3" s="4"/>
      <c r="M3" s="4"/>
      <c r="N3" s="4"/>
      <c r="O3" s="4"/>
      <c r="P3" s="4"/>
    </row>
    <row r="4" spans="1:16" x14ac:dyDescent="0.35">
      <c r="A4" s="1" t="s">
        <v>186</v>
      </c>
      <c r="C4" s="2"/>
      <c r="D4" s="2"/>
      <c r="E4" s="7"/>
      <c r="F4" s="2"/>
      <c r="G4" s="2"/>
      <c r="H4" s="2"/>
      <c r="I4" s="4"/>
      <c r="J4" s="181" t="str">
        <f>"For the 12 months ended "&amp;TEXT('OATT Input Data'!B4,"MM/DD/YYYY")</f>
        <v>For the 12 months ended 12/31/2019</v>
      </c>
      <c r="L4" s="4"/>
      <c r="M4" s="4"/>
      <c r="N4" s="4"/>
      <c r="O4" s="5"/>
      <c r="P4" s="4"/>
    </row>
    <row r="5" spans="1:16" x14ac:dyDescent="0.35">
      <c r="A5" s="182" t="s">
        <v>187</v>
      </c>
      <c r="C5" s="2"/>
      <c r="E5" s="168"/>
      <c r="F5" s="170"/>
      <c r="G5" s="170"/>
      <c r="H5" s="170"/>
      <c r="I5" s="169"/>
      <c r="J5" s="181" t="s">
        <v>381</v>
      </c>
      <c r="L5" s="169"/>
      <c r="M5" s="4"/>
      <c r="N5" s="4"/>
      <c r="O5" s="4"/>
      <c r="P5" s="4"/>
    </row>
    <row r="6" spans="1:16" x14ac:dyDescent="0.35">
      <c r="C6" s="4"/>
      <c r="D6" s="4"/>
      <c r="E6" s="4"/>
      <c r="F6" s="4"/>
      <c r="G6" s="4"/>
      <c r="H6" s="4"/>
      <c r="I6" s="4"/>
      <c r="J6" s="4"/>
      <c r="K6" s="4"/>
      <c r="L6" s="4"/>
      <c r="M6" s="4"/>
      <c r="N6" s="4"/>
      <c r="O6" s="4"/>
      <c r="P6" s="4"/>
    </row>
    <row r="7" spans="1:16" x14ac:dyDescent="0.35">
      <c r="A7" s="184" t="s">
        <v>130</v>
      </c>
      <c r="B7" s="168"/>
      <c r="C7" s="169"/>
      <c r="D7" s="169"/>
      <c r="E7" s="168"/>
      <c r="F7" s="169"/>
      <c r="G7" s="169"/>
      <c r="H7" s="169"/>
      <c r="I7" s="169"/>
      <c r="J7" s="169"/>
      <c r="K7" s="169"/>
      <c r="L7" s="169"/>
      <c r="M7" s="4"/>
      <c r="N7" s="4"/>
      <c r="O7" s="4"/>
      <c r="P7" s="4"/>
    </row>
    <row r="8" spans="1:16" x14ac:dyDescent="0.35">
      <c r="A8" s="5"/>
      <c r="C8" s="4"/>
      <c r="D8" s="4"/>
      <c r="E8" s="9"/>
      <c r="F8" s="4"/>
      <c r="G8" s="4"/>
      <c r="H8" s="4"/>
      <c r="I8" s="4"/>
      <c r="J8" s="4"/>
      <c r="K8" s="4"/>
      <c r="L8" s="4"/>
      <c r="M8" s="4"/>
      <c r="N8" s="4"/>
      <c r="O8" s="4"/>
      <c r="P8" s="4"/>
    </row>
    <row r="9" spans="1:16" x14ac:dyDescent="0.35">
      <c r="A9" s="5" t="s">
        <v>1</v>
      </c>
      <c r="C9" s="4"/>
      <c r="D9" s="4"/>
      <c r="E9" s="9"/>
      <c r="F9" s="4"/>
      <c r="G9" s="4"/>
      <c r="H9" s="4"/>
      <c r="I9" s="4"/>
      <c r="J9" s="5" t="s">
        <v>2</v>
      </c>
      <c r="K9" s="4"/>
      <c r="L9" s="4"/>
      <c r="M9" s="4"/>
      <c r="N9" s="4"/>
      <c r="O9" s="4"/>
      <c r="P9" s="4"/>
    </row>
    <row r="10" spans="1:16" ht="16" thickBot="1" x14ac:dyDescent="0.4">
      <c r="A10" s="10" t="s">
        <v>3</v>
      </c>
      <c r="C10" s="4"/>
      <c r="D10" s="4"/>
      <c r="E10" s="4"/>
      <c r="F10" s="4"/>
      <c r="G10" s="4"/>
      <c r="H10" s="4"/>
      <c r="I10" s="4"/>
      <c r="J10" s="10" t="s">
        <v>4</v>
      </c>
      <c r="K10" s="4"/>
      <c r="L10" s="4"/>
      <c r="M10" s="4"/>
      <c r="N10" s="4"/>
      <c r="O10" s="4"/>
      <c r="P10" s="4"/>
    </row>
    <row r="11" spans="1:16" x14ac:dyDescent="0.35">
      <c r="A11" s="5">
        <v>1</v>
      </c>
      <c r="C11" s="7" t="s">
        <v>127</v>
      </c>
      <c r="D11" s="164" t="s">
        <v>408</v>
      </c>
      <c r="E11" s="11"/>
      <c r="F11" s="4"/>
      <c r="G11" s="4"/>
      <c r="H11" s="4"/>
      <c r="I11" s="4"/>
      <c r="J11" s="433">
        <f>'PTP Pg 3 of 5'!J60</f>
        <v>188763231</v>
      </c>
      <c r="K11" s="4"/>
      <c r="L11" s="4"/>
      <c r="M11" s="4"/>
      <c r="N11" s="4"/>
      <c r="O11" s="4"/>
      <c r="P11" s="4"/>
    </row>
    <row r="12" spans="1:16" x14ac:dyDescent="0.35">
      <c r="A12" s="5"/>
      <c r="C12" s="4"/>
      <c r="D12" s="4"/>
      <c r="E12" s="4"/>
      <c r="F12" s="4"/>
      <c r="G12" s="4"/>
      <c r="H12" s="4"/>
      <c r="I12" s="4"/>
      <c r="J12" s="11"/>
      <c r="K12" s="4"/>
      <c r="L12" s="4"/>
      <c r="M12" s="4"/>
      <c r="N12" s="4"/>
      <c r="O12" s="4"/>
      <c r="P12" s="4"/>
    </row>
    <row r="13" spans="1:16" ht="16" thickBot="1" x14ac:dyDescent="0.4">
      <c r="A13" s="5" t="s">
        <v>0</v>
      </c>
      <c r="C13" s="2" t="s">
        <v>5</v>
      </c>
      <c r="D13" s="165" t="s">
        <v>242</v>
      </c>
      <c r="E13" s="10" t="s">
        <v>6</v>
      </c>
      <c r="F13" s="8"/>
      <c r="G13" s="12" t="s">
        <v>7</v>
      </c>
      <c r="H13" s="12"/>
      <c r="I13" s="4"/>
      <c r="J13" s="11"/>
      <c r="K13" s="4"/>
      <c r="L13" s="4"/>
      <c r="M13" s="4"/>
      <c r="N13" s="4"/>
      <c r="O13" s="4"/>
      <c r="P13" s="4"/>
    </row>
    <row r="14" spans="1:16" x14ac:dyDescent="0.35">
      <c r="A14" s="5">
        <v>2</v>
      </c>
      <c r="C14" s="2" t="s">
        <v>8</v>
      </c>
      <c r="D14" s="162" t="s">
        <v>377</v>
      </c>
      <c r="E14" s="434">
        <f>'PTP Pg 4 of 5'!$J$64</f>
        <v>1268370.3700000001</v>
      </c>
      <c r="F14" s="8"/>
      <c r="G14" s="8" t="s">
        <v>9</v>
      </c>
      <c r="H14" s="13">
        <f>'PTP Pg 4 of 5'!$J$16</f>
        <v>0.96242000000000005</v>
      </c>
      <c r="I14" s="8"/>
      <c r="J14" s="453">
        <f>ROUND(H14*E14,0)</f>
        <v>1220705</v>
      </c>
      <c r="K14" s="4"/>
      <c r="L14" s="121"/>
      <c r="M14" s="4"/>
      <c r="N14" s="4"/>
      <c r="O14" s="4"/>
      <c r="P14" s="4"/>
    </row>
    <row r="15" spans="1:16" x14ac:dyDescent="0.35">
      <c r="A15" s="5">
        <v>3</v>
      </c>
      <c r="C15" s="2" t="s">
        <v>10</v>
      </c>
      <c r="D15" s="162" t="s">
        <v>378</v>
      </c>
      <c r="E15" s="454">
        <f>'PTP Pg 4 of 5'!J68</f>
        <v>3629796</v>
      </c>
      <c r="F15" s="8"/>
      <c r="G15" s="8" t="str">
        <f t="shared" ref="G15:G17" si="0">+G14</f>
        <v>TP</v>
      </c>
      <c r="H15" s="13">
        <f>'PTP Pg 4 of 5'!$J$16</f>
        <v>0.96242000000000005</v>
      </c>
      <c r="I15" s="8"/>
      <c r="J15" s="454">
        <f>ROUND(H15*E15,0)</f>
        <v>3493388</v>
      </c>
      <c r="K15" s="4"/>
      <c r="L15" s="4"/>
      <c r="M15" s="4"/>
      <c r="N15" s="4"/>
      <c r="O15" s="4"/>
      <c r="P15" s="4"/>
    </row>
    <row r="16" spans="1:16" x14ac:dyDescent="0.35">
      <c r="A16" s="5">
        <v>4</v>
      </c>
      <c r="C16" s="14" t="s">
        <v>11</v>
      </c>
      <c r="D16" s="8"/>
      <c r="E16" s="454">
        <v>0</v>
      </c>
      <c r="F16" s="8"/>
      <c r="G16" s="8" t="str">
        <f t="shared" si="0"/>
        <v>TP</v>
      </c>
      <c r="H16" s="13">
        <f>'PTP Pg 4 of 5'!$J$16</f>
        <v>0.96242000000000005</v>
      </c>
      <c r="I16" s="8"/>
      <c r="J16" s="454">
        <f t="shared" ref="J16:J17" si="1">ROUND(H16*E16,0)</f>
        <v>0</v>
      </c>
      <c r="K16" s="4"/>
      <c r="L16" s="4"/>
      <c r="M16" s="4"/>
      <c r="N16" s="4"/>
      <c r="P16" s="4"/>
    </row>
    <row r="17" spans="1:16" ht="18" customHeight="1" x14ac:dyDescent="0.65">
      <c r="A17" s="5">
        <v>5</v>
      </c>
      <c r="C17" s="643" t="s">
        <v>188</v>
      </c>
      <c r="D17" s="644"/>
      <c r="E17" s="454">
        <v>0</v>
      </c>
      <c r="F17" s="8"/>
      <c r="G17" s="8" t="str">
        <f t="shared" si="0"/>
        <v>TP</v>
      </c>
      <c r="H17" s="13">
        <f>'PTP Pg 4 of 5'!$J$16</f>
        <v>0.96242000000000005</v>
      </c>
      <c r="I17" s="8"/>
      <c r="J17" s="455">
        <f t="shared" si="1"/>
        <v>0</v>
      </c>
      <c r="K17" s="213"/>
      <c r="L17" s="4"/>
      <c r="M17" s="4"/>
      <c r="N17" s="473"/>
      <c r="P17" s="4"/>
    </row>
    <row r="18" spans="1:16" x14ac:dyDescent="0.35">
      <c r="A18" s="5">
        <v>6</v>
      </c>
      <c r="C18" s="7" t="s">
        <v>128</v>
      </c>
      <c r="D18" s="163" t="s">
        <v>243</v>
      </c>
      <c r="E18" s="17" t="s">
        <v>0</v>
      </c>
      <c r="F18" s="8"/>
      <c r="G18" s="8"/>
      <c r="H18" s="13"/>
      <c r="I18" s="8"/>
      <c r="J18" s="456">
        <f>SUM(J14:J17)</f>
        <v>4714093</v>
      </c>
      <c r="K18" s="4"/>
      <c r="L18" s="4"/>
      <c r="M18" s="4"/>
      <c r="N18" s="473"/>
      <c r="P18" s="4"/>
    </row>
    <row r="19" spans="1:16" x14ac:dyDescent="0.35">
      <c r="A19" s="5"/>
      <c r="D19" s="4"/>
      <c r="E19" s="8" t="s">
        <v>0</v>
      </c>
      <c r="F19" s="4"/>
      <c r="G19" s="4"/>
      <c r="H19" s="13"/>
      <c r="I19" s="4"/>
      <c r="K19" s="4"/>
      <c r="L19" s="4"/>
      <c r="M19" s="4"/>
      <c r="N19" s="473"/>
      <c r="P19" s="4"/>
    </row>
    <row r="20" spans="1:16" ht="18" customHeight="1" x14ac:dyDescent="0.65">
      <c r="A20" s="5">
        <v>7</v>
      </c>
      <c r="C20" s="2" t="s">
        <v>12</v>
      </c>
      <c r="D20" s="163" t="s">
        <v>244</v>
      </c>
      <c r="E20" s="17" t="s">
        <v>0</v>
      </c>
      <c r="F20" s="8"/>
      <c r="G20" s="8"/>
      <c r="H20" s="8"/>
      <c r="I20" s="8"/>
      <c r="J20" s="466">
        <f>J11-J18</f>
        <v>184049138</v>
      </c>
      <c r="K20" s="4"/>
      <c r="L20" s="4"/>
      <c r="M20" s="4"/>
      <c r="N20" s="473"/>
      <c r="P20" s="4"/>
    </row>
    <row r="21" spans="1:16" x14ac:dyDescent="0.35">
      <c r="A21" s="5"/>
      <c r="D21" s="4"/>
      <c r="E21" s="17"/>
      <c r="F21" s="8"/>
      <c r="G21" s="8"/>
      <c r="H21" s="8"/>
      <c r="I21" s="8"/>
      <c r="K21" s="4"/>
      <c r="L21" s="4"/>
      <c r="M21" s="4"/>
      <c r="N21" s="473"/>
      <c r="P21" s="4"/>
    </row>
    <row r="22" spans="1:16" x14ac:dyDescent="0.35">
      <c r="A22" s="5"/>
      <c r="C22" s="2" t="s">
        <v>13</v>
      </c>
      <c r="D22" s="4"/>
      <c r="E22" s="11"/>
      <c r="F22" s="4"/>
      <c r="G22" s="4"/>
      <c r="H22" s="4"/>
      <c r="I22" s="4"/>
      <c r="J22" s="11"/>
      <c r="K22" s="4"/>
      <c r="L22" s="4"/>
      <c r="M22" s="4"/>
      <c r="N22" s="473"/>
      <c r="P22" s="4"/>
    </row>
    <row r="23" spans="1:16" x14ac:dyDescent="0.35">
      <c r="A23" s="5">
        <v>8</v>
      </c>
      <c r="C23" s="7" t="s">
        <v>133</v>
      </c>
      <c r="E23" s="11"/>
      <c r="F23" s="163" t="s">
        <v>245</v>
      </c>
      <c r="G23" s="4"/>
      <c r="H23" s="4"/>
      <c r="I23" s="4"/>
      <c r="J23" s="457">
        <f>ROUND('OATT Input Data'!$E$25,0)</f>
        <v>5634000</v>
      </c>
      <c r="K23" s="4"/>
      <c r="L23" s="4"/>
      <c r="M23" s="4"/>
    </row>
    <row r="24" spans="1:16" x14ac:dyDescent="0.35">
      <c r="A24" s="5">
        <v>9</v>
      </c>
      <c r="C24" s="7" t="s">
        <v>134</v>
      </c>
      <c r="D24" s="8"/>
      <c r="E24" s="8"/>
      <c r="F24" s="165" t="s">
        <v>246</v>
      </c>
      <c r="G24" s="8"/>
      <c r="H24" s="8"/>
      <c r="I24" s="8"/>
      <c r="J24" s="457">
        <f>ROUND('OATT Input Data'!$E$43,0)</f>
        <v>0</v>
      </c>
      <c r="K24" s="4"/>
      <c r="L24" s="4"/>
      <c r="M24" s="4"/>
      <c r="O24" s="4"/>
      <c r="P24" s="4"/>
    </row>
    <row r="25" spans="1:16" x14ac:dyDescent="0.35">
      <c r="A25" s="5">
        <v>10</v>
      </c>
      <c r="C25" s="81" t="s">
        <v>135</v>
      </c>
      <c r="D25" s="4"/>
      <c r="E25" s="4"/>
      <c r="F25" s="162" t="s">
        <v>247</v>
      </c>
      <c r="H25" s="4"/>
      <c r="I25" s="4"/>
      <c r="J25" s="457">
        <f>ROUND('OATT Input Data'!$F$61,0)</f>
        <v>913000</v>
      </c>
      <c r="K25" s="4"/>
      <c r="L25" s="4"/>
      <c r="M25" s="4"/>
      <c r="O25" s="4"/>
      <c r="P25" s="4"/>
    </row>
    <row r="26" spans="1:16" x14ac:dyDescent="0.35">
      <c r="A26" s="5">
        <v>11</v>
      </c>
      <c r="C26" s="7" t="s">
        <v>136</v>
      </c>
      <c r="D26" s="4"/>
      <c r="E26" s="4"/>
      <c r="F26" s="163" t="s">
        <v>248</v>
      </c>
      <c r="H26" s="4"/>
      <c r="I26" s="4"/>
      <c r="J26" s="457">
        <f>ROUND('OATT Input Data'!$E$79*-1,0)</f>
        <v>0</v>
      </c>
      <c r="K26" s="4"/>
      <c r="L26" s="4"/>
      <c r="M26" s="4"/>
      <c r="P26" s="4"/>
    </row>
    <row r="27" spans="1:16" x14ac:dyDescent="0.35">
      <c r="A27" s="5">
        <v>12</v>
      </c>
      <c r="C27" s="81" t="s">
        <v>137</v>
      </c>
      <c r="D27" s="4"/>
      <c r="E27" s="4"/>
      <c r="F27" s="4"/>
      <c r="G27" s="4"/>
      <c r="H27" s="7"/>
      <c r="I27" s="4"/>
      <c r="J27" s="457">
        <f>ROUND('OATT Input Data'!$E$98,0)</f>
        <v>566667</v>
      </c>
      <c r="K27" s="4"/>
      <c r="L27" s="4"/>
      <c r="M27" s="4"/>
      <c r="P27" s="4"/>
    </row>
    <row r="28" spans="1:16" x14ac:dyDescent="0.35">
      <c r="A28" s="5">
        <v>13</v>
      </c>
      <c r="C28" s="81" t="s">
        <v>387</v>
      </c>
      <c r="D28" s="4"/>
      <c r="E28" s="4"/>
      <c r="F28" s="4"/>
      <c r="G28" s="4"/>
      <c r="H28" s="4"/>
      <c r="I28" s="4"/>
      <c r="J28" s="457">
        <f>ROUND('OATT Input Data'!$E$104,0)</f>
        <v>28000</v>
      </c>
      <c r="K28" s="4"/>
      <c r="L28" s="4"/>
      <c r="M28" s="4"/>
      <c r="O28" s="4"/>
      <c r="P28" s="4"/>
    </row>
    <row r="29" spans="1:16" ht="18.5" x14ac:dyDescent="0.65">
      <c r="A29" s="5">
        <v>14</v>
      </c>
      <c r="C29" s="81" t="s">
        <v>189</v>
      </c>
      <c r="D29" s="4"/>
      <c r="E29" s="4"/>
      <c r="F29" s="4"/>
      <c r="G29" s="4"/>
      <c r="H29" s="4"/>
      <c r="I29" s="4"/>
      <c r="J29" s="619">
        <f>ROUND('OATT Input Data'!$E$105*-1,0)</f>
        <v>-393000</v>
      </c>
      <c r="K29" s="4"/>
      <c r="L29" s="4"/>
      <c r="M29" s="4"/>
      <c r="O29" s="4"/>
      <c r="P29" s="4"/>
    </row>
    <row r="30" spans="1:16" x14ac:dyDescent="0.35">
      <c r="A30" s="5">
        <v>15</v>
      </c>
      <c r="C30" s="7" t="s">
        <v>288</v>
      </c>
      <c r="D30" s="164" t="s">
        <v>287</v>
      </c>
      <c r="E30" s="4"/>
      <c r="F30" s="4"/>
      <c r="G30" s="4"/>
      <c r="H30" s="4"/>
      <c r="I30" s="4"/>
      <c r="J30" s="457">
        <f>ROUND(SUM(J23:J29),0)</f>
        <v>6748667</v>
      </c>
      <c r="K30" s="4"/>
      <c r="L30" s="4"/>
      <c r="M30" s="4"/>
      <c r="N30" s="4"/>
      <c r="O30" s="4"/>
      <c r="P30" s="4"/>
    </row>
    <row r="31" spans="1:16" x14ac:dyDescent="0.35">
      <c r="A31" s="5"/>
      <c r="C31" s="2"/>
      <c r="D31" s="4"/>
      <c r="E31" s="4"/>
      <c r="F31" s="4"/>
      <c r="G31" s="4"/>
      <c r="H31" s="4"/>
      <c r="I31" s="4"/>
      <c r="J31" s="11"/>
      <c r="K31" s="4"/>
      <c r="L31" s="4"/>
      <c r="M31" s="4"/>
      <c r="O31" s="4"/>
      <c r="P31" s="4"/>
    </row>
    <row r="32" spans="1:16" ht="21" x14ac:dyDescent="0.5">
      <c r="A32" s="5">
        <v>16</v>
      </c>
      <c r="C32" s="19" t="s">
        <v>14</v>
      </c>
      <c r="D32" s="179" t="s">
        <v>294</v>
      </c>
      <c r="E32" s="180">
        <f>ROUND(J20/J30,3)</f>
        <v>27.271999999999998</v>
      </c>
      <c r="F32" s="22"/>
      <c r="G32" s="4"/>
      <c r="H32" s="4"/>
      <c r="I32" s="4"/>
      <c r="K32" s="4"/>
      <c r="L32" s="4"/>
      <c r="M32" s="4"/>
      <c r="N32" s="2"/>
      <c r="O32" s="4"/>
      <c r="P32" s="4"/>
    </row>
    <row r="33" spans="1:16" x14ac:dyDescent="0.35">
      <c r="A33" s="5">
        <v>17</v>
      </c>
      <c r="C33" s="31" t="s">
        <v>301</v>
      </c>
      <c r="D33" s="179" t="s">
        <v>295</v>
      </c>
      <c r="E33" s="180">
        <f>ROUND(E32/12,3)</f>
        <v>2.2730000000000001</v>
      </c>
      <c r="G33" s="23"/>
      <c r="H33" s="24"/>
      <c r="I33" s="4"/>
      <c r="K33" s="4"/>
      <c r="L33" s="4"/>
      <c r="M33" s="4"/>
      <c r="N33" s="2"/>
      <c r="O33" s="122"/>
      <c r="P33" s="4"/>
    </row>
    <row r="34" spans="1:16" x14ac:dyDescent="0.35">
      <c r="A34" s="5"/>
      <c r="C34" s="19"/>
      <c r="D34" s="27"/>
      <c r="E34" s="25"/>
      <c r="F34" s="4"/>
      <c r="G34" s="4"/>
      <c r="H34" s="4"/>
      <c r="I34" s="4"/>
      <c r="J34" s="26"/>
      <c r="K34" s="4"/>
      <c r="L34" s="4"/>
      <c r="M34" s="4"/>
      <c r="N34" s="4"/>
      <c r="O34" s="4"/>
      <c r="P34" s="4"/>
    </row>
    <row r="35" spans="1:16" x14ac:dyDescent="0.35">
      <c r="A35" s="5"/>
      <c r="C35" s="19"/>
      <c r="D35" s="27"/>
      <c r="E35" s="25" t="s">
        <v>164</v>
      </c>
      <c r="F35" s="4"/>
      <c r="G35" s="4"/>
      <c r="H35" s="4"/>
      <c r="I35" s="4"/>
      <c r="J35" s="1" t="s">
        <v>165</v>
      </c>
      <c r="K35" s="4"/>
      <c r="L35" s="4"/>
      <c r="M35" s="4"/>
      <c r="N35" s="4"/>
      <c r="O35" s="4"/>
      <c r="P35" s="4"/>
    </row>
    <row r="36" spans="1:16" x14ac:dyDescent="0.35">
      <c r="A36" s="5">
        <v>18</v>
      </c>
      <c r="C36" s="81" t="s">
        <v>290</v>
      </c>
      <c r="D36" s="458" t="s">
        <v>291</v>
      </c>
      <c r="E36" s="180">
        <f>ROUND($E$32/52,3)</f>
        <v>0.52400000000000002</v>
      </c>
      <c r="F36" s="4"/>
      <c r="G36" s="4"/>
      <c r="H36" s="458" t="s">
        <v>291</v>
      </c>
      <c r="I36" s="4"/>
      <c r="J36" s="180">
        <f>ROUND($E$32/52,3)</f>
        <v>0.52400000000000002</v>
      </c>
      <c r="K36" s="4"/>
      <c r="L36" s="4"/>
      <c r="M36" s="4"/>
      <c r="N36" s="4"/>
      <c r="O36" s="4"/>
      <c r="P36" s="4"/>
    </row>
    <row r="37" spans="1:16" x14ac:dyDescent="0.35">
      <c r="A37" s="5">
        <v>19</v>
      </c>
      <c r="C37" s="81" t="s">
        <v>296</v>
      </c>
      <c r="D37" s="164" t="s">
        <v>292</v>
      </c>
      <c r="E37" s="180">
        <f>ROUND(E36/5,3)</f>
        <v>0.105</v>
      </c>
      <c r="F37" s="3" t="s">
        <v>166</v>
      </c>
      <c r="H37" s="164" t="s">
        <v>298</v>
      </c>
      <c r="I37" s="4"/>
      <c r="J37" s="180">
        <f>ROUND(J36/7,3)</f>
        <v>7.4999999999999997E-2</v>
      </c>
      <c r="K37" s="4"/>
      <c r="L37" s="4"/>
      <c r="M37" s="4"/>
      <c r="N37" s="4"/>
      <c r="O37" s="4"/>
      <c r="P37" s="4"/>
    </row>
    <row r="38" spans="1:16" x14ac:dyDescent="0.35">
      <c r="A38" s="5">
        <v>20</v>
      </c>
      <c r="C38" s="81" t="s">
        <v>427</v>
      </c>
      <c r="D38" s="164" t="s">
        <v>293</v>
      </c>
      <c r="E38" s="180">
        <f>ROUND(E37/16*1000,3)</f>
        <v>6.5629999999999997</v>
      </c>
      <c r="F38" s="7" t="s">
        <v>289</v>
      </c>
      <c r="H38" s="164" t="s">
        <v>299</v>
      </c>
      <c r="I38" s="4"/>
      <c r="J38" s="180">
        <f>ROUND(J37/24*1000,3)</f>
        <v>3.125</v>
      </c>
      <c r="K38" s="4"/>
      <c r="L38" s="4" t="s">
        <v>0</v>
      </c>
      <c r="M38" s="4"/>
      <c r="N38" s="4"/>
      <c r="O38" s="4"/>
      <c r="P38" s="4"/>
    </row>
    <row r="39" spans="1:16" x14ac:dyDescent="0.35">
      <c r="A39" s="5"/>
      <c r="C39" s="2"/>
      <c r="D39" s="4"/>
      <c r="E39" s="4"/>
      <c r="F39" s="4"/>
      <c r="H39" s="4"/>
      <c r="I39" s="4"/>
      <c r="K39" s="4"/>
      <c r="L39" s="4" t="s">
        <v>0</v>
      </c>
      <c r="M39" s="4"/>
      <c r="N39" s="4"/>
      <c r="O39" s="4"/>
      <c r="P39" s="4"/>
    </row>
    <row r="40" spans="1:16" x14ac:dyDescent="0.35">
      <c r="A40" s="5">
        <v>21</v>
      </c>
      <c r="C40" s="2" t="s">
        <v>15</v>
      </c>
      <c r="D40" s="458" t="s">
        <v>297</v>
      </c>
      <c r="E40" s="459">
        <v>0</v>
      </c>
      <c r="F40" s="183" t="s">
        <v>16</v>
      </c>
      <c r="G40" s="183"/>
      <c r="H40" s="183"/>
      <c r="I40" s="183"/>
      <c r="J40" s="459">
        <v>0</v>
      </c>
      <c r="K40" s="469"/>
      <c r="L40" s="4"/>
      <c r="M40" s="4"/>
      <c r="N40" s="4"/>
      <c r="O40" s="4"/>
      <c r="P40" s="4"/>
    </row>
    <row r="41" spans="1:16" x14ac:dyDescent="0.35">
      <c r="A41" s="5">
        <v>22</v>
      </c>
      <c r="C41" s="2"/>
      <c r="D41" s="4"/>
      <c r="E41" s="459">
        <v>0</v>
      </c>
      <c r="F41" s="183" t="s">
        <v>17</v>
      </c>
      <c r="G41" s="183"/>
      <c r="H41" s="183"/>
      <c r="I41" s="183"/>
      <c r="J41" s="459">
        <v>0</v>
      </c>
      <c r="K41" s="469"/>
      <c r="L41" s="4"/>
      <c r="M41" s="4"/>
      <c r="N41" s="4"/>
      <c r="O41" s="4"/>
      <c r="P41" s="4"/>
    </row>
    <row r="42" spans="1:16" x14ac:dyDescent="0.35">
      <c r="K42" s="4"/>
      <c r="L42" s="4"/>
      <c r="M42" s="4"/>
      <c r="N42" s="4"/>
      <c r="O42" s="4"/>
      <c r="P42" s="4"/>
    </row>
    <row r="43" spans="1:16" x14ac:dyDescent="0.35">
      <c r="A43" s="29"/>
      <c r="B43" s="30"/>
      <c r="C43" s="31"/>
      <c r="D43" s="30"/>
      <c r="E43" s="30"/>
      <c r="F43" s="30"/>
      <c r="G43" s="30"/>
      <c r="H43" s="30"/>
      <c r="I43" s="30"/>
      <c r="J43" s="14"/>
      <c r="K43" s="20"/>
      <c r="L43" s="20"/>
      <c r="M43" s="20"/>
      <c r="N43" s="4"/>
      <c r="O43" s="4"/>
      <c r="P43" s="4"/>
    </row>
    <row r="44" spans="1:16" x14ac:dyDescent="0.35">
      <c r="A44" s="29"/>
      <c r="B44" s="30"/>
      <c r="C44" s="31"/>
      <c r="D44" s="20"/>
      <c r="E44" s="20"/>
      <c r="F44" s="20"/>
      <c r="G44" s="20"/>
      <c r="H44" s="20"/>
      <c r="I44" s="20"/>
      <c r="J44" s="32"/>
      <c r="K44" s="20"/>
      <c r="L44" s="20"/>
      <c r="M44" s="20"/>
      <c r="N44" s="4"/>
      <c r="O44" s="4"/>
      <c r="P44" s="4"/>
    </row>
    <row r="45" spans="1:16" x14ac:dyDescent="0.35">
      <c r="A45" s="29"/>
      <c r="B45" s="30"/>
      <c r="C45" s="19"/>
      <c r="D45" s="20"/>
      <c r="E45" s="20"/>
      <c r="F45" s="20"/>
      <c r="G45" s="20"/>
      <c r="H45" s="20"/>
      <c r="I45" s="20"/>
      <c r="J45" s="33"/>
      <c r="K45" s="20"/>
      <c r="L45" s="20"/>
      <c r="M45" s="20"/>
      <c r="N45" s="4"/>
      <c r="O45" s="4"/>
      <c r="P45" s="4"/>
    </row>
    <row r="46" spans="1:16" x14ac:dyDescent="0.35">
      <c r="A46" s="29"/>
      <c r="B46" s="30"/>
      <c r="C46" s="31"/>
      <c r="D46" s="20"/>
      <c r="E46" s="20"/>
      <c r="F46" s="20"/>
      <c r="G46" s="20"/>
      <c r="H46" s="20"/>
      <c r="I46" s="20"/>
      <c r="J46" s="33"/>
      <c r="K46" s="20"/>
      <c r="L46" s="20"/>
      <c r="M46" s="20"/>
      <c r="N46" s="4"/>
      <c r="O46" s="4"/>
      <c r="P46" s="174"/>
    </row>
    <row r="47" spans="1:16" s="30" customFormat="1" x14ac:dyDescent="0.35">
      <c r="A47" s="29"/>
      <c r="C47" s="31"/>
      <c r="D47" s="19"/>
      <c r="E47" s="27"/>
      <c r="F47" s="19"/>
      <c r="G47" s="19"/>
      <c r="H47" s="19"/>
      <c r="I47" s="20"/>
      <c r="J47" s="33"/>
      <c r="K47" s="29"/>
      <c r="L47" s="29"/>
      <c r="M47" s="553"/>
      <c r="N47" s="20"/>
      <c r="O47" s="35"/>
      <c r="P47" s="37"/>
    </row>
    <row r="48" spans="1:16" s="30" customFormat="1" x14ac:dyDescent="0.35">
      <c r="A48" s="29"/>
      <c r="C48" s="31"/>
      <c r="D48" s="20"/>
      <c r="E48" s="20"/>
      <c r="F48" s="20"/>
      <c r="G48" s="20"/>
      <c r="H48" s="20"/>
      <c r="I48" s="20"/>
      <c r="J48" s="33"/>
      <c r="K48" s="553"/>
      <c r="L48" s="553"/>
      <c r="M48" s="553"/>
      <c r="N48" s="20"/>
      <c r="O48" s="20"/>
      <c r="P48" s="37"/>
    </row>
    <row r="49" spans="1:21" s="30" customFormat="1" x14ac:dyDescent="0.35">
      <c r="A49" s="29"/>
      <c r="C49" s="31"/>
      <c r="D49" s="19"/>
      <c r="E49" s="27"/>
      <c r="F49" s="19"/>
      <c r="G49" s="19"/>
      <c r="H49" s="19"/>
      <c r="I49" s="20"/>
      <c r="J49" s="38"/>
      <c r="K49" s="642"/>
      <c r="L49" s="642"/>
      <c r="M49" s="642"/>
      <c r="N49" s="20"/>
      <c r="O49" s="20"/>
      <c r="P49" s="37"/>
    </row>
    <row r="50" spans="1:21" s="30" customFormat="1" x14ac:dyDescent="0.35">
      <c r="A50" s="29"/>
      <c r="C50" s="31"/>
      <c r="D50" s="19"/>
      <c r="E50" s="27"/>
      <c r="F50" s="19"/>
      <c r="G50" s="19"/>
      <c r="H50" s="19"/>
      <c r="I50" s="20"/>
      <c r="J50" s="39"/>
      <c r="K50" s="553"/>
      <c r="L50" s="553"/>
      <c r="M50" s="553"/>
      <c r="N50" s="20"/>
      <c r="O50" s="20"/>
      <c r="P50" s="37"/>
    </row>
    <row r="51" spans="1:21" s="30" customFormat="1" x14ac:dyDescent="0.35">
      <c r="A51" s="29"/>
      <c r="C51" s="31"/>
      <c r="D51" s="19"/>
      <c r="E51" s="27"/>
      <c r="F51" s="19"/>
      <c r="G51" s="19"/>
      <c r="H51" s="19"/>
      <c r="I51" s="20"/>
      <c r="J51" s="33"/>
      <c r="K51" s="553"/>
      <c r="L51" s="553"/>
      <c r="M51" s="553"/>
      <c r="N51" s="20"/>
      <c r="O51" s="20"/>
      <c r="P51" s="37"/>
    </row>
    <row r="52" spans="1:21" s="30" customFormat="1" x14ac:dyDescent="0.35">
      <c r="A52" s="29"/>
      <c r="C52" s="31"/>
      <c r="D52" s="19"/>
      <c r="E52" s="27"/>
      <c r="F52" s="19"/>
      <c r="G52" s="19"/>
      <c r="H52" s="19"/>
      <c r="I52" s="20"/>
      <c r="J52" s="40"/>
      <c r="K52" s="20"/>
      <c r="L52" s="642"/>
      <c r="M52" s="642"/>
      <c r="N52" s="20"/>
      <c r="O52" s="20"/>
      <c r="P52" s="37"/>
    </row>
    <row r="53" spans="1:21" s="30" customFormat="1" x14ac:dyDescent="0.35">
      <c r="C53" s="19"/>
      <c r="D53" s="19"/>
      <c r="E53" s="27"/>
      <c r="F53" s="19"/>
      <c r="G53" s="19"/>
      <c r="H53" s="19"/>
      <c r="I53" s="20"/>
      <c r="J53" s="20"/>
      <c r="K53" s="20"/>
      <c r="L53" s="553"/>
      <c r="M53" s="553"/>
      <c r="N53" s="20"/>
      <c r="O53" s="20"/>
      <c r="P53" s="37"/>
    </row>
    <row r="54" spans="1:21" s="30" customFormat="1" ht="21" x14ac:dyDescent="0.5">
      <c r="A54" s="29"/>
      <c r="C54" s="19"/>
      <c r="D54" s="31"/>
      <c r="E54" s="21"/>
      <c r="F54" s="41"/>
      <c r="G54" s="20"/>
      <c r="H54" s="20"/>
      <c r="I54" s="20"/>
      <c r="K54" s="20"/>
      <c r="L54" s="20"/>
      <c r="M54" s="20"/>
      <c r="N54" s="20"/>
      <c r="O54" s="20"/>
      <c r="P54" s="20"/>
    </row>
    <row r="55" spans="1:21" s="30" customFormat="1" x14ac:dyDescent="0.35">
      <c r="A55" s="29"/>
      <c r="C55" s="19"/>
      <c r="D55" s="31"/>
      <c r="E55" s="21"/>
      <c r="G55" s="42"/>
      <c r="H55" s="21"/>
      <c r="I55" s="20"/>
      <c r="K55" s="43"/>
      <c r="M55" s="44"/>
      <c r="N55" s="44"/>
      <c r="O55" s="44"/>
      <c r="P55" s="29"/>
      <c r="Q55" s="45"/>
      <c r="R55" s="46"/>
      <c r="S55" s="46"/>
      <c r="T55" s="46"/>
      <c r="U55" s="46"/>
    </row>
    <row r="56" spans="1:21" s="30" customFormat="1" x14ac:dyDescent="0.35">
      <c r="A56" s="29"/>
      <c r="C56" s="19"/>
      <c r="D56" s="20"/>
      <c r="E56" s="21"/>
      <c r="F56" s="21"/>
      <c r="G56" s="20"/>
      <c r="H56" s="20"/>
      <c r="I56" s="20"/>
      <c r="K56" s="44"/>
      <c r="M56" s="44"/>
      <c r="N56" s="44"/>
      <c r="O56" s="44"/>
      <c r="P56" s="29"/>
      <c r="Q56" s="45"/>
      <c r="R56" s="46"/>
      <c r="S56" s="46"/>
      <c r="T56" s="46"/>
      <c r="U56" s="46"/>
    </row>
    <row r="57" spans="1:21" s="30" customFormat="1" x14ac:dyDescent="0.35">
      <c r="A57" s="29"/>
      <c r="C57" s="19"/>
      <c r="D57" s="20"/>
      <c r="E57" s="25"/>
      <c r="F57" s="20"/>
      <c r="G57" s="20"/>
      <c r="H57" s="20"/>
      <c r="I57" s="20"/>
      <c r="J57" s="45"/>
      <c r="K57" s="44"/>
      <c r="M57" s="44"/>
      <c r="N57" s="44"/>
      <c r="O57" s="43"/>
      <c r="P57" s="44"/>
      <c r="Q57" s="44"/>
      <c r="R57" s="46"/>
      <c r="S57" s="46"/>
      <c r="T57" s="46"/>
      <c r="U57" s="46"/>
    </row>
    <row r="58" spans="1:21" s="30" customFormat="1" x14ac:dyDescent="0.35">
      <c r="A58" s="29"/>
      <c r="C58" s="19"/>
      <c r="D58" s="20"/>
      <c r="E58" s="21"/>
      <c r="F58" s="20"/>
      <c r="G58" s="20"/>
      <c r="H58" s="20"/>
      <c r="I58" s="20"/>
      <c r="K58" s="43"/>
      <c r="M58" s="44"/>
      <c r="N58" s="44"/>
      <c r="O58" s="43"/>
      <c r="P58" s="44"/>
      <c r="Q58" s="44"/>
      <c r="R58" s="46"/>
      <c r="S58" s="46"/>
      <c r="T58" s="46"/>
      <c r="U58" s="46"/>
    </row>
    <row r="59" spans="1:21" s="30" customFormat="1" x14ac:dyDescent="0.35">
      <c r="A59" s="29"/>
      <c r="C59" s="19"/>
      <c r="D59" s="27"/>
      <c r="E59" s="21"/>
      <c r="F59" s="20"/>
      <c r="G59" s="20"/>
      <c r="H59" s="20"/>
      <c r="I59" s="20"/>
      <c r="J59" s="48"/>
      <c r="M59" s="44"/>
      <c r="N59" s="44"/>
      <c r="O59" s="43"/>
      <c r="P59" s="44"/>
      <c r="Q59" s="44"/>
      <c r="R59" s="46"/>
      <c r="S59" s="46"/>
      <c r="T59" s="46"/>
      <c r="U59" s="46"/>
    </row>
    <row r="60" spans="1:21" s="30" customFormat="1" x14ac:dyDescent="0.35">
      <c r="A60" s="29"/>
      <c r="C60" s="19"/>
      <c r="D60" s="27"/>
      <c r="E60" s="21"/>
      <c r="F60" s="20"/>
      <c r="H60" s="20"/>
      <c r="I60" s="20"/>
      <c r="J60" s="48"/>
      <c r="L60" s="44"/>
      <c r="M60" s="44"/>
      <c r="N60" s="44"/>
      <c r="O60" s="43"/>
      <c r="P60" s="44"/>
      <c r="Q60" s="44"/>
      <c r="R60" s="46"/>
      <c r="S60" s="46"/>
      <c r="T60" s="46"/>
      <c r="U60" s="46"/>
    </row>
    <row r="61" spans="1:21" s="30" customFormat="1" x14ac:dyDescent="0.35">
      <c r="A61" s="29"/>
      <c r="C61" s="19"/>
      <c r="D61" s="27"/>
      <c r="E61" s="21"/>
      <c r="F61" s="20"/>
      <c r="H61" s="20"/>
      <c r="I61" s="20"/>
      <c r="J61" s="48"/>
      <c r="K61" s="20"/>
      <c r="L61" s="20"/>
      <c r="M61" s="44"/>
      <c r="N61" s="50"/>
      <c r="P61" s="44"/>
      <c r="Q61" s="62"/>
    </row>
    <row r="62" spans="1:21" s="30" customFormat="1" x14ac:dyDescent="0.35">
      <c r="A62" s="29"/>
      <c r="C62" s="19"/>
      <c r="D62" s="20"/>
      <c r="E62" s="20"/>
      <c r="F62" s="20"/>
      <c r="H62" s="20"/>
      <c r="I62" s="20"/>
      <c r="K62" s="29"/>
      <c r="O62" s="44"/>
      <c r="P62" s="44"/>
      <c r="Q62" s="44"/>
    </row>
    <row r="63" spans="1:21" s="30" customFormat="1" x14ac:dyDescent="0.35">
      <c r="A63" s="29"/>
      <c r="C63" s="19"/>
      <c r="D63" s="20"/>
      <c r="E63" s="20"/>
      <c r="F63" s="20"/>
      <c r="G63" s="20"/>
      <c r="H63" s="20"/>
      <c r="O63" s="44"/>
      <c r="P63" s="54"/>
      <c r="Q63" s="50"/>
    </row>
    <row r="64" spans="1:21" s="30" customFormat="1" x14ac:dyDescent="0.35">
      <c r="A64" s="29"/>
      <c r="D64" s="20"/>
      <c r="E64" s="20"/>
      <c r="G64" s="20"/>
      <c r="J64" s="55"/>
      <c r="K64" s="56"/>
      <c r="O64" s="44"/>
      <c r="P64" s="19"/>
    </row>
    <row r="65" spans="1:16" s="30" customFormat="1" x14ac:dyDescent="0.35">
      <c r="A65" s="29"/>
      <c r="D65" s="20"/>
      <c r="F65" s="20"/>
      <c r="G65" s="20"/>
      <c r="H65" s="20"/>
      <c r="I65" s="20"/>
      <c r="J65" s="55"/>
      <c r="K65" s="56"/>
      <c r="O65" s="44"/>
      <c r="P65" s="19"/>
    </row>
    <row r="66" spans="1:16" s="30" customFormat="1" x14ac:dyDescent="0.35">
      <c r="A66" s="29"/>
      <c r="D66" s="20"/>
      <c r="F66" s="20"/>
      <c r="G66" s="20"/>
      <c r="H66" s="20"/>
      <c r="I66" s="20"/>
      <c r="J66" s="55"/>
      <c r="K66" s="56"/>
      <c r="O66" s="44"/>
      <c r="P66" s="19"/>
    </row>
    <row r="67" spans="1:16" s="30" customFormat="1" x14ac:dyDescent="0.35">
      <c r="A67" s="29"/>
      <c r="D67" s="20"/>
      <c r="F67" s="20"/>
      <c r="G67" s="20"/>
      <c r="H67" s="57"/>
      <c r="I67" s="20"/>
      <c r="J67" s="58"/>
      <c r="L67" s="59"/>
      <c r="M67" s="44"/>
      <c r="N67" s="50"/>
      <c r="O67" s="44"/>
      <c r="P67" s="19"/>
    </row>
    <row r="68" spans="1:16" s="30" customFormat="1" x14ac:dyDescent="0.35">
      <c r="A68" s="29"/>
      <c r="C68" s="19"/>
      <c r="D68" s="20"/>
      <c r="F68" s="20"/>
      <c r="G68" s="20"/>
      <c r="H68" s="21"/>
      <c r="I68" s="20"/>
      <c r="J68" s="58"/>
      <c r="L68" s="59"/>
      <c r="M68" s="44"/>
      <c r="N68" s="50"/>
      <c r="O68" s="44"/>
      <c r="P68" s="19"/>
    </row>
    <row r="69" spans="1:16" s="30" customFormat="1" x14ac:dyDescent="0.35">
      <c r="A69" s="29"/>
      <c r="D69" s="20"/>
      <c r="E69" s="20"/>
      <c r="F69" s="20"/>
      <c r="G69" s="20"/>
      <c r="H69" s="20"/>
      <c r="I69" s="20"/>
      <c r="J69" s="58"/>
      <c r="L69" s="59"/>
      <c r="M69" s="44"/>
      <c r="N69" s="50"/>
      <c r="O69" s="44"/>
      <c r="P69" s="119"/>
    </row>
    <row r="70" spans="1:16" s="30" customFormat="1" x14ac:dyDescent="0.35">
      <c r="C70" s="19"/>
      <c r="D70" s="20"/>
      <c r="E70" s="20"/>
      <c r="F70" s="20"/>
      <c r="G70" s="20"/>
      <c r="H70" s="20"/>
      <c r="I70" s="20"/>
      <c r="L70" s="61"/>
      <c r="M70" s="44"/>
      <c r="N70" s="50"/>
      <c r="O70" s="20"/>
      <c r="P70" s="50"/>
    </row>
    <row r="71" spans="1:16" s="30" customFormat="1" x14ac:dyDescent="0.35">
      <c r="A71" s="29"/>
      <c r="C71" s="19"/>
      <c r="D71" s="44"/>
      <c r="E71" s="44"/>
      <c r="F71" s="44"/>
      <c r="G71" s="44"/>
      <c r="H71" s="44"/>
      <c r="I71" s="44"/>
      <c r="J71" s="62"/>
      <c r="K71" s="44"/>
      <c r="L71" s="61"/>
      <c r="M71" s="44"/>
      <c r="N71" s="50"/>
      <c r="O71" s="20"/>
    </row>
    <row r="72" spans="1:16" s="30" customFormat="1" x14ac:dyDescent="0.35">
      <c r="A72" s="29"/>
      <c r="C72" s="19"/>
      <c r="D72" s="20"/>
      <c r="E72" s="20"/>
      <c r="F72" s="20"/>
      <c r="G72" s="20"/>
      <c r="H72" s="20"/>
      <c r="I72" s="20"/>
      <c r="J72" s="62"/>
      <c r="L72" s="64"/>
      <c r="M72" s="20"/>
      <c r="N72" s="29"/>
      <c r="O72" s="20"/>
      <c r="P72" s="119"/>
    </row>
    <row r="73" spans="1:16" s="30" customFormat="1" x14ac:dyDescent="0.35">
      <c r="A73" s="29"/>
      <c r="D73" s="29"/>
      <c r="E73" s="44"/>
      <c r="F73" s="44"/>
      <c r="G73" s="44"/>
      <c r="H73" s="44"/>
      <c r="I73" s="20"/>
      <c r="J73" s="62"/>
      <c r="K73" s="44"/>
      <c r="L73" s="44"/>
      <c r="M73" s="20"/>
      <c r="N73" s="29"/>
      <c r="O73" s="20"/>
      <c r="P73" s="119"/>
    </row>
    <row r="74" spans="1:16" s="30" customFormat="1" x14ac:dyDescent="0.35">
      <c r="C74" s="19"/>
      <c r="D74" s="19"/>
      <c r="E74" s="27"/>
      <c r="F74" s="19"/>
      <c r="G74" s="19"/>
      <c r="H74" s="19"/>
      <c r="I74" s="20"/>
      <c r="J74" s="29"/>
      <c r="K74" s="29"/>
      <c r="L74" s="29"/>
      <c r="M74" s="553"/>
      <c r="N74" s="20"/>
      <c r="O74" s="20"/>
      <c r="P74" s="19"/>
    </row>
    <row r="75" spans="1:16" s="30" customFormat="1" x14ac:dyDescent="0.35">
      <c r="C75" s="19"/>
      <c r="D75" s="19"/>
      <c r="E75" s="27"/>
      <c r="F75" s="19"/>
      <c r="G75" s="19"/>
      <c r="H75" s="19"/>
      <c r="I75" s="20"/>
      <c r="J75" s="553"/>
      <c r="K75" s="553"/>
      <c r="L75" s="553"/>
      <c r="M75" s="553"/>
      <c r="N75" s="20"/>
      <c r="O75" s="20"/>
      <c r="P75" s="20"/>
    </row>
    <row r="76" spans="1:16" s="30" customFormat="1" x14ac:dyDescent="0.35">
      <c r="C76" s="19"/>
      <c r="D76" s="19"/>
      <c r="E76" s="27"/>
      <c r="F76" s="19"/>
      <c r="G76" s="19"/>
      <c r="H76" s="19"/>
      <c r="I76" s="20"/>
      <c r="J76" s="20"/>
      <c r="K76" s="642"/>
      <c r="L76" s="642"/>
      <c r="M76" s="642"/>
      <c r="N76" s="20"/>
      <c r="O76" s="20"/>
      <c r="P76" s="20"/>
    </row>
    <row r="77" spans="1:16" s="30" customFormat="1" x14ac:dyDescent="0.35">
      <c r="C77" s="19"/>
      <c r="D77" s="19"/>
      <c r="E77" s="27"/>
      <c r="F77" s="19"/>
      <c r="G77" s="19"/>
      <c r="H77" s="19"/>
      <c r="I77" s="20"/>
      <c r="J77" s="20"/>
      <c r="K77" s="20"/>
      <c r="L77" s="642"/>
      <c r="M77" s="642"/>
      <c r="N77" s="20"/>
      <c r="O77" s="20"/>
      <c r="P77" s="20"/>
    </row>
    <row r="78" spans="1:16" s="30" customFormat="1" x14ac:dyDescent="0.35">
      <c r="C78" s="19"/>
      <c r="D78" s="19"/>
      <c r="E78" s="27"/>
      <c r="F78" s="19"/>
      <c r="G78" s="19"/>
      <c r="H78" s="19"/>
      <c r="I78" s="20"/>
      <c r="J78" s="20"/>
      <c r="K78" s="20"/>
      <c r="L78" s="553"/>
      <c r="M78" s="553"/>
      <c r="N78" s="20"/>
      <c r="O78" s="20"/>
      <c r="P78" s="20"/>
    </row>
    <row r="79" spans="1:16" s="30" customFormat="1" x14ac:dyDescent="0.35">
      <c r="C79" s="19"/>
      <c r="D79" s="19"/>
      <c r="E79" s="27"/>
      <c r="F79" s="19"/>
      <c r="G79" s="19"/>
      <c r="H79" s="19"/>
      <c r="I79" s="20"/>
      <c r="J79" s="20"/>
      <c r="K79" s="20"/>
      <c r="L79" s="20"/>
      <c r="M79" s="20"/>
      <c r="N79" s="20"/>
      <c r="O79" s="20"/>
      <c r="P79" s="20"/>
    </row>
    <row r="80" spans="1:16" s="30" customFormat="1" x14ac:dyDescent="0.35">
      <c r="C80" s="19"/>
      <c r="D80" s="44"/>
      <c r="E80" s="44"/>
      <c r="F80" s="44"/>
      <c r="G80" s="44"/>
      <c r="H80" s="44"/>
      <c r="I80" s="20"/>
      <c r="J80" s="20"/>
      <c r="K80" s="20"/>
      <c r="L80" s="20"/>
      <c r="M80" s="20"/>
      <c r="N80" s="20"/>
      <c r="O80" s="20"/>
      <c r="P80" s="20"/>
    </row>
    <row r="81" spans="1:16" s="30" customFormat="1" x14ac:dyDescent="0.35">
      <c r="A81" s="29"/>
      <c r="B81" s="20"/>
      <c r="D81" s="29"/>
      <c r="E81" s="44"/>
      <c r="F81" s="44"/>
      <c r="G81" s="44"/>
      <c r="H81" s="44"/>
      <c r="I81" s="20"/>
      <c r="J81" s="58"/>
      <c r="L81" s="44"/>
      <c r="M81" s="20"/>
      <c r="N81" s="29"/>
      <c r="O81" s="20"/>
      <c r="P81" s="20"/>
    </row>
    <row r="82" spans="1:16" s="30" customFormat="1" x14ac:dyDescent="0.35">
      <c r="A82" s="29"/>
      <c r="B82" s="20"/>
      <c r="D82" s="29"/>
      <c r="E82" s="44"/>
      <c r="F82" s="44"/>
      <c r="G82" s="44"/>
      <c r="H82" s="44"/>
      <c r="I82" s="20"/>
      <c r="J82" s="58"/>
      <c r="L82" s="44"/>
      <c r="M82" s="20"/>
      <c r="N82" s="29"/>
      <c r="O82" s="20"/>
      <c r="P82" s="20"/>
    </row>
    <row r="83" spans="1:16" s="30" customFormat="1" x14ac:dyDescent="0.35">
      <c r="A83" s="29"/>
      <c r="B83" s="20"/>
      <c r="D83" s="29"/>
      <c r="E83" s="44"/>
      <c r="F83" s="44"/>
      <c r="G83" s="44"/>
      <c r="H83" s="44"/>
      <c r="I83" s="20"/>
      <c r="J83" s="58"/>
      <c r="L83" s="44"/>
      <c r="M83" s="20"/>
      <c r="N83" s="29"/>
      <c r="O83" s="20"/>
      <c r="P83" s="20"/>
    </row>
    <row r="84" spans="1:16" s="30" customFormat="1" ht="21" x14ac:dyDescent="0.5">
      <c r="A84" s="65"/>
      <c r="B84" s="66"/>
      <c r="C84" s="67"/>
      <c r="D84" s="65"/>
      <c r="E84" s="68"/>
      <c r="F84" s="68"/>
      <c r="G84" s="68"/>
      <c r="H84" s="68"/>
      <c r="I84" s="66"/>
      <c r="J84" s="68"/>
      <c r="K84" s="69"/>
      <c r="L84" s="70"/>
      <c r="M84" s="69"/>
      <c r="N84" s="65"/>
      <c r="O84" s="20"/>
      <c r="P84" s="20"/>
    </row>
    <row r="85" spans="1:16" s="30" customFormat="1" ht="21" x14ac:dyDescent="0.5">
      <c r="A85" s="65"/>
      <c r="B85" s="66"/>
      <c r="C85" s="67"/>
      <c r="D85" s="65"/>
      <c r="E85" s="68"/>
      <c r="F85" s="68"/>
      <c r="G85" s="68"/>
      <c r="H85" s="68"/>
      <c r="I85" s="66"/>
      <c r="J85" s="68"/>
      <c r="K85" s="69"/>
      <c r="L85" s="70"/>
      <c r="M85" s="69"/>
      <c r="N85" s="65"/>
      <c r="O85" s="20"/>
      <c r="P85" s="20"/>
    </row>
    <row r="86" spans="1:16" s="30" customFormat="1" ht="21" x14ac:dyDescent="0.5">
      <c r="A86" s="65"/>
      <c r="B86" s="66"/>
      <c r="C86" s="67"/>
      <c r="D86" s="66"/>
      <c r="E86" s="68"/>
      <c r="F86" s="68"/>
      <c r="G86" s="68"/>
      <c r="H86" s="68"/>
      <c r="I86" s="66"/>
      <c r="J86" s="68"/>
      <c r="K86" s="69"/>
      <c r="L86" s="70"/>
      <c r="M86" s="69"/>
      <c r="N86" s="65"/>
      <c r="O86" s="20"/>
      <c r="P86" s="20"/>
    </row>
    <row r="87" spans="1:16" s="30" customFormat="1" ht="21" x14ac:dyDescent="0.5">
      <c r="A87" s="65"/>
      <c r="B87" s="66"/>
      <c r="C87" s="67"/>
      <c r="D87" s="66"/>
      <c r="E87" s="68"/>
      <c r="F87" s="68"/>
      <c r="G87" s="68"/>
      <c r="H87" s="68"/>
      <c r="I87" s="66"/>
      <c r="J87" s="68"/>
      <c r="K87" s="69"/>
      <c r="L87" s="70"/>
      <c r="M87" s="69"/>
      <c r="N87" s="65"/>
      <c r="O87" s="20"/>
      <c r="P87" s="20"/>
    </row>
    <row r="88" spans="1:16" s="30" customFormat="1" ht="21" x14ac:dyDescent="0.5">
      <c r="A88" s="65"/>
      <c r="B88" s="66"/>
      <c r="C88" s="67"/>
      <c r="D88" s="66"/>
      <c r="E88" s="68"/>
      <c r="F88" s="68"/>
      <c r="G88" s="68"/>
      <c r="H88" s="68"/>
      <c r="I88" s="66"/>
      <c r="J88" s="68"/>
      <c r="K88" s="69"/>
      <c r="L88" s="70"/>
      <c r="M88" s="69"/>
      <c r="N88" s="65"/>
      <c r="O88" s="20"/>
      <c r="P88" s="20"/>
    </row>
    <row r="89" spans="1:16" s="30" customFormat="1" ht="21" x14ac:dyDescent="0.5">
      <c r="A89" s="65"/>
      <c r="B89" s="66"/>
      <c r="C89" s="67"/>
      <c r="D89" s="66"/>
      <c r="E89" s="68"/>
      <c r="F89" s="68"/>
      <c r="G89" s="68"/>
      <c r="H89" s="68"/>
      <c r="I89" s="66"/>
      <c r="J89" s="68"/>
      <c r="K89" s="69"/>
      <c r="L89" s="70"/>
      <c r="M89" s="69"/>
      <c r="N89" s="65"/>
      <c r="O89" s="20"/>
      <c r="P89" s="20"/>
    </row>
    <row r="90" spans="1:16" s="30" customFormat="1" ht="21" x14ac:dyDescent="0.5">
      <c r="A90" s="65"/>
      <c r="B90" s="66"/>
      <c r="C90" s="67"/>
      <c r="D90" s="66"/>
      <c r="E90" s="66"/>
      <c r="F90" s="66"/>
      <c r="G90" s="66"/>
      <c r="H90" s="66"/>
      <c r="I90" s="66"/>
      <c r="J90" s="68"/>
      <c r="K90" s="69"/>
      <c r="L90" s="69"/>
      <c r="M90" s="69"/>
      <c r="N90" s="71"/>
      <c r="O90" s="20"/>
      <c r="P90" s="20"/>
    </row>
    <row r="91" spans="1:16" s="30" customFormat="1" ht="21" x14ac:dyDescent="0.5">
      <c r="A91" s="65"/>
      <c r="B91" s="66"/>
      <c r="C91" s="67"/>
      <c r="D91" s="66"/>
      <c r="E91" s="66"/>
      <c r="F91" s="66"/>
      <c r="G91" s="66"/>
      <c r="H91" s="66"/>
      <c r="I91" s="66"/>
      <c r="J91" s="68"/>
      <c r="K91" s="69"/>
      <c r="L91" s="69"/>
      <c r="M91" s="69"/>
      <c r="N91" s="71"/>
      <c r="O91" s="20"/>
      <c r="P91" s="20"/>
    </row>
    <row r="92" spans="1:16" s="30" customFormat="1" ht="21" x14ac:dyDescent="0.5">
      <c r="A92" s="65"/>
      <c r="B92" s="66"/>
      <c r="C92" s="66"/>
      <c r="D92" s="66"/>
      <c r="E92" s="66"/>
      <c r="F92" s="66"/>
      <c r="G92" s="66"/>
      <c r="H92" s="66"/>
      <c r="I92" s="66"/>
      <c r="J92" s="66"/>
      <c r="K92" s="69"/>
      <c r="L92" s="69"/>
      <c r="M92" s="69"/>
      <c r="N92" s="65"/>
      <c r="O92" s="20"/>
      <c r="P92" s="20"/>
    </row>
    <row r="93" spans="1:16" s="30" customFormat="1" ht="21" x14ac:dyDescent="0.5">
      <c r="A93" s="65"/>
      <c r="B93" s="66"/>
      <c r="C93" s="66"/>
      <c r="D93" s="66"/>
      <c r="E93" s="66"/>
      <c r="F93" s="66"/>
      <c r="G93" s="66"/>
      <c r="H93" s="66"/>
      <c r="I93" s="66"/>
      <c r="J93" s="66"/>
      <c r="K93" s="69"/>
      <c r="L93" s="69"/>
      <c r="M93" s="69"/>
      <c r="N93" s="65"/>
      <c r="O93" s="20"/>
      <c r="P93" s="20"/>
    </row>
    <row r="94" spans="1:16" s="30" customFormat="1" ht="21" x14ac:dyDescent="0.5">
      <c r="A94" s="65"/>
      <c r="B94" s="66"/>
      <c r="C94" s="66"/>
      <c r="D94" s="66"/>
      <c r="E94" s="66"/>
      <c r="F94" s="66"/>
      <c r="G94" s="66"/>
      <c r="H94" s="66"/>
      <c r="I94" s="66"/>
      <c r="J94" s="66"/>
      <c r="K94" s="69"/>
      <c r="L94" s="69"/>
      <c r="M94" s="69"/>
      <c r="N94" s="65"/>
      <c r="O94" s="20"/>
      <c r="P94" s="20"/>
    </row>
    <row r="95" spans="1:16" s="30" customFormat="1" ht="21" x14ac:dyDescent="0.5">
      <c r="A95" s="65"/>
      <c r="B95" s="66"/>
      <c r="C95" s="66"/>
      <c r="D95" s="66"/>
      <c r="E95" s="66"/>
      <c r="F95" s="66"/>
      <c r="G95" s="66"/>
      <c r="H95" s="66"/>
      <c r="I95" s="66"/>
      <c r="J95" s="66"/>
      <c r="K95" s="69"/>
      <c r="L95" s="69"/>
      <c r="M95" s="69"/>
      <c r="N95" s="65"/>
      <c r="O95" s="20"/>
      <c r="P95" s="20"/>
    </row>
    <row r="96" spans="1:16" s="30" customFormat="1" ht="21" x14ac:dyDescent="0.5">
      <c r="A96" s="65"/>
      <c r="B96" s="66"/>
      <c r="C96" s="66"/>
      <c r="D96" s="66"/>
      <c r="E96" s="66"/>
      <c r="F96" s="66"/>
      <c r="G96" s="66"/>
      <c r="H96" s="66"/>
      <c r="I96" s="66"/>
      <c r="J96" s="66"/>
      <c r="K96" s="69"/>
      <c r="L96" s="69"/>
      <c r="M96" s="69"/>
      <c r="N96" s="65"/>
      <c r="O96" s="20"/>
      <c r="P96" s="20"/>
    </row>
    <row r="97" spans="1:17" s="30" customFormat="1" ht="21" x14ac:dyDescent="0.5">
      <c r="A97" s="65"/>
      <c r="B97" s="66"/>
      <c r="C97" s="66"/>
      <c r="D97" s="66"/>
      <c r="E97" s="66"/>
      <c r="F97" s="66"/>
      <c r="G97" s="66"/>
      <c r="H97" s="66"/>
      <c r="I97" s="66"/>
      <c r="J97" s="66"/>
      <c r="K97" s="69"/>
      <c r="L97" s="69"/>
      <c r="M97" s="69"/>
      <c r="N97" s="65"/>
      <c r="O97" s="20"/>
      <c r="P97" s="20"/>
    </row>
    <row r="98" spans="1:17" s="30" customFormat="1" ht="21" x14ac:dyDescent="0.5">
      <c r="A98" s="65"/>
      <c r="B98" s="66"/>
      <c r="C98" s="66"/>
      <c r="D98" s="66"/>
      <c r="E98" s="66"/>
      <c r="F98" s="66"/>
      <c r="G98" s="66"/>
      <c r="H98" s="66"/>
      <c r="I98" s="66"/>
      <c r="J98" s="66"/>
      <c r="K98" s="69"/>
      <c r="L98" s="69"/>
      <c r="M98" s="69"/>
      <c r="N98" s="65"/>
      <c r="O98" s="20"/>
      <c r="P98" s="20"/>
    </row>
    <row r="99" spans="1:17" s="30" customFormat="1" ht="21" x14ac:dyDescent="0.5">
      <c r="A99" s="65"/>
      <c r="B99" s="66"/>
      <c r="C99" s="66"/>
      <c r="D99" s="66"/>
      <c r="E99" s="66"/>
      <c r="F99" s="66"/>
      <c r="G99" s="66"/>
      <c r="H99" s="66"/>
      <c r="I99" s="66"/>
      <c r="J99" s="66"/>
      <c r="K99" s="69"/>
      <c r="L99" s="69"/>
      <c r="M99" s="69"/>
      <c r="N99" s="65"/>
      <c r="O99" s="20"/>
      <c r="P99" s="20"/>
    </row>
    <row r="100" spans="1:17" s="30" customFormat="1" ht="21" x14ac:dyDescent="0.5">
      <c r="A100" s="65"/>
      <c r="B100" s="66"/>
      <c r="C100" s="72"/>
      <c r="D100" s="66"/>
      <c r="E100" s="66"/>
      <c r="F100" s="66"/>
      <c r="G100" s="66"/>
      <c r="H100" s="66"/>
      <c r="I100" s="66"/>
      <c r="J100" s="66"/>
      <c r="K100" s="69"/>
      <c r="L100" s="69"/>
      <c r="M100" s="69"/>
      <c r="N100" s="65"/>
      <c r="P100" s="20"/>
    </row>
    <row r="101" spans="1:17" s="30" customFormat="1" ht="21" x14ac:dyDescent="0.5">
      <c r="A101" s="65"/>
      <c r="B101" s="66"/>
      <c r="C101" s="66"/>
      <c r="D101" s="66"/>
      <c r="E101" s="66"/>
      <c r="F101" s="66"/>
      <c r="G101" s="66"/>
      <c r="H101" s="66"/>
      <c r="I101" s="66"/>
      <c r="J101" s="66"/>
      <c r="K101" s="69"/>
      <c r="L101" s="69"/>
      <c r="M101" s="69"/>
      <c r="N101" s="65"/>
      <c r="O101" s="20"/>
      <c r="P101" s="20"/>
      <c r="Q101" s="20"/>
    </row>
    <row r="102" spans="1:17" s="30" customFormat="1" ht="21" x14ac:dyDescent="0.5">
      <c r="A102" s="65"/>
      <c r="B102" s="66"/>
      <c r="C102" s="66"/>
      <c r="D102" s="66"/>
      <c r="E102" s="66"/>
      <c r="F102" s="66"/>
      <c r="G102" s="66"/>
      <c r="H102" s="66"/>
      <c r="I102" s="66"/>
      <c r="J102" s="66"/>
      <c r="K102" s="69"/>
      <c r="L102" s="69"/>
      <c r="M102" s="69"/>
      <c r="N102" s="65"/>
      <c r="O102" s="20"/>
      <c r="P102" s="20"/>
    </row>
    <row r="103" spans="1:17" s="30" customFormat="1" ht="21" x14ac:dyDescent="0.5">
      <c r="A103" s="65"/>
      <c r="B103" s="66"/>
      <c r="C103" s="66"/>
      <c r="D103" s="66"/>
      <c r="E103" s="66"/>
      <c r="F103" s="66"/>
      <c r="G103" s="66"/>
      <c r="H103" s="66"/>
      <c r="I103" s="66"/>
      <c r="J103" s="66"/>
      <c r="K103" s="69"/>
      <c r="L103" s="69"/>
      <c r="M103" s="69"/>
      <c r="N103" s="65"/>
      <c r="O103" s="20"/>
      <c r="P103" s="20"/>
    </row>
    <row r="104" spans="1:17" s="30" customFormat="1" ht="21" x14ac:dyDescent="0.5">
      <c r="A104" s="65"/>
      <c r="B104" s="66"/>
      <c r="C104" s="66"/>
      <c r="D104" s="66"/>
      <c r="E104" s="66"/>
      <c r="F104" s="66"/>
      <c r="G104" s="66"/>
      <c r="H104" s="66"/>
      <c r="I104" s="66"/>
      <c r="J104" s="66"/>
      <c r="K104" s="69"/>
      <c r="L104" s="69"/>
      <c r="M104" s="69"/>
      <c r="N104" s="65"/>
      <c r="O104" s="20"/>
      <c r="P104" s="20"/>
    </row>
    <row r="105" spans="1:17" s="30" customFormat="1" ht="21" x14ac:dyDescent="0.5">
      <c r="A105" s="65"/>
      <c r="B105" s="66"/>
      <c r="C105" s="66"/>
      <c r="D105" s="66"/>
      <c r="E105" s="66"/>
      <c r="F105" s="66"/>
      <c r="G105" s="66"/>
      <c r="H105" s="66"/>
      <c r="I105" s="66"/>
      <c r="J105" s="66"/>
      <c r="K105" s="69"/>
      <c r="L105" s="69"/>
      <c r="M105" s="69"/>
      <c r="N105" s="65"/>
      <c r="O105" s="20"/>
      <c r="P105" s="20"/>
    </row>
    <row r="106" spans="1:17" s="30" customFormat="1" ht="21" x14ac:dyDescent="0.5">
      <c r="A106" s="65"/>
      <c r="B106" s="66"/>
      <c r="C106" s="66"/>
      <c r="D106" s="66"/>
      <c r="E106" s="66"/>
      <c r="F106" s="66"/>
      <c r="G106" s="66"/>
      <c r="H106" s="66"/>
      <c r="I106" s="66"/>
      <c r="J106" s="66"/>
      <c r="K106" s="69"/>
      <c r="L106" s="69"/>
      <c r="M106" s="69"/>
      <c r="N106" s="65"/>
      <c r="O106" s="20"/>
      <c r="P106" s="20"/>
    </row>
    <row r="107" spans="1:17" s="30" customFormat="1" ht="21" x14ac:dyDescent="0.5">
      <c r="A107" s="65"/>
      <c r="B107" s="66"/>
      <c r="C107" s="66"/>
      <c r="D107" s="66"/>
      <c r="E107" s="66"/>
      <c r="F107" s="66"/>
      <c r="G107" s="66"/>
      <c r="H107" s="66"/>
      <c r="I107" s="66"/>
      <c r="J107" s="66"/>
      <c r="K107" s="69"/>
      <c r="L107" s="69"/>
      <c r="M107" s="69"/>
      <c r="N107" s="65"/>
      <c r="O107" s="20"/>
      <c r="P107" s="20"/>
    </row>
    <row r="108" spans="1:17" s="30" customFormat="1" ht="21" x14ac:dyDescent="0.5">
      <c r="A108" s="65"/>
      <c r="B108" s="66"/>
      <c r="C108" s="66"/>
      <c r="D108" s="66"/>
      <c r="E108" s="66"/>
      <c r="F108" s="66"/>
      <c r="G108" s="66"/>
      <c r="H108" s="66"/>
      <c r="I108" s="66"/>
      <c r="J108" s="66"/>
      <c r="K108" s="69"/>
      <c r="L108" s="69"/>
      <c r="M108" s="69"/>
      <c r="N108" s="65"/>
      <c r="O108" s="20"/>
      <c r="P108" s="20"/>
    </row>
    <row r="109" spans="1:17" s="30" customFormat="1" ht="21" x14ac:dyDescent="0.5">
      <c r="A109" s="65"/>
      <c r="B109" s="66"/>
      <c r="C109" s="66"/>
      <c r="D109" s="66"/>
      <c r="E109" s="66"/>
      <c r="F109" s="66"/>
      <c r="G109" s="66"/>
      <c r="H109" s="66"/>
      <c r="I109" s="66"/>
      <c r="J109" s="66"/>
      <c r="K109" s="69"/>
      <c r="L109" s="69"/>
      <c r="M109" s="69"/>
      <c r="N109" s="65"/>
      <c r="O109" s="20"/>
      <c r="P109" s="20"/>
    </row>
    <row r="110" spans="1:17" s="30" customFormat="1" ht="21" x14ac:dyDescent="0.5">
      <c r="A110" s="65"/>
      <c r="B110" s="66"/>
      <c r="C110" s="66"/>
      <c r="D110" s="66"/>
      <c r="E110" s="66"/>
      <c r="F110" s="66"/>
      <c r="G110" s="66"/>
      <c r="H110" s="66"/>
      <c r="I110" s="66"/>
      <c r="J110" s="66"/>
      <c r="K110" s="69"/>
      <c r="L110" s="69"/>
      <c r="M110" s="69"/>
      <c r="N110" s="65"/>
      <c r="O110" s="20"/>
      <c r="P110" s="20"/>
    </row>
    <row r="111" spans="1:17" s="30" customFormat="1" ht="21" x14ac:dyDescent="0.5">
      <c r="A111" s="65"/>
      <c r="B111" s="66"/>
      <c r="C111" s="66"/>
      <c r="D111" s="66"/>
      <c r="E111" s="74"/>
      <c r="F111" s="66"/>
      <c r="G111" s="66"/>
      <c r="H111" s="66"/>
      <c r="I111" s="66"/>
      <c r="J111" s="66"/>
      <c r="K111" s="69"/>
      <c r="L111" s="69"/>
      <c r="M111" s="69"/>
      <c r="N111" s="65"/>
      <c r="O111" s="20"/>
      <c r="P111" s="20"/>
    </row>
    <row r="112" spans="1:17" s="30" customFormat="1" ht="21" x14ac:dyDescent="0.5">
      <c r="A112" s="65"/>
      <c r="B112" s="66"/>
      <c r="C112" s="66"/>
      <c r="D112" s="66"/>
      <c r="E112" s="74"/>
      <c r="F112" s="66"/>
      <c r="G112" s="66"/>
      <c r="H112" s="66"/>
      <c r="I112" s="66"/>
      <c r="J112" s="66"/>
      <c r="K112" s="69"/>
      <c r="L112" s="69"/>
      <c r="M112" s="69"/>
      <c r="N112" s="65"/>
      <c r="O112" s="20"/>
      <c r="P112" s="20"/>
    </row>
    <row r="113" spans="1:16" s="30" customFormat="1" ht="21" x14ac:dyDescent="0.5">
      <c r="A113" s="65"/>
      <c r="B113" s="66"/>
      <c r="C113" s="66"/>
      <c r="D113" s="66"/>
      <c r="E113" s="74"/>
      <c r="F113" s="66"/>
      <c r="G113" s="66"/>
      <c r="H113" s="66"/>
      <c r="I113" s="66"/>
      <c r="J113" s="66"/>
      <c r="K113" s="69"/>
      <c r="L113" s="69"/>
      <c r="M113" s="69"/>
      <c r="N113" s="65"/>
      <c r="O113" s="20"/>
      <c r="P113" s="27"/>
    </row>
    <row r="114" spans="1:16" s="30" customFormat="1" ht="21" x14ac:dyDescent="0.5">
      <c r="A114" s="65"/>
      <c r="B114" s="66"/>
      <c r="C114" s="66"/>
      <c r="D114" s="66"/>
      <c r="E114" s="66"/>
      <c r="F114" s="66"/>
      <c r="G114" s="66"/>
      <c r="H114" s="66"/>
      <c r="I114" s="66"/>
      <c r="J114" s="66"/>
      <c r="K114" s="69"/>
      <c r="L114" s="69"/>
      <c r="M114" s="69"/>
      <c r="N114" s="65"/>
      <c r="O114" s="20"/>
      <c r="P114" s="20"/>
    </row>
    <row r="115" spans="1:16" s="30" customFormat="1" ht="21" x14ac:dyDescent="0.5">
      <c r="A115" s="65"/>
      <c r="B115" s="66"/>
      <c r="C115" s="66"/>
      <c r="D115" s="66"/>
      <c r="E115" s="66"/>
      <c r="F115" s="66"/>
      <c r="G115" s="66"/>
      <c r="H115" s="66"/>
      <c r="I115" s="66"/>
      <c r="J115" s="66"/>
      <c r="K115" s="69"/>
      <c r="L115" s="69"/>
      <c r="M115" s="69"/>
      <c r="N115" s="65"/>
      <c r="O115" s="20"/>
      <c r="P115" s="20"/>
    </row>
    <row r="116" spans="1:16" s="30" customFormat="1" ht="21" x14ac:dyDescent="0.5">
      <c r="A116" s="65"/>
      <c r="B116" s="66"/>
      <c r="C116" s="66"/>
      <c r="D116" s="66"/>
      <c r="E116" s="66"/>
      <c r="F116" s="66"/>
      <c r="G116" s="66"/>
      <c r="H116" s="66"/>
      <c r="I116" s="66"/>
      <c r="J116" s="66"/>
      <c r="K116" s="69"/>
      <c r="L116" s="69"/>
      <c r="M116" s="69"/>
      <c r="N116" s="65"/>
      <c r="O116" s="20"/>
      <c r="P116" s="20"/>
    </row>
    <row r="117" spans="1:16" s="30" customFormat="1" ht="21" x14ac:dyDescent="0.5">
      <c r="A117" s="65"/>
      <c r="B117" s="66"/>
      <c r="C117" s="66"/>
      <c r="D117" s="66"/>
      <c r="E117" s="66"/>
      <c r="F117" s="66"/>
      <c r="G117" s="66"/>
      <c r="H117" s="66"/>
      <c r="I117" s="66"/>
      <c r="J117" s="66"/>
      <c r="K117" s="69"/>
      <c r="L117" s="69"/>
      <c r="M117" s="69"/>
      <c r="N117" s="65"/>
      <c r="O117" s="20"/>
      <c r="P117" s="20"/>
    </row>
    <row r="118" spans="1:16" s="30" customFormat="1" ht="21" x14ac:dyDescent="0.5">
      <c r="A118" s="65"/>
      <c r="B118" s="66"/>
      <c r="C118" s="66"/>
      <c r="D118" s="66"/>
      <c r="E118" s="66"/>
      <c r="F118" s="66"/>
      <c r="G118" s="66"/>
      <c r="H118" s="66"/>
      <c r="I118" s="66"/>
      <c r="J118" s="66"/>
      <c r="K118" s="69"/>
      <c r="L118" s="69"/>
      <c r="M118" s="69"/>
      <c r="N118" s="65"/>
      <c r="O118" s="20"/>
      <c r="P118" s="20"/>
    </row>
    <row r="119" spans="1:16" s="30" customFormat="1" ht="21" x14ac:dyDescent="0.5">
      <c r="A119" s="65"/>
      <c r="B119" s="66"/>
      <c r="C119" s="66"/>
      <c r="D119" s="66"/>
      <c r="E119" s="66"/>
      <c r="F119" s="66"/>
      <c r="G119" s="66"/>
      <c r="H119" s="66"/>
      <c r="I119" s="66"/>
      <c r="J119" s="66"/>
      <c r="K119" s="69"/>
      <c r="L119" s="69"/>
      <c r="M119" s="69"/>
      <c r="N119" s="65"/>
      <c r="O119" s="20"/>
      <c r="P119" s="20"/>
    </row>
    <row r="120" spans="1:16" s="30" customFormat="1" ht="21" x14ac:dyDescent="0.5">
      <c r="A120" s="65"/>
      <c r="B120" s="66"/>
      <c r="C120" s="66"/>
      <c r="D120" s="66"/>
      <c r="E120" s="66"/>
      <c r="F120" s="66"/>
      <c r="G120" s="66"/>
      <c r="H120" s="66"/>
      <c r="I120" s="66"/>
      <c r="J120" s="66"/>
      <c r="K120" s="69"/>
      <c r="L120" s="69"/>
      <c r="M120" s="69"/>
      <c r="N120" s="65"/>
      <c r="O120" s="20"/>
      <c r="P120" s="20"/>
    </row>
    <row r="121" spans="1:16" s="30" customFormat="1" ht="21" x14ac:dyDescent="0.5">
      <c r="A121" s="65"/>
      <c r="B121" s="66"/>
      <c r="C121" s="66"/>
      <c r="D121" s="66"/>
      <c r="E121" s="66"/>
      <c r="F121" s="66"/>
      <c r="G121" s="66"/>
      <c r="H121" s="66"/>
      <c r="I121" s="66"/>
      <c r="J121" s="66"/>
      <c r="K121" s="69"/>
      <c r="L121" s="69"/>
      <c r="M121" s="69"/>
      <c r="N121" s="65"/>
      <c r="O121" s="20"/>
      <c r="P121" s="20"/>
    </row>
    <row r="122" spans="1:16" s="30" customFormat="1" ht="21" x14ac:dyDescent="0.5">
      <c r="A122" s="65"/>
      <c r="B122" s="66"/>
      <c r="C122" s="66"/>
      <c r="D122" s="66"/>
      <c r="E122" s="66"/>
      <c r="F122" s="66"/>
      <c r="G122" s="66"/>
      <c r="H122" s="66"/>
      <c r="I122" s="66"/>
      <c r="J122" s="66"/>
      <c r="K122" s="69"/>
      <c r="L122" s="69"/>
      <c r="M122" s="69"/>
      <c r="N122" s="65"/>
      <c r="O122" s="20"/>
      <c r="P122" s="20"/>
    </row>
    <row r="123" spans="1:16" s="30" customFormat="1" ht="21" x14ac:dyDescent="0.5">
      <c r="A123" s="65"/>
      <c r="B123" s="66"/>
      <c r="C123" s="66"/>
      <c r="D123" s="66"/>
      <c r="E123" s="66"/>
      <c r="F123" s="66"/>
      <c r="G123" s="66"/>
      <c r="H123" s="66"/>
      <c r="I123" s="66"/>
      <c r="J123" s="66"/>
      <c r="K123" s="69"/>
      <c r="L123" s="69"/>
      <c r="M123" s="69"/>
      <c r="N123" s="65"/>
      <c r="O123" s="20"/>
      <c r="P123" s="20"/>
    </row>
    <row r="124" spans="1:16" s="30" customFormat="1" ht="21" x14ac:dyDescent="0.5">
      <c r="A124" s="65"/>
      <c r="B124" s="66"/>
      <c r="C124" s="66"/>
      <c r="D124" s="66"/>
      <c r="E124" s="66"/>
      <c r="F124" s="66"/>
      <c r="G124" s="66"/>
      <c r="H124" s="66"/>
      <c r="I124" s="66"/>
      <c r="J124" s="66"/>
      <c r="K124" s="69"/>
      <c r="L124" s="69"/>
      <c r="M124" s="69"/>
      <c r="N124" s="65"/>
      <c r="O124" s="20"/>
      <c r="P124" s="20"/>
    </row>
    <row r="125" spans="1:16" s="30" customFormat="1" ht="21" x14ac:dyDescent="0.5">
      <c r="A125" s="65"/>
      <c r="B125" s="66"/>
      <c r="C125" s="66"/>
      <c r="D125" s="66"/>
      <c r="E125" s="66"/>
      <c r="F125" s="66"/>
      <c r="G125" s="66"/>
      <c r="H125" s="66"/>
      <c r="I125" s="66"/>
      <c r="J125" s="66"/>
      <c r="K125" s="69"/>
      <c r="L125" s="69"/>
      <c r="M125" s="69"/>
      <c r="N125" s="65"/>
      <c r="O125" s="20"/>
      <c r="P125" s="20"/>
    </row>
    <row r="126" spans="1:16" s="30" customFormat="1" ht="21" x14ac:dyDescent="0.5">
      <c r="A126" s="65"/>
      <c r="B126" s="66"/>
      <c r="C126" s="66"/>
      <c r="D126" s="66"/>
      <c r="E126" s="66"/>
      <c r="F126" s="66"/>
      <c r="G126" s="66"/>
      <c r="H126" s="66"/>
      <c r="I126" s="66"/>
      <c r="J126" s="66"/>
      <c r="K126" s="69"/>
      <c r="L126" s="69"/>
      <c r="M126" s="69"/>
      <c r="N126" s="65"/>
      <c r="O126" s="20"/>
      <c r="P126" s="20"/>
    </row>
    <row r="127" spans="1:16" s="30" customFormat="1" ht="18.5" x14ac:dyDescent="0.45">
      <c r="A127" s="65"/>
      <c r="B127" s="20"/>
      <c r="C127" s="66"/>
      <c r="D127" s="20"/>
      <c r="E127" s="20"/>
      <c r="F127" s="20"/>
      <c r="G127" s="20"/>
      <c r="H127" s="20"/>
      <c r="I127" s="20"/>
      <c r="J127" s="20"/>
      <c r="K127" s="20"/>
      <c r="L127" s="20"/>
      <c r="M127" s="20"/>
      <c r="N127" s="29"/>
      <c r="O127" s="20"/>
      <c r="P127" s="20"/>
    </row>
    <row r="128" spans="1:16" s="30" customFormat="1" ht="18.5" x14ac:dyDescent="0.45">
      <c r="B128" s="20"/>
      <c r="C128" s="66"/>
      <c r="D128" s="20"/>
      <c r="E128" s="20"/>
      <c r="F128" s="20"/>
      <c r="G128" s="20"/>
      <c r="H128" s="20"/>
      <c r="I128" s="20"/>
      <c r="J128" s="20"/>
      <c r="K128" s="20"/>
      <c r="L128" s="20"/>
      <c r="M128" s="20"/>
      <c r="N128" s="29"/>
      <c r="O128" s="20"/>
      <c r="P128" s="20"/>
    </row>
    <row r="129" spans="1:19" s="30" customFormat="1" ht="18.5" x14ac:dyDescent="0.45">
      <c r="C129" s="66"/>
      <c r="D129" s="20"/>
      <c r="E129" s="20"/>
      <c r="F129" s="20"/>
      <c r="G129" s="20"/>
      <c r="H129" s="20"/>
      <c r="I129" s="20"/>
      <c r="J129" s="20"/>
      <c r="K129" s="20"/>
      <c r="L129" s="20"/>
      <c r="M129" s="20"/>
      <c r="N129" s="20"/>
      <c r="O129" s="20"/>
      <c r="P129" s="20"/>
    </row>
    <row r="130" spans="1:19" s="30" customFormat="1" ht="18.5" x14ac:dyDescent="0.45">
      <c r="A130" s="76"/>
      <c r="B130" s="72"/>
      <c r="C130" s="66"/>
      <c r="D130" s="20"/>
      <c r="E130" s="20"/>
      <c r="F130" s="20"/>
      <c r="G130" s="20"/>
      <c r="H130" s="20"/>
      <c r="I130" s="20"/>
      <c r="J130" s="20"/>
      <c r="K130" s="20"/>
      <c r="L130" s="20"/>
      <c r="M130" s="20"/>
      <c r="N130" s="20"/>
      <c r="O130" s="20"/>
      <c r="P130" s="20"/>
    </row>
    <row r="131" spans="1:19" s="30" customFormat="1" ht="18.5" x14ac:dyDescent="0.45">
      <c r="A131" s="72"/>
      <c r="B131" s="72"/>
      <c r="C131" s="66"/>
      <c r="D131" s="42"/>
      <c r="E131" s="20"/>
      <c r="F131" s="20"/>
      <c r="G131" s="20"/>
      <c r="H131" s="20"/>
      <c r="I131" s="20"/>
      <c r="J131" s="20"/>
      <c r="K131" s="20"/>
      <c r="L131" s="20"/>
      <c r="M131" s="20"/>
      <c r="N131" s="20"/>
      <c r="O131" s="20"/>
      <c r="P131" s="20"/>
    </row>
    <row r="132" spans="1:19" s="30" customFormat="1" ht="18.5" x14ac:dyDescent="0.45">
      <c r="A132" s="72"/>
      <c r="B132" s="72"/>
      <c r="C132" s="66"/>
      <c r="D132" s="77"/>
      <c r="E132" s="77"/>
      <c r="F132" s="77"/>
      <c r="G132" s="77"/>
      <c r="H132" s="77"/>
      <c r="I132" s="77"/>
      <c r="J132" s="77"/>
      <c r="K132" s="77"/>
      <c r="L132" s="77"/>
      <c r="M132" s="77"/>
      <c r="N132" s="77"/>
      <c r="O132" s="77"/>
      <c r="P132" s="20"/>
    </row>
    <row r="133" spans="1:19" s="30" customFormat="1" ht="18.5" x14ac:dyDescent="0.45">
      <c r="A133" s="72"/>
      <c r="B133" s="72"/>
      <c r="C133" s="66"/>
      <c r="D133" s="77"/>
      <c r="E133" s="78"/>
      <c r="F133" s="77"/>
      <c r="G133" s="77"/>
      <c r="H133" s="77"/>
      <c r="I133" s="77"/>
      <c r="J133" s="77"/>
      <c r="K133" s="77"/>
      <c r="L133" s="77"/>
      <c r="M133" s="77"/>
      <c r="N133" s="77"/>
      <c r="O133" s="77"/>
      <c r="P133" s="77"/>
      <c r="Q133" s="79"/>
      <c r="R133" s="79"/>
      <c r="S133" s="79"/>
    </row>
    <row r="134" spans="1:19" s="30" customFormat="1" ht="18.5" x14ac:dyDescent="0.45">
      <c r="A134" s="76"/>
      <c r="B134" s="72"/>
      <c r="C134" s="66"/>
      <c r="D134" s="77"/>
      <c r="E134" s="77"/>
      <c r="F134" s="77"/>
      <c r="G134" s="77"/>
      <c r="H134" s="77"/>
      <c r="I134" s="77"/>
      <c r="J134" s="77"/>
      <c r="K134" s="77"/>
      <c r="L134" s="77"/>
      <c r="M134" s="77"/>
      <c r="P134" s="77"/>
      <c r="Q134" s="79"/>
      <c r="R134" s="79"/>
      <c r="S134" s="79"/>
    </row>
    <row r="135" spans="1:19" s="30" customFormat="1" ht="18.5" x14ac:dyDescent="0.45">
      <c r="A135" s="76"/>
      <c r="B135" s="72"/>
      <c r="C135" s="66"/>
      <c r="D135" s="77"/>
      <c r="E135" s="77"/>
      <c r="F135" s="77"/>
      <c r="G135" s="77"/>
      <c r="H135" s="77"/>
      <c r="I135" s="77"/>
      <c r="J135" s="77"/>
      <c r="K135" s="77"/>
      <c r="L135" s="77"/>
      <c r="M135" s="77"/>
      <c r="N135" s="77"/>
      <c r="O135" s="77"/>
    </row>
    <row r="136" spans="1:19" s="30" customFormat="1" ht="18.5" x14ac:dyDescent="0.45">
      <c r="A136" s="72"/>
      <c r="B136" s="72"/>
      <c r="C136" s="66"/>
      <c r="D136" s="77"/>
      <c r="E136" s="77"/>
      <c r="F136" s="77"/>
      <c r="G136" s="77"/>
      <c r="H136" s="77"/>
      <c r="I136" s="77"/>
      <c r="J136" s="77"/>
      <c r="K136" s="77"/>
      <c r="L136" s="77"/>
      <c r="M136" s="77"/>
      <c r="N136" s="77"/>
      <c r="O136" s="77"/>
      <c r="P136" s="77"/>
      <c r="Q136" s="79"/>
      <c r="R136" s="79"/>
      <c r="S136" s="79"/>
    </row>
    <row r="137" spans="1:19" s="30" customFormat="1" ht="18.5" x14ac:dyDescent="0.45">
      <c r="A137" s="72"/>
      <c r="B137" s="72"/>
      <c r="C137" s="66"/>
      <c r="D137" s="77"/>
      <c r="E137" s="77"/>
      <c r="F137" s="77"/>
      <c r="G137" s="77"/>
      <c r="H137" s="77"/>
      <c r="I137" s="77"/>
      <c r="J137" s="77"/>
      <c r="K137" s="77"/>
      <c r="L137" s="77"/>
      <c r="M137" s="77"/>
      <c r="N137" s="77"/>
      <c r="O137" s="77"/>
      <c r="P137" s="77"/>
      <c r="Q137" s="79"/>
      <c r="R137" s="79"/>
      <c r="S137" s="79"/>
    </row>
    <row r="138" spans="1:19" s="30" customFormat="1" ht="18.5" x14ac:dyDescent="0.45">
      <c r="A138" s="72"/>
      <c r="B138" s="72"/>
      <c r="C138" s="66"/>
      <c r="D138" s="77"/>
      <c r="E138" s="77"/>
      <c r="F138" s="77"/>
      <c r="G138" s="77"/>
      <c r="H138" s="77"/>
      <c r="I138" s="77"/>
      <c r="J138" s="77"/>
      <c r="K138" s="77"/>
      <c r="L138" s="77"/>
      <c r="M138" s="77"/>
      <c r="N138" s="77"/>
      <c r="O138" s="77"/>
      <c r="P138" s="77"/>
      <c r="Q138" s="79"/>
      <c r="R138" s="79"/>
      <c r="S138" s="79"/>
    </row>
    <row r="139" spans="1:19" s="30" customFormat="1" ht="18.5" x14ac:dyDescent="0.45">
      <c r="A139" s="72"/>
      <c r="B139" s="72"/>
      <c r="C139" s="72"/>
      <c r="D139" s="79"/>
      <c r="E139" s="79"/>
      <c r="F139" s="79"/>
      <c r="G139" s="79"/>
      <c r="H139" s="79"/>
      <c r="I139" s="79"/>
      <c r="J139" s="79"/>
      <c r="K139" s="79"/>
      <c r="L139" s="79"/>
      <c r="M139" s="79"/>
      <c r="N139" s="79"/>
      <c r="O139" s="79"/>
      <c r="P139" s="77"/>
      <c r="Q139" s="79"/>
      <c r="R139" s="79"/>
      <c r="S139" s="79"/>
    </row>
    <row r="140" spans="1:19" s="30" customFormat="1" ht="18.5" x14ac:dyDescent="0.45">
      <c r="A140" s="72"/>
      <c r="B140" s="72"/>
      <c r="C140" s="72"/>
      <c r="D140" s="79"/>
      <c r="E140" s="79"/>
      <c r="F140" s="79"/>
      <c r="G140" s="79"/>
      <c r="H140" s="79"/>
      <c r="I140" s="79"/>
      <c r="J140" s="79"/>
      <c r="K140" s="79"/>
      <c r="L140" s="79"/>
      <c r="M140" s="79"/>
      <c r="N140" s="79"/>
      <c r="O140" s="79"/>
      <c r="P140" s="79"/>
      <c r="Q140" s="79"/>
      <c r="R140" s="79"/>
      <c r="S140" s="79"/>
    </row>
    <row r="141" spans="1:19" s="30" customFormat="1" ht="18.5" x14ac:dyDescent="0.45">
      <c r="A141" s="72"/>
      <c r="B141" s="72"/>
      <c r="C141" s="72"/>
      <c r="D141" s="79"/>
      <c r="E141" s="79"/>
      <c r="F141" s="79"/>
      <c r="G141" s="79"/>
      <c r="H141" s="79"/>
      <c r="I141" s="79"/>
      <c r="J141" s="79"/>
      <c r="K141" s="79"/>
      <c r="L141" s="79"/>
      <c r="M141" s="79"/>
      <c r="N141" s="79"/>
      <c r="O141" s="79"/>
      <c r="P141" s="79"/>
      <c r="Q141" s="79"/>
      <c r="R141" s="79"/>
      <c r="S141" s="79"/>
    </row>
    <row r="142" spans="1:19" s="30" customFormat="1" ht="18.5" x14ac:dyDescent="0.45">
      <c r="A142" s="72"/>
      <c r="B142" s="72"/>
      <c r="C142" s="72"/>
      <c r="D142" s="79"/>
      <c r="E142" s="79"/>
      <c r="F142" s="79"/>
      <c r="G142" s="79"/>
      <c r="H142" s="79"/>
      <c r="I142" s="79"/>
      <c r="J142" s="79"/>
      <c r="K142" s="79"/>
      <c r="L142" s="79"/>
      <c r="M142" s="79"/>
      <c r="N142" s="79"/>
      <c r="O142" s="79"/>
      <c r="P142" s="79"/>
      <c r="Q142" s="79"/>
      <c r="R142" s="79"/>
      <c r="S142" s="79"/>
    </row>
    <row r="143" spans="1:19" s="30" customFormat="1" ht="18.5" x14ac:dyDescent="0.45">
      <c r="A143" s="72"/>
      <c r="B143" s="72"/>
      <c r="C143" s="72"/>
      <c r="D143" s="79"/>
      <c r="E143" s="79"/>
      <c r="F143" s="79"/>
      <c r="G143" s="79"/>
      <c r="H143" s="79"/>
      <c r="I143" s="79"/>
      <c r="J143" s="79"/>
      <c r="K143" s="79"/>
      <c r="L143" s="79"/>
      <c r="M143" s="79"/>
      <c r="N143" s="79"/>
      <c r="O143" s="79"/>
      <c r="P143" s="79"/>
      <c r="Q143" s="79"/>
      <c r="R143" s="79"/>
      <c r="S143" s="79"/>
    </row>
    <row r="144" spans="1:19" s="30" customFormat="1" ht="18.5" x14ac:dyDescent="0.45">
      <c r="A144" s="72"/>
      <c r="B144" s="72"/>
      <c r="C144" s="72"/>
      <c r="D144" s="79"/>
      <c r="E144" s="79"/>
      <c r="F144" s="79"/>
      <c r="G144" s="79"/>
      <c r="H144" s="79"/>
      <c r="I144" s="79"/>
      <c r="J144" s="79"/>
      <c r="K144" s="79"/>
      <c r="L144" s="79"/>
      <c r="M144" s="79"/>
      <c r="N144" s="79"/>
      <c r="O144" s="79"/>
      <c r="P144" s="79"/>
      <c r="Q144" s="79"/>
      <c r="R144" s="79"/>
      <c r="S144" s="79"/>
    </row>
    <row r="145" spans="1:19" s="30" customFormat="1" ht="18.5" x14ac:dyDescent="0.45">
      <c r="A145" s="72"/>
      <c r="B145" s="72"/>
      <c r="P145" s="79"/>
      <c r="Q145" s="79"/>
      <c r="R145" s="79"/>
      <c r="S145" s="79"/>
    </row>
    <row r="146" spans="1:19" s="30" customFormat="1" x14ac:dyDescent="0.35">
      <c r="Q146" s="79"/>
      <c r="R146" s="79"/>
      <c r="S146" s="79"/>
    </row>
    <row r="147" spans="1:19" s="30" customFormat="1" ht="149.25" customHeight="1" x14ac:dyDescent="0.35">
      <c r="Q147" s="79"/>
      <c r="R147" s="79"/>
      <c r="S147" s="79"/>
    </row>
    <row r="148" spans="1:19" s="30" customFormat="1" x14ac:dyDescent="0.35">
      <c r="Q148" s="79"/>
      <c r="R148" s="79"/>
      <c r="S148" s="79"/>
    </row>
    <row r="149" spans="1:19" s="30" customFormat="1" x14ac:dyDescent="0.35">
      <c r="Q149" s="79"/>
      <c r="R149" s="79"/>
      <c r="S149" s="79"/>
    </row>
    <row r="150" spans="1:19" s="30" customFormat="1" x14ac:dyDescent="0.35">
      <c r="Q150" s="79"/>
      <c r="R150" s="79"/>
      <c r="S150" s="79"/>
    </row>
    <row r="151" spans="1:19" s="30" customFormat="1" x14ac:dyDescent="0.35">
      <c r="Q151" s="79"/>
      <c r="R151" s="79"/>
      <c r="S151" s="79"/>
    </row>
    <row r="152" spans="1:19" s="30" customFormat="1" x14ac:dyDescent="0.35">
      <c r="Q152" s="79"/>
      <c r="R152" s="79"/>
      <c r="S152" s="79"/>
    </row>
    <row r="153" spans="1:19" s="30" customFormat="1" x14ac:dyDescent="0.35">
      <c r="Q153" s="79"/>
      <c r="R153" s="79"/>
      <c r="S153" s="79"/>
    </row>
    <row r="154" spans="1:19" s="30" customFormat="1" x14ac:dyDescent="0.35">
      <c r="Q154" s="79"/>
      <c r="R154" s="79"/>
      <c r="S154" s="79"/>
    </row>
    <row r="155" spans="1:19" s="30" customFormat="1" x14ac:dyDescent="0.35">
      <c r="Q155" s="79"/>
      <c r="R155" s="79"/>
      <c r="S155" s="79"/>
    </row>
    <row r="156" spans="1:19" s="30" customFormat="1" x14ac:dyDescent="0.35">
      <c r="Q156" s="79"/>
      <c r="R156" s="79"/>
      <c r="S156" s="79"/>
    </row>
    <row r="157" spans="1:19" s="30" customFormat="1" x14ac:dyDescent="0.35">
      <c r="Q157" s="79"/>
      <c r="R157" s="79"/>
      <c r="S157" s="79"/>
    </row>
    <row r="158" spans="1:19" s="30" customFormat="1" x14ac:dyDescent="0.35">
      <c r="Q158" s="79"/>
      <c r="R158" s="79"/>
      <c r="S158" s="79"/>
    </row>
    <row r="159" spans="1:19" s="30" customFormat="1" x14ac:dyDescent="0.35">
      <c r="Q159" s="79"/>
      <c r="R159" s="79"/>
      <c r="S159" s="79"/>
    </row>
    <row r="160" spans="1:19" s="30" customFormat="1" x14ac:dyDescent="0.35">
      <c r="Q160" s="79"/>
      <c r="R160" s="79"/>
      <c r="S160" s="79"/>
    </row>
    <row r="161" spans="17:19" s="30" customFormat="1" x14ac:dyDescent="0.35">
      <c r="Q161" s="79"/>
      <c r="R161" s="79"/>
      <c r="S161" s="79"/>
    </row>
    <row r="162" spans="17:19" s="30" customFormat="1" x14ac:dyDescent="0.35">
      <c r="Q162" s="79"/>
      <c r="R162" s="79"/>
      <c r="S162" s="79"/>
    </row>
    <row r="163" spans="17:19" s="30" customFormat="1" x14ac:dyDescent="0.35">
      <c r="Q163" s="79"/>
      <c r="R163" s="79"/>
      <c r="S163" s="79"/>
    </row>
    <row r="164" spans="17:19" s="30" customFormat="1" x14ac:dyDescent="0.35">
      <c r="Q164" s="79"/>
      <c r="R164" s="79"/>
      <c r="S164" s="79"/>
    </row>
    <row r="165" spans="17:19" x14ac:dyDescent="0.35">
      <c r="Q165" s="80"/>
      <c r="R165" s="80"/>
      <c r="S165" s="80"/>
    </row>
    <row r="166" spans="17:19" x14ac:dyDescent="0.35">
      <c r="Q166" s="80"/>
      <c r="R166" s="80"/>
      <c r="S166" s="80"/>
    </row>
    <row r="167" spans="17:19" x14ac:dyDescent="0.35">
      <c r="Q167" s="80"/>
      <c r="R167" s="80"/>
      <c r="S167" s="80"/>
    </row>
    <row r="168" spans="17:19" x14ac:dyDescent="0.35">
      <c r="Q168" s="80"/>
      <c r="R168" s="80"/>
      <c r="S168" s="80"/>
    </row>
    <row r="169" spans="17:19" x14ac:dyDescent="0.35">
      <c r="Q169" s="80"/>
      <c r="R169" s="80"/>
      <c r="S169" s="80"/>
    </row>
    <row r="170" spans="17:19" x14ac:dyDescent="0.35">
      <c r="Q170" s="80"/>
      <c r="R170" s="80"/>
      <c r="S170" s="80"/>
    </row>
    <row r="171" spans="17:19" x14ac:dyDescent="0.35">
      <c r="Q171" s="80"/>
      <c r="R171" s="80"/>
      <c r="S171" s="80"/>
    </row>
    <row r="172" spans="17:19" x14ac:dyDescent="0.35">
      <c r="Q172" s="80"/>
      <c r="R172" s="80"/>
      <c r="S172" s="80"/>
    </row>
    <row r="173" spans="17:19" x14ac:dyDescent="0.35">
      <c r="Q173" s="80"/>
      <c r="R173" s="80"/>
      <c r="S173" s="80"/>
    </row>
    <row r="174" spans="17:19" x14ac:dyDescent="0.35">
      <c r="Q174" s="80"/>
      <c r="R174" s="80"/>
      <c r="S174" s="80"/>
    </row>
    <row r="175" spans="17:19" x14ac:dyDescent="0.35">
      <c r="Q175" s="80"/>
      <c r="R175" s="80"/>
      <c r="S175" s="80"/>
    </row>
    <row r="176" spans="17:19" x14ac:dyDescent="0.35">
      <c r="Q176" s="80"/>
      <c r="R176" s="80"/>
      <c r="S176" s="80"/>
    </row>
    <row r="177" spans="17:19" x14ac:dyDescent="0.35">
      <c r="Q177" s="80"/>
      <c r="R177" s="80"/>
      <c r="S177" s="80"/>
    </row>
    <row r="178" spans="17:19" x14ac:dyDescent="0.35">
      <c r="Q178" s="80"/>
      <c r="R178" s="80"/>
      <c r="S178" s="80"/>
    </row>
    <row r="179" spans="17:19" x14ac:dyDescent="0.35">
      <c r="Q179" s="80"/>
      <c r="R179" s="80"/>
      <c r="S179" s="80"/>
    </row>
    <row r="180" spans="17:19" x14ac:dyDescent="0.35">
      <c r="Q180" s="80"/>
      <c r="R180" s="80"/>
      <c r="S180" s="80"/>
    </row>
    <row r="181" spans="17:19" x14ac:dyDescent="0.35">
      <c r="Q181" s="80"/>
      <c r="R181" s="80"/>
      <c r="S181" s="80"/>
    </row>
    <row r="182" spans="17:19" x14ac:dyDescent="0.35">
      <c r="Q182" s="80"/>
      <c r="R182" s="80"/>
      <c r="S182" s="80"/>
    </row>
    <row r="183" spans="17:19" x14ac:dyDescent="0.35">
      <c r="Q183" s="80"/>
      <c r="R183" s="80"/>
      <c r="S183" s="80"/>
    </row>
    <row r="184" spans="17:19" x14ac:dyDescent="0.35">
      <c r="Q184" s="80"/>
      <c r="R184" s="80"/>
      <c r="S184" s="80"/>
    </row>
    <row r="185" spans="17:19" x14ac:dyDescent="0.35">
      <c r="Q185" s="80"/>
      <c r="R185" s="80"/>
      <c r="S185" s="80"/>
    </row>
    <row r="186" spans="17:19" x14ac:dyDescent="0.35">
      <c r="Q186" s="80"/>
      <c r="R186" s="80"/>
      <c r="S186" s="80"/>
    </row>
    <row r="187" spans="17:19" x14ac:dyDescent="0.35">
      <c r="Q187" s="80"/>
      <c r="R187" s="80"/>
      <c r="S187" s="80"/>
    </row>
    <row r="188" spans="17:19" x14ac:dyDescent="0.35">
      <c r="Q188" s="80"/>
      <c r="R188" s="80"/>
      <c r="S188" s="80"/>
    </row>
    <row r="189" spans="17:19" x14ac:dyDescent="0.35">
      <c r="Q189" s="80"/>
      <c r="R189" s="80"/>
      <c r="S189" s="80"/>
    </row>
    <row r="190" spans="17:19" x14ac:dyDescent="0.35">
      <c r="Q190" s="80"/>
      <c r="R190" s="80"/>
      <c r="S190" s="80"/>
    </row>
    <row r="191" spans="17:19" x14ac:dyDescent="0.35">
      <c r="Q191" s="80"/>
      <c r="R191" s="80"/>
      <c r="S191" s="80"/>
    </row>
    <row r="192" spans="17:19" x14ac:dyDescent="0.35">
      <c r="Q192" s="80"/>
      <c r="R192" s="80"/>
      <c r="S192" s="80"/>
    </row>
    <row r="193" spans="17:19" x14ac:dyDescent="0.35">
      <c r="Q193" s="80"/>
      <c r="R193" s="80"/>
      <c r="S193" s="80"/>
    </row>
    <row r="194" spans="17:19" x14ac:dyDescent="0.35">
      <c r="Q194" s="80"/>
      <c r="R194" s="80"/>
      <c r="S194" s="80"/>
    </row>
    <row r="195" spans="17:19" x14ac:dyDescent="0.35">
      <c r="Q195" s="80"/>
      <c r="R195" s="80"/>
      <c r="S195" s="80"/>
    </row>
    <row r="196" spans="17:19" x14ac:dyDescent="0.35">
      <c r="Q196" s="80"/>
      <c r="R196" s="80"/>
      <c r="S196" s="80"/>
    </row>
    <row r="197" spans="17:19" x14ac:dyDescent="0.35">
      <c r="Q197" s="80"/>
      <c r="R197" s="80"/>
      <c r="S197" s="80"/>
    </row>
    <row r="198" spans="17:19" x14ac:dyDescent="0.35">
      <c r="Q198" s="80"/>
      <c r="R198" s="80"/>
      <c r="S198" s="80"/>
    </row>
    <row r="199" spans="17:19" x14ac:dyDescent="0.35">
      <c r="Q199" s="80"/>
      <c r="R199" s="80"/>
      <c r="S199" s="80"/>
    </row>
    <row r="200" spans="17:19" x14ac:dyDescent="0.35">
      <c r="Q200" s="80"/>
      <c r="R200" s="80"/>
      <c r="S200" s="80"/>
    </row>
    <row r="201" spans="17:19" x14ac:dyDescent="0.35">
      <c r="Q201" s="80"/>
      <c r="R201" s="80"/>
      <c r="S201" s="80"/>
    </row>
    <row r="202" spans="17:19" x14ac:dyDescent="0.35">
      <c r="Q202" s="80"/>
      <c r="R202" s="80"/>
      <c r="S202" s="80"/>
    </row>
    <row r="203" spans="17:19" x14ac:dyDescent="0.35">
      <c r="Q203" s="80"/>
      <c r="R203" s="80"/>
      <c r="S203" s="80"/>
    </row>
    <row r="204" spans="17:19" x14ac:dyDescent="0.35">
      <c r="Q204" s="80"/>
      <c r="R204" s="80"/>
      <c r="S204" s="80"/>
    </row>
    <row r="205" spans="17:19" x14ac:dyDescent="0.35">
      <c r="Q205" s="80"/>
      <c r="R205" s="80"/>
      <c r="S205" s="80"/>
    </row>
    <row r="206" spans="17:19" x14ac:dyDescent="0.35">
      <c r="Q206" s="80"/>
      <c r="R206" s="80"/>
      <c r="S206" s="80"/>
    </row>
    <row r="207" spans="17:19" x14ac:dyDescent="0.35">
      <c r="Q207" s="80"/>
      <c r="R207" s="80"/>
      <c r="S207" s="80"/>
    </row>
    <row r="208" spans="17:19" x14ac:dyDescent="0.35">
      <c r="Q208" s="80"/>
      <c r="R208" s="80"/>
      <c r="S208" s="80"/>
    </row>
    <row r="209" spans="17:19" x14ac:dyDescent="0.35">
      <c r="Q209" s="80"/>
      <c r="R209" s="80"/>
      <c r="S209" s="80"/>
    </row>
    <row r="210" spans="17:19" x14ac:dyDescent="0.35">
      <c r="Q210" s="80"/>
      <c r="R210" s="80"/>
      <c r="S210" s="80"/>
    </row>
    <row r="211" spans="17:19" x14ac:dyDescent="0.35">
      <c r="Q211" s="80"/>
      <c r="R211" s="80"/>
      <c r="S211" s="80"/>
    </row>
    <row r="212" spans="17:19" x14ac:dyDescent="0.35">
      <c r="Q212" s="80"/>
      <c r="R212" s="80"/>
      <c r="S212" s="80"/>
    </row>
    <row r="213" spans="17:19" x14ac:dyDescent="0.35">
      <c r="Q213" s="80"/>
      <c r="R213" s="80"/>
      <c r="S213" s="80"/>
    </row>
    <row r="214" spans="17:19" x14ac:dyDescent="0.35">
      <c r="Q214" s="80"/>
      <c r="R214" s="80"/>
      <c r="S214" s="80"/>
    </row>
    <row r="215" spans="17:19" x14ac:dyDescent="0.35">
      <c r="Q215" s="80"/>
      <c r="R215" s="80"/>
      <c r="S215" s="80"/>
    </row>
    <row r="216" spans="17:19" x14ac:dyDescent="0.35">
      <c r="Q216" s="80"/>
      <c r="R216" s="80"/>
      <c r="S216" s="80"/>
    </row>
    <row r="217" spans="17:19" x14ac:dyDescent="0.35">
      <c r="Q217" s="80"/>
      <c r="R217" s="80"/>
      <c r="S217" s="80"/>
    </row>
    <row r="218" spans="17:19" x14ac:dyDescent="0.35">
      <c r="Q218" s="80"/>
      <c r="R218" s="80"/>
      <c r="S218" s="80"/>
    </row>
    <row r="219" spans="17:19" x14ac:dyDescent="0.35">
      <c r="Q219" s="80"/>
      <c r="R219" s="80"/>
      <c r="S219" s="80"/>
    </row>
    <row r="220" spans="17:19" x14ac:dyDescent="0.35">
      <c r="Q220" s="80"/>
      <c r="R220" s="80"/>
      <c r="S220" s="80"/>
    </row>
    <row r="221" spans="17:19" x14ac:dyDescent="0.35">
      <c r="Q221" s="80"/>
      <c r="R221" s="80"/>
      <c r="S221" s="80"/>
    </row>
    <row r="222" spans="17:19" x14ac:dyDescent="0.35">
      <c r="Q222" s="80"/>
      <c r="R222" s="80"/>
      <c r="S222" s="80"/>
    </row>
    <row r="223" spans="17:19" x14ac:dyDescent="0.35">
      <c r="Q223" s="80"/>
      <c r="R223" s="80"/>
      <c r="S223" s="80"/>
    </row>
    <row r="224" spans="17:19" x14ac:dyDescent="0.35">
      <c r="Q224" s="80"/>
      <c r="R224" s="80"/>
      <c r="S224" s="80"/>
    </row>
    <row r="225" spans="17:19" x14ac:dyDescent="0.35">
      <c r="Q225" s="80"/>
      <c r="R225" s="80"/>
      <c r="S225" s="80"/>
    </row>
    <row r="226" spans="17:19" x14ac:dyDescent="0.35">
      <c r="Q226" s="80"/>
      <c r="R226" s="80"/>
      <c r="S226" s="80"/>
    </row>
    <row r="227" spans="17:19" x14ac:dyDescent="0.35">
      <c r="Q227" s="80"/>
      <c r="R227" s="80"/>
      <c r="S227" s="80"/>
    </row>
    <row r="228" spans="17:19" x14ac:dyDescent="0.35">
      <c r="Q228" s="80"/>
      <c r="R228" s="80"/>
      <c r="S228" s="80"/>
    </row>
    <row r="229" spans="17:19" x14ac:dyDescent="0.35">
      <c r="Q229" s="80"/>
      <c r="R229" s="80"/>
      <c r="S229" s="80"/>
    </row>
    <row r="230" spans="17:19" x14ac:dyDescent="0.35">
      <c r="Q230" s="80"/>
      <c r="R230" s="80"/>
      <c r="S230" s="80"/>
    </row>
    <row r="231" spans="17:19" x14ac:dyDescent="0.35">
      <c r="Q231" s="80"/>
      <c r="R231" s="80"/>
      <c r="S231" s="80"/>
    </row>
    <row r="232" spans="17:19" x14ac:dyDescent="0.35">
      <c r="Q232" s="80"/>
      <c r="R232" s="80"/>
      <c r="S232" s="80"/>
    </row>
    <row r="233" spans="17:19" x14ac:dyDescent="0.35">
      <c r="Q233" s="80"/>
      <c r="R233" s="80"/>
      <c r="S233" s="80"/>
    </row>
    <row r="234" spans="17:19" x14ac:dyDescent="0.35">
      <c r="Q234" s="80"/>
      <c r="R234" s="80"/>
      <c r="S234" s="80"/>
    </row>
    <row r="235" spans="17:19" x14ac:dyDescent="0.35">
      <c r="Q235" s="80"/>
      <c r="R235" s="80"/>
      <c r="S235" s="80"/>
    </row>
    <row r="236" spans="17:19" x14ac:dyDescent="0.35">
      <c r="Q236" s="80"/>
      <c r="R236" s="80"/>
      <c r="S236" s="80"/>
    </row>
    <row r="237" spans="17:19" x14ac:dyDescent="0.35">
      <c r="Q237" s="80"/>
      <c r="R237" s="80"/>
      <c r="S237" s="80"/>
    </row>
    <row r="238" spans="17:19" x14ac:dyDescent="0.35">
      <c r="Q238" s="80"/>
      <c r="R238" s="80"/>
      <c r="S238" s="80"/>
    </row>
    <row r="239" spans="17:19" x14ac:dyDescent="0.35">
      <c r="Q239" s="80"/>
      <c r="R239" s="80"/>
      <c r="S239" s="80"/>
    </row>
    <row r="240" spans="17:19" x14ac:dyDescent="0.35">
      <c r="Q240" s="80"/>
      <c r="R240" s="80"/>
      <c r="S240" s="80"/>
    </row>
    <row r="241" spans="17:19" x14ac:dyDescent="0.35">
      <c r="Q241" s="80"/>
      <c r="R241" s="80"/>
      <c r="S241" s="80"/>
    </row>
    <row r="242" spans="17:19" x14ac:dyDescent="0.35">
      <c r="Q242" s="80"/>
      <c r="R242" s="80"/>
      <c r="S242" s="80"/>
    </row>
    <row r="243" spans="17:19" x14ac:dyDescent="0.35">
      <c r="Q243" s="80"/>
      <c r="R243" s="80"/>
      <c r="S243" s="80"/>
    </row>
    <row r="244" spans="17:19" x14ac:dyDescent="0.35">
      <c r="Q244" s="80"/>
      <c r="R244" s="80"/>
      <c r="S244" s="80"/>
    </row>
    <row r="245" spans="17:19" x14ac:dyDescent="0.35">
      <c r="Q245" s="80"/>
      <c r="R245" s="80"/>
      <c r="S245" s="80"/>
    </row>
    <row r="246" spans="17:19" x14ac:dyDescent="0.35">
      <c r="Q246" s="80"/>
      <c r="R246" s="80"/>
      <c r="S246" s="80"/>
    </row>
    <row r="247" spans="17:19" x14ac:dyDescent="0.35">
      <c r="Q247" s="80"/>
      <c r="R247" s="80"/>
      <c r="S247" s="80"/>
    </row>
    <row r="248" spans="17:19" x14ac:dyDescent="0.35">
      <c r="Q248" s="80"/>
      <c r="R248" s="80"/>
      <c r="S248" s="80"/>
    </row>
    <row r="249" spans="17:19" x14ac:dyDescent="0.35">
      <c r="Q249" s="80"/>
      <c r="R249" s="80"/>
      <c r="S249" s="80"/>
    </row>
    <row r="250" spans="17:19" x14ac:dyDescent="0.35">
      <c r="Q250" s="80"/>
      <c r="R250" s="80"/>
      <c r="S250" s="80"/>
    </row>
    <row r="251" spans="17:19" x14ac:dyDescent="0.35">
      <c r="Q251" s="80"/>
      <c r="R251" s="80"/>
      <c r="S251" s="80"/>
    </row>
    <row r="252" spans="17:19" x14ac:dyDescent="0.35">
      <c r="Q252" s="80"/>
      <c r="R252" s="80"/>
      <c r="S252" s="80"/>
    </row>
    <row r="253" spans="17:19" x14ac:dyDescent="0.35">
      <c r="Q253" s="80"/>
      <c r="R253" s="80"/>
      <c r="S253" s="80"/>
    </row>
    <row r="254" spans="17:19" x14ac:dyDescent="0.35">
      <c r="Q254" s="80"/>
      <c r="R254" s="80"/>
      <c r="S254" s="80"/>
    </row>
    <row r="255" spans="17:19" x14ac:dyDescent="0.35">
      <c r="Q255" s="80"/>
      <c r="R255" s="80"/>
      <c r="S255" s="80"/>
    </row>
    <row r="256" spans="17:19" x14ac:dyDescent="0.35">
      <c r="Q256" s="80"/>
      <c r="R256" s="80"/>
      <c r="S256" s="80"/>
    </row>
    <row r="257" spans="17:19" x14ac:dyDescent="0.35">
      <c r="Q257" s="80"/>
      <c r="R257" s="80"/>
      <c r="S257" s="80"/>
    </row>
    <row r="258" spans="17:19" x14ac:dyDescent="0.35">
      <c r="Q258" s="80"/>
      <c r="R258" s="80"/>
      <c r="S258" s="80"/>
    </row>
    <row r="259" spans="17:19" x14ac:dyDescent="0.35">
      <c r="Q259" s="80"/>
      <c r="R259" s="80"/>
      <c r="S259" s="80"/>
    </row>
    <row r="260" spans="17:19" x14ac:dyDescent="0.35">
      <c r="Q260" s="80"/>
      <c r="R260" s="80"/>
      <c r="S260" s="80"/>
    </row>
    <row r="261" spans="17:19" x14ac:dyDescent="0.35">
      <c r="Q261" s="80"/>
      <c r="R261" s="80"/>
      <c r="S261" s="80"/>
    </row>
    <row r="262" spans="17:19" x14ac:dyDescent="0.35">
      <c r="Q262" s="80"/>
      <c r="R262" s="80"/>
      <c r="S262" s="80"/>
    </row>
    <row r="263" spans="17:19" x14ac:dyDescent="0.35">
      <c r="Q263" s="80"/>
      <c r="R263" s="80"/>
      <c r="S263" s="80"/>
    </row>
    <row r="264" spans="17:19" x14ac:dyDescent="0.35">
      <c r="Q264" s="80"/>
      <c r="R264" s="80"/>
      <c r="S264" s="80"/>
    </row>
    <row r="265" spans="17:19" x14ac:dyDescent="0.35">
      <c r="Q265" s="80"/>
      <c r="R265" s="80"/>
      <c r="S265" s="80"/>
    </row>
    <row r="266" spans="17:19" x14ac:dyDescent="0.35">
      <c r="Q266" s="80"/>
      <c r="R266" s="80"/>
      <c r="S266" s="80"/>
    </row>
    <row r="267" spans="17:19" x14ac:dyDescent="0.35">
      <c r="Q267" s="80"/>
      <c r="R267" s="80"/>
      <c r="S267" s="80"/>
    </row>
    <row r="268" spans="17:19" x14ac:dyDescent="0.35">
      <c r="Q268" s="80"/>
      <c r="R268" s="80"/>
      <c r="S268" s="80"/>
    </row>
    <row r="269" spans="17:19" x14ac:dyDescent="0.35">
      <c r="Q269" s="80"/>
      <c r="R269" s="80"/>
      <c r="S269" s="80"/>
    </row>
    <row r="270" spans="17:19" x14ac:dyDescent="0.35">
      <c r="Q270" s="80"/>
      <c r="R270" s="80"/>
      <c r="S270" s="80"/>
    </row>
    <row r="271" spans="17:19" x14ac:dyDescent="0.35">
      <c r="Q271" s="80"/>
      <c r="R271" s="80"/>
      <c r="S271" s="80"/>
    </row>
    <row r="272" spans="17:19" x14ac:dyDescent="0.35">
      <c r="Q272" s="80"/>
      <c r="R272" s="80"/>
      <c r="S272" s="80"/>
    </row>
    <row r="273" spans="3:19" x14ac:dyDescent="0.35">
      <c r="Q273" s="80"/>
      <c r="R273" s="80"/>
      <c r="S273" s="80"/>
    </row>
    <row r="274" spans="3:19" x14ac:dyDescent="0.35">
      <c r="Q274" s="80"/>
      <c r="R274" s="80"/>
      <c r="S274" s="80"/>
    </row>
    <row r="275" spans="3:19" x14ac:dyDescent="0.35">
      <c r="Q275" s="80"/>
      <c r="R275" s="80"/>
      <c r="S275" s="80"/>
    </row>
    <row r="276" spans="3:19" x14ac:dyDescent="0.35">
      <c r="Q276" s="80"/>
      <c r="R276" s="80"/>
      <c r="S276" s="80"/>
    </row>
    <row r="277" spans="3:19" x14ac:dyDescent="0.35">
      <c r="Q277" s="80"/>
      <c r="R277" s="80"/>
      <c r="S277" s="80"/>
    </row>
    <row r="278" spans="3:19" x14ac:dyDescent="0.35">
      <c r="Q278" s="80"/>
      <c r="R278" s="80"/>
      <c r="S278" s="80"/>
    </row>
    <row r="279" spans="3:19" x14ac:dyDescent="0.35">
      <c r="Q279" s="80"/>
      <c r="R279" s="80"/>
      <c r="S279" s="80"/>
    </row>
    <row r="280" spans="3:19" x14ac:dyDescent="0.35">
      <c r="Q280" s="80"/>
      <c r="R280" s="80"/>
      <c r="S280" s="80"/>
    </row>
    <row r="281" spans="3:19" x14ac:dyDescent="0.35">
      <c r="Q281" s="80"/>
      <c r="R281" s="80"/>
      <c r="S281" s="80"/>
    </row>
    <row r="282" spans="3:19" x14ac:dyDescent="0.35">
      <c r="Q282" s="80"/>
      <c r="R282" s="80"/>
      <c r="S282" s="80"/>
    </row>
    <row r="283" spans="3:19" x14ac:dyDescent="0.35">
      <c r="Q283" s="80"/>
      <c r="R283" s="80"/>
      <c r="S283" s="80"/>
    </row>
    <row r="284" spans="3:19" x14ac:dyDescent="0.35">
      <c r="Q284" s="80"/>
      <c r="R284" s="80"/>
      <c r="S284" s="80"/>
    </row>
    <row r="285" spans="3:19" x14ac:dyDescent="0.35">
      <c r="Q285" s="80"/>
      <c r="R285" s="80"/>
      <c r="S285" s="80"/>
    </row>
    <row r="286" spans="3:19" x14ac:dyDescent="0.35">
      <c r="Q286" s="80"/>
      <c r="R286" s="80"/>
      <c r="S286" s="80"/>
    </row>
    <row r="287" spans="3:19" x14ac:dyDescent="0.35">
      <c r="Q287" s="80"/>
      <c r="R287" s="80"/>
      <c r="S287" s="80"/>
    </row>
    <row r="288" spans="3:19" x14ac:dyDescent="0.35">
      <c r="C288" s="80"/>
      <c r="D288" s="80"/>
      <c r="E288" s="80"/>
      <c r="F288" s="80"/>
      <c r="G288" s="80"/>
      <c r="H288" s="80"/>
      <c r="I288" s="80"/>
      <c r="J288" s="80"/>
      <c r="K288" s="80"/>
      <c r="L288" s="80"/>
      <c r="M288" s="80"/>
      <c r="N288" s="80"/>
      <c r="O288" s="80"/>
      <c r="Q288" s="80"/>
      <c r="R288" s="80"/>
      <c r="S288" s="80"/>
    </row>
    <row r="289" spans="3:19" x14ac:dyDescent="0.35">
      <c r="C289" s="80"/>
      <c r="D289" s="80"/>
      <c r="E289" s="80"/>
      <c r="F289" s="80"/>
      <c r="G289" s="80"/>
      <c r="H289" s="80"/>
      <c r="I289" s="80"/>
      <c r="J289" s="80"/>
      <c r="K289" s="80"/>
      <c r="L289" s="80"/>
      <c r="M289" s="80"/>
      <c r="N289" s="80"/>
      <c r="O289" s="80"/>
      <c r="P289" s="80"/>
      <c r="Q289" s="80"/>
      <c r="R289" s="80"/>
      <c r="S289" s="80"/>
    </row>
    <row r="290" spans="3:19" x14ac:dyDescent="0.35">
      <c r="C290" s="80"/>
      <c r="D290" s="80"/>
      <c r="E290" s="80"/>
      <c r="F290" s="80"/>
      <c r="G290" s="80"/>
      <c r="H290" s="80"/>
      <c r="I290" s="80"/>
      <c r="J290" s="80"/>
      <c r="K290" s="80"/>
      <c r="L290" s="80"/>
      <c r="M290" s="80"/>
      <c r="N290" s="80"/>
      <c r="O290" s="80"/>
      <c r="P290" s="80"/>
      <c r="Q290" s="80"/>
      <c r="R290" s="80"/>
      <c r="S290" s="80"/>
    </row>
    <row r="291" spans="3:19" x14ac:dyDescent="0.35">
      <c r="C291" s="80"/>
      <c r="D291" s="80"/>
      <c r="E291" s="80"/>
      <c r="F291" s="80"/>
      <c r="G291" s="80"/>
      <c r="H291" s="80"/>
      <c r="I291" s="80"/>
      <c r="J291" s="80"/>
      <c r="K291" s="80"/>
      <c r="L291" s="80"/>
      <c r="M291" s="80"/>
      <c r="N291" s="80"/>
      <c r="O291" s="80"/>
      <c r="P291" s="80"/>
      <c r="Q291" s="80"/>
      <c r="R291" s="80"/>
      <c r="S291" s="80"/>
    </row>
    <row r="292" spans="3:19" x14ac:dyDescent="0.35">
      <c r="C292" s="80"/>
      <c r="D292" s="80"/>
      <c r="E292" s="80"/>
      <c r="F292" s="80"/>
      <c r="G292" s="80"/>
      <c r="H292" s="80"/>
      <c r="I292" s="80"/>
      <c r="J292" s="80"/>
      <c r="K292" s="80"/>
      <c r="L292" s="80"/>
      <c r="M292" s="80"/>
      <c r="N292" s="80"/>
      <c r="O292" s="80"/>
      <c r="P292" s="80"/>
      <c r="Q292" s="80"/>
      <c r="R292" s="80"/>
      <c r="S292" s="80"/>
    </row>
    <row r="293" spans="3:19" x14ac:dyDescent="0.35">
      <c r="C293" s="80"/>
      <c r="D293" s="80"/>
      <c r="E293" s="80"/>
      <c r="F293" s="80"/>
      <c r="G293" s="80"/>
      <c r="H293" s="80"/>
      <c r="I293" s="80"/>
      <c r="J293" s="80"/>
      <c r="K293" s="80"/>
      <c r="L293" s="80"/>
      <c r="M293" s="80"/>
      <c r="N293" s="80"/>
      <c r="O293" s="80"/>
      <c r="P293" s="80"/>
      <c r="Q293" s="80"/>
      <c r="R293" s="80"/>
      <c r="S293" s="80"/>
    </row>
    <row r="294" spans="3:19" x14ac:dyDescent="0.35">
      <c r="C294" s="80"/>
      <c r="D294" s="80"/>
      <c r="E294" s="80"/>
      <c r="F294" s="80"/>
      <c r="G294" s="80"/>
      <c r="H294" s="80"/>
      <c r="I294" s="80"/>
      <c r="J294" s="80"/>
      <c r="K294" s="80"/>
      <c r="L294" s="80"/>
      <c r="M294" s="80"/>
      <c r="N294" s="80"/>
      <c r="O294" s="80"/>
      <c r="P294" s="80"/>
      <c r="Q294" s="80"/>
      <c r="R294" s="80"/>
      <c r="S294" s="80"/>
    </row>
    <row r="295" spans="3:19" x14ac:dyDescent="0.35">
      <c r="C295" s="80"/>
      <c r="D295" s="80"/>
      <c r="E295" s="80"/>
      <c r="F295" s="80"/>
      <c r="G295" s="80"/>
      <c r="H295" s="80"/>
      <c r="I295" s="80"/>
      <c r="J295" s="80"/>
      <c r="K295" s="80"/>
      <c r="L295" s="80"/>
      <c r="M295" s="80"/>
      <c r="N295" s="80"/>
      <c r="O295" s="80"/>
      <c r="P295" s="80"/>
      <c r="Q295" s="80"/>
      <c r="R295" s="80"/>
      <c r="S295" s="80"/>
    </row>
    <row r="296" spans="3:19" x14ac:dyDescent="0.35">
      <c r="C296" s="80"/>
      <c r="D296" s="80"/>
      <c r="E296" s="80"/>
      <c r="F296" s="80"/>
      <c r="G296" s="80"/>
      <c r="H296" s="80"/>
      <c r="I296" s="80"/>
      <c r="J296" s="80"/>
      <c r="K296" s="80"/>
      <c r="L296" s="80"/>
      <c r="M296" s="80"/>
      <c r="N296" s="80"/>
      <c r="O296" s="80"/>
      <c r="P296" s="80"/>
      <c r="Q296" s="80"/>
      <c r="R296" s="80"/>
      <c r="S296" s="80"/>
    </row>
    <row r="297" spans="3:19" x14ac:dyDescent="0.35">
      <c r="C297" s="80"/>
      <c r="D297" s="80"/>
      <c r="E297" s="80"/>
      <c r="F297" s="80"/>
      <c r="G297" s="80"/>
      <c r="H297" s="80"/>
      <c r="I297" s="80"/>
      <c r="J297" s="80"/>
      <c r="K297" s="80"/>
      <c r="L297" s="80"/>
      <c r="M297" s="80"/>
      <c r="N297" s="80"/>
      <c r="O297" s="80"/>
      <c r="P297" s="80"/>
      <c r="Q297" s="80"/>
      <c r="R297" s="80"/>
      <c r="S297" s="80"/>
    </row>
    <row r="298" spans="3:19" x14ac:dyDescent="0.35">
      <c r="C298" s="80"/>
      <c r="D298" s="80"/>
      <c r="E298" s="80"/>
      <c r="F298" s="80"/>
      <c r="G298" s="80"/>
      <c r="H298" s="80"/>
      <c r="I298" s="80"/>
      <c r="J298" s="80"/>
      <c r="K298" s="80"/>
      <c r="L298" s="80"/>
      <c r="M298" s="80"/>
      <c r="N298" s="80"/>
      <c r="O298" s="80"/>
      <c r="P298" s="80"/>
      <c r="Q298" s="80"/>
      <c r="R298" s="80"/>
      <c r="S298" s="80"/>
    </row>
    <row r="299" spans="3:19" x14ac:dyDescent="0.35">
      <c r="C299" s="80"/>
      <c r="D299" s="80"/>
      <c r="E299" s="80"/>
      <c r="F299" s="80"/>
      <c r="G299" s="80"/>
      <c r="H299" s="80"/>
      <c r="I299" s="80"/>
      <c r="J299" s="80"/>
      <c r="K299" s="80"/>
      <c r="L299" s="80"/>
      <c r="M299" s="80"/>
      <c r="N299" s="80"/>
      <c r="O299" s="80"/>
      <c r="P299" s="80"/>
      <c r="Q299" s="80"/>
      <c r="R299" s="80"/>
      <c r="S299" s="80"/>
    </row>
    <row r="300" spans="3:19" x14ac:dyDescent="0.35">
      <c r="C300" s="80"/>
      <c r="D300" s="80"/>
      <c r="E300" s="80"/>
      <c r="F300" s="80"/>
      <c r="G300" s="80"/>
      <c r="H300" s="80"/>
      <c r="I300" s="80"/>
      <c r="J300" s="80"/>
      <c r="K300" s="80"/>
      <c r="L300" s="80"/>
      <c r="M300" s="80"/>
      <c r="N300" s="80"/>
      <c r="O300" s="80"/>
      <c r="P300" s="80"/>
      <c r="Q300" s="80"/>
      <c r="R300" s="80"/>
      <c r="S300" s="80"/>
    </row>
    <row r="301" spans="3:19" x14ac:dyDescent="0.35">
      <c r="C301" s="80"/>
      <c r="D301" s="80"/>
      <c r="E301" s="80"/>
      <c r="F301" s="80"/>
      <c r="G301" s="80"/>
      <c r="H301" s="80"/>
      <c r="I301" s="80"/>
      <c r="J301" s="80"/>
      <c r="K301" s="80"/>
      <c r="L301" s="80"/>
      <c r="M301" s="80"/>
      <c r="N301" s="80"/>
      <c r="O301" s="80"/>
      <c r="P301" s="80"/>
      <c r="Q301" s="80"/>
      <c r="R301" s="80"/>
      <c r="S301" s="80"/>
    </row>
    <row r="302" spans="3:19" x14ac:dyDescent="0.35">
      <c r="C302" s="80"/>
      <c r="D302" s="80"/>
      <c r="E302" s="80"/>
      <c r="F302" s="80"/>
      <c r="G302" s="80"/>
      <c r="H302" s="80"/>
      <c r="I302" s="80"/>
      <c r="J302" s="80"/>
      <c r="K302" s="80"/>
      <c r="L302" s="80"/>
      <c r="M302" s="80"/>
      <c r="N302" s="80"/>
      <c r="O302" s="80"/>
      <c r="P302" s="80"/>
      <c r="Q302" s="80"/>
      <c r="R302" s="80"/>
      <c r="S302" s="80"/>
    </row>
    <row r="303" spans="3:19" x14ac:dyDescent="0.35">
      <c r="C303" s="80"/>
      <c r="D303" s="80"/>
      <c r="E303" s="80"/>
      <c r="F303" s="80"/>
      <c r="G303" s="80"/>
      <c r="H303" s="80"/>
      <c r="I303" s="80"/>
      <c r="J303" s="80"/>
      <c r="K303" s="80"/>
      <c r="L303" s="80"/>
      <c r="M303" s="80"/>
      <c r="N303" s="80"/>
      <c r="O303" s="80"/>
      <c r="P303" s="80"/>
      <c r="Q303" s="80"/>
      <c r="R303" s="80"/>
      <c r="S303" s="80"/>
    </row>
    <row r="304" spans="3:19" x14ac:dyDescent="0.35">
      <c r="C304" s="80"/>
      <c r="D304" s="80"/>
      <c r="E304" s="80"/>
      <c r="F304" s="80"/>
      <c r="G304" s="80"/>
      <c r="H304" s="80"/>
      <c r="I304" s="80"/>
      <c r="J304" s="80"/>
      <c r="K304" s="80"/>
      <c r="L304" s="80"/>
      <c r="M304" s="80"/>
      <c r="N304" s="80"/>
      <c r="O304" s="80"/>
      <c r="P304" s="80"/>
      <c r="Q304" s="80"/>
      <c r="R304" s="80"/>
      <c r="S304" s="80"/>
    </row>
    <row r="305" spans="3:19" x14ac:dyDescent="0.35">
      <c r="C305" s="80"/>
      <c r="D305" s="80"/>
      <c r="E305" s="80"/>
      <c r="F305" s="80"/>
      <c r="G305" s="80"/>
      <c r="H305" s="80"/>
      <c r="I305" s="80"/>
      <c r="J305" s="80"/>
      <c r="K305" s="80"/>
      <c r="L305" s="80"/>
      <c r="M305" s="80"/>
      <c r="N305" s="80"/>
      <c r="O305" s="80"/>
      <c r="P305" s="80"/>
      <c r="Q305" s="80"/>
      <c r="R305" s="80"/>
      <c r="S305" s="80"/>
    </row>
    <row r="306" spans="3:19" x14ac:dyDescent="0.35">
      <c r="C306" s="80"/>
      <c r="D306" s="80"/>
      <c r="E306" s="80"/>
      <c r="F306" s="80"/>
      <c r="G306" s="80"/>
      <c r="H306" s="80"/>
      <c r="I306" s="80"/>
      <c r="J306" s="80"/>
      <c r="K306" s="80"/>
      <c r="L306" s="80"/>
      <c r="M306" s="80"/>
      <c r="N306" s="80"/>
      <c r="O306" s="80"/>
      <c r="P306" s="80"/>
      <c r="Q306" s="80"/>
      <c r="R306" s="80"/>
      <c r="S306" s="80"/>
    </row>
    <row r="307" spans="3:19" x14ac:dyDescent="0.35">
      <c r="C307" s="80"/>
      <c r="D307" s="80"/>
      <c r="E307" s="80"/>
      <c r="F307" s="80"/>
      <c r="G307" s="80"/>
      <c r="H307" s="80"/>
      <c r="I307" s="80"/>
      <c r="J307" s="80"/>
      <c r="K307" s="80"/>
      <c r="L307" s="80"/>
      <c r="M307" s="80"/>
      <c r="N307" s="80"/>
      <c r="O307" s="80"/>
      <c r="P307" s="80"/>
      <c r="Q307" s="80"/>
      <c r="R307" s="80"/>
      <c r="S307" s="80"/>
    </row>
    <row r="308" spans="3:19" x14ac:dyDescent="0.35">
      <c r="C308" s="80"/>
      <c r="D308" s="80"/>
      <c r="E308" s="80"/>
      <c r="F308" s="80"/>
      <c r="G308" s="80"/>
      <c r="H308" s="80"/>
      <c r="I308" s="80"/>
      <c r="J308" s="80"/>
      <c r="K308" s="80"/>
      <c r="L308" s="80"/>
      <c r="M308" s="80"/>
      <c r="N308" s="80"/>
      <c r="O308" s="80"/>
      <c r="P308" s="80"/>
      <c r="Q308" s="80"/>
      <c r="R308" s="80"/>
      <c r="S308" s="80"/>
    </row>
    <row r="309" spans="3:19" x14ac:dyDescent="0.35">
      <c r="C309" s="80"/>
      <c r="D309" s="80"/>
      <c r="E309" s="80"/>
      <c r="F309" s="80"/>
      <c r="G309" s="80"/>
      <c r="H309" s="80"/>
      <c r="I309" s="80"/>
      <c r="J309" s="80"/>
      <c r="K309" s="80"/>
      <c r="L309" s="80"/>
      <c r="M309" s="80"/>
      <c r="N309" s="80"/>
      <c r="O309" s="80"/>
      <c r="P309" s="80"/>
      <c r="Q309" s="80"/>
      <c r="R309" s="80"/>
      <c r="S309" s="80"/>
    </row>
    <row r="310" spans="3:19" x14ac:dyDescent="0.35">
      <c r="C310" s="80"/>
      <c r="D310" s="80"/>
      <c r="E310" s="80"/>
      <c r="F310" s="80"/>
      <c r="G310" s="80"/>
      <c r="H310" s="80"/>
      <c r="I310" s="80"/>
      <c r="J310" s="80"/>
      <c r="K310" s="80"/>
      <c r="L310" s="80"/>
      <c r="M310" s="80"/>
      <c r="N310" s="80"/>
      <c r="O310" s="80"/>
      <c r="P310" s="80"/>
      <c r="Q310" s="80"/>
      <c r="R310" s="80"/>
      <c r="S310" s="80"/>
    </row>
    <row r="311" spans="3:19" x14ac:dyDescent="0.35">
      <c r="C311" s="80"/>
      <c r="D311" s="80"/>
      <c r="E311" s="80"/>
      <c r="F311" s="80"/>
      <c r="G311" s="80"/>
      <c r="H311" s="80"/>
      <c r="I311" s="80"/>
      <c r="J311" s="80"/>
      <c r="K311" s="80"/>
      <c r="L311" s="80"/>
      <c r="M311" s="80"/>
      <c r="N311" s="80"/>
      <c r="O311" s="80"/>
      <c r="P311" s="80"/>
      <c r="Q311" s="80"/>
      <c r="R311" s="80"/>
      <c r="S311" s="80"/>
    </row>
    <row r="312" spans="3:19" x14ac:dyDescent="0.35">
      <c r="C312" s="80"/>
      <c r="D312" s="80"/>
      <c r="E312" s="80"/>
      <c r="F312" s="80"/>
      <c r="G312" s="80"/>
      <c r="H312" s="80"/>
      <c r="I312" s="80"/>
      <c r="J312" s="80"/>
      <c r="K312" s="80"/>
      <c r="L312" s="80"/>
      <c r="M312" s="80"/>
      <c r="N312" s="80"/>
      <c r="O312" s="80"/>
      <c r="P312" s="80"/>
      <c r="Q312" s="80"/>
      <c r="R312" s="80"/>
      <c r="S312" s="80"/>
    </row>
    <row r="313" spans="3:19" x14ac:dyDescent="0.35">
      <c r="C313" s="80"/>
      <c r="D313" s="80"/>
      <c r="E313" s="80"/>
      <c r="F313" s="80"/>
      <c r="G313" s="80"/>
      <c r="H313" s="80"/>
      <c r="I313" s="80"/>
      <c r="J313" s="80"/>
      <c r="K313" s="80"/>
      <c r="L313" s="80"/>
      <c r="M313" s="80"/>
      <c r="N313" s="80"/>
      <c r="O313" s="80"/>
      <c r="P313" s="80"/>
      <c r="Q313" s="80"/>
      <c r="R313" s="80"/>
      <c r="S313" s="80"/>
    </row>
    <row r="314" spans="3:19" x14ac:dyDescent="0.35">
      <c r="C314" s="80"/>
      <c r="D314" s="80"/>
      <c r="E314" s="80"/>
      <c r="F314" s="80"/>
      <c r="G314" s="80"/>
      <c r="H314" s="80"/>
      <c r="I314" s="80"/>
      <c r="J314" s="80"/>
      <c r="K314" s="80"/>
      <c r="L314" s="80"/>
      <c r="M314" s="80"/>
      <c r="N314" s="80"/>
      <c r="O314" s="80"/>
      <c r="P314" s="80"/>
      <c r="Q314" s="80"/>
      <c r="R314" s="80"/>
      <c r="S314" s="80"/>
    </row>
    <row r="315" spans="3:19" x14ac:dyDescent="0.35">
      <c r="C315" s="80"/>
      <c r="D315" s="80"/>
      <c r="E315" s="80"/>
      <c r="F315" s="80"/>
      <c r="G315" s="80"/>
      <c r="H315" s="80"/>
      <c r="I315" s="80"/>
      <c r="J315" s="80"/>
      <c r="K315" s="80"/>
      <c r="L315" s="80"/>
      <c r="M315" s="80"/>
      <c r="N315" s="80"/>
      <c r="O315" s="80"/>
      <c r="P315" s="80"/>
      <c r="Q315" s="80"/>
      <c r="R315" s="80"/>
      <c r="S315" s="80"/>
    </row>
    <row r="316" spans="3:19" x14ac:dyDescent="0.35">
      <c r="C316" s="80"/>
      <c r="D316" s="80"/>
      <c r="E316" s="80"/>
      <c r="F316" s="80"/>
      <c r="G316" s="80"/>
      <c r="H316" s="80"/>
      <c r="I316" s="80"/>
      <c r="J316" s="80"/>
      <c r="K316" s="80"/>
      <c r="L316" s="80"/>
      <c r="M316" s="80"/>
      <c r="N316" s="80"/>
      <c r="O316" s="80"/>
      <c r="P316" s="80"/>
      <c r="Q316" s="80"/>
      <c r="R316" s="80"/>
      <c r="S316" s="80"/>
    </row>
    <row r="317" spans="3:19" x14ac:dyDescent="0.35">
      <c r="C317" s="80"/>
      <c r="D317" s="80"/>
      <c r="E317" s="80"/>
      <c r="F317" s="80"/>
      <c r="G317" s="80"/>
      <c r="H317" s="80"/>
      <c r="I317" s="80"/>
      <c r="J317" s="80"/>
      <c r="K317" s="80"/>
      <c r="L317" s="80"/>
      <c r="M317" s="80"/>
      <c r="N317" s="80"/>
      <c r="O317" s="80"/>
      <c r="P317" s="80"/>
      <c r="Q317" s="80"/>
      <c r="R317" s="80"/>
      <c r="S317" s="80"/>
    </row>
    <row r="318" spans="3:19" x14ac:dyDescent="0.35">
      <c r="C318" s="80"/>
      <c r="D318" s="80"/>
      <c r="E318" s="80"/>
      <c r="F318" s="80"/>
      <c r="G318" s="80"/>
      <c r="H318" s="80"/>
      <c r="I318" s="80"/>
      <c r="J318" s="80"/>
      <c r="K318" s="80"/>
      <c r="L318" s="80"/>
      <c r="M318" s="80"/>
      <c r="N318" s="80"/>
      <c r="O318" s="80"/>
      <c r="P318" s="80"/>
      <c r="Q318" s="80"/>
      <c r="R318" s="80"/>
      <c r="S318" s="80"/>
    </row>
    <row r="319" spans="3:19" x14ac:dyDescent="0.35">
      <c r="C319" s="80"/>
      <c r="D319" s="80"/>
      <c r="E319" s="80"/>
      <c r="F319" s="80"/>
      <c r="G319" s="80"/>
      <c r="H319" s="80"/>
      <c r="I319" s="80"/>
      <c r="J319" s="80"/>
      <c r="K319" s="80"/>
      <c r="L319" s="80"/>
      <c r="M319" s="80"/>
      <c r="N319" s="80"/>
      <c r="O319" s="80"/>
      <c r="P319" s="80"/>
      <c r="Q319" s="80"/>
      <c r="R319" s="80"/>
      <c r="S319" s="80"/>
    </row>
    <row r="320" spans="3:19" x14ac:dyDescent="0.35">
      <c r="C320" s="80"/>
      <c r="D320" s="80"/>
      <c r="E320" s="80"/>
      <c r="F320" s="80"/>
      <c r="G320" s="80"/>
      <c r="H320" s="80"/>
      <c r="I320" s="80"/>
      <c r="J320" s="80"/>
      <c r="K320" s="80"/>
      <c r="L320" s="80"/>
      <c r="M320" s="80"/>
      <c r="N320" s="80"/>
      <c r="O320" s="80"/>
      <c r="P320" s="80"/>
      <c r="Q320" s="80"/>
      <c r="R320" s="80"/>
      <c r="S320" s="80"/>
    </row>
    <row r="321" spans="3:19" x14ac:dyDescent="0.35">
      <c r="C321" s="80"/>
      <c r="D321" s="80"/>
      <c r="E321" s="80"/>
      <c r="F321" s="80"/>
      <c r="G321" s="80"/>
      <c r="H321" s="80"/>
      <c r="I321" s="80"/>
      <c r="J321" s="80"/>
      <c r="K321" s="80"/>
      <c r="L321" s="80"/>
      <c r="M321" s="80"/>
      <c r="N321" s="80"/>
      <c r="O321" s="80"/>
      <c r="P321" s="80"/>
      <c r="Q321" s="80"/>
      <c r="R321" s="80"/>
      <c r="S321" s="80"/>
    </row>
    <row r="322" spans="3:19" x14ac:dyDescent="0.35">
      <c r="C322" s="80"/>
      <c r="D322" s="80"/>
      <c r="E322" s="80"/>
      <c r="F322" s="80"/>
      <c r="G322" s="80"/>
      <c r="H322" s="80"/>
      <c r="I322" s="80"/>
      <c r="J322" s="80"/>
      <c r="K322" s="80"/>
      <c r="L322" s="80"/>
      <c r="M322" s="80"/>
      <c r="N322" s="80"/>
      <c r="O322" s="80"/>
      <c r="P322" s="80"/>
      <c r="Q322" s="80"/>
      <c r="R322" s="80"/>
      <c r="S322" s="80"/>
    </row>
    <row r="323" spans="3:19" x14ac:dyDescent="0.35">
      <c r="C323" s="80"/>
      <c r="D323" s="80"/>
      <c r="E323" s="80"/>
      <c r="F323" s="80"/>
      <c r="G323" s="80"/>
      <c r="H323" s="80"/>
      <c r="I323" s="80"/>
      <c r="J323" s="80"/>
      <c r="K323" s="80"/>
      <c r="L323" s="80"/>
      <c r="M323" s="80"/>
      <c r="N323" s="80"/>
      <c r="O323" s="80"/>
      <c r="P323" s="80"/>
      <c r="Q323" s="80"/>
      <c r="R323" s="80"/>
      <c r="S323" s="80"/>
    </row>
    <row r="324" spans="3:19" x14ac:dyDescent="0.35">
      <c r="C324" s="80"/>
      <c r="D324" s="80"/>
      <c r="E324" s="80"/>
      <c r="F324" s="80"/>
      <c r="G324" s="80"/>
      <c r="H324" s="80"/>
      <c r="I324" s="80"/>
      <c r="J324" s="80"/>
      <c r="K324" s="80"/>
      <c r="L324" s="80"/>
      <c r="M324" s="80"/>
      <c r="N324" s="80"/>
      <c r="O324" s="80"/>
      <c r="P324" s="80"/>
      <c r="Q324" s="80"/>
      <c r="R324" s="80"/>
      <c r="S324" s="80"/>
    </row>
    <row r="325" spans="3:19" x14ac:dyDescent="0.35">
      <c r="C325" s="80"/>
      <c r="D325" s="80"/>
      <c r="E325" s="80"/>
      <c r="F325" s="80"/>
      <c r="G325" s="80"/>
      <c r="H325" s="80"/>
      <c r="I325" s="80"/>
      <c r="J325" s="80"/>
      <c r="K325" s="80"/>
      <c r="L325" s="80"/>
      <c r="M325" s="80"/>
      <c r="N325" s="80"/>
      <c r="O325" s="80"/>
      <c r="P325" s="80"/>
      <c r="Q325" s="80"/>
      <c r="R325" s="80"/>
      <c r="S325" s="80"/>
    </row>
    <row r="326" spans="3:19" x14ac:dyDescent="0.35">
      <c r="C326" s="80"/>
      <c r="D326" s="80"/>
      <c r="E326" s="80"/>
      <c r="F326" s="80"/>
      <c r="G326" s="80"/>
      <c r="H326" s="80"/>
      <c r="I326" s="80"/>
      <c r="J326" s="80"/>
      <c r="K326" s="80"/>
      <c r="L326" s="80"/>
      <c r="M326" s="80"/>
      <c r="N326" s="80"/>
      <c r="O326" s="80"/>
      <c r="P326" s="80"/>
      <c r="Q326" s="80"/>
      <c r="R326" s="80"/>
      <c r="S326" s="80"/>
    </row>
    <row r="327" spans="3:19" x14ac:dyDescent="0.35">
      <c r="C327" s="80"/>
      <c r="D327" s="80"/>
      <c r="E327" s="80"/>
      <c r="F327" s="80"/>
      <c r="G327" s="80"/>
      <c r="H327" s="80"/>
      <c r="I327" s="80"/>
      <c r="J327" s="80"/>
      <c r="K327" s="80"/>
      <c r="L327" s="80"/>
      <c r="M327" s="80"/>
      <c r="N327" s="80"/>
      <c r="O327" s="80"/>
      <c r="P327" s="80"/>
      <c r="Q327" s="80"/>
      <c r="R327" s="80"/>
      <c r="S327" s="80"/>
    </row>
    <row r="328" spans="3:19" x14ac:dyDescent="0.35">
      <c r="C328" s="80"/>
      <c r="D328" s="80"/>
      <c r="E328" s="80"/>
      <c r="F328" s="80"/>
      <c r="G328" s="80"/>
      <c r="H328" s="80"/>
      <c r="I328" s="80"/>
      <c r="J328" s="80"/>
      <c r="K328" s="80"/>
      <c r="L328" s="80"/>
      <c r="M328" s="80"/>
      <c r="N328" s="80"/>
      <c r="O328" s="80"/>
      <c r="P328" s="80"/>
      <c r="Q328" s="80"/>
      <c r="R328" s="80"/>
      <c r="S328" s="80"/>
    </row>
    <row r="329" spans="3:19" x14ac:dyDescent="0.35">
      <c r="C329" s="80"/>
      <c r="D329" s="80"/>
      <c r="E329" s="80"/>
      <c r="F329" s="80"/>
      <c r="G329" s="80"/>
      <c r="H329" s="80"/>
      <c r="I329" s="80"/>
      <c r="J329" s="80"/>
      <c r="K329" s="80"/>
      <c r="L329" s="80"/>
      <c r="M329" s="80"/>
      <c r="N329" s="80"/>
      <c r="O329" s="80"/>
      <c r="P329" s="80"/>
      <c r="Q329" s="80"/>
      <c r="R329" s="80"/>
      <c r="S329" s="80"/>
    </row>
    <row r="330" spans="3:19" x14ac:dyDescent="0.35">
      <c r="C330" s="80"/>
      <c r="D330" s="80"/>
      <c r="E330" s="80"/>
      <c r="F330" s="80"/>
      <c r="G330" s="80"/>
      <c r="H330" s="80"/>
      <c r="I330" s="80"/>
      <c r="J330" s="80"/>
      <c r="K330" s="80"/>
      <c r="L330" s="80"/>
      <c r="M330" s="80"/>
      <c r="N330" s="80"/>
      <c r="O330" s="80"/>
      <c r="P330" s="80"/>
      <c r="Q330" s="80"/>
      <c r="R330" s="80"/>
      <c r="S330" s="80"/>
    </row>
    <row r="331" spans="3:19" x14ac:dyDescent="0.35">
      <c r="C331" s="80"/>
      <c r="D331" s="80"/>
      <c r="E331" s="80"/>
      <c r="F331" s="80"/>
      <c r="G331" s="80"/>
      <c r="H331" s="80"/>
      <c r="I331" s="80"/>
      <c r="J331" s="80"/>
      <c r="K331" s="80"/>
      <c r="L331" s="80"/>
      <c r="M331" s="80"/>
      <c r="N331" s="80"/>
      <c r="O331" s="80"/>
      <c r="P331" s="80"/>
      <c r="Q331" s="80"/>
      <c r="R331" s="80"/>
      <c r="S331" s="80"/>
    </row>
    <row r="332" spans="3:19" x14ac:dyDescent="0.35">
      <c r="C332" s="80"/>
      <c r="D332" s="80"/>
      <c r="E332" s="80"/>
      <c r="F332" s="80"/>
      <c r="G332" s="80"/>
      <c r="H332" s="80"/>
      <c r="I332" s="80"/>
      <c r="J332" s="80"/>
      <c r="K332" s="80"/>
      <c r="L332" s="80"/>
      <c r="M332" s="80"/>
      <c r="N332" s="80"/>
      <c r="O332" s="80"/>
      <c r="P332" s="80"/>
      <c r="Q332" s="80"/>
      <c r="R332" s="80"/>
      <c r="S332" s="80"/>
    </row>
    <row r="333" spans="3:19" x14ac:dyDescent="0.35">
      <c r="C333" s="80"/>
      <c r="D333" s="80"/>
      <c r="E333" s="80"/>
      <c r="F333" s="80"/>
      <c r="G333" s="80"/>
      <c r="H333" s="80"/>
      <c r="I333" s="80"/>
      <c r="J333" s="80"/>
      <c r="K333" s="80"/>
      <c r="L333" s="80"/>
      <c r="M333" s="80"/>
      <c r="N333" s="80"/>
      <c r="O333" s="80"/>
      <c r="P333" s="80"/>
      <c r="Q333" s="80"/>
      <c r="R333" s="80"/>
      <c r="S333" s="80"/>
    </row>
    <row r="334" spans="3:19" x14ac:dyDescent="0.35">
      <c r="C334" s="80"/>
      <c r="D334" s="80"/>
      <c r="E334" s="80"/>
      <c r="F334" s="80"/>
      <c r="G334" s="80"/>
      <c r="H334" s="80"/>
      <c r="I334" s="80"/>
      <c r="J334" s="80"/>
      <c r="K334" s="80"/>
      <c r="L334" s="80"/>
      <c r="M334" s="80"/>
      <c r="N334" s="80"/>
      <c r="O334" s="80"/>
      <c r="P334" s="80"/>
      <c r="Q334" s="80"/>
      <c r="R334" s="80"/>
      <c r="S334" s="80"/>
    </row>
    <row r="335" spans="3:19" x14ac:dyDescent="0.35">
      <c r="C335" s="80"/>
      <c r="D335" s="80"/>
      <c r="E335" s="80"/>
      <c r="F335" s="80"/>
      <c r="G335" s="80"/>
      <c r="H335" s="80"/>
      <c r="I335" s="80"/>
      <c r="J335" s="80"/>
      <c r="K335" s="80"/>
      <c r="L335" s="80"/>
      <c r="M335" s="80"/>
      <c r="N335" s="80"/>
      <c r="O335" s="80"/>
      <c r="P335" s="80"/>
      <c r="Q335" s="80"/>
      <c r="R335" s="80"/>
      <c r="S335" s="80"/>
    </row>
    <row r="336" spans="3:19" x14ac:dyDescent="0.35">
      <c r="C336" s="80"/>
      <c r="D336" s="80"/>
      <c r="E336" s="80"/>
      <c r="F336" s="80"/>
      <c r="G336" s="80"/>
      <c r="H336" s="80"/>
      <c r="I336" s="80"/>
      <c r="J336" s="80"/>
      <c r="K336" s="80"/>
      <c r="L336" s="80"/>
      <c r="M336" s="80"/>
      <c r="N336" s="80"/>
      <c r="O336" s="80"/>
      <c r="P336" s="80"/>
      <c r="Q336" s="80"/>
      <c r="R336" s="80"/>
      <c r="S336" s="80"/>
    </row>
    <row r="337" spans="3:19" x14ac:dyDescent="0.35">
      <c r="C337" s="80"/>
      <c r="D337" s="80"/>
      <c r="E337" s="80"/>
      <c r="F337" s="80"/>
      <c r="G337" s="80"/>
      <c r="H337" s="80"/>
      <c r="I337" s="80"/>
      <c r="J337" s="80"/>
      <c r="K337" s="80"/>
      <c r="L337" s="80"/>
      <c r="M337" s="80"/>
      <c r="N337" s="80"/>
      <c r="O337" s="80"/>
      <c r="P337" s="80"/>
      <c r="Q337" s="80"/>
      <c r="R337" s="80"/>
      <c r="S337" s="80"/>
    </row>
    <row r="338" spans="3:19" x14ac:dyDescent="0.35">
      <c r="C338" s="80"/>
      <c r="D338" s="80"/>
      <c r="E338" s="80"/>
      <c r="F338" s="80"/>
      <c r="G338" s="80"/>
      <c r="H338" s="80"/>
      <c r="I338" s="80"/>
      <c r="J338" s="80"/>
      <c r="K338" s="80"/>
      <c r="L338" s="80"/>
      <c r="M338" s="80"/>
      <c r="N338" s="80"/>
      <c r="O338" s="80"/>
      <c r="P338" s="80"/>
      <c r="Q338" s="80"/>
      <c r="R338" s="80"/>
      <c r="S338" s="80"/>
    </row>
    <row r="339" spans="3:19" x14ac:dyDescent="0.35">
      <c r="C339" s="80"/>
      <c r="D339" s="80"/>
      <c r="E339" s="80"/>
      <c r="F339" s="80"/>
      <c r="G339" s="80"/>
      <c r="H339" s="80"/>
      <c r="I339" s="80"/>
      <c r="J339" s="80"/>
      <c r="K339" s="80"/>
      <c r="L339" s="80"/>
      <c r="M339" s="80"/>
      <c r="N339" s="80"/>
      <c r="O339" s="80"/>
      <c r="P339" s="80"/>
      <c r="Q339" s="80"/>
      <c r="R339" s="80"/>
      <c r="S339" s="80"/>
    </row>
    <row r="340" spans="3:19" x14ac:dyDescent="0.35">
      <c r="C340" s="80"/>
      <c r="D340" s="80"/>
      <c r="E340" s="80"/>
      <c r="F340" s="80"/>
      <c r="G340" s="80"/>
      <c r="H340" s="80"/>
      <c r="I340" s="80"/>
      <c r="J340" s="80"/>
      <c r="K340" s="80"/>
      <c r="L340" s="80"/>
      <c r="M340" s="80"/>
      <c r="N340" s="80"/>
      <c r="O340" s="80"/>
      <c r="P340" s="80"/>
      <c r="Q340" s="80"/>
      <c r="R340" s="80"/>
      <c r="S340" s="80"/>
    </row>
    <row r="341" spans="3:19" x14ac:dyDescent="0.35">
      <c r="C341" s="80"/>
      <c r="D341" s="80"/>
      <c r="E341" s="80"/>
      <c r="F341" s="80"/>
      <c r="G341" s="80"/>
      <c r="H341" s="80"/>
      <c r="I341" s="80"/>
      <c r="J341" s="80"/>
      <c r="K341" s="80"/>
      <c r="L341" s="80"/>
      <c r="M341" s="80"/>
      <c r="N341" s="80"/>
      <c r="O341" s="80"/>
      <c r="P341" s="80"/>
      <c r="Q341" s="80"/>
      <c r="R341" s="80"/>
      <c r="S341" s="80"/>
    </row>
    <row r="342" spans="3:19" x14ac:dyDescent="0.35">
      <c r="C342" s="80"/>
      <c r="D342" s="80"/>
      <c r="E342" s="80"/>
      <c r="F342" s="80"/>
      <c r="G342" s="80"/>
      <c r="H342" s="80"/>
      <c r="I342" s="80"/>
      <c r="J342" s="80"/>
      <c r="K342" s="80"/>
      <c r="L342" s="80"/>
      <c r="M342" s="80"/>
      <c r="N342" s="80"/>
      <c r="O342" s="80"/>
      <c r="P342" s="80"/>
      <c r="Q342" s="80"/>
      <c r="R342" s="80"/>
      <c r="S342" s="80"/>
    </row>
    <row r="343" spans="3:19" x14ac:dyDescent="0.35">
      <c r="C343" s="80"/>
      <c r="D343" s="80"/>
      <c r="E343" s="80"/>
      <c r="F343" s="80"/>
      <c r="G343" s="80"/>
      <c r="H343" s="80"/>
      <c r="I343" s="80"/>
      <c r="J343" s="80"/>
      <c r="K343" s="80"/>
      <c r="L343" s="80"/>
      <c r="M343" s="80"/>
      <c r="N343" s="80"/>
      <c r="O343" s="80"/>
      <c r="P343" s="80"/>
      <c r="Q343" s="80"/>
      <c r="R343" s="80"/>
      <c r="S343" s="80"/>
    </row>
    <row r="344" spans="3:19" x14ac:dyDescent="0.35">
      <c r="P344" s="80"/>
      <c r="Q344" s="80"/>
      <c r="R344" s="80"/>
      <c r="S344" s="80"/>
    </row>
  </sheetData>
  <mergeCells count="5">
    <mergeCell ref="L77:M77"/>
    <mergeCell ref="C17:D17"/>
    <mergeCell ref="K49:M49"/>
    <mergeCell ref="L52:M52"/>
    <mergeCell ref="K76:M76"/>
  </mergeCells>
  <printOptions horizontalCentered="1"/>
  <pageMargins left="0.75" right="0.75" top="0.52" bottom="0.52" header="0.5" footer="0.5"/>
  <pageSetup scale="65" orientation="landscape" r:id="rId1"/>
  <headerFooter alignWithMargins="0"/>
  <rowBreaks count="1" manualBreakCount="1">
    <brk id="42" max="12" man="1"/>
  </rowBreaks>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fea57edea9a9507671266a2a8deae77f">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4d396819d558486687834482d26417ec"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58c363228b35647280f58138bd7a8ed8">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56d446ae382ed9619ef543e6eef0f9f1"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Testimony"/>
          <xsd:enumeration value="Supplemental Rebuttal Testimony"/>
          <xsd:enumeration value="Sur-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Tariff_x0020_Dev_x0020_Doc_x0020_Type xmlns="54fcda00-7b58-44a7-b108-8bd10a8a08ba" xsi:nil="true"/>
    <Filing_x0020_Requirement xmlns="54fcda00-7b58-44a7-b108-8bd10a8a08ba" xsi:nil="true"/>
    <Round xmlns="54fcda00-7b58-44a7-b108-8bd10a8a08ba">DR08 Attachments</Round>
    <FormData xmlns="http://schemas.microsoft.com/sharepoint/v3" xsi:nil="true"/>
    <Data_x0020_Request_x0020_Question_x0020_No_x002e_ xmlns="54fcda00-7b58-44a7-b108-8bd10a8a08ba">019</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F549ABCE-1274-473F-93F6-C629D204FA02}"/>
</file>

<file path=customXml/itemProps2.xml><?xml version="1.0" encoding="utf-8"?>
<ds:datastoreItem xmlns:ds="http://schemas.openxmlformats.org/officeDocument/2006/customXml" ds:itemID="{786BFE53-B98A-4A13-AB7F-9FF2237DC61A}"/>
</file>

<file path=customXml/itemProps3.xml><?xml version="1.0" encoding="utf-8"?>
<ds:datastoreItem xmlns:ds="http://schemas.openxmlformats.org/officeDocument/2006/customXml" ds:itemID="{7EC9D514-A7C4-4641-AFE5-A79E5C416950}"/>
</file>

<file path=customXml/itemProps4.xml><?xml version="1.0" encoding="utf-8"?>
<ds:datastoreItem xmlns:ds="http://schemas.openxmlformats.org/officeDocument/2006/customXml" ds:itemID="{3BC4A025-2337-4ED0-94BD-7F54F8017F00}"/>
</file>

<file path=customXml/itemProps5.xml><?xml version="1.0" encoding="utf-8"?>
<ds:datastoreItem xmlns:ds="http://schemas.openxmlformats.org/officeDocument/2006/customXml" ds:itemID="{0F5E2C57-5A18-4088-9DA8-50CDB7D12D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Disclosures</vt:lpstr>
      <vt:lpstr>OATT Input Data</vt:lpstr>
      <vt:lpstr>Summary</vt:lpstr>
      <vt:lpstr>VA Transmission</vt:lpstr>
      <vt:lpstr>NITS Pg 1 of 5</vt:lpstr>
      <vt:lpstr>NITS Pg 2 of 5</vt:lpstr>
      <vt:lpstr>NITS Pg 3 of 5</vt:lpstr>
      <vt:lpstr>NITS Pg 4 of 5</vt:lpstr>
      <vt:lpstr>PTP Pg 1 of 5</vt:lpstr>
      <vt:lpstr>PTP Pg 2 of 5</vt:lpstr>
      <vt:lpstr>PTP Pg 3 of 5</vt:lpstr>
      <vt:lpstr>PTP Pg 4 of 5</vt:lpstr>
      <vt:lpstr>Pg 5 of 5 Notes for both</vt:lpstr>
      <vt:lpstr>ADIT Worksheet</vt:lpstr>
      <vt:lpstr>Depreciation Rates</vt:lpstr>
      <vt:lpstr>Sch 1</vt:lpstr>
      <vt:lpstr>'NITS Pg 1 of 5'!Print_Area</vt:lpstr>
      <vt:lpstr>'NITS Pg 2 of 5'!Print_Area</vt:lpstr>
      <vt:lpstr>'NITS Pg 3 of 5'!Print_Area</vt:lpstr>
      <vt:lpstr>'NITS Pg 4 of 5'!Print_Area</vt:lpstr>
      <vt:lpstr>'Pg 5 of 5 Notes for both'!Print_Area</vt:lpstr>
      <vt:lpstr>'PTP Pg 1 of 5'!Print_Area</vt:lpstr>
      <vt:lpstr>'PTP Pg 2 of 5'!Print_Area</vt:lpstr>
      <vt:lpstr>'PTP Pg 3 of 5'!Print_Area</vt:lpstr>
      <vt:lpstr>'PTP Pg 4 of 5'!Print_Area</vt:lpstr>
      <vt:lpstr>'Sch 1'!Print_Area</vt:lpstr>
      <vt:lpstr>'VA Transmission'!Print_Area</vt:lpstr>
      <vt:lpstr>'NITS Pg 1 of 5'!Print_Titles</vt:lpstr>
      <vt:lpstr>'PTP Pg 1 of 5'!Print_Titles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Foxworthy, Carol</dc:creator>
  <cp:lastModifiedBy>Fackler, Andrea</cp:lastModifiedBy>
  <cp:lastPrinted>2020-03-11T23:41:23Z</cp:lastPrinted>
  <dcterms:created xsi:type="dcterms:W3CDTF">2012-11-13T18:56:46Z</dcterms:created>
  <dcterms:modified xsi:type="dcterms:W3CDTF">2020-06-05T13:17:58Z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