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fileSharing readOnlyRecommended="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FERC Formula Rates\Attachment O\2015 Update\Support\OASIS Upload Versions\"/>
    </mc:Choice>
  </mc:AlternateContent>
  <bookViews>
    <workbookView xWindow="0" yWindow="0" windowWidth="4770" windowHeight="7740"/>
  </bookViews>
  <sheets>
    <sheet name="OATT Input Data" sheetId="20" r:id="rId1"/>
    <sheet name="VA Transmission" sheetId="21" r:id="rId2"/>
    <sheet name="Summary" sheetId="22" r:id="rId3"/>
    <sheet name="NITS Pg 1 of 5" sheetId="1" r:id="rId4"/>
    <sheet name="NITS Pg 2 of 5" sheetId="3" r:id="rId5"/>
    <sheet name="NITS Pg 3 of 5" sheetId="4" r:id="rId6"/>
    <sheet name="NITS Pg 4 of 5" sheetId="5" r:id="rId7"/>
    <sheet name="PTP Pg 1 of 5" sheetId="15" r:id="rId8"/>
    <sheet name="PTP Pg 2 of 5" sheetId="16" r:id="rId9"/>
    <sheet name="PTP Pg 3 of 5" sheetId="17" r:id="rId10"/>
    <sheet name="PTP Pg 4 of 5" sheetId="18" r:id="rId11"/>
    <sheet name="Pg 5 of 5 Notes for both" sheetId="6" r:id="rId12"/>
    <sheet name="Depreciation Rates" sheetId="14" r:id="rId13"/>
    <sheet name="Sch 1" sheetId="23" r:id="rId14"/>
  </sheets>
  <definedNames>
    <definedName name="__123Graph_A" localSheetId="4" hidden="1">#REF!</definedName>
    <definedName name="__123Graph_A" localSheetId="5" hidden="1">#REF!</definedName>
    <definedName name="__123Graph_A" localSheetId="6" hidden="1">#REF!</definedName>
    <definedName name="__123Graph_A" localSheetId="11" hidden="1">#REF!</definedName>
    <definedName name="__123Graph_A" localSheetId="7" hidden="1">#REF!</definedName>
    <definedName name="__123Graph_A" localSheetId="8" hidden="1">#REF!</definedName>
    <definedName name="__123Graph_A" localSheetId="9" hidden="1">#REF!</definedName>
    <definedName name="__123Graph_A" localSheetId="10" hidden="1">#REF!</definedName>
    <definedName name="__123Graph_A" hidden="1">#REF!</definedName>
    <definedName name="__123Graph_B" localSheetId="4" hidden="1">#REF!</definedName>
    <definedName name="__123Graph_B" localSheetId="5" hidden="1">#REF!</definedName>
    <definedName name="__123Graph_B" localSheetId="6" hidden="1">#REF!</definedName>
    <definedName name="__123Graph_B" localSheetId="11" hidden="1">#REF!</definedName>
    <definedName name="__123Graph_B" localSheetId="7" hidden="1">#REF!</definedName>
    <definedName name="__123Graph_B" localSheetId="8" hidden="1">#REF!</definedName>
    <definedName name="__123Graph_B" localSheetId="9" hidden="1">#REF!</definedName>
    <definedName name="__123Graph_B" localSheetId="10" hidden="1">#REF!</definedName>
    <definedName name="__123Graph_B" hidden="1">#REF!</definedName>
    <definedName name="__123Graph_C" localSheetId="4" hidden="1">#REF!</definedName>
    <definedName name="__123Graph_C" localSheetId="5" hidden="1">#REF!</definedName>
    <definedName name="__123Graph_C" localSheetId="6" hidden="1">#REF!</definedName>
    <definedName name="__123Graph_C" localSheetId="11" hidden="1">#REF!</definedName>
    <definedName name="__123Graph_C" localSheetId="7" hidden="1">#REF!</definedName>
    <definedName name="__123Graph_C" localSheetId="8" hidden="1">#REF!</definedName>
    <definedName name="__123Graph_C" localSheetId="9" hidden="1">#REF!</definedName>
    <definedName name="__123Graph_C" localSheetId="10" hidden="1">#REF!</definedName>
    <definedName name="__123Graph_C" hidden="1">#REF!</definedName>
    <definedName name="__123Graph_D" localSheetId="4" hidden="1">#REF!</definedName>
    <definedName name="__123Graph_D" localSheetId="5" hidden="1">#REF!</definedName>
    <definedName name="__123Graph_D" localSheetId="6" hidden="1">#REF!</definedName>
    <definedName name="__123Graph_D" localSheetId="11" hidden="1">#REF!</definedName>
    <definedName name="__123Graph_D" localSheetId="7" hidden="1">#REF!</definedName>
    <definedName name="__123Graph_D" localSheetId="8" hidden="1">#REF!</definedName>
    <definedName name="__123Graph_D" localSheetId="9" hidden="1">#REF!</definedName>
    <definedName name="__123Graph_D" localSheetId="10" hidden="1">#REF!</definedName>
    <definedName name="__123Graph_D" hidden="1">#REF!</definedName>
    <definedName name="__123Graph_E" localSheetId="4" hidden="1">#REF!</definedName>
    <definedName name="__123Graph_E" localSheetId="5" hidden="1">#REF!</definedName>
    <definedName name="__123Graph_E" localSheetId="6" hidden="1">#REF!</definedName>
    <definedName name="__123Graph_E" localSheetId="11" hidden="1">#REF!</definedName>
    <definedName name="__123Graph_E" localSheetId="7" hidden="1">#REF!</definedName>
    <definedName name="__123Graph_E" localSheetId="8" hidden="1">#REF!</definedName>
    <definedName name="__123Graph_E" localSheetId="9" hidden="1">#REF!</definedName>
    <definedName name="__123Graph_E" localSheetId="10" hidden="1">#REF!</definedName>
    <definedName name="__123Graph_E" hidden="1">#REF!</definedName>
    <definedName name="__123Graph_F" localSheetId="4" hidden="1">#REF!</definedName>
    <definedName name="__123Graph_F" localSheetId="5" hidden="1">#REF!</definedName>
    <definedName name="__123Graph_F" localSheetId="6" hidden="1">#REF!</definedName>
    <definedName name="__123Graph_F" localSheetId="11" hidden="1">#REF!</definedName>
    <definedName name="__123Graph_F" localSheetId="7" hidden="1">#REF!</definedName>
    <definedName name="__123Graph_F" localSheetId="8" hidden="1">#REF!</definedName>
    <definedName name="__123Graph_F" localSheetId="9" hidden="1">#REF!</definedName>
    <definedName name="__123Graph_F" localSheetId="10" hidden="1">#REF!</definedName>
    <definedName name="__123Graph_F" hidden="1">#REF!</definedName>
    <definedName name="__123Graph_X" localSheetId="4" hidden="1">#REF!</definedName>
    <definedName name="__123Graph_X" localSheetId="5" hidden="1">#REF!</definedName>
    <definedName name="__123Graph_X" localSheetId="6" hidden="1">#REF!</definedName>
    <definedName name="__123Graph_X" localSheetId="11" hidden="1">#REF!</definedName>
    <definedName name="__123Graph_X" localSheetId="7" hidden="1">#REF!</definedName>
    <definedName name="__123Graph_X" localSheetId="8" hidden="1">#REF!</definedName>
    <definedName name="__123Graph_X" localSheetId="9" hidden="1">#REF!</definedName>
    <definedName name="__123Graph_X" localSheetId="10" hidden="1">#REF!</definedName>
    <definedName name="__123Graph_X" hidden="1">#REF!</definedName>
    <definedName name="_Fill" localSheetId="4" hidden="1">#REF!</definedName>
    <definedName name="_Fill" localSheetId="5" hidden="1">#REF!</definedName>
    <definedName name="_Fill" localSheetId="6" hidden="1">#REF!</definedName>
    <definedName name="_Fill" localSheetId="11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hidden="1">#REF!</definedName>
    <definedName name="_xlnm._FilterDatabase" localSheetId="3" hidden="1">'NITS Pg 1 of 5'!$E$10:$E$45</definedName>
    <definedName name="_xlnm._FilterDatabase" localSheetId="4" hidden="1">'NITS Pg 2 of 5'!#REF!</definedName>
    <definedName name="_xlnm._FilterDatabase" localSheetId="5" hidden="1">'NITS Pg 3 of 5'!#REF!</definedName>
    <definedName name="_xlnm._FilterDatabase" localSheetId="6" hidden="1">'NITS Pg 4 of 5'!#REF!</definedName>
    <definedName name="_xlnm._FilterDatabase" localSheetId="11" hidden="1">'Pg 5 of 5 Notes for both'!#REF!</definedName>
    <definedName name="_xlnm._FilterDatabase" localSheetId="7" hidden="1">'PTP Pg 1 of 5'!$E$10:$E$45</definedName>
    <definedName name="_xlnm._FilterDatabase" localSheetId="8" hidden="1">'PTP Pg 2 of 5'!#REF!</definedName>
    <definedName name="_xlnm._FilterDatabase" localSheetId="9" hidden="1">'PTP Pg 3 of 5'!#REF!</definedName>
    <definedName name="_xlnm._FilterDatabase" localSheetId="10" hidden="1">'PTP Pg 4 of 5'!#REF!</definedName>
    <definedName name="_xlnm._FilterDatabase" localSheetId="13" hidden="1">'Sch 1'!$E$22:$E$51</definedName>
    <definedName name="DEMVA">#REF!</definedName>
    <definedName name="_xlnm.Print_Area" localSheetId="3">'NITS Pg 1 of 5'!$A$1:$K$41</definedName>
    <definedName name="_xlnm.Print_Area" localSheetId="4">'NITS Pg 2 of 5'!$A$1:$J$57</definedName>
    <definedName name="_xlnm.Print_Area" localSheetId="5">'NITS Pg 3 of 5'!$A$1:$J$56</definedName>
    <definedName name="_xlnm.Print_Area" localSheetId="6">'NITS Pg 4 of 5'!$A$1:$K$68</definedName>
    <definedName name="_xlnm.Print_Area" localSheetId="11">'Pg 5 of 5 Notes for both'!$A$1:$L$66</definedName>
    <definedName name="_xlnm.Print_Area" localSheetId="7">'PTP Pg 1 of 5'!$A$1:$K$42</definedName>
    <definedName name="_xlnm.Print_Area" localSheetId="8">'PTP Pg 2 of 5'!$A$1:$J$57</definedName>
    <definedName name="_xlnm.Print_Area" localSheetId="9">'PTP Pg 3 of 5'!$A$1:$J$56</definedName>
    <definedName name="_xlnm.Print_Area" localSheetId="10">'PTP Pg 4 of 5'!$A$1:$K$68</definedName>
    <definedName name="_xlnm.Print_Area" localSheetId="13">'Sch 1'!$A$3:$D$33</definedName>
    <definedName name="_xlnm.Print_Area" localSheetId="1">'VA Transmission'!$A$1:$J$63</definedName>
    <definedName name="_xlnm.Print_Titles" localSheetId="3">'NITS Pg 1 of 5'!$1:$7</definedName>
    <definedName name="_xlnm.Print_Titles" localSheetId="4">'NITS Pg 2 of 5'!#REF!</definedName>
    <definedName name="_xlnm.Print_Titles" localSheetId="6">'NITS Pg 4 of 5'!#REF!</definedName>
    <definedName name="_xlnm.Print_Titles" localSheetId="11">'Pg 5 of 5 Notes for both'!#REF!</definedName>
    <definedName name="_xlnm.Print_Titles" localSheetId="7">'PTP Pg 1 of 5'!$1:$7</definedName>
    <definedName name="_xlnm.Print_Titles" localSheetId="8">'PTP Pg 2 of 5'!#REF!</definedName>
    <definedName name="_xlnm.Print_Titles" localSheetId="10">'PTP Pg 4 of 5'!#REF!</definedName>
    <definedName name="TableName">"Dummy"</definedName>
  </definedNames>
  <calcPr calcId="152511"/>
</workbook>
</file>

<file path=xl/calcChain.xml><?xml version="1.0" encoding="utf-8"?>
<calcChain xmlns="http://schemas.openxmlformats.org/spreadsheetml/2006/main">
  <c r="N211" i="20" l="1"/>
  <c r="D212" i="20" s="1"/>
  <c r="L5" i="6" l="1"/>
  <c r="K4" i="18"/>
  <c r="J4" i="17"/>
  <c r="J4" i="16"/>
  <c r="J4" i="15"/>
  <c r="K4" i="5"/>
  <c r="J4" i="4"/>
  <c r="J4" i="3"/>
  <c r="J4" i="1"/>
  <c r="E104" i="20" l="1"/>
  <c r="D227" i="20" l="1"/>
  <c r="D225" i="20"/>
  <c r="D175" i="20" l="1"/>
  <c r="E12" i="20" l="1"/>
  <c r="N127" i="20" l="1"/>
  <c r="D127" i="20" s="1"/>
  <c r="A4" i="21" l="1"/>
  <c r="B59" i="21" l="1"/>
  <c r="B58" i="21"/>
  <c r="B57" i="21"/>
  <c r="B56" i="21"/>
  <c r="B55" i="21"/>
  <c r="B54" i="21"/>
  <c r="B53" i="21"/>
  <c r="B52" i="21"/>
  <c r="B51" i="21"/>
  <c r="F41" i="21"/>
  <c r="G41" i="21" s="1"/>
  <c r="F40" i="21"/>
  <c r="G40" i="21" s="1"/>
  <c r="F39" i="21"/>
  <c r="G39" i="21" s="1"/>
  <c r="F38" i="21"/>
  <c r="G38" i="21" s="1"/>
  <c r="F37" i="21"/>
  <c r="G37" i="21" s="1"/>
  <c r="F36" i="21"/>
  <c r="G36" i="21" s="1"/>
  <c r="F35" i="21"/>
  <c r="G35" i="21" s="1"/>
  <c r="F34" i="21"/>
  <c r="G34" i="21" s="1"/>
  <c r="F33" i="21"/>
  <c r="G33" i="21" s="1"/>
  <c r="F20" i="21"/>
  <c r="F19" i="21"/>
  <c r="F18" i="21"/>
  <c r="F17" i="21"/>
  <c r="F16" i="21"/>
  <c r="F15" i="21"/>
  <c r="F14" i="21"/>
  <c r="F13" i="21"/>
  <c r="F12" i="21"/>
  <c r="E307" i="20"/>
  <c r="E308" i="20"/>
  <c r="E309" i="20"/>
  <c r="E310" i="20"/>
  <c r="E311" i="20"/>
  <c r="E312" i="20"/>
  <c r="E313" i="20"/>
  <c r="E283" i="20"/>
  <c r="E282" i="20"/>
  <c r="E281" i="20"/>
  <c r="E271" i="20"/>
  <c r="E270" i="20"/>
  <c r="E258" i="20"/>
  <c r="E259" i="20"/>
  <c r="E260" i="20"/>
  <c r="E261" i="20"/>
  <c r="E262" i="20"/>
  <c r="E263" i="20"/>
  <c r="E264" i="20"/>
  <c r="E134" i="20"/>
  <c r="E133" i="20"/>
  <c r="E111" i="20"/>
  <c r="E112" i="20"/>
  <c r="E113" i="20"/>
  <c r="E114" i="20"/>
  <c r="E85" i="20"/>
  <c r="E86" i="20"/>
  <c r="E87" i="20"/>
  <c r="E88" i="20"/>
  <c r="E89" i="20"/>
  <c r="E90" i="20"/>
  <c r="E91" i="20"/>
  <c r="E92" i="20"/>
  <c r="E93" i="20"/>
  <c r="E94" i="20"/>
  <c r="E95" i="20"/>
  <c r="E67" i="20"/>
  <c r="E68" i="20"/>
  <c r="E69" i="20"/>
  <c r="E70" i="20"/>
  <c r="E71" i="20"/>
  <c r="E72" i="20"/>
  <c r="E73" i="20"/>
  <c r="E74" i="20"/>
  <c r="E75" i="20"/>
  <c r="E76" i="20"/>
  <c r="E77" i="20"/>
  <c r="D79" i="20"/>
  <c r="C79" i="20"/>
  <c r="F49" i="20"/>
  <c r="F50" i="20"/>
  <c r="F51" i="20"/>
  <c r="F52" i="20"/>
  <c r="F53" i="20"/>
  <c r="F54" i="20"/>
  <c r="F55" i="20"/>
  <c r="F56" i="20"/>
  <c r="F57" i="20"/>
  <c r="F58" i="20"/>
  <c r="F59" i="20"/>
  <c r="E31" i="20"/>
  <c r="E32" i="20"/>
  <c r="E33" i="20"/>
  <c r="E34" i="20"/>
  <c r="E35" i="20"/>
  <c r="E36" i="20"/>
  <c r="E37" i="20"/>
  <c r="E38" i="20"/>
  <c r="E39" i="20"/>
  <c r="E40" i="20"/>
  <c r="E41" i="20"/>
  <c r="E13" i="20"/>
  <c r="E14" i="20"/>
  <c r="E15" i="20"/>
  <c r="E16" i="20"/>
  <c r="E17" i="20"/>
  <c r="E18" i="20"/>
  <c r="E19" i="20"/>
  <c r="E20" i="20"/>
  <c r="E21" i="20"/>
  <c r="E22" i="20"/>
  <c r="E23" i="20"/>
  <c r="E25" i="20" l="1"/>
  <c r="B60" i="21"/>
  <c r="F21" i="21"/>
  <c r="D1" i="22"/>
  <c r="C1" i="22"/>
  <c r="J61" i="18" l="1"/>
  <c r="J62" i="18" s="1"/>
  <c r="E48" i="18"/>
  <c r="E42" i="17"/>
  <c r="E47" i="17" s="1"/>
  <c r="E51" i="17" s="1"/>
  <c r="J29" i="15"/>
  <c r="D105" i="20" s="1"/>
  <c r="J29" i="1" l="1"/>
  <c r="E306" i="20" l="1"/>
  <c r="H54" i="18" l="1"/>
  <c r="C450" i="20"/>
  <c r="H54" i="5"/>
  <c r="E304" i="20"/>
  <c r="E42" i="4"/>
  <c r="E47" i="4" s="1"/>
  <c r="E51" i="4" s="1"/>
  <c r="J28" i="15" l="1"/>
  <c r="D104" i="20" s="1"/>
  <c r="C43" i="20"/>
  <c r="E59" i="21" l="1"/>
  <c r="D59" i="21"/>
  <c r="C59" i="21"/>
  <c r="E58" i="21"/>
  <c r="D58" i="21"/>
  <c r="C58" i="21"/>
  <c r="E57" i="21"/>
  <c r="D57" i="21"/>
  <c r="C57" i="21"/>
  <c r="E56" i="21"/>
  <c r="D56" i="21"/>
  <c r="C56" i="21"/>
  <c r="E55" i="21"/>
  <c r="D55" i="21"/>
  <c r="C55" i="21"/>
  <c r="E54" i="21"/>
  <c r="D54" i="21"/>
  <c r="C54" i="21"/>
  <c r="E53" i="21"/>
  <c r="D53" i="21"/>
  <c r="C53" i="21"/>
  <c r="E52" i="21"/>
  <c r="D52" i="21"/>
  <c r="C52" i="21"/>
  <c r="E51" i="21"/>
  <c r="D51" i="21"/>
  <c r="C51" i="21"/>
  <c r="E42" i="21"/>
  <c r="D42" i="21"/>
  <c r="C42" i="21"/>
  <c r="B42" i="21"/>
  <c r="E21" i="21"/>
  <c r="D21" i="21"/>
  <c r="C21" i="21"/>
  <c r="B21" i="21"/>
  <c r="G19" i="21"/>
  <c r="J19" i="21" s="1"/>
  <c r="G17" i="21"/>
  <c r="J17" i="21" s="1"/>
  <c r="G15" i="21"/>
  <c r="J15" i="21" s="1"/>
  <c r="F53" i="21"/>
  <c r="G53" i="21" s="1"/>
  <c r="G13" i="21"/>
  <c r="J13" i="21" s="1"/>
  <c r="D462" i="20"/>
  <c r="C462" i="20"/>
  <c r="E460" i="20"/>
  <c r="D24" i="23" s="1"/>
  <c r="E459" i="20"/>
  <c r="D23" i="23" s="1"/>
  <c r="D450" i="20"/>
  <c r="D451" i="20" s="1"/>
  <c r="E341" i="20"/>
  <c r="D333" i="20"/>
  <c r="C333" i="20"/>
  <c r="D324" i="20"/>
  <c r="C324" i="20"/>
  <c r="D323" i="20"/>
  <c r="C323" i="20"/>
  <c r="D322" i="20"/>
  <c r="C322" i="20"/>
  <c r="D319" i="20"/>
  <c r="C319" i="20"/>
  <c r="D318" i="20"/>
  <c r="C318" i="20"/>
  <c r="D314" i="20"/>
  <c r="C314" i="20"/>
  <c r="E302" i="20"/>
  <c r="D298" i="20"/>
  <c r="C298" i="20"/>
  <c r="D276" i="20"/>
  <c r="C276" i="20"/>
  <c r="E269" i="20"/>
  <c r="D265" i="20"/>
  <c r="C265" i="20"/>
  <c r="D19" i="23"/>
  <c r="D18" i="23"/>
  <c r="D17" i="23"/>
  <c r="D16" i="23"/>
  <c r="D15" i="23"/>
  <c r="D14" i="23"/>
  <c r="D13" i="23"/>
  <c r="E257" i="20"/>
  <c r="D12" i="23" s="1"/>
  <c r="E250" i="20"/>
  <c r="D235" i="20"/>
  <c r="C235" i="20"/>
  <c r="B231" i="20"/>
  <c r="E229" i="20"/>
  <c r="E227" i="20"/>
  <c r="D226" i="20"/>
  <c r="C226" i="20"/>
  <c r="E215" i="20"/>
  <c r="E214" i="20"/>
  <c r="E212" i="20"/>
  <c r="D210" i="20"/>
  <c r="C210" i="20"/>
  <c r="D209" i="20"/>
  <c r="C209" i="20"/>
  <c r="D208" i="20"/>
  <c r="C208" i="20"/>
  <c r="M160" i="20" s="1"/>
  <c r="E203" i="20"/>
  <c r="E202" i="20"/>
  <c r="E201" i="20"/>
  <c r="D195" i="20"/>
  <c r="D200" i="20" s="1"/>
  <c r="C195" i="20"/>
  <c r="C200" i="20" s="1"/>
  <c r="E194" i="20"/>
  <c r="E192" i="20"/>
  <c r="E190" i="20"/>
  <c r="D189" i="20"/>
  <c r="C189" i="20"/>
  <c r="E178" i="20"/>
  <c r="D176" i="20"/>
  <c r="D171" i="20" s="1"/>
  <c r="D172" i="20" s="1"/>
  <c r="C176" i="20"/>
  <c r="C171" i="20" s="1"/>
  <c r="C172" i="20" s="1"/>
  <c r="E175" i="20"/>
  <c r="E165" i="20"/>
  <c r="E149" i="20"/>
  <c r="E148" i="20"/>
  <c r="E146" i="20"/>
  <c r="E145" i="20"/>
  <c r="E143" i="20"/>
  <c r="D142" i="20"/>
  <c r="C142" i="20"/>
  <c r="D138" i="20"/>
  <c r="C138" i="20"/>
  <c r="E127" i="20"/>
  <c r="D126" i="20"/>
  <c r="C126" i="20"/>
  <c r="D125" i="20"/>
  <c r="C125" i="20"/>
  <c r="D124" i="20"/>
  <c r="C124" i="20"/>
  <c r="D123" i="20"/>
  <c r="C123" i="20"/>
  <c r="D122" i="20"/>
  <c r="C122" i="20"/>
  <c r="D121" i="20"/>
  <c r="C121" i="20"/>
  <c r="D120" i="20"/>
  <c r="C120" i="20"/>
  <c r="I115" i="20"/>
  <c r="D115" i="20" s="1"/>
  <c r="E110" i="20"/>
  <c r="D97" i="20"/>
  <c r="C97" i="20"/>
  <c r="E84" i="20"/>
  <c r="E66" i="20"/>
  <c r="E61" i="20"/>
  <c r="D61" i="20"/>
  <c r="C61" i="20"/>
  <c r="F48" i="20"/>
  <c r="D43" i="20"/>
  <c r="E30" i="20"/>
  <c r="D25" i="20"/>
  <c r="C25" i="20"/>
  <c r="E8" i="20"/>
  <c r="E7" i="20"/>
  <c r="E125" i="20" l="1"/>
  <c r="E123" i="20"/>
  <c r="E121" i="20"/>
  <c r="E98" i="20"/>
  <c r="E122" i="20"/>
  <c r="M159" i="20"/>
  <c r="E124" i="20"/>
  <c r="E126" i="20"/>
  <c r="E265" i="20"/>
  <c r="D60" i="21"/>
  <c r="C60" i="21"/>
  <c r="E284" i="20"/>
  <c r="F57" i="21"/>
  <c r="G57" i="21" s="1"/>
  <c r="D26" i="23"/>
  <c r="E150" i="20"/>
  <c r="E46" i="3" s="1"/>
  <c r="E17" i="17"/>
  <c r="E17" i="4"/>
  <c r="E20" i="17"/>
  <c r="E20" i="4"/>
  <c r="E33" i="17"/>
  <c r="E33" i="4"/>
  <c r="E29" i="18"/>
  <c r="E29" i="5"/>
  <c r="J66" i="18"/>
  <c r="E344" i="20" s="1"/>
  <c r="J66" i="5"/>
  <c r="E343" i="20" s="1"/>
  <c r="E27" i="17"/>
  <c r="E27" i="4"/>
  <c r="D21" i="23"/>
  <c r="E39" i="18"/>
  <c r="E39" i="5"/>
  <c r="E21" i="17"/>
  <c r="J21" i="17" s="1"/>
  <c r="E21" i="4"/>
  <c r="J21" i="4" s="1"/>
  <c r="E42" i="16"/>
  <c r="E42" i="3"/>
  <c r="E15" i="17"/>
  <c r="J15" i="17" s="1"/>
  <c r="E15" i="4"/>
  <c r="J15" i="4" s="1"/>
  <c r="E35" i="4"/>
  <c r="E35" i="17"/>
  <c r="E30" i="18"/>
  <c r="E30" i="5"/>
  <c r="E37" i="5"/>
  <c r="E37" i="18"/>
  <c r="E26" i="16"/>
  <c r="E26" i="3"/>
  <c r="E49" i="16"/>
  <c r="E49" i="3"/>
  <c r="E54" i="16"/>
  <c r="E180" i="20" s="1"/>
  <c r="E54" i="3"/>
  <c r="E179" i="20" s="1"/>
  <c r="E16" i="17"/>
  <c r="E16" i="4"/>
  <c r="E19" i="17"/>
  <c r="E19" i="4"/>
  <c r="C247" i="20"/>
  <c r="E31" i="18"/>
  <c r="H31" i="18" s="1"/>
  <c r="E31" i="5"/>
  <c r="H31" i="5" s="1"/>
  <c r="E38" i="5"/>
  <c r="E38" i="18"/>
  <c r="E17" i="16"/>
  <c r="E17" i="3"/>
  <c r="E15" i="16"/>
  <c r="E15" i="3"/>
  <c r="E38" i="16"/>
  <c r="E38" i="3"/>
  <c r="E16" i="16"/>
  <c r="E16" i="3"/>
  <c r="E39" i="16"/>
  <c r="E39" i="3"/>
  <c r="E14" i="16"/>
  <c r="E14" i="3"/>
  <c r="E314" i="20"/>
  <c r="D247" i="20"/>
  <c r="E147" i="20"/>
  <c r="E142" i="20"/>
  <c r="E115" i="20"/>
  <c r="E116" i="20" s="1"/>
  <c r="E189" i="20"/>
  <c r="F51" i="21"/>
  <c r="G51" i="21" s="1"/>
  <c r="F55" i="21"/>
  <c r="G55" i="21" s="1"/>
  <c r="F59" i="21"/>
  <c r="G59" i="21" s="1"/>
  <c r="F61" i="20"/>
  <c r="E172" i="20"/>
  <c r="E60" i="21"/>
  <c r="G16" i="21"/>
  <c r="J16" i="21" s="1"/>
  <c r="G14" i="21"/>
  <c r="J14" i="21" s="1"/>
  <c r="G12" i="21"/>
  <c r="J12" i="21" s="1"/>
  <c r="G20" i="21"/>
  <c r="J20" i="21" s="1"/>
  <c r="G18" i="21"/>
  <c r="J18" i="21" s="1"/>
  <c r="N159" i="20"/>
  <c r="E43" i="20"/>
  <c r="E208" i="20"/>
  <c r="E450" i="20"/>
  <c r="E138" i="20"/>
  <c r="E79" i="20"/>
  <c r="E235" i="20"/>
  <c r="E298" i="20"/>
  <c r="E333" i="20"/>
  <c r="E462" i="20"/>
  <c r="E276" i="20"/>
  <c r="E277" i="20" s="1"/>
  <c r="E120" i="20"/>
  <c r="D211" i="20"/>
  <c r="C211" i="20"/>
  <c r="E200" i="20"/>
  <c r="G42" i="21"/>
  <c r="J42" i="21" s="1"/>
  <c r="N160" i="20"/>
  <c r="O160" i="20" s="1"/>
  <c r="F42" i="21"/>
  <c r="F52" i="21"/>
  <c r="G52" i="21" s="1"/>
  <c r="F54" i="21"/>
  <c r="G54" i="21" s="1"/>
  <c r="F56" i="21"/>
  <c r="G56" i="21" s="1"/>
  <c r="F58" i="21"/>
  <c r="G58" i="21" s="1"/>
  <c r="E226" i="20"/>
  <c r="E236" i="20" s="1"/>
  <c r="C451" i="20"/>
  <c r="E451" i="20" s="1"/>
  <c r="C321" i="20"/>
  <c r="C325" i="20" s="1"/>
  <c r="D321" i="20"/>
  <c r="D325" i="20" s="1"/>
  <c r="O159" i="20" l="1"/>
  <c r="I161" i="20" s="1"/>
  <c r="E160" i="20" s="1"/>
  <c r="G60" i="21"/>
  <c r="E128" i="20"/>
  <c r="D28" i="23"/>
  <c r="J20" i="18"/>
  <c r="E267" i="20" s="1"/>
  <c r="E46" i="16"/>
  <c r="E40" i="5"/>
  <c r="E285" i="20" s="1"/>
  <c r="E32" i="4"/>
  <c r="E32" i="17"/>
  <c r="E32" i="18"/>
  <c r="H32" i="18" s="1"/>
  <c r="E32" i="5"/>
  <c r="H32" i="5" s="1"/>
  <c r="E18" i="17"/>
  <c r="E18" i="4"/>
  <c r="E53" i="18"/>
  <c r="E335" i="20" s="1"/>
  <c r="E53" i="5"/>
  <c r="E334" i="20" s="1"/>
  <c r="J67" i="18"/>
  <c r="J67" i="5"/>
  <c r="E44" i="18"/>
  <c r="E300" i="20" s="1"/>
  <c r="E44" i="5"/>
  <c r="E299" i="20" s="1"/>
  <c r="E40" i="16"/>
  <c r="E40" i="3"/>
  <c r="E53" i="16"/>
  <c r="E53" i="3"/>
  <c r="E204" i="20"/>
  <c r="E14" i="17"/>
  <c r="E14" i="4"/>
  <c r="J20" i="5"/>
  <c r="E266" i="20" s="1"/>
  <c r="J27" i="15"/>
  <c r="E100" i="20" s="1"/>
  <c r="J27" i="1"/>
  <c r="E99" i="20" s="1"/>
  <c r="E18" i="16"/>
  <c r="E34" i="16" s="1"/>
  <c r="E18" i="3"/>
  <c r="E34" i="3" s="1"/>
  <c r="E47" i="5"/>
  <c r="E315" i="20" s="1"/>
  <c r="E47" i="18"/>
  <c r="E316" i="20" s="1"/>
  <c r="H29" i="5"/>
  <c r="E36" i="4"/>
  <c r="E36" i="17"/>
  <c r="E41" i="16"/>
  <c r="E41" i="3"/>
  <c r="E40" i="18"/>
  <c r="H29" i="18"/>
  <c r="E25" i="4"/>
  <c r="E25" i="17"/>
  <c r="J23" i="15"/>
  <c r="E27" i="20" s="1"/>
  <c r="J23" i="1"/>
  <c r="E26" i="20" s="1"/>
  <c r="E25" i="16"/>
  <c r="E33" i="16" s="1"/>
  <c r="E25" i="3"/>
  <c r="E33" i="3" s="1"/>
  <c r="J24" i="15"/>
  <c r="E45" i="20" s="1"/>
  <c r="J24" i="1"/>
  <c r="E44" i="20" s="1"/>
  <c r="E45" i="16"/>
  <c r="E45" i="3"/>
  <c r="E22" i="16"/>
  <c r="E30" i="16" s="1"/>
  <c r="E22" i="3"/>
  <c r="E23" i="16"/>
  <c r="E31" i="16" s="1"/>
  <c r="E23" i="3"/>
  <c r="E31" i="3" s="1"/>
  <c r="J26" i="15"/>
  <c r="E81" i="20" s="1"/>
  <c r="J26" i="1"/>
  <c r="E80" i="20" s="1"/>
  <c r="J25" i="15"/>
  <c r="F63" i="20" s="1"/>
  <c r="J25" i="1"/>
  <c r="F62" i="20" s="1"/>
  <c r="E24" i="16"/>
  <c r="E32" i="16" s="1"/>
  <c r="E24" i="3"/>
  <c r="E32" i="3" s="1"/>
  <c r="E211" i="20"/>
  <c r="E217" i="20" s="1"/>
  <c r="G21" i="21"/>
  <c r="J21" i="21" s="1"/>
  <c r="F60" i="21"/>
  <c r="E325" i="20"/>
  <c r="E33" i="5" l="1"/>
  <c r="E278" i="20" s="1"/>
  <c r="J12" i="5"/>
  <c r="G61" i="21" s="1"/>
  <c r="J12" i="18"/>
  <c r="G62" i="21" s="1"/>
  <c r="J68" i="18"/>
  <c r="E15" i="15" s="1"/>
  <c r="E453" i="20"/>
  <c r="J68" i="5"/>
  <c r="E452" i="20"/>
  <c r="F41" i="18"/>
  <c r="E286" i="20"/>
  <c r="E174" i="20"/>
  <c r="E173" i="20"/>
  <c r="E19" i="16"/>
  <c r="E118" i="20" s="1"/>
  <c r="E33" i="18"/>
  <c r="E279" i="20" s="1"/>
  <c r="E22" i="4"/>
  <c r="E52" i="16" s="1"/>
  <c r="E55" i="16" s="1"/>
  <c r="H53" i="18"/>
  <c r="E22" i="17"/>
  <c r="E206" i="20" s="1"/>
  <c r="J19" i="18"/>
  <c r="J21" i="18" s="1"/>
  <c r="J23" i="18" s="1"/>
  <c r="E38" i="17"/>
  <c r="E238" i="20" s="1"/>
  <c r="E49" i="5"/>
  <c r="E326" i="20" s="1"/>
  <c r="E49" i="18"/>
  <c r="E19" i="3"/>
  <c r="E117" i="20" s="1"/>
  <c r="E38" i="4"/>
  <c r="E237" i="20" s="1"/>
  <c r="E26" i="17"/>
  <c r="E28" i="17" s="1"/>
  <c r="E219" i="20" s="1"/>
  <c r="E26" i="4"/>
  <c r="E28" i="4" s="1"/>
  <c r="E218" i="20" s="1"/>
  <c r="H161" i="20"/>
  <c r="E153" i="20"/>
  <c r="E154" i="20" s="1"/>
  <c r="E156" i="20" s="1"/>
  <c r="E27" i="3"/>
  <c r="E129" i="20" s="1"/>
  <c r="E30" i="3"/>
  <c r="E35" i="3" s="1"/>
  <c r="E35" i="16"/>
  <c r="E27" i="16"/>
  <c r="E130" i="20" s="1"/>
  <c r="J30" i="1"/>
  <c r="D30" i="23" s="1"/>
  <c r="D32" i="23" s="1"/>
  <c r="J30" i="15"/>
  <c r="E161" i="20"/>
  <c r="E163" i="20" s="1"/>
  <c r="H53" i="5"/>
  <c r="E50" i="18" l="1"/>
  <c r="E55" i="18" s="1"/>
  <c r="E56" i="18" s="1"/>
  <c r="F55" i="18" s="1"/>
  <c r="J55" i="18" s="1"/>
  <c r="E327" i="20"/>
  <c r="E166" i="20"/>
  <c r="E205" i="20"/>
  <c r="E52" i="3"/>
  <c r="E55" i="3" s="1"/>
  <c r="E43" i="3"/>
  <c r="E43" i="16"/>
  <c r="E44" i="16"/>
  <c r="E44" i="3"/>
  <c r="C8" i="22"/>
  <c r="D8" i="22" s="1"/>
  <c r="D33" i="23"/>
  <c r="F54" i="18" l="1"/>
  <c r="J54" i="18" s="1"/>
  <c r="F53" i="18"/>
  <c r="J53" i="18" s="1"/>
  <c r="J44" i="3"/>
  <c r="E47" i="3"/>
  <c r="E57" i="3" s="1"/>
  <c r="J44" i="16"/>
  <c r="E47" i="16"/>
  <c r="E57" i="16" s="1"/>
  <c r="C26" i="16"/>
  <c r="C34" i="16" s="1"/>
  <c r="C25" i="16"/>
  <c r="C33" i="16" s="1"/>
  <c r="C24" i="16"/>
  <c r="C32" i="16" s="1"/>
  <c r="C23" i="16"/>
  <c r="C31" i="16" s="1"/>
  <c r="C22" i="16"/>
  <c r="C30" i="16" s="1"/>
  <c r="A7" i="4"/>
  <c r="E167" i="20" l="1"/>
  <c r="E168" i="20"/>
  <c r="J56" i="18"/>
  <c r="E44" i="17"/>
  <c r="G46" i="16"/>
  <c r="G45" i="16"/>
  <c r="E45" i="17" l="1"/>
  <c r="E43" i="17"/>
  <c r="E54" i="17"/>
  <c r="G46" i="3"/>
  <c r="G45" i="3"/>
  <c r="E50" i="17" l="1"/>
  <c r="E52" i="17" s="1"/>
  <c r="E56" i="17" s="1"/>
  <c r="E14" i="15"/>
  <c r="E48" i="5" l="1"/>
  <c r="E50" i="5" s="1"/>
  <c r="J61" i="5" l="1"/>
  <c r="J62" i="5" s="1"/>
  <c r="G36" i="17"/>
  <c r="G33" i="17"/>
  <c r="G19" i="17"/>
  <c r="G17" i="17"/>
  <c r="G18" i="17" s="1"/>
  <c r="G49" i="16"/>
  <c r="G43" i="16"/>
  <c r="G41" i="16"/>
  <c r="A39" i="16"/>
  <c r="A40" i="16" s="1"/>
  <c r="A41" i="16" s="1"/>
  <c r="A42" i="16" s="1"/>
  <c r="A43" i="16" s="1"/>
  <c r="A44" i="16" s="1"/>
  <c r="A45" i="16" s="1"/>
  <c r="A46" i="16" s="1"/>
  <c r="A47" i="16" s="1"/>
  <c r="G26" i="16"/>
  <c r="G25" i="16"/>
  <c r="G24" i="16"/>
  <c r="A49" i="16" l="1"/>
  <c r="A52" i="16" s="1"/>
  <c r="A53" i="16" l="1"/>
  <c r="A54" i="16" s="1"/>
  <c r="A55" i="16" s="1"/>
  <c r="A57" i="16" s="1"/>
  <c r="G15" i="15"/>
  <c r="G16" i="15" s="1"/>
  <c r="G17" i="15" s="1"/>
  <c r="D55" i="16" l="1"/>
  <c r="E14" i="1"/>
  <c r="G43" i="3" l="1"/>
  <c r="A39" i="3" l="1"/>
  <c r="A40" i="3" s="1"/>
  <c r="A41" i="3" s="1"/>
  <c r="A42" i="3" l="1"/>
  <c r="A43" i="3" s="1"/>
  <c r="A44" i="3" s="1"/>
  <c r="A45" i="3" s="1"/>
  <c r="A46" i="3" s="1"/>
  <c r="A47" i="3" s="1"/>
  <c r="A49" i="3" l="1"/>
  <c r="A52" i="3" s="1"/>
  <c r="A53" i="3" l="1"/>
  <c r="A54" i="3" s="1"/>
  <c r="A55" i="3" s="1"/>
  <c r="A57" i="3" s="1"/>
  <c r="D55" i="3" l="1"/>
  <c r="E15" i="1" l="1"/>
  <c r="G36" i="4"/>
  <c r="G33" i="4"/>
  <c r="G19" i="4"/>
  <c r="G17" i="4"/>
  <c r="G18" i="4" s="1"/>
  <c r="G41" i="3"/>
  <c r="G26" i="3"/>
  <c r="C26" i="3"/>
  <c r="C34" i="3" s="1"/>
  <c r="G25" i="3"/>
  <c r="C25" i="3"/>
  <c r="C33" i="3" s="1"/>
  <c r="G24" i="3"/>
  <c r="C24" i="3"/>
  <c r="C32" i="3" s="1"/>
  <c r="G49" i="3"/>
  <c r="C23" i="3"/>
  <c r="C31" i="3" s="1"/>
  <c r="C22" i="3"/>
  <c r="C30" i="3" s="1"/>
  <c r="G15" i="1"/>
  <c r="G16" i="1" s="1"/>
  <c r="G17" i="1" s="1"/>
  <c r="E55" i="5" l="1"/>
  <c r="E56" i="5" s="1"/>
  <c r="J11" i="18"/>
  <c r="F41" i="5"/>
  <c r="J14" i="18" l="1"/>
  <c r="J16" i="18" s="1"/>
  <c r="J24" i="18" s="1"/>
  <c r="J25" i="18" s="1"/>
  <c r="F55" i="5"/>
  <c r="J55" i="5" s="1"/>
  <c r="J11" i="5"/>
  <c r="J19" i="5"/>
  <c r="J21" i="5" l="1"/>
  <c r="J23" i="5" s="1"/>
  <c r="F54" i="5"/>
  <c r="J54" i="5" s="1"/>
  <c r="F53" i="5"/>
  <c r="J53" i="5" s="1"/>
  <c r="J14" i="5"/>
  <c r="J16" i="5" s="1"/>
  <c r="H15" i="16"/>
  <c r="J15" i="16" s="1"/>
  <c r="H17" i="15"/>
  <c r="J17" i="15" s="1"/>
  <c r="H16" i="15"/>
  <c r="J16" i="15" s="1"/>
  <c r="H14" i="15"/>
  <c r="J14" i="15" s="1"/>
  <c r="H15" i="15"/>
  <c r="J15" i="15" s="1"/>
  <c r="F30" i="18"/>
  <c r="J24" i="5" l="1"/>
  <c r="J25" i="5" s="1"/>
  <c r="H15" i="1"/>
  <c r="J15" i="1" s="1"/>
  <c r="H16" i="1"/>
  <c r="J16" i="1" s="1"/>
  <c r="H17" i="1"/>
  <c r="J17" i="1" s="1"/>
  <c r="H30" i="18"/>
  <c r="H33" i="18" s="1"/>
  <c r="J33" i="18" s="1"/>
  <c r="H41" i="18" s="1"/>
  <c r="J41" i="18" s="1"/>
  <c r="H45" i="16"/>
  <c r="J45" i="16" s="1"/>
  <c r="J18" i="15"/>
  <c r="J56" i="5"/>
  <c r="E43" i="4" s="1"/>
  <c r="E44" i="4"/>
  <c r="H25" i="17"/>
  <c r="J25" i="17" s="1"/>
  <c r="H15" i="3"/>
  <c r="J15" i="3" s="1"/>
  <c r="H14" i="1"/>
  <c r="J14" i="1" s="1"/>
  <c r="F30" i="5"/>
  <c r="H30" i="5" l="1"/>
  <c r="H33" i="5" s="1"/>
  <c r="J33" i="5" s="1"/>
  <c r="E54" i="4"/>
  <c r="E50" i="4" s="1"/>
  <c r="H45" i="3"/>
  <c r="J45" i="3" s="1"/>
  <c r="J18" i="1"/>
  <c r="H18" i="16"/>
  <c r="J18" i="16" s="1"/>
  <c r="H20" i="17"/>
  <c r="J20" i="17" s="1"/>
  <c r="H27" i="17"/>
  <c r="J27" i="17" s="1"/>
  <c r="E45" i="4"/>
  <c r="H17" i="17"/>
  <c r="J17" i="17" s="1"/>
  <c r="H32" i="17"/>
  <c r="J32" i="17" s="1"/>
  <c r="H16" i="17"/>
  <c r="J16" i="17" s="1"/>
  <c r="H26" i="17"/>
  <c r="J26" i="17" s="1"/>
  <c r="H18" i="17"/>
  <c r="J18" i="17" s="1"/>
  <c r="H33" i="17"/>
  <c r="J33" i="17" s="1"/>
  <c r="H17" i="16"/>
  <c r="J17" i="16" s="1"/>
  <c r="H19" i="17"/>
  <c r="J19" i="17" s="1"/>
  <c r="H14" i="17"/>
  <c r="J14" i="17" s="1"/>
  <c r="H53" i="16"/>
  <c r="J53" i="16" s="1"/>
  <c r="H25" i="4"/>
  <c r="J25" i="4" s="1"/>
  <c r="H43" i="16"/>
  <c r="J43" i="16" s="1"/>
  <c r="H23" i="16"/>
  <c r="J23" i="16" s="1"/>
  <c r="J31" i="16" s="1"/>
  <c r="H43" i="3"/>
  <c r="J43" i="3" s="1"/>
  <c r="H23" i="3"/>
  <c r="J23" i="3" s="1"/>
  <c r="J31" i="3" s="1"/>
  <c r="J28" i="17" l="1"/>
  <c r="J22" i="17"/>
  <c r="J19" i="16"/>
  <c r="H19" i="16" s="1"/>
  <c r="H46" i="16"/>
  <c r="J46" i="16" s="1"/>
  <c r="H14" i="4"/>
  <c r="J14" i="4" s="1"/>
  <c r="H33" i="4"/>
  <c r="J33" i="4" s="1"/>
  <c r="H26" i="4"/>
  <c r="J26" i="4" s="1"/>
  <c r="H17" i="4"/>
  <c r="J17" i="4" s="1"/>
  <c r="H18" i="4"/>
  <c r="J18" i="4" s="1"/>
  <c r="H16" i="4"/>
  <c r="J16" i="4" s="1"/>
  <c r="H25" i="16"/>
  <c r="J25" i="16" s="1"/>
  <c r="J33" i="16" s="1"/>
  <c r="H41" i="5"/>
  <c r="J41" i="5" s="1"/>
  <c r="H17" i="3"/>
  <c r="J17" i="3" s="1"/>
  <c r="H32" i="4"/>
  <c r="J32" i="4" s="1"/>
  <c r="H53" i="3"/>
  <c r="J53" i="3" s="1"/>
  <c r="H49" i="16"/>
  <c r="J49" i="16" s="1"/>
  <c r="H19" i="4"/>
  <c r="J19" i="4" s="1"/>
  <c r="H49" i="3"/>
  <c r="J49" i="3" s="1"/>
  <c r="E52" i="4" l="1"/>
  <c r="E56" i="4" s="1"/>
  <c r="H25" i="3"/>
  <c r="J25" i="3" s="1"/>
  <c r="J33" i="3" s="1"/>
  <c r="H20" i="4"/>
  <c r="H18" i="3"/>
  <c r="J18" i="3" s="1"/>
  <c r="H27" i="4"/>
  <c r="J27" i="4" s="1"/>
  <c r="J28" i="4" s="1"/>
  <c r="J19" i="3" l="1"/>
  <c r="J20" i="4"/>
  <c r="J22" i="4" s="1"/>
  <c r="J52" i="16" s="1"/>
  <c r="H46" i="3"/>
  <c r="J46" i="3" s="1"/>
  <c r="H26" i="16"/>
  <c r="J26" i="16" s="1"/>
  <c r="H26" i="3"/>
  <c r="J26" i="3" s="1"/>
  <c r="J34" i="3" s="1"/>
  <c r="J35" i="3" s="1"/>
  <c r="J27" i="16" l="1"/>
  <c r="J34" i="16"/>
  <c r="J35" i="16" s="1"/>
  <c r="H35" i="16" s="1"/>
  <c r="J52" i="3"/>
  <c r="J27" i="3"/>
  <c r="H19" i="3"/>
  <c r="H54" i="16"/>
  <c r="J54" i="16" s="1"/>
  <c r="J55" i="16" s="1"/>
  <c r="H37" i="17"/>
  <c r="J37" i="17" s="1"/>
  <c r="H36" i="17"/>
  <c r="J36" i="17" s="1"/>
  <c r="H35" i="17"/>
  <c r="J35" i="17" s="1"/>
  <c r="J38" i="17" l="1"/>
  <c r="H35" i="4"/>
  <c r="J35" i="4" s="1"/>
  <c r="H54" i="3"/>
  <c r="J54" i="3" s="1"/>
  <c r="J55" i="3" s="1"/>
  <c r="H36" i="4"/>
  <c r="J36" i="4" s="1"/>
  <c r="H37" i="4"/>
  <c r="J37" i="4" s="1"/>
  <c r="H39" i="16"/>
  <c r="J39" i="16" s="1"/>
  <c r="H51" i="17"/>
  <c r="J51" i="17" s="1"/>
  <c r="J38" i="4" l="1"/>
  <c r="H35" i="3"/>
  <c r="H40" i="16"/>
  <c r="J40" i="16" s="1"/>
  <c r="H42" i="16" l="1"/>
  <c r="J42" i="16" s="1"/>
  <c r="H51" i="4"/>
  <c r="J51" i="4" s="1"/>
  <c r="H39" i="3"/>
  <c r="J39" i="3" s="1"/>
  <c r="H41" i="16"/>
  <c r="J41" i="16" s="1"/>
  <c r="J47" i="16" l="1"/>
  <c r="J57" i="16" s="1"/>
  <c r="J54" i="17" s="1"/>
  <c r="J50" i="17" s="1"/>
  <c r="J52" i="17" s="1"/>
  <c r="J56" i="17" s="1"/>
  <c r="H40" i="3"/>
  <c r="J40" i="3" s="1"/>
  <c r="H42" i="3" l="1"/>
  <c r="J42" i="3" s="1"/>
  <c r="H41" i="3"/>
  <c r="J41" i="3" s="1"/>
  <c r="J47" i="3" l="1"/>
  <c r="J57" i="3" s="1"/>
  <c r="J54" i="4" s="1"/>
  <c r="J50" i="4" s="1"/>
  <c r="J52" i="4" s="1"/>
  <c r="J56" i="4" s="1"/>
  <c r="J11" i="15" l="1"/>
  <c r="J20" i="15" s="1"/>
  <c r="J11" i="1"/>
  <c r="J20" i="1" s="1"/>
  <c r="E32" i="1" l="1"/>
  <c r="E33" i="1" s="1"/>
  <c r="D7" i="22" s="1"/>
  <c r="E32" i="15"/>
  <c r="E33" i="15" l="1"/>
  <c r="C7" i="22" s="1"/>
  <c r="E36" i="15"/>
  <c r="C6" i="22" s="1"/>
  <c r="J36" i="15"/>
  <c r="J37" i="15" s="1"/>
  <c r="E37" i="15" l="1"/>
  <c r="E38" i="15" s="1"/>
  <c r="J38" i="15"/>
  <c r="C5" i="22"/>
  <c r="C4" i="22" l="1"/>
  <c r="C2" i="22"/>
  <c r="C3" i="22"/>
</calcChain>
</file>

<file path=xl/sharedStrings.xml><?xml version="1.0" encoding="utf-8"?>
<sst xmlns="http://schemas.openxmlformats.org/spreadsheetml/2006/main" count="1846" uniqueCount="1016">
  <si>
    <t xml:space="preserve"> </t>
  </si>
  <si>
    <t>Line</t>
  </si>
  <si>
    <t>Allocated</t>
  </si>
  <si>
    <t>No.</t>
  </si>
  <si>
    <t>Amount</t>
  </si>
  <si>
    <t xml:space="preserve">REVENUE CREDITS </t>
  </si>
  <si>
    <t>Total</t>
  </si>
  <si>
    <t>Allocator</t>
  </si>
  <si>
    <t xml:space="preserve">  Account No. 454</t>
  </si>
  <si>
    <t>TP</t>
  </si>
  <si>
    <t xml:space="preserve">  Account No. 456</t>
  </si>
  <si>
    <t xml:space="preserve">  Revenues from Grandfathered Interzonal Transactions</t>
  </si>
  <si>
    <t>NET REVENUE REQUIREMENT</t>
  </si>
  <si>
    <t xml:space="preserve">DIVISOR </t>
  </si>
  <si>
    <t>Annual Cost ($/kW/Yr)</t>
  </si>
  <si>
    <t>FERC Annual Charge($/MWh)</t>
  </si>
  <si>
    <t>Short Term</t>
  </si>
  <si>
    <t>Long Term</t>
  </si>
  <si>
    <t>(1)</t>
  </si>
  <si>
    <t>(2)</t>
  </si>
  <si>
    <t>(3)</t>
  </si>
  <si>
    <t>(4)</t>
  </si>
  <si>
    <t>(5)</t>
  </si>
  <si>
    <t>Form No. 1</t>
  </si>
  <si>
    <t>Transmission</t>
  </si>
  <si>
    <t>Page, Line, Col.</t>
  </si>
  <si>
    <t>Company Total</t>
  </si>
  <si>
    <t xml:space="preserve">                  Allocator</t>
  </si>
  <si>
    <t>(Col 3 times Col 4)</t>
  </si>
  <si>
    <t>RATE BASE:</t>
  </si>
  <si>
    <t>GROSS PLANT IN SERVICE</t>
  </si>
  <si>
    <t xml:space="preserve">  Production</t>
  </si>
  <si>
    <t>NA</t>
  </si>
  <si>
    <t xml:space="preserve">  Transmission</t>
  </si>
  <si>
    <t xml:space="preserve">  Distribution</t>
  </si>
  <si>
    <t xml:space="preserve">  General &amp; Intangible</t>
  </si>
  <si>
    <t>W/S</t>
  </si>
  <si>
    <t xml:space="preserve">  Common</t>
  </si>
  <si>
    <t>CE</t>
  </si>
  <si>
    <t>GP=</t>
  </si>
  <si>
    <t>ACCUMULATED DEPRECIATION</t>
  </si>
  <si>
    <t>Other</t>
  </si>
  <si>
    <t>NET PLANT IN SERVICE</t>
  </si>
  <si>
    <t>Common</t>
  </si>
  <si>
    <t xml:space="preserve">  Account No. 281 (enter negative)</t>
  </si>
  <si>
    <t xml:space="preserve">  Account No. 282 (enter negative)</t>
  </si>
  <si>
    <t>NP</t>
  </si>
  <si>
    <t xml:space="preserve">  Account No. 283 (enter negative)</t>
  </si>
  <si>
    <t xml:space="preserve">  Account No. 190 </t>
  </si>
  <si>
    <t xml:space="preserve">  Account No. 255 (enter negative)</t>
  </si>
  <si>
    <t xml:space="preserve">  Network Upgrade (enter negative)</t>
  </si>
  <si>
    <t>LSE Direct Assignment (enter negative)</t>
  </si>
  <si>
    <t>calculated</t>
  </si>
  <si>
    <t>TE</t>
  </si>
  <si>
    <t>GP</t>
  </si>
  <si>
    <t>O&amp;M</t>
  </si>
  <si>
    <t>A&amp;G</t>
  </si>
  <si>
    <t xml:space="preserve">  LABOR RELATED</t>
  </si>
  <si>
    <t>263.i</t>
  </si>
  <si>
    <t>Payroll</t>
  </si>
  <si>
    <t xml:space="preserve">  PLANT RELATED</t>
  </si>
  <si>
    <t>Property</t>
  </si>
  <si>
    <t xml:space="preserve">  </t>
  </si>
  <si>
    <t>Total Income Taxes</t>
  </si>
  <si>
    <t>TP=</t>
  </si>
  <si>
    <t xml:space="preserve">TRANSMISSION EXPENSES </t>
  </si>
  <si>
    <t>TE=</t>
  </si>
  <si>
    <t>Form 1 Reference</t>
  </si>
  <si>
    <t>W&amp;S Allocator</t>
  </si>
  <si>
    <t xml:space="preserve">  Other</t>
  </si>
  <si>
    <t>=</t>
  </si>
  <si>
    <t xml:space="preserve">  Electric</t>
  </si>
  <si>
    <t>200.3.c</t>
  </si>
  <si>
    <t xml:space="preserve">  Gas</t>
  </si>
  <si>
    <t>201.3.d</t>
  </si>
  <si>
    <t xml:space="preserve">  Water</t>
  </si>
  <si>
    <t>201.3.e</t>
  </si>
  <si>
    <t>Long Term Interest</t>
  </si>
  <si>
    <t>Proprietary Capital</t>
  </si>
  <si>
    <t>%</t>
  </si>
  <si>
    <t>Weighted</t>
  </si>
  <si>
    <t>REVENUE CREDITS</t>
  </si>
  <si>
    <t>Load</t>
  </si>
  <si>
    <t>ACCOUNT 447 (SALES FOR RESALE)</t>
  </si>
  <si>
    <t>(330.x.n)</t>
  </si>
  <si>
    <t xml:space="preserve">  a. Transmission charges for all transmission transactions </t>
  </si>
  <si>
    <t xml:space="preserve">  b. Transmission charges for all transmission transactions included in Divisor on Page 1</t>
  </si>
  <si>
    <t xml:space="preserve">                           References to data from FERC Form 1 are indicated as:   #.y.x  (page, line, column)</t>
  </si>
  <si>
    <t>Note</t>
  </si>
  <si>
    <t>Letter</t>
  </si>
  <si>
    <t>A</t>
  </si>
  <si>
    <t>B</t>
  </si>
  <si>
    <t>C</t>
  </si>
  <si>
    <t>D</t>
  </si>
  <si>
    <t>E</t>
  </si>
  <si>
    <t xml:space="preserve">The FERC's annual charges for the year assessed the Transmission Owner for service under this tariff. </t>
  </si>
  <si>
    <t>F</t>
  </si>
  <si>
    <t>G</t>
  </si>
  <si>
    <t>Identified in Form 1 as being only transmission related.</t>
  </si>
  <si>
    <t>H</t>
  </si>
  <si>
    <t>I</t>
  </si>
  <si>
    <t>J</t>
  </si>
  <si>
    <t>K</t>
  </si>
  <si>
    <t xml:space="preserve">         Inputs Required:</t>
  </si>
  <si>
    <t>FIT =</t>
  </si>
  <si>
    <t>SIT=</t>
  </si>
  <si>
    <t xml:space="preserve">  (State Income Tax Rate or Composite SIT)</t>
  </si>
  <si>
    <t>p =</t>
  </si>
  <si>
    <t xml:space="preserve">  (percent of federal income tax deductible for state purposes)</t>
  </si>
  <si>
    <t>L</t>
  </si>
  <si>
    <t>Removes dollar amount of transmission expenses included in the OATT ancillary services rates, including all of Account No. 561.</t>
  </si>
  <si>
    <t>M</t>
  </si>
  <si>
    <t>N</t>
  </si>
  <si>
    <t>O</t>
  </si>
  <si>
    <t>P</t>
  </si>
  <si>
    <t>Q</t>
  </si>
  <si>
    <t>R</t>
  </si>
  <si>
    <t>Includes income related only to transmission facilities, such as pole attachments, rentals and special use.</t>
  </si>
  <si>
    <t>S</t>
  </si>
  <si>
    <t>T</t>
  </si>
  <si>
    <t>U</t>
  </si>
  <si>
    <t>Account 456 entry shall be the annual total of the quarterly values reported at Form 1, 330.x.n.</t>
  </si>
  <si>
    <t>V</t>
  </si>
  <si>
    <t>Page 2 of 5</t>
  </si>
  <si>
    <t>Page 3 of 5</t>
  </si>
  <si>
    <t>Page 4 of 5</t>
  </si>
  <si>
    <t>Preferred Dividends</t>
  </si>
  <si>
    <t>GROSS REVENUE REQUIREMENT</t>
  </si>
  <si>
    <t>TOTAL REVENUE CREDITS</t>
  </si>
  <si>
    <t>Development of Common Stock:</t>
  </si>
  <si>
    <t>LG&amp;E and KU</t>
  </si>
  <si>
    <t>[RESERVED]</t>
  </si>
  <si>
    <t>X</t>
  </si>
  <si>
    <t xml:space="preserve">  Average of 12 coincident system peaks for requirements (RQ) service (kW)</t>
  </si>
  <si>
    <t xml:space="preserve">  Plus 12 CP of firm bundled sales over one year not in line 8 (kW)</t>
  </si>
  <si>
    <t xml:space="preserve">  Plus 12 CP of Network Load not in line 8 (kW)</t>
  </si>
  <si>
    <t xml:space="preserve">  Less 12 CP of firm P-T-P over one year (enter negative) (kW)</t>
  </si>
  <si>
    <t xml:space="preserve">  Plus Contract Demand of firm P-T-P over one year (kW)</t>
  </si>
  <si>
    <t>(Note P)</t>
  </si>
  <si>
    <t>Depreciation Rates Used in Attachment O</t>
  </si>
  <si>
    <t>For Kentucky Utilities Company:</t>
  </si>
  <si>
    <t xml:space="preserve">Current </t>
  </si>
  <si>
    <t>Rates</t>
  </si>
  <si>
    <t>Property Group</t>
  </si>
  <si>
    <t>ASL</t>
  </si>
  <si>
    <t>Transmission Plant</t>
  </si>
  <si>
    <t>350.1 Land Rights</t>
  </si>
  <si>
    <t>350.2 Land</t>
  </si>
  <si>
    <t>352.1 Struct. and Impr. Non Sys Control</t>
  </si>
  <si>
    <t>352.2 Struct. and Impr. Sys Control</t>
  </si>
  <si>
    <t>353.1 Station Equipment</t>
  </si>
  <si>
    <t>353.2 Syst Control/Microwave Equip</t>
  </si>
  <si>
    <t>354 Towers &amp; Fixtures</t>
  </si>
  <si>
    <t>355 Poles &amp; Fixtures</t>
  </si>
  <si>
    <t>356 Overhead Conductors and Devices</t>
  </si>
  <si>
    <t>357 Underground Conduit</t>
  </si>
  <si>
    <t>358 Underground Conductors &amp; Devices</t>
  </si>
  <si>
    <t>Total Transmission Plant</t>
  </si>
  <si>
    <t>For Louisville Gas and Electric Company:</t>
  </si>
  <si>
    <t xml:space="preserve">ELECTRIC PLANT </t>
  </si>
  <si>
    <t>Electric Transmission Plant</t>
  </si>
  <si>
    <t>350.2 Transmission Lines Land</t>
  </si>
  <si>
    <t>352.1 Structures &amp; Improvements</t>
  </si>
  <si>
    <t>356 Overhead Conductors &amp; Devices</t>
  </si>
  <si>
    <t>Peak Rate</t>
  </si>
  <si>
    <t>Off-Peak Rate</t>
  </si>
  <si>
    <t>Capped at weekly rates</t>
  </si>
  <si>
    <t>WAGE &amp; SALARY ALLOCATOR   (W&amp;S)</t>
  </si>
  <si>
    <t xml:space="preserve">  [RESERVED]</t>
  </si>
  <si>
    <t>CWC</t>
  </si>
  <si>
    <t>Prepayments (Account 165)</t>
  </si>
  <si>
    <t>TOTAL NET PLANT</t>
  </si>
  <si>
    <t>TOTAL ACCUM. DEPRECIATION</t>
  </si>
  <si>
    <t>TOTAL GROSS PLANT</t>
  </si>
  <si>
    <t>354.20.b</t>
  </si>
  <si>
    <t>205.46.g</t>
  </si>
  <si>
    <t>207.58.g</t>
  </si>
  <si>
    <t>207.75.g</t>
  </si>
  <si>
    <t>205.5.g &amp; 207.99.g</t>
  </si>
  <si>
    <t>356.1</t>
  </si>
  <si>
    <t>219.25.c</t>
  </si>
  <si>
    <t>219.26.c</t>
  </si>
  <si>
    <t>219.28.c &amp; 200.21.c</t>
  </si>
  <si>
    <t>Transmission Plant ARO -- Net Balance (enter negative)</t>
  </si>
  <si>
    <t>Common Plant ARO -- Net Balance (enter negative)</t>
  </si>
  <si>
    <t>ATTACHMENT O</t>
  </si>
  <si>
    <t>Rate Formula Template</t>
  </si>
  <si>
    <t>Utilizing FERC Form 1 Data</t>
  </si>
  <si>
    <t xml:space="preserve">  Revenues from service provided by LG&amp;E and KU at a discount</t>
  </si>
  <si>
    <t xml:space="preserve">  Less Contract Demands from service over one year provided by LG&amp;E and KU at a discount (enter negative) (kW)</t>
  </si>
  <si>
    <t>219.20-24.c</t>
  </si>
  <si>
    <t>ADJUSTMENTS TO RATE BASE</t>
  </si>
  <si>
    <t>TOTAL ADJUSTMENTS</t>
  </si>
  <si>
    <t xml:space="preserve">TOTAL WORKING CAPITAL </t>
  </si>
  <si>
    <t>336.7.b</t>
  </si>
  <si>
    <t>336.10.b &amp; 336.1.f</t>
  </si>
  <si>
    <t>336.11.b</t>
  </si>
  <si>
    <t xml:space="preserve">TOTAL O&amp;M   </t>
  </si>
  <si>
    <t>Less Account 565 (enter negative)</t>
  </si>
  <si>
    <t>Transmission Lease Payments</t>
  </si>
  <si>
    <t>Less FERC Annual Fees (enter negative)</t>
  </si>
  <si>
    <t>TOTAL DEPRECIATION</t>
  </si>
  <si>
    <t>TOTAL OTHER TAXES</t>
  </si>
  <si>
    <t>REVENUE REQUIREMENT</t>
  </si>
  <si>
    <t>TRANSMISSION PLANT INCLUDED IN LG&amp;E and KU RATES</t>
  </si>
  <si>
    <t>Total transmission plant</t>
  </si>
  <si>
    <t>Note M</t>
  </si>
  <si>
    <t>Less transmission plant excluded from LG&amp;E and KU rates</t>
  </si>
  <si>
    <t>Note N</t>
  </si>
  <si>
    <t>Less transmission plant included in OATT Ancillary Services</t>
  </si>
  <si>
    <t>L. 1 - L.2 - L.3</t>
  </si>
  <si>
    <r>
      <t xml:space="preserve">L.4 </t>
    </r>
    <r>
      <rPr>
        <sz val="10"/>
        <rFont val="Calibri"/>
        <family val="2"/>
      </rPr>
      <t>÷ L.1</t>
    </r>
  </si>
  <si>
    <t>Note L</t>
  </si>
  <si>
    <t>L. 6 - L.7</t>
  </si>
  <si>
    <t>Included transmission expenses</t>
  </si>
  <si>
    <t xml:space="preserve">Less transmission expenses included in OATT Ancillary Services </t>
  </si>
  <si>
    <t>Total transmission expenses</t>
  </si>
  <si>
    <r>
      <t xml:space="preserve">L.8 </t>
    </r>
    <r>
      <rPr>
        <sz val="10"/>
        <rFont val="Calibri"/>
        <family val="2"/>
      </rPr>
      <t>÷ L.6</t>
    </r>
  </si>
  <si>
    <t>L. 5</t>
  </si>
  <si>
    <t>L.9 x L.10</t>
  </si>
  <si>
    <t>Percentage of transmission expenses after adjustment</t>
  </si>
  <si>
    <t>354.21.b</t>
  </si>
  <si>
    <t>354.23.b</t>
  </si>
  <si>
    <t xml:space="preserve">  Total  Wages and Salaries</t>
  </si>
  <si>
    <t>Sum of Ls. 12-15</t>
  </si>
  <si>
    <t>COMMON PLANT ALLOCATOR  (CE)</t>
  </si>
  <si>
    <t>Note O</t>
  </si>
  <si>
    <t>Sum of Ls. 17-19</t>
  </si>
  <si>
    <t xml:space="preserve">  Total  Plant</t>
  </si>
  <si>
    <t>Allocated W&amp;S</t>
  </si>
  <si>
    <t>Total W&amp;S</t>
  </si>
  <si>
    <t>Total Plant</t>
  </si>
  <si>
    <t>Total per Form 1</t>
  </si>
  <si>
    <t>118.29.c</t>
  </si>
  <si>
    <t>Less Accounts 216.1 &amp; 219 (enter negative)</t>
  </si>
  <si>
    <t>112.12.c; 112.15.c</t>
  </si>
  <si>
    <t>112.3.c</t>
  </si>
  <si>
    <t>Cost Rate</t>
  </si>
  <si>
    <t xml:space="preserve">  Total</t>
  </si>
  <si>
    <t>Note R</t>
  </si>
  <si>
    <t>ACCOUNT 456 (OTHER ELECTRIC REVENUES)</t>
  </si>
  <si>
    <t>ACCOUNT 454 (RENT FROM ELECTRIC PROPERTY)</t>
  </si>
  <si>
    <t>Note T</t>
  </si>
  <si>
    <t>Sum of Ls. 2-5</t>
  </si>
  <si>
    <t>L.1 - L.6</t>
  </si>
  <si>
    <t>Note A</t>
  </si>
  <si>
    <t>Note B</t>
  </si>
  <si>
    <t>Note C</t>
  </si>
  <si>
    <t>Note D</t>
  </si>
  <si>
    <t>RATE FORMULA FOR POINT TO POINT TRANSMISSION SERVICE</t>
  </si>
  <si>
    <t>Labeled LF on page 328 of Form 1 at the time of the LG&amp;E and KU coincident monthly peaks.</t>
  </si>
  <si>
    <t>Y</t>
  </si>
  <si>
    <t>Note Y</t>
  </si>
  <si>
    <t>Note F</t>
  </si>
  <si>
    <t>[Reserved]</t>
  </si>
  <si>
    <t>Note H</t>
  </si>
  <si>
    <t>WORKING CAPITAL</t>
  </si>
  <si>
    <t>Materials &amp; Supplies</t>
  </si>
  <si>
    <t>Rate Base</t>
  </si>
  <si>
    <t>Sum of Ls. 18,28,29,33</t>
  </si>
  <si>
    <t>LAND HELD FOR FUTURE USE</t>
  </si>
  <si>
    <t>275.2.k</t>
  </si>
  <si>
    <t>277.9.k &amp; Note W</t>
  </si>
  <si>
    <t>234.8.c &amp; Note W</t>
  </si>
  <si>
    <t>267.8.h</t>
  </si>
  <si>
    <t>Sum of Ls. 19 - 27</t>
  </si>
  <si>
    <t>Sum of Ls. 1 - 5</t>
  </si>
  <si>
    <t>Sum of Ls. 7 - 11</t>
  </si>
  <si>
    <t>L.1 - L.7</t>
  </si>
  <si>
    <t>L.2 - L.8</t>
  </si>
  <si>
    <t>L.3 - L.9</t>
  </si>
  <si>
    <t>L.4 - L.10</t>
  </si>
  <si>
    <t>L.5 - L.11</t>
  </si>
  <si>
    <t>Sum of Ls. 13 - 17</t>
  </si>
  <si>
    <t>321.96.b</t>
  </si>
  <si>
    <t>323.197.b</t>
  </si>
  <si>
    <t>351.2.h</t>
  </si>
  <si>
    <t>Note I</t>
  </si>
  <si>
    <t>Plus Transmission Related Reg. Comm.  Exp.</t>
  </si>
  <si>
    <t>Less EPRI &amp; Reg. Comm. Exp. &amp; Non-safety  Ad. (enter negative)</t>
  </si>
  <si>
    <t xml:space="preserve">TAXES OTHER THAN INCOME TAXES </t>
  </si>
  <si>
    <t>TAXES OTHER THAN INCOME TAXES</t>
  </si>
  <si>
    <t xml:space="preserve">  Long Term Debt</t>
  </si>
  <si>
    <t xml:space="preserve">  Preferred Stock</t>
  </si>
  <si>
    <t xml:space="preserve">  Common Stock</t>
  </si>
  <si>
    <t xml:space="preserve">Total </t>
  </si>
  <si>
    <t>W</t>
  </si>
  <si>
    <t>Note X</t>
  </si>
  <si>
    <t>Sum of Ls. 8-14</t>
  </si>
  <si>
    <t>Divisor (kW)</t>
  </si>
  <si>
    <t>Capped at weekly &amp; daily rates</t>
  </si>
  <si>
    <t>Point-To-Point Rate ($/kW/Wk)</t>
  </si>
  <si>
    <r>
      <t xml:space="preserve">L. 16 </t>
    </r>
    <r>
      <rPr>
        <sz val="10"/>
        <rFont val="Calibri"/>
        <family val="2"/>
      </rPr>
      <t>÷ 52</t>
    </r>
  </si>
  <si>
    <r>
      <t xml:space="preserve">L. 18 </t>
    </r>
    <r>
      <rPr>
        <sz val="10"/>
        <rFont val="Calibri"/>
        <family val="2"/>
      </rPr>
      <t>÷ 5</t>
    </r>
  </si>
  <si>
    <r>
      <t xml:space="preserve">L. 19 </t>
    </r>
    <r>
      <rPr>
        <sz val="10"/>
        <rFont val="Calibri"/>
        <family val="2"/>
      </rPr>
      <t>÷ 16</t>
    </r>
  </si>
  <si>
    <r>
      <t>L. 7</t>
    </r>
    <r>
      <rPr>
        <sz val="10"/>
        <rFont val="Calibri"/>
        <family val="2"/>
      </rPr>
      <t>÷</t>
    </r>
    <r>
      <rPr>
        <sz val="10"/>
        <rFont val="Calibri"/>
        <family val="2"/>
        <scheme val="minor"/>
      </rPr>
      <t xml:space="preserve"> L. 15</t>
    </r>
  </si>
  <si>
    <r>
      <t xml:space="preserve">L. 16 </t>
    </r>
    <r>
      <rPr>
        <sz val="10"/>
        <rFont val="Calibri"/>
        <family val="2"/>
      </rPr>
      <t>÷</t>
    </r>
    <r>
      <rPr>
        <sz val="10"/>
        <rFont val="Calibri"/>
        <family val="2"/>
        <scheme val="minor"/>
      </rPr>
      <t xml:space="preserve"> 12</t>
    </r>
  </si>
  <si>
    <t>Point-To-Point Rate ($/kW/Day)</t>
  </si>
  <si>
    <t>Note E</t>
  </si>
  <si>
    <r>
      <t xml:space="preserve">L. 18 </t>
    </r>
    <r>
      <rPr>
        <sz val="10"/>
        <rFont val="Calibri"/>
        <family val="2"/>
      </rPr>
      <t>÷ 7</t>
    </r>
  </si>
  <si>
    <r>
      <t xml:space="preserve">L. 19 </t>
    </r>
    <r>
      <rPr>
        <sz val="10"/>
        <rFont val="Calibri"/>
        <family val="2"/>
      </rPr>
      <t>÷ 24</t>
    </r>
  </si>
  <si>
    <t xml:space="preserve">Network Rate ($/kW/Month) </t>
  </si>
  <si>
    <t xml:space="preserve">P-to-P Rate ($/kW/Month) </t>
  </si>
  <si>
    <t>Notes J &amp; Z</t>
  </si>
  <si>
    <t>Z</t>
  </si>
  <si>
    <t>Note K</t>
  </si>
  <si>
    <t>FIT, SIT and p</t>
  </si>
  <si>
    <t xml:space="preserve">DEVELOPMENT OF INCOME TAXES          </t>
  </si>
  <si>
    <t>Income Tax Gross Up Factor:  1 / (1 - T)</t>
  </si>
  <si>
    <t>Amortized Investment Tax Credit (enter negative)</t>
  </si>
  <si>
    <t>RETURN  (rate base times rate of return)</t>
  </si>
  <si>
    <t>Income Tax Calculation</t>
  </si>
  <si>
    <t>ITC adjustment</t>
  </si>
  <si>
    <t>Electric Plant Ratio</t>
  </si>
  <si>
    <r>
      <t xml:space="preserve">L. 17 </t>
    </r>
    <r>
      <rPr>
        <sz val="10"/>
        <rFont val="Calibri"/>
        <family val="2"/>
      </rPr>
      <t>÷ L. 20</t>
    </r>
  </si>
  <si>
    <t>= CE</t>
  </si>
  <si>
    <t xml:space="preserve"> DEVELOPMENT OF RATE OF RETURN (R)</t>
  </si>
  <si>
    <t>= R</t>
  </si>
  <si>
    <t>Less Preferred Stock (enter negative)</t>
  </si>
  <si>
    <t>310-311, Note Q</t>
  </si>
  <si>
    <t>GP =</t>
  </si>
  <si>
    <t>NP =</t>
  </si>
  <si>
    <t>Sum of Ls. 1-8</t>
  </si>
  <si>
    <t>= W/S</t>
  </si>
  <si>
    <t>times W/S (L. 16)</t>
  </si>
  <si>
    <t>Sum of Ls. 24-26</t>
  </si>
  <si>
    <t xml:space="preserve"> = WCLTD</t>
  </si>
  <si>
    <t>Total Company</t>
  </si>
  <si>
    <t>Sum of Ls. 28-30</t>
  </si>
  <si>
    <t>L. 32-L.33</t>
  </si>
  <si>
    <t>311.x.h; Note Z</t>
  </si>
  <si>
    <t>Pg 2 of 5, L.2, C.3</t>
  </si>
  <si>
    <t>Pg 3 of 5, L.1, C.3</t>
  </si>
  <si>
    <t>Pg 4 of 5, L. 28</t>
  </si>
  <si>
    <t>Pg 4 of 5, L. 31</t>
  </si>
  <si>
    <t>214.x.d; Notes G &amp; Z</t>
  </si>
  <si>
    <t>Sum of Ls. 10-12</t>
  </si>
  <si>
    <t>WCLTD =</t>
  </si>
  <si>
    <t>R =</t>
  </si>
  <si>
    <t>Pg 2 of 5, L.34 x Pg 4 of 5, L. 31</t>
  </si>
  <si>
    <t>Transmission plant included in LG&amp;E and KU rates</t>
  </si>
  <si>
    <t>Percentage of transmission plant included in LG&amp;E and KU Rates</t>
  </si>
  <si>
    <t>Percentage of transmission expenses included in LG&amp;E and KU Rates</t>
  </si>
  <si>
    <t>117.62-67.c; Note W</t>
  </si>
  <si>
    <t>112.16.c</t>
  </si>
  <si>
    <t>L.29</t>
  </si>
  <si>
    <t>Total Common Stock</t>
  </si>
  <si>
    <t>Weighted Average Cost of Capital:</t>
  </si>
  <si>
    <t>L.27</t>
  </si>
  <si>
    <t>L. 36-L.37</t>
  </si>
  <si>
    <t>Depreciation rates and accumulated depreciation balances used in this formula include adjustments to reflect depreciation rates on file with the FERC.</t>
  </si>
  <si>
    <t>The balances in Accounts 190, 281, 282 and 283, as adjusted by any amounts in contra accounts identified as regulatory assets or liabilities related to</t>
  </si>
  <si>
    <t>Cash Working Capital assigned to transmission is one-eighth of O&amp;M allocated to transmission at page 3, line 9, column 5. Prepayments are the electric</t>
  </si>
  <si>
    <t>related prepayments booked to Account No. 165 and reported on Page 111 line 57 in the Form 1.</t>
  </si>
  <si>
    <t>Line 5 - EPRI Annual Membership Dues listed in Form 1 at 353.f, Regulatory Commission Expenses itemized at 351.h, and non-safety related advertising</t>
  </si>
  <si>
    <t xml:space="preserve">itemized at 351.h. </t>
  </si>
  <si>
    <t xml:space="preserve">Includes only FICA, unemployment, highway, property and other assessments charged in the current year.  Taxes related to income are excluded.  </t>
  </si>
  <si>
    <t>The currently effective income tax rate,  where FIT is the Federal income tax rate; SIT is the State income tax rate, and p = "the percentage of federal</t>
  </si>
  <si>
    <t>income tax deductible for state income taxes".  If LG&amp;E and KU is taxed in more than one state it must attach a work paper showing the name of each state</t>
  </si>
  <si>
    <t>and how the blended or composite SIT was developed.  Furthermore, if LG&amp;E and KU elected to utilize amortization of tax credits against taxable income,</t>
  </si>
  <si>
    <t>rather than book tax credits to Account No. 255 and reduce rate base, LG&amp;E and KU must reduce its income tax expense by the amount of the Amortized</t>
  </si>
  <si>
    <t>Investment Tax Credit (Form 1, 266.8.f; transmission related only) multiplied by (1/1-T) (page 3, line 26).  (LG&amp;E elected to amortize tax credits against</t>
  </si>
  <si>
    <t>taxable income; KU elected to amortize tax credits below the line and reduce rate base.  Current income tax credit balances for LG&amp;E and KU are related</t>
  </si>
  <si>
    <t>Removes transmission plant determined by Commission order to be state-jurisdictional according to the seven-factor test (until Form 1 balances are</t>
  </si>
  <si>
    <t>adjusted to reflect application of seven-factor test).</t>
  </si>
  <si>
    <t>Removes dollar amount of transmission plant included in the development of OATT ancillary services rates and generation step-up facilities, which are</t>
  </si>
  <si>
    <t>deemed to be included in OATT ancillary services.  For these purposes, generation step-up facilities are those facilities at a generator substation on which</t>
  </si>
  <si>
    <t>there is no through-flow when the generator is shut down. LG&amp;E and KU generator step-up facilities are included in production plant accounts and are not</t>
  </si>
  <si>
    <t>included in this Attachment O.</t>
  </si>
  <si>
    <t>ROE will be supported in the original filing and no change in ROE may be made absent a filing with FERC.</t>
  </si>
  <si>
    <t>Line 34 must equal zero since all short-term power sales must be unbundled and the transmission component reflected in Account No. 456 and all other</t>
  </si>
  <si>
    <t>uses are to be included in the divisor.</t>
  </si>
  <si>
    <t>The revenues credited on page 1 lines 2-5 shall include only the amounts received directly (in the case of grandfathered agreements) or from LG&amp;E and KU</t>
  </si>
  <si>
    <t>(for service under this tariff) reflecting the Transmission Owner's integrated transmission facilities.  They do not include revenues associated with FERC</t>
  </si>
  <si>
    <t>annual charges, gross receipts taxes, ancillary services, facilities not included in this template (e.g., direct assignment facilities and GSUs) which are not</t>
  </si>
  <si>
    <t>recovered under this Rate Formula Template.</t>
  </si>
  <si>
    <t>This Attachment O reflects a pass-through of the costs associated with the ITO and the Reliability Coordinator and excludes amortization of regulatory</t>
  </si>
  <si>
    <t>assets when such amortization is charged to transmission O&amp;M and recovered entirely from retail customers.</t>
  </si>
  <si>
    <t>Pg 4 of 5, L. 35</t>
  </si>
  <si>
    <t>Pg 4 of 5, L. 38</t>
  </si>
  <si>
    <t>273.8.k</t>
  </si>
  <si>
    <t>Page 5 of 5</t>
  </si>
  <si>
    <t>Page 1 of 5</t>
  </si>
  <si>
    <t>227.8.c &amp; 16.c; Note G</t>
  </si>
  <si>
    <t>321.112.b; see also Note V</t>
  </si>
  <si>
    <t>Average of monthly peak amounts reported on Page 400, column e of Form 1.</t>
  </si>
  <si>
    <t>Average of monthly peak amounts reported on Page 400, column f + column h.</t>
  </si>
  <si>
    <t>included in Account 930.1.  Line 6 - Regulatory Commission Expenses directly related to transmission service,  LG&amp;E and KU filings, or transmission siting</t>
  </si>
  <si>
    <t xml:space="preserve">  Plus CBM Capacity withheld from P-T-P Customers (kW)</t>
  </si>
  <si>
    <t>SUPPORTING CALCULATIONS AND NOTES</t>
  </si>
  <si>
    <t>Highway and vehicle</t>
  </si>
  <si>
    <t>Payments in lieu of taxes</t>
  </si>
  <si>
    <t>266.8.f; see also Note K</t>
  </si>
  <si>
    <r>
      <t xml:space="preserve">(Allocated W&amp;S  </t>
    </r>
    <r>
      <rPr>
        <sz val="12"/>
        <rFont val="Calibri"/>
        <family val="2"/>
      </rPr>
      <t>÷</t>
    </r>
    <r>
      <rPr>
        <sz val="12"/>
        <rFont val="Calibri"/>
        <family val="2"/>
        <scheme val="minor"/>
      </rPr>
      <t xml:space="preserve"> Total W&amp;S)</t>
    </r>
  </si>
  <si>
    <t>FERC Form 1 pages do not specify line numbers, which are subject to change from year to year and between LG&amp;E and KU.  Please see the line item</t>
  </si>
  <si>
    <t>Enter dollar amounts.  Common Plant Allocator (CE) = ratio of electric only plant to total plant, multiplied by W/S (wages and salaries allocator).</t>
  </si>
  <si>
    <r>
      <t xml:space="preserve">Debt cost rate = long-term interest (line 22) </t>
    </r>
    <r>
      <rPr>
        <sz val="14"/>
        <rFont val="Calibri"/>
        <family val="2"/>
      </rPr>
      <t>÷</t>
    </r>
    <r>
      <rPr>
        <sz val="14"/>
        <rFont val="Calibri"/>
        <family val="2"/>
        <scheme val="minor"/>
      </rPr>
      <t xml:space="preserve"> long term debt (line 28).  Preferred cost rate = preferred dividends (line 23) ÷ preferred outstanding (line 29).  </t>
    </r>
  </si>
  <si>
    <t>These adjustments are necessary to insulate customers from costs related to the acquisition.</t>
  </si>
  <si>
    <t>descriptions for identification of amounts from FERC Form 1 included in this rate formula.</t>
  </si>
  <si>
    <t>General and Intangible</t>
  </si>
  <si>
    <r>
      <t xml:space="preserve">T = 1 - ([(1 - SIT) x (1 - FIT)] </t>
    </r>
    <r>
      <rPr>
        <sz val="12"/>
        <rFont val="Calibri"/>
        <family val="2"/>
      </rPr>
      <t>÷</t>
    </r>
    <r>
      <rPr>
        <sz val="12"/>
        <rFont val="Calibri"/>
        <family val="2"/>
        <scheme val="minor"/>
      </rPr>
      <t xml:space="preserve"> (1 - SIT x FIT x p)) </t>
    </r>
  </si>
  <si>
    <r>
      <t xml:space="preserve">CIT = (T </t>
    </r>
    <r>
      <rPr>
        <sz val="12"/>
        <rFont val="Calibri"/>
        <family val="2"/>
      </rPr>
      <t>÷</t>
    </r>
    <r>
      <rPr>
        <sz val="12"/>
        <rFont val="Calibri"/>
        <family val="2"/>
        <scheme val="minor"/>
      </rPr>
      <t xml:space="preserve"> (1 - T)) x (1 - (WCLTD </t>
    </r>
    <r>
      <rPr>
        <sz val="12"/>
        <rFont val="Calibri"/>
        <family val="2"/>
      </rPr>
      <t>÷</t>
    </r>
    <r>
      <rPr>
        <sz val="12"/>
        <rFont val="Calibri"/>
        <family val="2"/>
        <scheme val="minor"/>
      </rPr>
      <t xml:space="preserve"> R)), where:</t>
    </r>
  </si>
  <si>
    <t>112.18-23.c; Note W</t>
  </si>
  <si>
    <t xml:space="preserve">  a. Bundled Non-RQ Sales for Resale (kW)</t>
  </si>
  <si>
    <t xml:space="preserve">  b. Bundled Sales for Resale  included in Divisor on page 1 (kW)</t>
  </si>
  <si>
    <t xml:space="preserve">  Total (kW)</t>
  </si>
  <si>
    <t>Notes U &amp; Z</t>
  </si>
  <si>
    <t xml:space="preserve">The amounts included in this Attachment O are net of purchase accounting adjustments resulting from the 2010 acquisition of LG&amp;E and KU by PPL Corp. </t>
  </si>
  <si>
    <t>Sum of Ls. 9,13,20,27,28</t>
  </si>
  <si>
    <t>Pg 3 of 5, L. 29</t>
  </si>
  <si>
    <t>Sum of Ls. 14-19</t>
  </si>
  <si>
    <t>L. 22 x L. 28</t>
  </si>
  <si>
    <t>L. 23 x L. 24</t>
  </si>
  <si>
    <t>Sum of Ls. 25-26</t>
  </si>
  <si>
    <t>Transmission (net of ARO depreciation)</t>
  </si>
  <si>
    <t>Common (net of ARO depreciation)</t>
  </si>
  <si>
    <t>DEPRECIATION  AND AMORTIZATION EXPENSE</t>
  </si>
  <si>
    <t>ASC 715 and ASC 740.  Balance of Account 255 is reduced by prior flow throughs and excluded if LG&amp;E and KU chose to utilize amortization of tax credits</t>
  </si>
  <si>
    <t xml:space="preserve">against taxable income as discussed in Note K.  Account 281 is not allocated. </t>
  </si>
  <si>
    <t>111.57.c</t>
  </si>
  <si>
    <t>Labeled LF, LU, IF, IU on pages 310-311 of Form 1 at the time of the LG&amp;E and KU coincident monthly peaks.</t>
  </si>
  <si>
    <t>Entry on Page 2, Line 24 shall include the Network Upgrade value included in Line 2 and any accumulated depreciation included in Line 8.  Entry on</t>
  </si>
  <si>
    <t>Page 2, Line 25 shall include the Load Serving Entity direct assigned value included in Line 2 and any accumulated depreciation in Line 8.</t>
  </si>
  <si>
    <t>359 Asset Retirement Obligations - Transmission *</t>
  </si>
  <si>
    <t>rates; AROs are depreciated at the same rates as the underlying</t>
  </si>
  <si>
    <t>physical assets.</t>
  </si>
  <si>
    <t>General Note:  References to pages in this formula rate are indicated as:  (page#, line#, col.#)</t>
  </si>
  <si>
    <t>RATE FORMULA FOR NETWORK INTEGRATION TRANSMISSION SERVICE</t>
  </si>
  <si>
    <t>100% to production investment and are not included in the Attachment O.)</t>
  </si>
  <si>
    <t>Point-To-Point Rate ($/MWh)</t>
  </si>
  <si>
    <t>Page 1</t>
  </si>
  <si>
    <t>Update Year</t>
  </si>
  <si>
    <t>Revenue Credits</t>
  </si>
  <si>
    <t>KU</t>
  </si>
  <si>
    <t>LGE</t>
  </si>
  <si>
    <t>Combined</t>
  </si>
  <si>
    <t>Revenue from Grandfathered Interzonal Transactions</t>
  </si>
  <si>
    <t>to Page 1 of 5, L. 4</t>
  </si>
  <si>
    <t>Not applicable; hold over from MISO formula, will be removed with Sec 205</t>
  </si>
  <si>
    <t>Revenues from service provided by LG&amp;E Energy</t>
  </si>
  <si>
    <t>to Page 1 of 5, L. 5</t>
  </si>
  <si>
    <t>Contract demand here is the load with IMEA and IMPA.  Per the contract with the</t>
  </si>
  <si>
    <t>partners, we do not charge for transmission so there is no revenue to record on this</t>
  </si>
  <si>
    <t>line.</t>
  </si>
  <si>
    <t>12 CP Data, requirements service:</t>
  </si>
  <si>
    <t>Form 1, p. 400, col. (e)</t>
  </si>
  <si>
    <t>Jan</t>
  </si>
  <si>
    <t>times 1,000</t>
  </si>
  <si>
    <t>Feb</t>
  </si>
  <si>
    <t>Mar</t>
  </si>
  <si>
    <t>Apr</t>
  </si>
  <si>
    <t>May</t>
  </si>
  <si>
    <t>Form 1 source data</t>
  </si>
  <si>
    <t>Jun</t>
  </si>
  <si>
    <t>Internal reporting source data</t>
  </si>
  <si>
    <t>Jul</t>
  </si>
  <si>
    <t>Aug</t>
  </si>
  <si>
    <t>Sep</t>
  </si>
  <si>
    <t>Oct</t>
  </si>
  <si>
    <t>Nov</t>
  </si>
  <si>
    <t>Dec</t>
  </si>
  <si>
    <t>Average</t>
  </si>
  <si>
    <t>to Page 1 of 5, L. 8</t>
  </si>
  <si>
    <t>12 CP Data, firm bundled sales:</t>
  </si>
  <si>
    <t>Form 1, p. 311, col. (g)</t>
  </si>
  <si>
    <t>when p. 310, col (b)</t>
  </si>
  <si>
    <t>contains the following:</t>
  </si>
  <si>
    <t>LF, LU, IF, IU</t>
  </si>
  <si>
    <t>to Page 1 of 5, L. 9</t>
  </si>
  <si>
    <t>12 CP Data, other network load:</t>
  </si>
  <si>
    <t>Form 1, p. 400, col. (f) + col. (h)</t>
  </si>
  <si>
    <t>KU-col F</t>
  </si>
  <si>
    <t>KU-Col h</t>
  </si>
  <si>
    <t>LGE-Col F</t>
  </si>
  <si>
    <t>to Page 1 of 5, L. 10</t>
  </si>
  <si>
    <t>Firm P-T-P transmission is billed on a reservation basis only;</t>
  </si>
  <si>
    <t>amounts are included below and carried to L. 12 of page 1.</t>
  </si>
  <si>
    <t>Transmission does not track or bill firm contract P-T-P customers</t>
  </si>
  <si>
    <t xml:space="preserve">for actual flows, and the actual flows are not included in the </t>
  </si>
  <si>
    <t>network transmission peaks included above; therefore, there</t>
  </si>
  <si>
    <t>is no CP data associated with firm P-T-P transmission to</t>
  </si>
  <si>
    <t>include here.</t>
  </si>
  <si>
    <t>to Page 1 of 5, L. 11</t>
  </si>
  <si>
    <t>Contract demand, firm Point to Point over one year</t>
  </si>
  <si>
    <t>Form 1, p. 400, col. (g)</t>
  </si>
  <si>
    <t>OMU reservations for Long Term PTP</t>
  </si>
  <si>
    <t>to Page 1 of 5, L. 12</t>
  </si>
  <si>
    <t>Amounts on Ls. 13 &amp; 14 of page 1 of 5 are provided by Transmission Policy and Rates (Fernando Rubio)</t>
  </si>
  <si>
    <t>CBM Capacity withheld from P-T-P Customers</t>
  </si>
  <si>
    <t>to PTP Pg 1 of 5, L. 13</t>
  </si>
  <si>
    <t>Applicable to PTP only; capacity benefit margin provided by F Rubio, Transmission Policy and Tariffs</t>
  </si>
  <si>
    <t>Contract demand -- service provided at discount</t>
  </si>
  <si>
    <t>to Page 1 of 5, L. 14</t>
  </si>
  <si>
    <t xml:space="preserve">Provided by Transmisison Policy &amp; Tariffs; includes IMEA/IMPA transmission to BAA border per contract </t>
  </si>
  <si>
    <t>and OMU MISO LT PTP reservation due to depancaking</t>
  </si>
  <si>
    <t>Intangible</t>
  </si>
  <si>
    <t>P.205, L.5, Col.(g)</t>
  </si>
  <si>
    <t>to Page 2 of 5, L. 4, col.3</t>
  </si>
  <si>
    <t>Production</t>
  </si>
  <si>
    <t>P.205, L.46, Col.(g)</t>
  </si>
  <si>
    <t>to Page 2 of 5, L. 1, col.3</t>
  </si>
  <si>
    <t>P.207, L.58, Col.(g)</t>
  </si>
  <si>
    <t>to Page 2 of 5, L. 2, col.3</t>
  </si>
  <si>
    <t>Distribution</t>
  </si>
  <si>
    <t>P.207, L.75, Col.(g)</t>
  </si>
  <si>
    <t>to Page 2 of 5, L. 3, col.3</t>
  </si>
  <si>
    <t>General</t>
  </si>
  <si>
    <t>P.207, L.99, Col.(g)</t>
  </si>
  <si>
    <t>P.356.1, electric only</t>
  </si>
  <si>
    <t>N/A</t>
  </si>
  <si>
    <t>to Page 2 of 5, L. 5, col.3</t>
  </si>
  <si>
    <t>Accumulated Reserve for Depreciation Adjustment</t>
  </si>
  <si>
    <t>P.200, L.21, Col.(c)</t>
  </si>
  <si>
    <t>to Page 2 of 5, L. 10, col.3</t>
  </si>
  <si>
    <t>Production, Steam</t>
  </si>
  <si>
    <t>P.219, L.20, Col.(c)</t>
  </si>
  <si>
    <t>to Page 2 of 5, L. 7, col.3</t>
  </si>
  <si>
    <t>Steam Prod</t>
  </si>
  <si>
    <t>Production, Hydro</t>
  </si>
  <si>
    <t>P.219, L.22, Col.(c)</t>
  </si>
  <si>
    <t>Hydro Prod</t>
  </si>
  <si>
    <t>Production, Other</t>
  </si>
  <si>
    <t>P.219, L.24, Col.(c)</t>
  </si>
  <si>
    <t>Other Prod</t>
  </si>
  <si>
    <t>P.219, L.25, Col.(c)</t>
  </si>
  <si>
    <t>to Page 2 of 5, L. 8, col.3</t>
  </si>
  <si>
    <t>P.219, L.26, Col.(c)</t>
  </si>
  <si>
    <t>to Page 2 of 5, L. 9, col.3</t>
  </si>
  <si>
    <t xml:space="preserve">P.219, L.28, Col.(c) </t>
  </si>
  <si>
    <t>to Page 2 of 5, L. 11, col.3</t>
  </si>
  <si>
    <t>ADJUSTMENTS TO RATE BASE       (Note F)</t>
  </si>
  <si>
    <t>Account No. 281</t>
  </si>
  <si>
    <t>P.273, L.8, Col.(k)</t>
  </si>
  <si>
    <t>to Page 2 of 5, L. 19, col.3</t>
  </si>
  <si>
    <t>Account No. 282</t>
  </si>
  <si>
    <t>P.275, L.2, Col.(k)</t>
  </si>
  <si>
    <t>to Page 2 of 5, L. 20, col.3</t>
  </si>
  <si>
    <t>Account No. 283</t>
  </si>
  <si>
    <t>P.277, L.9, Col.(k)</t>
  </si>
  <si>
    <t>Acct. 283 Other (w. PA)</t>
  </si>
  <si>
    <t>P.277, L.8, Col.(k)</t>
  </si>
  <si>
    <t>Acct. 283 Other (w.o. PA)</t>
  </si>
  <si>
    <t>Footnote for L.8, Col.(k)</t>
  </si>
  <si>
    <t>use beginning balance, 'Total Without Purchase Accounting"</t>
  </si>
  <si>
    <t>Net Included Account 283</t>
  </si>
  <si>
    <t>to Page 2 of 5, L. 21, col.3</t>
  </si>
  <si>
    <t xml:space="preserve">Account No. 190 </t>
  </si>
  <si>
    <t>P.234, L.8, Col.(c)</t>
  </si>
  <si>
    <t>Acct. 190 Other (w PA)</t>
  </si>
  <si>
    <t>P.234, L.7, Col.(c)</t>
  </si>
  <si>
    <t>Acct. 190 Other (w.o. PA)</t>
  </si>
  <si>
    <t>Notes Detail for L.7, electric</t>
  </si>
  <si>
    <t>Net Included Account 190</t>
  </si>
  <si>
    <t>to Page 2 of 5, L. 22, col.3</t>
  </si>
  <si>
    <t>Account No. 255, KU Transmission only</t>
  </si>
  <si>
    <t>P.267, L.8, Col.(h)</t>
  </si>
  <si>
    <t>to Page 2 of 5, L. 23, col.3</t>
  </si>
  <si>
    <t>KU ITC balance is an adjustment to rate base for transmission related projects only; outstanding balances are for generation and therefore not included.</t>
  </si>
  <si>
    <t>P.207, L.57, Col.(g)</t>
  </si>
  <si>
    <t>Transmission Reserve</t>
  </si>
  <si>
    <t>to Page 2 of 5, L. 26, col.3 (enter negative)</t>
  </si>
  <si>
    <t>multiply the total balance in account 399 times the electric only allocation ratio</t>
  </si>
  <si>
    <t>Common Reserve</t>
  </si>
  <si>
    <t>Provided by Transmission if applicable.  Represents costs for required network upgrades required in response to a</t>
  </si>
  <si>
    <t>Ending Balance, previous year</t>
  </si>
  <si>
    <t>XM plnt</t>
  </si>
  <si>
    <t>Adjustment for depreciation expense</t>
  </si>
  <si>
    <t>depreciation expense:</t>
  </si>
  <si>
    <t>XM depr</t>
  </si>
  <si>
    <t>Net Book LSE Direct Assignment Assets</t>
  </si>
  <si>
    <t>Assets Added During the year</t>
  </si>
  <si>
    <t xml:space="preserve">Provided by Transmission if applicable.  </t>
  </si>
  <si>
    <t>Ending Balance, current year</t>
  </si>
  <si>
    <t>Land Held for Future Use</t>
  </si>
  <si>
    <t>P.214, L.various, Col.(d)</t>
  </si>
  <si>
    <t>to Page 2 of 5, L. 25, col.3</t>
  </si>
  <si>
    <t>Only include amounts associated with transmission projects (confirmed by</t>
  </si>
  <si>
    <t>P.227, L.8, Col.(c)</t>
  </si>
  <si>
    <t>Stores Expense Undistributed</t>
  </si>
  <si>
    <t>P.227, L.16, Col.(c)</t>
  </si>
  <si>
    <t>Total Account 154</t>
  </si>
  <si>
    <t>P.227, L.12, Col.(c)</t>
  </si>
  <si>
    <t>Transmission Ratio</t>
  </si>
  <si>
    <t>Prepayments (acct. 165)</t>
  </si>
  <si>
    <t>P.111, L.57, Col.(c)</t>
  </si>
  <si>
    <t>to Page 2 of 5, L. 28, col.3</t>
  </si>
  <si>
    <t xml:space="preserve">Transmission </t>
  </si>
  <si>
    <t>Page 321, L.112, Col.(b)</t>
  </si>
  <si>
    <t>Sum of accounts 560-573.  Do not include Regional Market Expense, account 575</t>
  </si>
  <si>
    <t>Less Regulatory Assets:</t>
  </si>
  <si>
    <t xml:space="preserve">KU and LG&amp;E have three regulatory assets that are amortized to transmission operating expense; </t>
  </si>
  <si>
    <t>EKPC, amortized to retail</t>
  </si>
  <si>
    <t>these regulatory assets are approved for rate recovery from retail customers only.  The annual</t>
  </si>
  <si>
    <t>2008 Wind storm amortized to retail only -- distribution only, no transmission impact</t>
  </si>
  <si>
    <t>amortization must be removed from transmission expense until FERC approves rate recovery.</t>
  </si>
  <si>
    <t>2009 Ice storm amortized to retail only</t>
  </si>
  <si>
    <t>Annual amortization amount is provided by Regulatory Accounting and Reporting -- Eric Raible</t>
  </si>
  <si>
    <t>Total Included Transmission expense</t>
  </si>
  <si>
    <t>to Page 3 of 5, L. 1, col.3</t>
  </si>
  <si>
    <t>R&amp;D charged to 930, per page 353:</t>
  </si>
  <si>
    <t>Less Account 565</t>
  </si>
  <si>
    <t>Page 321, L.96, Col.(b)</t>
  </si>
  <si>
    <t>to Page 3 of 5, L. 2, col.3</t>
  </si>
  <si>
    <t>Page 323, L.197, Col.(b)</t>
  </si>
  <si>
    <t>to Page 3 of 5, L. 3, col.3</t>
  </si>
  <si>
    <t>FERC Annual Fees</t>
  </si>
  <si>
    <t>Page 351, L.2, Col.(h)</t>
  </si>
  <si>
    <t>to Page 3 of 5, L. 4, col.3</t>
  </si>
  <si>
    <t>EPRI &amp; Reg. Comm. Exp</t>
  </si>
  <si>
    <t>Page 353, Acct 930, Col.(f)</t>
  </si>
  <si>
    <t>Line 5 - EPRI Annual Membership Dues listed in Form 1 at 353.f, all Regulatory Commission Expenses itemized at 351.h, and non-safety</t>
  </si>
  <si>
    <t>Non-safety  Ad.</t>
  </si>
  <si>
    <t>Page 323, L.191, Col.(b)</t>
  </si>
  <si>
    <t xml:space="preserve">   related advertising included in Account 930.1. </t>
  </si>
  <si>
    <t>use total charged to Att O exp accts</t>
  </si>
  <si>
    <t>Reg Comm Expenses-Audit</t>
  </si>
  <si>
    <t>Reg Comm Expenses-Proj 289</t>
  </si>
  <si>
    <t>to Page 3 of 5, L. 5, col.3</t>
  </si>
  <si>
    <t>FERC annual fees removed because they are separately reported on Line 4; FERC audit removed b/c they are includable in revenue requirement</t>
  </si>
  <si>
    <t>Plus Transmission Related Reg. Comm.  Exp. (Note I)</t>
  </si>
  <si>
    <t>Page 351 (h) related to transmission only</t>
  </si>
  <si>
    <t xml:space="preserve">Line 5a - Regulatory Commission Expenses directly related to transmission service, ISO filings, or transmission siting itemized at 351.h. </t>
  </si>
  <si>
    <t>Page 356.1</t>
  </si>
  <si>
    <t>to Page 3 of 5, L. 6, col.3</t>
  </si>
  <si>
    <t>Common Plant related O&amp;M is not maintained separately, but is included in accounts as noted on page 356</t>
  </si>
  <si>
    <t xml:space="preserve">  Transmission Lease Payments</t>
  </si>
  <si>
    <t>to Page 3 of 5, L. 7, col.3</t>
  </si>
  <si>
    <t>will be notified by Transmission Policy and Tariffs</t>
  </si>
  <si>
    <t>DEPRECIATION EXPENSE</t>
  </si>
  <si>
    <t>Page 336, L.7, Col.(f)</t>
  </si>
  <si>
    <t>Page 336, L.10, Col.(f)</t>
  </si>
  <si>
    <t>Page 336, L.1, Col.(f)</t>
  </si>
  <si>
    <t>to Page 3 of 5, L. 10, col.3</t>
  </si>
  <si>
    <t>Page 336, L.11, Col.(f)</t>
  </si>
  <si>
    <t>to Page 3 of 5, L. 11, col.3</t>
  </si>
  <si>
    <t>Transmission ARO</t>
  </si>
  <si>
    <t>Page 336, L.7, Col.(c)</t>
  </si>
  <si>
    <t>Common ARO</t>
  </si>
  <si>
    <t>Page 336, L.11, Col.(c)</t>
  </si>
  <si>
    <t>input accrual amount from LG&amp;E utility report page 2 FIN, and multiply by the electric ratio from page 2 of 5</t>
  </si>
  <si>
    <t>TAXES OTHER THAN INCOME TAXES  (Note J)</t>
  </si>
  <si>
    <t>Includes only FICA, unemployment, highway, property, gross receipts, and other assessments charged in the current year.</t>
  </si>
  <si>
    <t xml:space="preserve">  Taxes related to income are excluded.  Gross receipts taxes are not included in transmission revenue requirement in the Rate Formula Template, </t>
  </si>
  <si>
    <t xml:space="preserve">   since they are recovered elsewhere.</t>
  </si>
  <si>
    <t>FICA</t>
  </si>
  <si>
    <t>Page 262-3, L.3, Col.(i)</t>
  </si>
  <si>
    <t>Line numbers can differ between the two Companies, so use the "Kind of Tax" entry in Col.(a), page 262</t>
  </si>
  <si>
    <t>Unemployment Insurance</t>
  </si>
  <si>
    <t>to select the correct amount on page 263 for the input  (applies to payroll taxes, highway &amp; vehicle taxes, and plant related taxes</t>
  </si>
  <si>
    <t>Local: Occupational</t>
  </si>
  <si>
    <t>Total Payroll Taxes</t>
  </si>
  <si>
    <t xml:space="preserve">          Highway and vehicle</t>
  </si>
  <si>
    <t>Page 262-3, Col.(i)</t>
  </si>
  <si>
    <t>to Page 3 of 5, L. 14, col.3</t>
  </si>
  <si>
    <t>See note above</t>
  </si>
  <si>
    <t>Gross Receipts</t>
  </si>
  <si>
    <t>to Page 3 of 5, L. 17, col.3</t>
  </si>
  <si>
    <t>Public Service Commission</t>
  </si>
  <si>
    <t>Page 262-3, L.7, Col.(i)</t>
  </si>
  <si>
    <t>6% Use tax (KY)</t>
  </si>
  <si>
    <t>Miscellaneous</t>
  </si>
  <si>
    <t>Total Other Taxes</t>
  </si>
  <si>
    <t>to Page 3 of 5, L. 18, col.3</t>
  </si>
  <si>
    <t>INCOME TAX INPUTS AND CALCULATIONS</t>
  </si>
  <si>
    <t>income-fed</t>
  </si>
  <si>
    <t>Page 263, L.2, Col.(i)</t>
  </si>
  <si>
    <t>income state</t>
  </si>
  <si>
    <t>Page 263, L.6, Col.(i)</t>
  </si>
  <si>
    <t>check total on taxes</t>
  </si>
  <si>
    <t>agrees to total on page 263, column i</t>
  </si>
  <si>
    <t>Account 255, amortization of ITC</t>
  </si>
  <si>
    <t>Page 266, L.8, Col.(f)</t>
  </si>
  <si>
    <t>to Page 3 of 5, L. 24, col.3, negative</t>
  </si>
  <si>
    <t>KU ITC amortization is below the line in Other Income &amp; Deductions; LGE ITC is production related &amp; excluded from XM</t>
  </si>
  <si>
    <t>Ancillary Charges Per Schedule 1:</t>
  </si>
  <si>
    <t>(561)</t>
  </si>
  <si>
    <t>(561.1)</t>
  </si>
  <si>
    <t>Page 321, L.85, Col.(b)</t>
  </si>
  <si>
    <t>to Sch 1, L.2</t>
  </si>
  <si>
    <t>(561.2)</t>
  </si>
  <si>
    <t>Page 321, L.86, Col.(b)</t>
  </si>
  <si>
    <t>to Sch 1, L.3</t>
  </si>
  <si>
    <t>(561.3)</t>
  </si>
  <si>
    <t>Page 321, L.87, Col.(b)</t>
  </si>
  <si>
    <t>to Sch 1, L.4</t>
  </si>
  <si>
    <t>(561.4)</t>
  </si>
  <si>
    <t>Page 321, L.88, Col.(b)</t>
  </si>
  <si>
    <t>to Sch 1, L.5</t>
  </si>
  <si>
    <t>(561.5)</t>
  </si>
  <si>
    <t>Page 321, L.89, Col.(b)</t>
  </si>
  <si>
    <t>to Sch 1, L.6</t>
  </si>
  <si>
    <t>(561.6)</t>
  </si>
  <si>
    <t>Page 321, L.90, Col.(b)</t>
  </si>
  <si>
    <t>to Sch 1, L.7</t>
  </si>
  <si>
    <t>(561.7)</t>
  </si>
  <si>
    <t>Page 321, L.91, Col.(b)</t>
  </si>
  <si>
    <t>to Sch 1, L.8</t>
  </si>
  <si>
    <t>(561.8)</t>
  </si>
  <si>
    <t>Page 321, L.92, Col.(b)</t>
  </si>
  <si>
    <t>to Sch 1, L.9</t>
  </si>
  <si>
    <t>to page 4 of 5, L. 7</t>
  </si>
  <si>
    <t>Ancillary services are included in the formula for Schedule 1 and must be removed in Attachment O</t>
  </si>
  <si>
    <t>Wages and Salaries</t>
  </si>
  <si>
    <t>Page 354, L.20, Col.(b)</t>
  </si>
  <si>
    <t>to page 4 of 5, L. 12</t>
  </si>
  <si>
    <t>Page 354, L.21, Col.(b)</t>
  </si>
  <si>
    <t>to page 4 of 5, L. 13</t>
  </si>
  <si>
    <t>Page 354, L.23, Col.(b)</t>
  </si>
  <si>
    <t>to page 4 of 5, L. 14</t>
  </si>
  <si>
    <t>Customer Accounts</t>
  </si>
  <si>
    <t>Page 354, L.24, Col.(b)</t>
  </si>
  <si>
    <t>Customer Service</t>
  </si>
  <si>
    <t>Page 354, L.25, Col.(b)</t>
  </si>
  <si>
    <t>Sales</t>
  </si>
  <si>
    <t>Page 354, L.26, Col.(b)</t>
  </si>
  <si>
    <t>to page 4 of 5, L. 15</t>
  </si>
  <si>
    <t>COMMON PLANT ALLOCATOR  (CE)   (Note O)</t>
  </si>
  <si>
    <t>Page 200, L.3, Col.(c)</t>
  </si>
  <si>
    <t>to page 4 of 5, L. 17</t>
  </si>
  <si>
    <t>Page 201, L.3, Col.(d)</t>
  </si>
  <si>
    <t>to page 4 of 5, L. 18</t>
  </si>
  <si>
    <t>Page 201, L.3, Col.(e)</t>
  </si>
  <si>
    <t>to page 4 of 5, L. 19</t>
  </si>
  <si>
    <t>RETURN INPUTS</t>
  </si>
  <si>
    <t>Account 427</t>
  </si>
  <si>
    <t>Page 117, L.62, Col.(c)</t>
  </si>
  <si>
    <t>Purchase Accounting Adjustments</t>
  </si>
  <si>
    <t>Acct 427 (PA)</t>
  </si>
  <si>
    <t>Acct 427 (w.o. PA)</t>
  </si>
  <si>
    <t>Footnote to line 62</t>
  </si>
  <si>
    <t>Account 428</t>
  </si>
  <si>
    <t>Page 117, L.63, Col.(c)</t>
  </si>
  <si>
    <t>Account 428.1</t>
  </si>
  <si>
    <t>Page 117, L.64, Col.(c)</t>
  </si>
  <si>
    <t>Account 429</t>
  </si>
  <si>
    <t>Page 117, L.65, Col.(c)</t>
  </si>
  <si>
    <t>Account 429.1</t>
  </si>
  <si>
    <t>Page 117, L.66, Col.(c)</t>
  </si>
  <si>
    <t>Account 430</t>
  </si>
  <si>
    <t>Page 117, L.67, Col.(c)</t>
  </si>
  <si>
    <t>to page 4 of 5, L. 21</t>
  </si>
  <si>
    <t>Page 118, L.29, Col.(c)</t>
  </si>
  <si>
    <t>to page 4 of 5, L. 22</t>
  </si>
  <si>
    <t>Page 112, L.16, Col.(c)</t>
  </si>
  <si>
    <t>Other Paid In Capital (PA)</t>
  </si>
  <si>
    <t>Page 112, L.7, Col.(c)</t>
  </si>
  <si>
    <t>Other Paid In Capital (w.o. PA)</t>
  </si>
  <si>
    <t>Footnote to line 7</t>
  </si>
  <si>
    <t>Retained Earnings (PA)</t>
  </si>
  <si>
    <t>Page 112, L.11, Col.(c)</t>
  </si>
  <si>
    <t>Retained Earnings (w.o. PA)</t>
  </si>
  <si>
    <t>Footnote to line 11</t>
  </si>
  <si>
    <t>Acct 216.1 (PA)</t>
  </si>
  <si>
    <t>Page 112, L.12, Col.(c)</t>
  </si>
  <si>
    <t>Acct. 216.1 (w.o. PA)</t>
  </si>
  <si>
    <t>Footnote to L.12</t>
  </si>
  <si>
    <t>Acct 219 (PA)</t>
  </si>
  <si>
    <t>Page 112, L.15, Col.(c)</t>
  </si>
  <si>
    <t>Acct 219 (w.o. PA)</t>
  </si>
  <si>
    <t>Footnote to L.15</t>
  </si>
  <si>
    <t>Proprietary Capital without Purchase Accounting</t>
  </si>
  <si>
    <t>to page 4 of 5, L. 23</t>
  </si>
  <si>
    <t>ADJUSTMENTS TO CAPITALIZATION</t>
  </si>
  <si>
    <t>Unappropriated Undistributed Earnings</t>
  </si>
  <si>
    <t>Accum. OCI, Acct. 219</t>
  </si>
  <si>
    <t>Unappropriated Undistributed Earnings w/o PA</t>
  </si>
  <si>
    <t>to page 4 of 5, L. 25</t>
  </si>
  <si>
    <t>LONG TERM DEBT</t>
  </si>
  <si>
    <t>Total Long Term Debt</t>
  </si>
  <si>
    <t>Page 112, L.24, Col.(c)</t>
  </si>
  <si>
    <t>Acct 224 (PA)</t>
  </si>
  <si>
    <t>Page 112, L.21, Col.(c)</t>
  </si>
  <si>
    <t>Acct 224 ( w.o. PA)</t>
  </si>
  <si>
    <t>Footnote to L.21</t>
  </si>
  <si>
    <t>to page 4 of 5, L. 27</t>
  </si>
  <si>
    <t>Return on Equity</t>
  </si>
  <si>
    <t>Set by FERC Order; only change with authorization to do so.</t>
  </si>
  <si>
    <t>Account 456 -- Other Electric Revenues</t>
  </si>
  <si>
    <t>Total Transmission Charges</t>
  </si>
  <si>
    <t>Page 330, Col.(n)</t>
  </si>
  <si>
    <t>to page 4 of 5, L. 35</t>
  </si>
  <si>
    <t>Page 328, Col.(d) contains FNO</t>
  </si>
  <si>
    <t>Page 330, L.1, Col.(n)</t>
  </si>
  <si>
    <t>Page 330, L.4, Col.(n)</t>
  </si>
  <si>
    <t>Page 330, L.6, Col.(n)</t>
  </si>
  <si>
    <t>Page 330, L.13, Col.(n)</t>
  </si>
  <si>
    <t>Page 330, L.15, Col.(n)</t>
  </si>
  <si>
    <t>Page 330, L.16, Col.(n)</t>
  </si>
  <si>
    <t>Page 330, L.17, Col.(n)</t>
  </si>
  <si>
    <t>Page 330, L.22, Col.(n)</t>
  </si>
  <si>
    <t>Page 330, L.28, Col.(n)</t>
  </si>
  <si>
    <t>Page 330, L.29, Col.(n)</t>
  </si>
  <si>
    <t>Page 330, L.30, Col.(n)</t>
  </si>
  <si>
    <t>Page 330, L.31, Col.(n)</t>
  </si>
  <si>
    <t>Page 330, L.32, Col.(n)</t>
  </si>
  <si>
    <t>Page 330, L.33, Col.(n)</t>
  </si>
  <si>
    <t>Page 330, L.34, Col.(n)</t>
  </si>
  <si>
    <t>Page 330.1, L.2, Col.(n)</t>
  </si>
  <si>
    <t>Page 330.1, L.3, Col.(n)</t>
  </si>
  <si>
    <t>Page 328, Col.(d) contains OLF</t>
  </si>
  <si>
    <t>Page 330, L.11, Col.(n)</t>
  </si>
  <si>
    <t>Page 328, Col.(d) contains FNS</t>
  </si>
  <si>
    <t>no FNS codes for either company</t>
  </si>
  <si>
    <t>Page 328, Col.(d) contains AD</t>
  </si>
  <si>
    <t>Page 330, L.2, Col.(n)</t>
  </si>
  <si>
    <t>Page 330, L.10, Col.(n)</t>
  </si>
  <si>
    <t>Page 330, L.12, Col.(n)</t>
  </si>
  <si>
    <t>Page 330, L.14, Col.(n)</t>
  </si>
  <si>
    <t>Page 330, L.18, Col.(n)</t>
  </si>
  <si>
    <t>Page 330, L.27, Col.(n)</t>
  </si>
  <si>
    <t>Page 328, Col.(d) contains LFP</t>
  </si>
  <si>
    <t>Page 330, L.5, Col.(n)</t>
  </si>
  <si>
    <t>Page 330, L.7, Col.(n)</t>
  </si>
  <si>
    <t>Page 330, L.26, Col.(n)</t>
  </si>
  <si>
    <t>Excluded Charges</t>
  </si>
  <si>
    <t>agree to page 4 of 5, L. 37</t>
  </si>
  <si>
    <t>to Page 4 of 5, L. 36</t>
  </si>
  <si>
    <t>Schedule 1</t>
  </si>
  <si>
    <t>LG&amp;E</t>
  </si>
  <si>
    <t>Expenses</t>
  </si>
  <si>
    <t>Ancillary service expenses are itemized above for removal from Attachment O.</t>
  </si>
  <si>
    <t>Revenue</t>
  </si>
  <si>
    <t>Scheduling System Control &amp; Dispatch</t>
  </si>
  <si>
    <t>To Sch. 1, Line 11</t>
  </si>
  <si>
    <t>Revenue from Network &amp; Long Term</t>
  </si>
  <si>
    <t>To Sch. 1, Line 12</t>
  </si>
  <si>
    <t>Sch. 1 charges for network, long term firm, and firm other; provided by F. Rubio, Transmission</t>
  </si>
  <si>
    <t>Short-Term and Non-Firm Revenue</t>
  </si>
  <si>
    <t>To Sch. 1, Line 13</t>
  </si>
  <si>
    <t>Beginning</t>
  </si>
  <si>
    <t>Transfers/</t>
  </si>
  <si>
    <t>Ending</t>
  </si>
  <si>
    <t>Balance</t>
  </si>
  <si>
    <t>Additions</t>
  </si>
  <si>
    <t>Retirements</t>
  </si>
  <si>
    <t>Adjustments</t>
  </si>
  <si>
    <t>Net Additions</t>
  </si>
  <si>
    <t>TOTAL 101 &amp; 106</t>
  </si>
  <si>
    <t>Plant in Service</t>
  </si>
  <si>
    <t>Electric Transmission</t>
  </si>
  <si>
    <t>E350.10-Land Rights</t>
  </si>
  <si>
    <t>E350.20-Land</t>
  </si>
  <si>
    <t>E352.10-Struct &amp; Imp-Non Sys Contro</t>
  </si>
  <si>
    <t>E353.10-Station Equipment - Non Sys</t>
  </si>
  <si>
    <t>E354.00-Towers and Fixtures</t>
  </si>
  <si>
    <t>E355.00-Poles and Fixtures</t>
  </si>
  <si>
    <t>E356.00-OH Conductors and Devices</t>
  </si>
  <si>
    <t>E357.00-Underground Conduit</t>
  </si>
  <si>
    <t>E358.00-Underground Conductors a</t>
  </si>
  <si>
    <t>Electric Transmission -- 500kV Transmission Line Located in Virginia, serving Kentucky</t>
  </si>
  <si>
    <t>Electric Transmission -- Virginia Balances excluded from OATT formula rate</t>
  </si>
  <si>
    <t xml:space="preserve">Type of Service </t>
  </si>
  <si>
    <t xml:space="preserve">Unit of Measure </t>
  </si>
  <si>
    <t>Hourly Peak</t>
  </si>
  <si>
    <t xml:space="preserve">$/MWh </t>
  </si>
  <si>
    <t>Hourly Off-Peak</t>
  </si>
  <si>
    <t>Daily Peak</t>
  </si>
  <si>
    <t>$/MW-Day</t>
  </si>
  <si>
    <t>Daily Off-Peak</t>
  </si>
  <si>
    <t xml:space="preserve">Weekly  </t>
  </si>
  <si>
    <t>$/MW-Week</t>
  </si>
  <si>
    <t xml:space="preserve">Monthly </t>
  </si>
  <si>
    <t>$/MW-Month</t>
  </si>
  <si>
    <t xml:space="preserve">Schedule 1 </t>
  </si>
  <si>
    <t>$/MWh</t>
  </si>
  <si>
    <t>354.24,25,26.b</t>
  </si>
  <si>
    <t>Electric Allocation Ratio</t>
  </si>
  <si>
    <t>LGE balance, per Form 1 page 356.1 (excludes all 107)</t>
  </si>
  <si>
    <t>101 &amp; 106</t>
  </si>
  <si>
    <t>to Page 2 of 5, L. 25</t>
  </si>
  <si>
    <t>to Page 2 of 5, L. 24</t>
  </si>
  <si>
    <t>to Page 2 of 5, L. 27, col.3 (enter negative)</t>
  </si>
  <si>
    <t>Common ARO (electric only)</t>
  </si>
  <si>
    <t>P.356.1, acct 399 (LGE only)</t>
  </si>
  <si>
    <t>Amortization complete February 2014</t>
  </si>
  <si>
    <t>Amortization until July 2020</t>
  </si>
  <si>
    <t>FERC audit expenses are recoverable through the transmission revenue requirement and are included in the total entered in C&amp;D179</t>
  </si>
  <si>
    <t>Reg Comm Expenses</t>
  </si>
  <si>
    <t>Page 262-3, L.8, Col.(i)</t>
  </si>
  <si>
    <t>T = L. 21</t>
  </si>
  <si>
    <t>Page 330, L.19, Col.(n)</t>
  </si>
  <si>
    <t>Page 330, L.23, Col.(n)</t>
  </si>
  <si>
    <t>Page 330, L.25, Col.(n)</t>
  </si>
  <si>
    <t>Page 330, L.8, Col.(n)</t>
  </si>
  <si>
    <t>Page 330, L.24, Col.(n)</t>
  </si>
  <si>
    <t>n/a</t>
  </si>
  <si>
    <t>SCHEDULE 1 FORMULA DEVELOPMENT</t>
  </si>
  <si>
    <t>Line No</t>
  </si>
  <si>
    <t>Description</t>
  </si>
  <si>
    <t>Reference</t>
  </si>
  <si>
    <t>Expense</t>
  </si>
  <si>
    <t>Form 1 Page</t>
  </si>
  <si>
    <t>Load Dispatching</t>
  </si>
  <si>
    <t>Load Dispatch-Reliability</t>
  </si>
  <si>
    <t>321.85.b</t>
  </si>
  <si>
    <t>Load Dispatch-Monitor &amp; Operate Transmission System</t>
  </si>
  <si>
    <t>321.86.b</t>
  </si>
  <si>
    <t>Load Dispatch-Transmission Service and Scheduling</t>
  </si>
  <si>
    <t>321.87.b</t>
  </si>
  <si>
    <t>Scheduling, System Control &amp; Dispatch Services</t>
  </si>
  <si>
    <t>321.88.b</t>
  </si>
  <si>
    <t>Reliability, Planning &amp; Standards Development</t>
  </si>
  <si>
    <t>321.89.b</t>
  </si>
  <si>
    <t>Transmission Service Studies</t>
  </si>
  <si>
    <t>321.90.b</t>
  </si>
  <si>
    <t>Generation Interconnection Studies</t>
  </si>
  <si>
    <t>321.91.b</t>
  </si>
  <si>
    <t>Reliability, Planning &amp; Standards Development Services</t>
  </si>
  <si>
    <t>321.92.b</t>
  </si>
  <si>
    <t>Sum of O&amp;M Expenses</t>
  </si>
  <si>
    <t>line 11 + line 12</t>
  </si>
  <si>
    <t>Revenue Requirement</t>
  </si>
  <si>
    <t>line 10 - line 13</t>
  </si>
  <si>
    <t>Transmission System 12 CP</t>
  </si>
  <si>
    <t>Att. O, pg 1, line 15</t>
  </si>
  <si>
    <t>Annual Schedule 1 Rate</t>
  </si>
  <si>
    <t>line 14 / line 15</t>
  </si>
  <si>
    <t>Monthly rate</t>
  </si>
  <si>
    <t>line 16 / 12</t>
  </si>
  <si>
    <t>to page 4 of 5, L. 30</t>
  </si>
  <si>
    <t>to Page 2 of 5, L. 31, col.3</t>
  </si>
  <si>
    <t>Total Includable O&amp;M</t>
  </si>
  <si>
    <t>Net Includable Depreciation Expense</t>
  </si>
  <si>
    <t>Total Adjustments</t>
  </si>
  <si>
    <t>LSE Direct Assign assets-rate base adjustment</t>
  </si>
  <si>
    <t>Network Upgrade assets-rate base adjustment</t>
  </si>
  <si>
    <t>check total-NITS</t>
  </si>
  <si>
    <t>check total-PTP</t>
  </si>
  <si>
    <t>total Gross Plant</t>
  </si>
  <si>
    <t>Total Accumulated Reserve</t>
  </si>
  <si>
    <t>Total Wages and Salaries</t>
  </si>
  <si>
    <t>Input Data for Annual Update of the LG&amp;E/KU Attachment O Formula Rate</t>
  </si>
  <si>
    <t>12 CP Data, firm Point to Point:</t>
  </si>
  <si>
    <t>Provided by Transmission Policy &amp; Tariffs; see workpapers from F Rubio -- OMU reservations included in PTP on page 400</t>
  </si>
  <si>
    <t>Error checks</t>
  </si>
  <si>
    <t>Line 35a-Transmission Charges for all transmission transactions:</t>
  </si>
  <si>
    <t>year, include dollar amounts on appropriate acct row in the Additions column; otherwise, check for change in balance due to retirements.  Previous</t>
  </si>
  <si>
    <t>year ending balance is transferred to current year beginning balance, additions and retirements are entered as appropriate in columns, and ending</t>
  </si>
  <si>
    <t>balance is updated automatically.</t>
  </si>
  <si>
    <t>remove from all formula rate components any costs related to VA transmission facilities from total transmission on Page 2 of 5, line 8.</t>
  </si>
  <si>
    <t>Kentucky Utilities Company</t>
  </si>
  <si>
    <t>Per Plant Report</t>
  </si>
  <si>
    <t>Ending Balance</t>
  </si>
  <si>
    <t>Check</t>
  </si>
  <si>
    <t>Notes: Source spreadsheet provided by Property Accounting for the annual cost separation study.  If any entries in the Date column are for current</t>
  </si>
  <si>
    <t>Source:  VA 500 KV Line - Dec 2015.xlsx provided by Property Accounting</t>
  </si>
  <si>
    <t>Source:  December 2015 Kentucky Utilities Company Monthly Plant Report provided by Property Accounting</t>
  </si>
  <si>
    <t xml:space="preserve">Notes:  VA transmission plant total from row 59 below is linked to Page 4 of 5, line 2, and a transmission plant allocator is calculated to appropriately </t>
  </si>
  <si>
    <t>Tab:  VA_PIS NBV P9 (REG) -- Electric Transmission only starting on row 46 of support file</t>
  </si>
  <si>
    <t>If any, see "Power Transaction Schedule(s)" in applicable Form B</t>
  </si>
  <si>
    <r>
      <t xml:space="preserve">LG&amp;E col (h) = </t>
    </r>
    <r>
      <rPr>
        <sz val="10"/>
        <color rgb="FF0070C0"/>
        <rFont val="Calibri"/>
        <family val="2"/>
        <scheme val="minor"/>
      </rPr>
      <t>0 for 2015</t>
    </r>
  </si>
  <si>
    <t>Plant reports, P2 REG (KU), P11 (LGE)</t>
  </si>
  <si>
    <t>Plant reports, P5 REG (LGE only)</t>
  </si>
  <si>
    <t>confirm links to transmission plant and book depreciation expense in O159:O160</t>
  </si>
  <si>
    <t>copy prev yr end bal to beg, multiply by calculated depreciation rate in I153</t>
  </si>
  <si>
    <t>Depreciation Expense Adjustment</t>
  </si>
  <si>
    <t>Page 351, L.46, Col.(h)</t>
  </si>
  <si>
    <t>Page 262-3, L.14 (K), L.17 (L), Col.(i)</t>
  </si>
  <si>
    <t>Page 330.1, L.13, Col.(n)</t>
  </si>
  <si>
    <t>Page 330.1, L.15, Col.(n)</t>
  </si>
  <si>
    <t>Page 330.1, L.17, Col.(n)</t>
  </si>
  <si>
    <t>Page 330.1, L.19, Col.(n)</t>
  </si>
  <si>
    <t>Page 330.1, L.21, Col.(n)</t>
  </si>
  <si>
    <t>Page 330.1, L.23, Col.(n)</t>
  </si>
  <si>
    <t>Page 330.1, L.25, Col.(n)</t>
  </si>
  <si>
    <t>Page 330.1, L.26, Col.(n)</t>
  </si>
  <si>
    <t>Page 330.1, L.28, Col.(n)</t>
  </si>
  <si>
    <t>Page 330.1, L.30, Col.(n)</t>
  </si>
  <si>
    <t>Page 330.1, L.32, Col.(n)</t>
  </si>
  <si>
    <t>Page 330.1, L.34, Col.(n)</t>
  </si>
  <si>
    <t>Page 330.2, L.2, Col.(n)</t>
  </si>
  <si>
    <t>Page 330, L.3, Col.(n)</t>
  </si>
  <si>
    <t>Page 330, L.9, Col.(n)</t>
  </si>
  <si>
    <t>Page 330, L.20, Col.(n)</t>
  </si>
  <si>
    <t>Page 330.1, L.5, Col.(n)</t>
  </si>
  <si>
    <t>Page 330.1, L.6, Col.(n)</t>
  </si>
  <si>
    <t>Page 330.1, L.8, Col.(n)</t>
  </si>
  <si>
    <t>Page 330.1, L.10, Col.(n)</t>
  </si>
  <si>
    <t>Page 330.1, L.11, Col.(n)</t>
  </si>
  <si>
    <t>Page 330.1, L.12, Col.(n)</t>
  </si>
  <si>
    <t>Page 330.1, L.14, Col.(n)</t>
  </si>
  <si>
    <t>Page 330.1, L.16, Col.(n)</t>
  </si>
  <si>
    <t>Page 330.1, L.18, Col.(n)</t>
  </si>
  <si>
    <t>Page 330.1, L.20, Col.(n)</t>
  </si>
  <si>
    <t>Page 330.1, L.22, Col.(n)</t>
  </si>
  <si>
    <t>Page 330.1, L.24, Col.(n)</t>
  </si>
  <si>
    <t>Page 330.1, L.27, Col.(n)</t>
  </si>
  <si>
    <t>Page 330.1, L.29, Col.(n)</t>
  </si>
  <si>
    <t>Page 330.1, L.31, Col.(n)</t>
  </si>
  <si>
    <t>Page 330.1, L.33, Col.(n)</t>
  </si>
  <si>
    <t>Page 330.2, L.1, Col.(n)</t>
  </si>
  <si>
    <t>Page 330.2, L.3, Col.(n)</t>
  </si>
  <si>
    <t>Page 330, L.21, Col.(n)</t>
  </si>
  <si>
    <t>Page 330.1, L.9, Col.(n)</t>
  </si>
  <si>
    <t>Page 330.2, L.5, Col.(n)</t>
  </si>
  <si>
    <t>Page 330.2, L.6, Col.(n)</t>
  </si>
  <si>
    <t>Page 330.1, L.4, Col.(n)</t>
  </si>
  <si>
    <t>Page 330.2, L.4, Col.(n)</t>
  </si>
  <si>
    <t>request for transmission service that are deemed beneficial to entire network system.</t>
  </si>
  <si>
    <t>reviewing Plant Report Pg 26 REG (LGE) and Pg 13 REG (KU)</t>
  </si>
  <si>
    <t>Page 262-3, L.14 (L), Col.(i)</t>
  </si>
  <si>
    <t>Page 262-3, L.15 (K), L.14 (L), Col.(i)</t>
  </si>
  <si>
    <t>Page 262-3, L.11 (K), L.12 (L), Col.(i)</t>
  </si>
  <si>
    <t>to Page 5 of 5, Note K</t>
  </si>
  <si>
    <t>copy prev yr end bal to beg, multiply by calculated depreciation rate in I161</t>
  </si>
  <si>
    <t>Net Book Network Upgrade Assets</t>
  </si>
  <si>
    <t>to Page 3 of 5, L. 8, col.3</t>
  </si>
  <si>
    <t>to Page 3 of 5, L. 12, col.3</t>
  </si>
  <si>
    <t>to Page 3 of 5, L. 15, col.3</t>
  </si>
  <si>
    <t>Page 351, L.13 KU,L.12 LGE, Col.(h)</t>
  </si>
  <si>
    <t>Page 351, L.3, Col.(h) LGE only</t>
  </si>
  <si>
    <t>Reference: Depreciation Expense per Form 1, Page 336, Col.(f)</t>
  </si>
  <si>
    <t>Accumulated Reserve per Form 1, Pages 200 col. (c), 219 col. (c), &amp; 356.1</t>
  </si>
  <si>
    <t>All Sch. 1 charges except the cost of depancaking for OMU and KMPA; provided by F. Rubio, Transmission</t>
  </si>
  <si>
    <t>Page 262-3, L.15 (K), Col.(i)</t>
  </si>
  <si>
    <t>* Asset retirement obligations do not have specific depreciation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</si>
</sst>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8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00"/>
    <numFmt numFmtId="166" formatCode="#,##0.000"/>
    <numFmt numFmtId="167" formatCode="&quot;$&quot;#,##0.000"/>
    <numFmt numFmtId="168" formatCode="0.0000"/>
    <numFmt numFmtId="169" formatCode="#,##0.00000"/>
    <numFmt numFmtId="170" formatCode="_(&quot;$&quot;* #,##0_);_(&quot;$&quot;* \(#,##0\);_(&quot;$&quot;* &quot;-&quot;??_);_(@_)"/>
    <numFmt numFmtId="171" formatCode="0.000%"/>
    <numFmt numFmtId="172" formatCode="&quot;$&quot;#,##0"/>
    <numFmt numFmtId="173" formatCode="#,##0.0"/>
    <numFmt numFmtId="174" formatCode="#,##0.0000"/>
    <numFmt numFmtId="175" formatCode="_(* #,##0_);_(* \(#,##0\);_(* &quot;-&quot;??_);_(@_)"/>
    <numFmt numFmtId="176" formatCode="_-* #,##0.00\ [$€]_-;\-* #,##0.00\ [$€]_-;_-* &quot;-&quot;??\ [$€]_-;_-@_-"/>
    <numFmt numFmtId="177" formatCode="0\ 00\ 000\ 000"/>
    <numFmt numFmtId="178" formatCode="[$-409]d\-mmm\-yy;@"/>
    <numFmt numFmtId="179" formatCode="&quot;$&quot;#,##0\ ;\(&quot;$&quot;#,##0\)"/>
    <numFmt numFmtId="180" formatCode="#,##0.00;[Red]\(#,##0.00\)"/>
    <numFmt numFmtId="181" formatCode="0_);\(0\)"/>
    <numFmt numFmtId="182" formatCode="_(* #,##0.00000_);_(* \(#,##0.00000\);_(* &quot;-&quot;??_);_(@_)"/>
    <numFmt numFmtId="183" formatCode="0.000"/>
    <numFmt numFmtId="184" formatCode="_(* #,##0.000_);_(* \(#,##0.000\);_(* &quot;-&quot;??_);_(@_)"/>
    <numFmt numFmtId="185" formatCode="_(&quot;$&quot;* #,##0.000_);_(&quot;$&quot;* \(#,##0.000\);_(&quot;$&quot;* &quot;-&quot;??_);_(@_)"/>
    <numFmt numFmtId="186" formatCode="_(* #,##0.0000_);_(* \(#,##0.0000\);_(* &quot;-&quot;??_);_(@_)"/>
    <numFmt numFmtId="187" formatCode="_(* #,##0.00000000_);_(* \(#,##0.00000000\);_(* &quot;-&quot;??_);_(@_)"/>
    <numFmt numFmtId="188" formatCode="0.00000%"/>
    <numFmt numFmtId="189" formatCode="#,##0.0000_);\(#,##0.0000\)"/>
    <numFmt numFmtId="190" formatCode="mmmm\ d\,\ yyyy\ &quot;Rate&quot;"/>
    <numFmt numFmtId="191" formatCode="&quot;$&quot;#,##0.000_);[Red]\(&quot;$&quot;#,##0.000\)"/>
    <numFmt numFmtId="192" formatCode="_(&quot;$&quot;* #,##0_)"/>
    <numFmt numFmtId="193" formatCode="_(* #,##0_)"/>
    <numFmt numFmtId="194" formatCode="_(&quot;$&quot;* #,##0.000_)"/>
    <numFmt numFmtId="195" formatCode="_(&quot;$&quot;* #,##0_);_(&quot;$&quot;* \(#,##0\)_)"/>
    <numFmt numFmtId="196" formatCode="_(* #,##0_);_(* \(#,##0\)_)"/>
  </numFmts>
  <fonts count="87" x14ac:knownFonts="1">
    <font>
      <sz val="10"/>
      <name val="Times New Roman"/>
      <family val="1"/>
    </font>
    <font>
      <sz val="10"/>
      <color theme="1"/>
      <name val="Times New Roman"/>
      <family val="2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9"/>
      <color theme="1"/>
      <name val="Times New Roman"/>
      <family val="2"/>
    </font>
    <font>
      <i/>
      <sz val="11"/>
      <color indexed="23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0"/>
      <color indexed="8"/>
      <name val="Arial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u/>
      <sz val="10"/>
      <name val="Arial"/>
      <family val="2"/>
    </font>
    <font>
      <sz val="10"/>
      <color indexed="16"/>
      <name val="Arial"/>
      <family val="2"/>
    </font>
    <font>
      <sz val="10"/>
      <color indexed="39"/>
      <name val="Arial"/>
      <family val="2"/>
    </font>
    <font>
      <sz val="19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color indexed="8"/>
      <name val="Wingdings"/>
      <charset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indexed="17"/>
      <name val="Calibri"/>
      <family val="2"/>
      <scheme val="minor"/>
    </font>
    <font>
      <u val="singleAccounting"/>
      <sz val="12"/>
      <name val="Calibri"/>
      <family val="2"/>
      <scheme val="minor"/>
    </font>
    <font>
      <sz val="10"/>
      <name val="Calibri"/>
      <family val="2"/>
      <scheme val="minor"/>
    </font>
    <font>
      <sz val="16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sz val="12"/>
      <color rgb="FF0000FF"/>
      <name val="Calibri"/>
      <family val="2"/>
      <scheme val="minor"/>
    </font>
    <font>
      <sz val="12"/>
      <color indexed="10"/>
      <name val="Calibri"/>
      <family val="2"/>
      <scheme val="minor"/>
    </font>
    <font>
      <sz val="14"/>
      <name val="Calibri"/>
      <family val="2"/>
      <scheme val="minor"/>
    </font>
    <font>
      <u/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indexed="17"/>
      <name val="Calibri"/>
      <family val="2"/>
      <scheme val="minor"/>
    </font>
    <font>
      <b/>
      <u/>
      <sz val="12"/>
      <name val="Calibri"/>
      <family val="2"/>
      <scheme val="minor"/>
    </font>
    <font>
      <u val="doubleAccounting"/>
      <sz val="12"/>
      <name val="Calibri"/>
      <family val="2"/>
      <scheme val="minor"/>
    </font>
    <font>
      <sz val="10"/>
      <name val="Calibri"/>
      <family val="2"/>
    </font>
    <font>
      <sz val="12"/>
      <name val="Calibri"/>
      <family val="2"/>
    </font>
    <font>
      <sz val="10"/>
      <color rgb="FF0000FF"/>
      <name val="Calibri"/>
      <family val="2"/>
      <scheme val="minor"/>
    </font>
    <font>
      <sz val="14"/>
      <name val="Calibri"/>
      <family val="2"/>
    </font>
    <font>
      <b/>
      <sz val="11"/>
      <name val="Calibri"/>
      <family val="2"/>
      <scheme val="minor"/>
    </font>
    <font>
      <b/>
      <sz val="16"/>
      <color rgb="FF000000"/>
      <name val="Polo"/>
    </font>
    <font>
      <b/>
      <sz val="16"/>
      <name val="Polo"/>
    </font>
    <font>
      <sz val="16"/>
      <color rgb="FF000000"/>
      <name val="Polo"/>
    </font>
    <font>
      <sz val="16"/>
      <name val="Polo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u/>
      <sz val="11"/>
      <name val="Calibri"/>
      <family val="2"/>
      <scheme val="minor"/>
    </font>
    <font>
      <u val="singleAccounting"/>
      <sz val="11"/>
      <name val="Calibri"/>
      <family val="2"/>
      <scheme val="minor"/>
    </font>
    <font>
      <u val="double"/>
      <sz val="11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4"/>
      <name val="Calibri"/>
      <family val="2"/>
      <scheme val="minor"/>
    </font>
    <font>
      <b/>
      <u val="singleAccounting"/>
      <sz val="1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0"/>
      <color rgb="FFFF0000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11"/>
      </patternFill>
    </fill>
    <fill>
      <patternFill patternType="solid">
        <fgColor indexed="9"/>
        <bgColor indexed="64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indexed="26"/>
        <bgColor indexed="1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solid">
        <fgColor indexed="19"/>
      </patternFill>
    </fill>
    <fill>
      <patternFill patternType="solid">
        <fgColor indexed="59"/>
      </patternFill>
    </fill>
    <fill>
      <patternFill patternType="solid">
        <fgColor indexed="18"/>
      </patternFill>
    </fill>
    <fill>
      <patternFill patternType="solid">
        <fgColor indexed="52"/>
      </patternFill>
    </fill>
    <fill>
      <patternFill patternType="lightUp">
        <fgColor indexed="48"/>
        <bgColor indexed="19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57">
    <xf numFmtId="37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6" fontId="4" fillId="2" borderId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4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4" borderId="0" applyNumberFormat="0" applyBorder="0" applyAlignment="0" applyProtection="0"/>
    <xf numFmtId="0" fontId="7" fillId="12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17" borderId="4" applyNumberFormat="0" applyAlignment="0" applyProtection="0"/>
    <xf numFmtId="0" fontId="10" fillId="18" borderId="5" applyNumberFormat="0" applyAlignment="0" applyProtection="0"/>
    <xf numFmtId="177" fontId="11" fillId="0" borderId="2" applyBorder="0">
      <alignment horizontal="center" vertical="center"/>
    </xf>
    <xf numFmtId="178" fontId="12" fillId="19" borderId="0">
      <alignment horizontal="left"/>
    </xf>
    <xf numFmtId="178" fontId="13" fillId="19" borderId="0">
      <alignment horizontal="right"/>
    </xf>
    <xf numFmtId="178" fontId="14" fillId="17" borderId="0">
      <alignment horizontal="center"/>
    </xf>
    <xf numFmtId="178" fontId="13" fillId="19" borderId="0">
      <alignment horizontal="right"/>
    </xf>
    <xf numFmtId="178" fontId="15" fillId="17" borderId="0">
      <alignment horizontal="left"/>
    </xf>
    <xf numFmtId="43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4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6" fillId="0" borderId="0" applyFont="0" applyFill="0" applyBorder="0" applyAlignment="0" applyProtection="0"/>
    <xf numFmtId="179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20" borderId="6" applyNumberFormat="0" applyFont="0" applyAlignment="0">
      <protection locked="0"/>
    </xf>
    <xf numFmtId="176" fontId="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176" fontId="20" fillId="0" borderId="0" applyProtection="0"/>
    <xf numFmtId="176" fontId="2" fillId="0" borderId="0" applyProtection="0"/>
    <xf numFmtId="176" fontId="21" fillId="0" borderId="0" applyProtection="0"/>
    <xf numFmtId="176" fontId="22" fillId="0" borderId="0" applyProtection="0"/>
    <xf numFmtId="176" fontId="4" fillId="0" borderId="0" applyProtection="0"/>
    <xf numFmtId="176" fontId="20" fillId="0" borderId="0" applyProtection="0"/>
    <xf numFmtId="176" fontId="23" fillId="0" borderId="0" applyProtection="0"/>
    <xf numFmtId="2" fontId="4" fillId="0" borderId="0" applyFont="0" applyFill="0" applyBorder="0" applyAlignment="0" applyProtection="0"/>
    <xf numFmtId="0" fontId="24" fillId="7" borderId="0" applyNumberFormat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8" borderId="4" applyNumberFormat="0" applyAlignment="0" applyProtection="0"/>
    <xf numFmtId="178" fontId="12" fillId="19" borderId="0">
      <alignment horizontal="left"/>
    </xf>
    <xf numFmtId="178" fontId="29" fillId="17" borderId="0">
      <alignment horizontal="left"/>
    </xf>
    <xf numFmtId="0" fontId="30" fillId="0" borderId="10" applyNumberFormat="0" applyFill="0" applyAlignment="0" applyProtection="0"/>
    <xf numFmtId="0" fontId="31" fillId="8" borderId="0" applyNumberFormat="0" applyBorder="0" applyAlignment="0" applyProtection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2" fillId="5" borderId="11" applyNumberFormat="0" applyFont="0" applyAlignment="0" applyProtection="0"/>
    <xf numFmtId="0" fontId="33" fillId="17" borderId="12" applyNumberFormat="0" applyAlignment="0" applyProtection="0"/>
    <xf numFmtId="180" fontId="34" fillId="17" borderId="0">
      <alignment horizontal="right"/>
    </xf>
    <xf numFmtId="40" fontId="35" fillId="21" borderId="0">
      <alignment horizontal="right"/>
    </xf>
    <xf numFmtId="178" fontId="36" fillId="22" borderId="0">
      <alignment horizontal="center"/>
    </xf>
    <xf numFmtId="178" fontId="12" fillId="23" borderId="0"/>
    <xf numFmtId="178" fontId="37" fillId="17" borderId="0" applyBorder="0">
      <alignment horizontal="centerContinuous"/>
    </xf>
    <xf numFmtId="178" fontId="38" fillId="23" borderId="0" applyBorder="0">
      <alignment horizontal="centerContinuous"/>
    </xf>
    <xf numFmtId="9" fontId="18" fillId="0" borderId="0" applyFont="0" applyFill="0" applyBorder="0" applyAlignment="0" applyProtection="0"/>
    <xf numFmtId="9" fontId="4" fillId="0" borderId="0" applyFont="0" applyFill="0" applyBorder="0" applyAlignment="0" applyProtection="0"/>
    <xf numFmtId="181" fontId="5" fillId="24" borderId="13">
      <alignment horizontal="left"/>
    </xf>
    <xf numFmtId="176" fontId="39" fillId="0" borderId="0" applyNumberFormat="0" applyFont="0" applyFill="0" applyBorder="0" applyAlignment="0" applyProtection="0">
      <alignment horizontal="left"/>
    </xf>
    <xf numFmtId="15" fontId="39" fillId="0" borderId="0" applyFont="0" applyFill="0" applyBorder="0" applyAlignment="0" applyProtection="0"/>
    <xf numFmtId="4" fontId="39" fillId="0" borderId="0" applyFont="0" applyFill="0" applyBorder="0" applyAlignment="0" applyProtection="0"/>
    <xf numFmtId="176" fontId="40" fillId="0" borderId="1">
      <alignment horizontal="center"/>
    </xf>
    <xf numFmtId="3" fontId="39" fillId="0" borderId="0" applyFont="0" applyFill="0" applyBorder="0" applyAlignment="0" applyProtection="0"/>
    <xf numFmtId="176" fontId="39" fillId="25" borderId="0" applyNumberFormat="0" applyFont="0" applyBorder="0" applyAlignment="0" applyProtection="0"/>
    <xf numFmtId="178" fontId="29" fillId="8" borderId="0">
      <alignment horizontal="center"/>
    </xf>
    <xf numFmtId="49" fontId="41" fillId="17" borderId="0">
      <alignment horizontal="center"/>
    </xf>
    <xf numFmtId="178" fontId="13" fillId="19" borderId="0">
      <alignment horizontal="center"/>
    </xf>
    <xf numFmtId="178" fontId="13" fillId="19" borderId="0">
      <alignment horizontal="centerContinuous"/>
    </xf>
    <xf numFmtId="178" fontId="42" fillId="17" borderId="0">
      <alignment horizontal="left"/>
    </xf>
    <xf numFmtId="49" fontId="42" fillId="17" borderId="0">
      <alignment horizontal="center"/>
    </xf>
    <xf numFmtId="178" fontId="12" fillId="19" borderId="0">
      <alignment horizontal="left"/>
    </xf>
    <xf numFmtId="49" fontId="42" fillId="17" borderId="0">
      <alignment horizontal="left"/>
    </xf>
    <xf numFmtId="178" fontId="12" fillId="19" borderId="0">
      <alignment horizontal="centerContinuous"/>
    </xf>
    <xf numFmtId="178" fontId="12" fillId="19" borderId="0">
      <alignment horizontal="right"/>
    </xf>
    <xf numFmtId="49" fontId="29" fillId="17" borderId="0">
      <alignment horizontal="left"/>
    </xf>
    <xf numFmtId="178" fontId="13" fillId="19" borderId="0">
      <alignment horizontal="right"/>
    </xf>
    <xf numFmtId="178" fontId="42" fillId="6" borderId="0">
      <alignment horizontal="center"/>
    </xf>
    <xf numFmtId="178" fontId="43" fillId="6" borderId="0">
      <alignment horizontal="center"/>
    </xf>
    <xf numFmtId="4" fontId="20" fillId="26" borderId="14" applyNumberFormat="0" applyProtection="0">
      <alignment vertical="center"/>
    </xf>
    <xf numFmtId="4" fontId="44" fillId="26" borderId="15" applyNumberFormat="0" applyProtection="0">
      <alignment vertical="center"/>
    </xf>
    <xf numFmtId="4" fontId="20" fillId="26" borderId="14" applyNumberFormat="0" applyProtection="0">
      <alignment horizontal="left" vertical="center" indent="1"/>
    </xf>
    <xf numFmtId="176" fontId="20" fillId="27" borderId="15" applyNumberFormat="0" applyProtection="0">
      <alignment horizontal="left" vertical="top" indent="1"/>
    </xf>
    <xf numFmtId="4" fontId="20" fillId="23" borderId="0" applyNumberFormat="0" applyProtection="0">
      <alignment horizontal="left" vertical="center" indent="1"/>
    </xf>
    <xf numFmtId="4" fontId="4" fillId="26" borderId="15" applyNumberFormat="0" applyProtection="0">
      <alignment horizontal="right" vertical="center"/>
    </xf>
    <xf numFmtId="4" fontId="45" fillId="28" borderId="15" applyNumberFormat="0" applyProtection="0">
      <alignment horizontal="right" vertical="center"/>
    </xf>
    <xf numFmtId="4" fontId="45" fillId="29" borderId="15" applyNumberFormat="0" applyProtection="0">
      <alignment horizontal="right" vertical="center"/>
    </xf>
    <xf numFmtId="4" fontId="4" fillId="8" borderId="15" applyNumberFormat="0" applyProtection="0">
      <alignment horizontal="right" vertical="center"/>
    </xf>
    <xf numFmtId="4" fontId="4" fillId="3" borderId="15" applyNumberFormat="0" applyProtection="0">
      <alignment horizontal="right" vertical="center"/>
    </xf>
    <xf numFmtId="4" fontId="4" fillId="9" borderId="15" applyNumberFormat="0" applyProtection="0">
      <alignment horizontal="right" vertical="center"/>
    </xf>
    <xf numFmtId="4" fontId="45" fillId="15" borderId="15" applyNumberFormat="0" applyProtection="0">
      <alignment horizontal="right" vertical="center"/>
    </xf>
    <xf numFmtId="4" fontId="45" fillId="30" borderId="15" applyNumberFormat="0" applyProtection="0">
      <alignment horizontal="right" vertical="center"/>
    </xf>
    <xf numFmtId="4" fontId="4" fillId="14" borderId="15" applyNumberFormat="0" applyProtection="0">
      <alignment horizontal="right" vertical="center"/>
    </xf>
    <xf numFmtId="4" fontId="20" fillId="31" borderId="0" applyNumberFormat="0" applyProtection="0">
      <alignment horizontal="left" vertical="center" indent="1"/>
    </xf>
    <xf numFmtId="4" fontId="4" fillId="10" borderId="0" applyNumberFormat="0" applyProtection="0">
      <alignment horizontal="left" vertical="center" indent="1"/>
    </xf>
    <xf numFmtId="4" fontId="41" fillId="32" borderId="0" applyNumberFormat="0" applyProtection="0">
      <alignment horizontal="left" vertical="center" indent="1"/>
    </xf>
    <xf numFmtId="4" fontId="4" fillId="10" borderId="14" applyNumberFormat="0" applyProtection="0">
      <alignment horizontal="right" vertical="center"/>
    </xf>
    <xf numFmtId="4" fontId="4" fillId="10" borderId="0" applyNumberFormat="0" applyProtection="0">
      <alignment horizontal="left" vertical="center" indent="1"/>
    </xf>
    <xf numFmtId="4" fontId="4" fillId="27" borderId="0" applyNumberFormat="0" applyProtection="0">
      <alignment horizontal="left" vertical="center" indent="1"/>
    </xf>
    <xf numFmtId="176" fontId="4" fillId="10" borderId="14" applyNumberFormat="0" applyProtection="0">
      <alignment horizontal="left" vertical="center" indent="1"/>
    </xf>
    <xf numFmtId="176" fontId="4" fillId="10" borderId="15" applyNumberFormat="0" applyProtection="0">
      <alignment horizontal="left" vertical="top" indent="1"/>
    </xf>
    <xf numFmtId="176" fontId="4" fillId="10" borderId="14" applyNumberFormat="0" applyProtection="0">
      <alignment horizontal="left" vertical="center" indent="1"/>
    </xf>
    <xf numFmtId="176" fontId="4" fillId="10" borderId="15" applyNumberFormat="0" applyProtection="0">
      <alignment horizontal="left" vertical="top" indent="1"/>
    </xf>
    <xf numFmtId="176" fontId="4" fillId="10" borderId="14" applyNumberFormat="0" applyProtection="0">
      <alignment horizontal="left" vertical="center" indent="1"/>
    </xf>
    <xf numFmtId="176" fontId="4" fillId="10" borderId="15" applyNumberFormat="0" applyProtection="0">
      <alignment horizontal="left" vertical="top" indent="1"/>
    </xf>
    <xf numFmtId="176" fontId="4" fillId="10" borderId="14" applyNumberFormat="0" applyProtection="0">
      <alignment horizontal="left" vertical="center" indent="1"/>
    </xf>
    <xf numFmtId="176" fontId="4" fillId="10" borderId="15" applyNumberFormat="0" applyProtection="0">
      <alignment horizontal="left" vertical="top" indent="1"/>
    </xf>
    <xf numFmtId="4" fontId="34" fillId="33" borderId="15" applyNumberFormat="0" applyProtection="0">
      <alignment vertical="center"/>
    </xf>
    <xf numFmtId="4" fontId="46" fillId="33" borderId="15" applyNumberFormat="0" applyProtection="0">
      <alignment vertical="center"/>
    </xf>
    <xf numFmtId="4" fontId="4" fillId="10" borderId="15" applyNumberFormat="0" applyProtection="0">
      <alignment horizontal="left" vertical="center" indent="1"/>
    </xf>
    <xf numFmtId="176" fontId="4" fillId="10" borderId="15" applyNumberFormat="0" applyProtection="0">
      <alignment horizontal="left" vertical="top" indent="1"/>
    </xf>
    <xf numFmtId="4" fontId="4" fillId="34" borderId="14" applyNumberFormat="0" applyProtection="0">
      <alignment horizontal="right" vertical="center"/>
    </xf>
    <xf numFmtId="4" fontId="20" fillId="34" borderId="14" applyNumberFormat="0" applyProtection="0">
      <alignment horizontal="right" vertical="center"/>
    </xf>
    <xf numFmtId="4" fontId="4" fillId="10" borderId="14" applyNumberFormat="0" applyProtection="0">
      <alignment horizontal="left" vertical="center" indent="1"/>
    </xf>
    <xf numFmtId="176" fontId="4" fillId="10" borderId="14" applyNumberFormat="0" applyProtection="0">
      <alignment horizontal="left" vertical="top" indent="1"/>
    </xf>
    <xf numFmtId="4" fontId="47" fillId="0" borderId="0" applyNumberFormat="0" applyProtection="0">
      <alignment horizontal="left" vertical="center" indent="1"/>
    </xf>
    <xf numFmtId="4" fontId="4" fillId="0" borderId="15" applyNumberFormat="0" applyProtection="0">
      <alignment horizontal="right" vertical="center"/>
    </xf>
    <xf numFmtId="176" fontId="4" fillId="0" borderId="16" applyNumberFormat="0" applyFont="0" applyFill="0" applyBorder="0" applyAlignment="0" applyProtection="0"/>
    <xf numFmtId="176" fontId="4" fillId="0" borderId="0"/>
    <xf numFmtId="0" fontId="48" fillId="0" borderId="0" applyNumberFormat="0" applyFill="0" applyBorder="0" applyAlignment="0" applyProtection="0"/>
    <xf numFmtId="0" fontId="49" fillId="0" borderId="17" applyNumberFormat="0" applyFill="0" applyAlignment="0" applyProtection="0"/>
    <xf numFmtId="176" fontId="32" fillId="0" borderId="0"/>
    <xf numFmtId="178" fontId="50" fillId="17" borderId="0">
      <alignment horizontal="center"/>
    </xf>
    <xf numFmtId="0" fontId="30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4" fillId="0" borderId="0"/>
    <xf numFmtId="37" fontId="2" fillId="0" borderId="0"/>
  </cellStyleXfs>
  <cellXfs count="566">
    <xf numFmtId="37" fontId="0" fillId="0" borderId="0" xfId="0"/>
    <xf numFmtId="164" fontId="51" fillId="0" borderId="0" xfId="0" applyNumberFormat="1" applyFont="1" applyFill="1" applyAlignment="1" applyProtection="1"/>
    <xf numFmtId="0" fontId="51" fillId="0" borderId="0" xfId="0" applyNumberFormat="1" applyFont="1" applyFill="1" applyAlignment="1" applyProtection="1"/>
    <xf numFmtId="0" fontId="51" fillId="0" borderId="0" xfId="0" applyNumberFormat="1" applyFont="1" applyFill="1" applyAlignment="1" applyProtection="1">
      <alignment horizontal="left"/>
    </xf>
    <xf numFmtId="0" fontId="51" fillId="0" borderId="0" xfId="0" applyNumberFormat="1" applyFont="1" applyFill="1" applyProtection="1"/>
    <xf numFmtId="0" fontId="51" fillId="0" borderId="0" xfId="0" applyNumberFormat="1" applyFont="1" applyFill="1" applyAlignment="1" applyProtection="1">
      <alignment horizontal="center"/>
    </xf>
    <xf numFmtId="0" fontId="52" fillId="0" borderId="0" xfId="0" quotePrefix="1" applyNumberFormat="1" applyFont="1" applyFill="1" applyAlignment="1" applyProtection="1">
      <alignment horizontal="left"/>
    </xf>
    <xf numFmtId="0" fontId="51" fillId="0" borderId="0" xfId="0" quotePrefix="1" applyNumberFormat="1" applyFont="1" applyFill="1" applyAlignment="1" applyProtection="1">
      <alignment horizontal="left"/>
    </xf>
    <xf numFmtId="3" fontId="51" fillId="0" borderId="0" xfId="0" applyNumberFormat="1" applyFont="1" applyFill="1" applyAlignment="1" applyProtection="1"/>
    <xf numFmtId="49" fontId="51" fillId="0" borderId="0" xfId="0" applyNumberFormat="1" applyFont="1" applyFill="1" applyProtection="1"/>
    <xf numFmtId="0" fontId="51" fillId="0" borderId="1" xfId="0" applyNumberFormat="1" applyFont="1" applyFill="1" applyBorder="1" applyAlignment="1" applyProtection="1">
      <alignment horizontal="center"/>
    </xf>
    <xf numFmtId="3" fontId="51" fillId="0" borderId="0" xfId="0" applyNumberFormat="1" applyFont="1" applyFill="1" applyProtection="1"/>
    <xf numFmtId="0" fontId="51" fillId="0" borderId="1" xfId="0" applyNumberFormat="1" applyFont="1" applyFill="1" applyBorder="1" applyAlignment="1" applyProtection="1">
      <alignment horizontal="centerContinuous"/>
    </xf>
    <xf numFmtId="165" fontId="51" fillId="0" borderId="0" xfId="0" applyNumberFormat="1" applyFont="1" applyFill="1" applyAlignment="1" applyProtection="1"/>
    <xf numFmtId="3" fontId="51" fillId="0" borderId="0" xfId="0" applyNumberFormat="1" applyFont="1" applyFill="1" applyBorder="1" applyProtection="1"/>
    <xf numFmtId="0" fontId="53" fillId="0" borderId="0" xfId="0" applyNumberFormat="1" applyFont="1" applyFill="1" applyProtection="1"/>
    <xf numFmtId="37" fontId="55" fillId="0" borderId="0" xfId="0" applyFont="1" applyProtection="1"/>
    <xf numFmtId="3" fontId="51" fillId="0" borderId="0" xfId="0" applyNumberFormat="1" applyFont="1" applyFill="1" applyAlignment="1" applyProtection="1">
      <alignment horizontal="fill"/>
    </xf>
    <xf numFmtId="164" fontId="53" fillId="0" borderId="0" xfId="0" applyNumberFormat="1" applyFont="1" applyFill="1" applyAlignment="1" applyProtection="1"/>
    <xf numFmtId="0" fontId="51" fillId="0" borderId="0" xfId="0" applyNumberFormat="1" applyFont="1" applyFill="1" applyBorder="1" applyAlignment="1" applyProtection="1"/>
    <xf numFmtId="0" fontId="51" fillId="0" borderId="0" xfId="0" applyNumberFormat="1" applyFont="1" applyFill="1" applyBorder="1" applyProtection="1"/>
    <xf numFmtId="166" fontId="51" fillId="0" borderId="0" xfId="0" applyNumberFormat="1" applyFont="1" applyFill="1" applyBorder="1" applyProtection="1"/>
    <xf numFmtId="166" fontId="56" fillId="0" borderId="0" xfId="0" applyNumberFormat="1" applyFont="1" applyFill="1" applyProtection="1"/>
    <xf numFmtId="10" fontId="51" fillId="0" borderId="0" xfId="0" applyNumberFormat="1" applyFont="1" applyFill="1" applyProtection="1"/>
    <xf numFmtId="166" fontId="51" fillId="0" borderId="0" xfId="0" applyNumberFormat="1" applyFont="1" applyFill="1" applyProtection="1"/>
    <xf numFmtId="166" fontId="51" fillId="0" borderId="0" xfId="0" applyNumberFormat="1" applyFont="1" applyFill="1" applyBorder="1" applyAlignment="1" applyProtection="1">
      <alignment horizontal="center"/>
    </xf>
    <xf numFmtId="164" fontId="51" fillId="0" borderId="0" xfId="0" applyNumberFormat="1" applyFont="1" applyFill="1" applyAlignment="1" applyProtection="1">
      <alignment horizontal="center"/>
    </xf>
    <xf numFmtId="0" fontId="51" fillId="0" borderId="0" xfId="0" applyNumberFormat="1" applyFont="1" applyFill="1" applyBorder="1" applyAlignment="1" applyProtection="1">
      <alignment horizontal="left"/>
    </xf>
    <xf numFmtId="184" fontId="51" fillId="0" borderId="0" xfId="1" applyNumberFormat="1" applyFont="1" applyFill="1" applyAlignment="1" applyProtection="1"/>
    <xf numFmtId="0" fontId="51" fillId="0" borderId="0" xfId="0" applyNumberFormat="1" applyFont="1" applyFill="1" applyBorder="1" applyAlignment="1" applyProtection="1">
      <alignment horizontal="center"/>
    </xf>
    <xf numFmtId="164" fontId="51" fillId="0" borderId="0" xfId="0" applyNumberFormat="1" applyFont="1" applyFill="1" applyBorder="1" applyAlignment="1" applyProtection="1"/>
    <xf numFmtId="0" fontId="51" fillId="0" borderId="0" xfId="0" quotePrefix="1" applyNumberFormat="1" applyFont="1" applyFill="1" applyBorder="1" applyAlignment="1" applyProtection="1">
      <alignment horizontal="left"/>
    </xf>
    <xf numFmtId="170" fontId="51" fillId="0" borderId="0" xfId="2" applyNumberFormat="1" applyFont="1" applyFill="1" applyBorder="1" applyProtection="1"/>
    <xf numFmtId="175" fontId="51" fillId="0" borderId="0" xfId="1" applyNumberFormat="1" applyFont="1" applyFill="1" applyBorder="1" applyProtection="1"/>
    <xf numFmtId="3" fontId="57" fillId="0" borderId="0" xfId="0" applyNumberFormat="1" applyFont="1" applyFill="1" applyProtection="1"/>
    <xf numFmtId="0" fontId="51" fillId="0" borderId="0" xfId="0" quotePrefix="1" applyNumberFormat="1" applyFont="1" applyFill="1" applyBorder="1" applyProtection="1"/>
    <xf numFmtId="3" fontId="57" fillId="0" borderId="0" xfId="0" applyNumberFormat="1" applyFont="1" applyFill="1" applyBorder="1" applyProtection="1"/>
    <xf numFmtId="3" fontId="58" fillId="0" borderId="0" xfId="0" applyNumberFormat="1" applyFont="1" applyFill="1" applyBorder="1" applyProtection="1"/>
    <xf numFmtId="175" fontId="51" fillId="0" borderId="0" xfId="0" applyNumberFormat="1" applyFont="1" applyFill="1" applyBorder="1" applyProtection="1"/>
    <xf numFmtId="10" fontId="51" fillId="0" borderId="0" xfId="3" applyNumberFormat="1" applyFont="1" applyFill="1" applyBorder="1" applyProtection="1"/>
    <xf numFmtId="170" fontId="51" fillId="0" borderId="0" xfId="0" applyNumberFormat="1" applyFont="1" applyFill="1" applyBorder="1" applyProtection="1"/>
    <xf numFmtId="166" fontId="56" fillId="0" borderId="0" xfId="0" applyNumberFormat="1" applyFont="1" applyFill="1" applyBorder="1" applyProtection="1"/>
    <xf numFmtId="10" fontId="51" fillId="0" borderId="0" xfId="0" applyNumberFormat="1" applyFont="1" applyFill="1" applyBorder="1" applyProtection="1"/>
    <xf numFmtId="3" fontId="51" fillId="0" borderId="0" xfId="0" quotePrefix="1" applyNumberFormat="1" applyFont="1" applyFill="1" applyBorder="1" applyAlignment="1" applyProtection="1"/>
    <xf numFmtId="3" fontId="51" fillId="0" borderId="0" xfId="0" applyNumberFormat="1" applyFont="1" applyFill="1" applyBorder="1" applyAlignment="1" applyProtection="1"/>
    <xf numFmtId="164" fontId="51" fillId="0" borderId="0" xfId="0" applyNumberFormat="1" applyFont="1" applyFill="1" applyBorder="1" applyAlignment="1" applyProtection="1">
      <alignment horizontal="center"/>
    </xf>
    <xf numFmtId="175" fontId="51" fillId="0" borderId="0" xfId="1" applyNumberFormat="1" applyFont="1" applyFill="1" applyBorder="1" applyAlignment="1" applyProtection="1"/>
    <xf numFmtId="3" fontId="59" fillId="0" borderId="0" xfId="0" applyNumberFormat="1" applyFont="1" applyFill="1" applyBorder="1" applyAlignment="1" applyProtection="1"/>
    <xf numFmtId="167" fontId="51" fillId="0" borderId="0" xfId="0" applyNumberFormat="1" applyFont="1" applyFill="1" applyBorder="1" applyAlignment="1" applyProtection="1"/>
    <xf numFmtId="175" fontId="59" fillId="0" borderId="0" xfId="1" applyNumberFormat="1" applyFont="1" applyFill="1" applyBorder="1" applyAlignment="1" applyProtection="1"/>
    <xf numFmtId="3" fontId="51" fillId="0" borderId="0" xfId="0" applyNumberFormat="1" applyFont="1" applyFill="1" applyBorder="1" applyAlignment="1" applyProtection="1">
      <alignment horizontal="center"/>
    </xf>
    <xf numFmtId="172" fontId="59" fillId="0" borderId="0" xfId="0" applyNumberFormat="1" applyFont="1" applyFill="1" applyBorder="1" applyAlignment="1" applyProtection="1"/>
    <xf numFmtId="0" fontId="60" fillId="0" borderId="0" xfId="0" applyNumberFormat="1" applyFont="1" applyFill="1" applyBorder="1" applyProtection="1"/>
    <xf numFmtId="164" fontId="60" fillId="0" borderId="0" xfId="0" applyNumberFormat="1" applyFont="1" applyFill="1" applyBorder="1" applyAlignment="1" applyProtection="1"/>
    <xf numFmtId="3" fontId="52" fillId="0" borderId="0" xfId="0" applyNumberFormat="1" applyFont="1" applyFill="1" applyBorder="1" applyAlignment="1" applyProtection="1">
      <alignment horizontal="center"/>
    </xf>
    <xf numFmtId="38" fontId="51" fillId="0" borderId="0" xfId="0" applyNumberFormat="1" applyFont="1" applyFill="1" applyBorder="1" applyProtection="1"/>
    <xf numFmtId="38" fontId="51" fillId="0" borderId="0" xfId="0" applyNumberFormat="1" applyFont="1" applyFill="1" applyBorder="1" applyAlignment="1" applyProtection="1"/>
    <xf numFmtId="167" fontId="51" fillId="0" borderId="0" xfId="0" applyNumberFormat="1" applyFont="1" applyFill="1" applyBorder="1" applyProtection="1"/>
    <xf numFmtId="172" fontId="51" fillId="0" borderId="0" xfId="0" applyNumberFormat="1" applyFont="1" applyFill="1" applyBorder="1" applyProtection="1"/>
    <xf numFmtId="1" fontId="51" fillId="0" borderId="0" xfId="0" applyNumberFormat="1" applyFont="1" applyFill="1" applyBorder="1" applyProtection="1"/>
    <xf numFmtId="3" fontId="53" fillId="0" borderId="0" xfId="0" applyNumberFormat="1" applyFont="1" applyFill="1" applyBorder="1" applyAlignment="1" applyProtection="1">
      <alignment horizontal="left"/>
    </xf>
    <xf numFmtId="1" fontId="51" fillId="0" borderId="0" xfId="0" applyNumberFormat="1" applyFont="1" applyFill="1" applyBorder="1" applyAlignment="1" applyProtection="1"/>
    <xf numFmtId="172" fontId="51" fillId="0" borderId="0" xfId="0" applyNumberFormat="1" applyFont="1" applyFill="1" applyBorder="1" applyAlignment="1" applyProtection="1"/>
    <xf numFmtId="164" fontId="59" fillId="0" borderId="0" xfId="0" applyNumberFormat="1" applyFont="1" applyFill="1" applyBorder="1" applyAlignment="1" applyProtection="1"/>
    <xf numFmtId="3" fontId="51" fillId="0" borderId="0" xfId="0" applyNumberFormat="1" applyFont="1" applyFill="1" applyBorder="1" applyAlignment="1" applyProtection="1">
      <alignment horizontal="right"/>
    </xf>
    <xf numFmtId="0" fontId="61" fillId="0" borderId="0" xfId="0" applyNumberFormat="1" applyFont="1" applyFill="1" applyBorder="1" applyAlignment="1" applyProtection="1">
      <alignment horizontal="center"/>
    </xf>
    <xf numFmtId="0" fontId="61" fillId="0" borderId="0" xfId="0" applyNumberFormat="1" applyFont="1" applyFill="1" applyBorder="1" applyProtection="1"/>
    <xf numFmtId="0" fontId="61" fillId="0" borderId="0" xfId="0" applyNumberFormat="1" applyFont="1" applyFill="1" applyBorder="1" applyAlignment="1" applyProtection="1"/>
    <xf numFmtId="3" fontId="61" fillId="0" borderId="0" xfId="0" applyNumberFormat="1" applyFont="1" applyFill="1" applyBorder="1" applyAlignment="1" applyProtection="1"/>
    <xf numFmtId="0" fontId="56" fillId="0" borderId="0" xfId="0" applyNumberFormat="1" applyFont="1" applyFill="1" applyBorder="1" applyProtection="1"/>
    <xf numFmtId="3" fontId="56" fillId="0" borderId="0" xfId="0" applyNumberFormat="1" applyFont="1" applyFill="1" applyBorder="1" applyAlignment="1" applyProtection="1"/>
    <xf numFmtId="3" fontId="61" fillId="0" borderId="0" xfId="0" applyNumberFormat="1" applyFont="1" applyFill="1" applyBorder="1" applyAlignment="1" applyProtection="1">
      <alignment horizontal="center"/>
    </xf>
    <xf numFmtId="164" fontId="61" fillId="0" borderId="0" xfId="0" applyNumberFormat="1" applyFont="1" applyFill="1" applyBorder="1" applyAlignment="1" applyProtection="1"/>
    <xf numFmtId="0" fontId="53" fillId="0" borderId="0" xfId="0" applyNumberFormat="1" applyFont="1" applyFill="1" applyBorder="1" applyProtection="1"/>
    <xf numFmtId="10" fontId="61" fillId="0" borderId="0" xfId="0" applyNumberFormat="1" applyFont="1" applyFill="1" applyBorder="1" applyProtection="1"/>
    <xf numFmtId="0" fontId="53" fillId="0" borderId="0" xfId="0" applyNumberFormat="1" applyFont="1" applyFill="1" applyBorder="1" applyAlignment="1" applyProtection="1">
      <alignment horizontal="left"/>
    </xf>
    <xf numFmtId="164" fontId="61" fillId="0" borderId="0" xfId="0" applyNumberFormat="1" applyFont="1" applyFill="1" applyBorder="1" applyAlignment="1" applyProtection="1">
      <alignment horizontal="center"/>
    </xf>
    <xf numFmtId="0" fontId="55" fillId="0" borderId="0" xfId="0" applyNumberFormat="1" applyFont="1" applyFill="1" applyBorder="1" applyProtection="1"/>
    <xf numFmtId="10" fontId="55" fillId="0" borderId="0" xfId="0" applyNumberFormat="1" applyFont="1" applyFill="1" applyBorder="1" applyProtection="1"/>
    <xf numFmtId="164" fontId="55" fillId="0" borderId="0" xfId="0" applyNumberFormat="1" applyFont="1" applyFill="1" applyBorder="1" applyAlignment="1" applyProtection="1"/>
    <xf numFmtId="164" fontId="55" fillId="0" borderId="0" xfId="0" applyNumberFormat="1" applyFont="1" applyFill="1" applyAlignment="1" applyProtection="1"/>
    <xf numFmtId="3" fontId="51" fillId="0" borderId="0" xfId="0" quotePrefix="1" applyNumberFormat="1" applyFont="1" applyFill="1" applyBorder="1" applyAlignment="1" applyProtection="1">
      <alignment horizontal="left"/>
    </xf>
    <xf numFmtId="164" fontId="51" fillId="0" borderId="0" xfId="0" applyNumberFormat="1" applyFont="1" applyAlignment="1"/>
    <xf numFmtId="0" fontId="51" fillId="0" borderId="0" xfId="0" applyNumberFormat="1" applyFont="1" applyProtection="1">
      <protection locked="0"/>
    </xf>
    <xf numFmtId="0" fontId="51" fillId="0" borderId="0" xfId="0" applyNumberFormat="1" applyFont="1" applyFill="1" applyAlignment="1" applyProtection="1">
      <alignment horizontal="center"/>
      <protection locked="0"/>
    </xf>
    <xf numFmtId="0" fontId="51" fillId="0" borderId="0" xfId="0" applyNumberFormat="1" applyFont="1" applyAlignment="1" applyProtection="1">
      <alignment horizontal="center"/>
      <protection locked="0"/>
    </xf>
    <xf numFmtId="0" fontId="51" fillId="0" borderId="0" xfId="0" applyNumberFormat="1" applyFont="1" applyAlignment="1" applyProtection="1">
      <alignment horizontal="right"/>
      <protection locked="0"/>
    </xf>
    <xf numFmtId="0" fontId="51" fillId="0" borderId="0" xfId="0" applyNumberFormat="1" applyFont="1"/>
    <xf numFmtId="0" fontId="51" fillId="0" borderId="0" xfId="0" applyNumberFormat="1" applyFont="1" applyAlignment="1"/>
    <xf numFmtId="164" fontId="51" fillId="0" borderId="0" xfId="0" applyNumberFormat="1" applyFont="1" applyFill="1" applyAlignment="1"/>
    <xf numFmtId="3" fontId="51" fillId="0" borderId="0" xfId="0" applyNumberFormat="1" applyFont="1" applyAlignment="1"/>
    <xf numFmtId="164" fontId="51" fillId="0" borderId="0" xfId="0" applyNumberFormat="1" applyFont="1" applyAlignment="1" applyProtection="1">
      <protection locked="0"/>
    </xf>
    <xf numFmtId="172" fontId="51" fillId="0" borderId="0" xfId="0" applyNumberFormat="1" applyFont="1" applyProtection="1">
      <protection locked="0"/>
    </xf>
    <xf numFmtId="0" fontId="61" fillId="0" borderId="0" xfId="0" applyNumberFormat="1" applyFont="1" applyAlignment="1" applyProtection="1">
      <alignment horizontal="center"/>
      <protection locked="0"/>
    </xf>
    <xf numFmtId="0" fontId="61" fillId="0" borderId="0" xfId="0" applyNumberFormat="1" applyFont="1" applyProtection="1">
      <protection locked="0"/>
    </xf>
    <xf numFmtId="0" fontId="61" fillId="0" borderId="0" xfId="0" applyNumberFormat="1" applyFont="1" applyAlignment="1" applyProtection="1">
      <protection locked="0"/>
    </xf>
    <xf numFmtId="3" fontId="61" fillId="0" borderId="0" xfId="0" applyNumberFormat="1" applyFont="1" applyAlignment="1"/>
    <xf numFmtId="0" fontId="56" fillId="0" borderId="0" xfId="0" applyNumberFormat="1" applyFont="1" applyProtection="1">
      <protection locked="0"/>
    </xf>
    <xf numFmtId="3" fontId="56" fillId="0" borderId="0" xfId="0" applyNumberFormat="1" applyFont="1" applyAlignment="1"/>
    <xf numFmtId="0" fontId="61" fillId="0" borderId="1" xfId="0" applyNumberFormat="1" applyFont="1" applyBorder="1" applyAlignment="1" applyProtection="1">
      <alignment horizontal="center"/>
      <protection locked="0"/>
    </xf>
    <xf numFmtId="0" fontId="61" fillId="0" borderId="0" xfId="0" quotePrefix="1" applyNumberFormat="1" applyFont="1" applyFill="1" applyAlignment="1" applyProtection="1">
      <alignment horizontal="left"/>
      <protection locked="0"/>
    </xf>
    <xf numFmtId="0" fontId="61" fillId="0" borderId="0" xfId="0" applyNumberFormat="1" applyFont="1" applyFill="1" applyProtection="1">
      <protection locked="0"/>
    </xf>
    <xf numFmtId="3" fontId="61" fillId="0" borderId="0" xfId="0" applyNumberFormat="1" applyFont="1" applyFill="1" applyAlignment="1"/>
    <xf numFmtId="0" fontId="56" fillId="0" borderId="0" xfId="0" applyNumberFormat="1" applyFont="1" applyFill="1" applyProtection="1">
      <protection locked="0"/>
    </xf>
    <xf numFmtId="3" fontId="56" fillId="0" borderId="0" xfId="0" applyNumberFormat="1" applyFont="1" applyFill="1" applyAlignment="1"/>
    <xf numFmtId="0" fontId="61" fillId="0" borderId="0" xfId="0" applyNumberFormat="1" applyFont="1" applyFill="1" applyAlignment="1" applyProtection="1">
      <alignment horizontal="center"/>
      <protection locked="0"/>
    </xf>
    <xf numFmtId="0" fontId="51" fillId="0" borderId="0" xfId="0" applyNumberFormat="1" applyFont="1" applyFill="1"/>
    <xf numFmtId="3" fontId="61" fillId="0" borderId="0" xfId="0" applyNumberFormat="1" applyFont="1" applyFill="1" applyAlignment="1">
      <alignment horizontal="center"/>
    </xf>
    <xf numFmtId="164" fontId="61" fillId="0" borderId="0" xfId="0" applyNumberFormat="1" applyFont="1" applyFill="1" applyAlignment="1"/>
    <xf numFmtId="10" fontId="61" fillId="0" borderId="0" xfId="0" applyNumberFormat="1" applyFont="1" applyFill="1" applyProtection="1">
      <protection locked="0"/>
    </xf>
    <xf numFmtId="0" fontId="51" fillId="0" borderId="0" xfId="0" applyNumberFormat="1" applyFont="1" applyFill="1" applyProtection="1">
      <protection locked="0"/>
    </xf>
    <xf numFmtId="164" fontId="61" fillId="0" borderId="0" xfId="0" applyNumberFormat="1" applyFont="1" applyAlignment="1">
      <alignment horizontal="center"/>
    </xf>
    <xf numFmtId="164" fontId="61" fillId="0" borderId="0" xfId="0" applyNumberFormat="1" applyFont="1" applyAlignment="1"/>
    <xf numFmtId="0" fontId="61" fillId="0" borderId="0" xfId="0" quotePrefix="1" applyNumberFormat="1" applyFont="1" applyFill="1" applyAlignment="1">
      <alignment horizontal="left"/>
    </xf>
    <xf numFmtId="10" fontId="51" fillId="0" borderId="0" xfId="0" applyNumberFormat="1" applyFont="1" applyFill="1"/>
    <xf numFmtId="0" fontId="61" fillId="0" borderId="0" xfId="0" applyNumberFormat="1" applyFont="1" applyFill="1"/>
    <xf numFmtId="0" fontId="55" fillId="0" borderId="0" xfId="0" applyNumberFormat="1" applyFont="1" applyFill="1"/>
    <xf numFmtId="10" fontId="55" fillId="0" borderId="0" xfId="0" applyNumberFormat="1" applyFont="1" applyFill="1"/>
    <xf numFmtId="0" fontId="55" fillId="0" borderId="0" xfId="0" applyNumberFormat="1" applyFont="1"/>
    <xf numFmtId="164" fontId="55" fillId="0" borderId="0" xfId="0" applyNumberFormat="1" applyFont="1" applyAlignment="1"/>
    <xf numFmtId="164" fontId="61" fillId="0" borderId="0" xfId="0" applyNumberFormat="1" applyFont="1" applyFill="1" applyAlignment="1">
      <alignment horizontal="center"/>
    </xf>
    <xf numFmtId="164" fontId="55" fillId="0" borderId="0" xfId="0" applyNumberFormat="1" applyFont="1" applyFill="1" applyAlignment="1"/>
    <xf numFmtId="37" fontId="55" fillId="0" borderId="0" xfId="0" applyFont="1"/>
    <xf numFmtId="164" fontId="51" fillId="0" borderId="0" xfId="0" applyNumberFormat="1" applyFont="1" applyFill="1" applyBorder="1" applyAlignment="1" applyProtection="1">
      <alignment horizontal="centerContinuous"/>
    </xf>
    <xf numFmtId="164" fontId="51" fillId="0" borderId="0" xfId="0" applyNumberFormat="1" applyFont="1" applyFill="1" applyBorder="1" applyAlignment="1" applyProtection="1">
      <alignment wrapText="1"/>
    </xf>
    <xf numFmtId="164" fontId="51" fillId="0" borderId="0" xfId="0" quotePrefix="1" applyNumberFormat="1" applyFont="1" applyFill="1" applyBorder="1" applyAlignment="1" applyProtection="1">
      <alignment horizontal="left" wrapText="1"/>
    </xf>
    <xf numFmtId="164" fontId="51" fillId="0" borderId="0" xfId="0" quotePrefix="1" applyNumberFormat="1" applyFont="1" applyFill="1" applyBorder="1" applyAlignment="1" applyProtection="1">
      <alignment horizontal="left"/>
    </xf>
    <xf numFmtId="170" fontId="59" fillId="0" borderId="0" xfId="2" applyNumberFormat="1" applyFont="1" applyFill="1" applyBorder="1" applyAlignment="1" applyProtection="1"/>
    <xf numFmtId="170" fontId="51" fillId="0" borderId="0" xfId="2" applyNumberFormat="1" applyFont="1" applyFill="1" applyBorder="1" applyAlignment="1" applyProtection="1"/>
    <xf numFmtId="0" fontId="53" fillId="0" borderId="0" xfId="0" applyNumberFormat="1" applyFont="1" applyFill="1" applyBorder="1" applyAlignment="1" applyProtection="1">
      <alignment horizontal="right"/>
    </xf>
    <xf numFmtId="3" fontId="51" fillId="0" borderId="0" xfId="0" quotePrefix="1" applyNumberFormat="1" applyFont="1" applyFill="1" applyBorder="1" applyAlignment="1" applyProtection="1">
      <alignment horizontal="center"/>
    </xf>
    <xf numFmtId="0" fontId="51" fillId="0" borderId="0" xfId="0" quotePrefix="1" applyNumberFormat="1" applyFont="1" applyFill="1" applyBorder="1" applyAlignment="1" applyProtection="1">
      <alignment horizontal="center"/>
    </xf>
    <xf numFmtId="0" fontId="51" fillId="0" borderId="0" xfId="0" applyNumberFormat="1" applyFont="1" applyFill="1" applyBorder="1" applyAlignment="1" applyProtection="1">
      <alignment horizontal="fill"/>
    </xf>
    <xf numFmtId="9" fontId="51" fillId="0" borderId="0" xfId="3" applyFont="1" applyFill="1" applyBorder="1" applyAlignment="1" applyProtection="1"/>
    <xf numFmtId="3" fontId="51" fillId="0" borderId="0" xfId="0" applyNumberFormat="1" applyFont="1" applyFill="1" applyBorder="1" applyAlignment="1" applyProtection="1">
      <alignment horizontal="fill"/>
    </xf>
    <xf numFmtId="171" fontId="51" fillId="0" borderId="0" xfId="0" applyNumberFormat="1" applyFont="1" applyFill="1" applyBorder="1" applyAlignment="1" applyProtection="1">
      <alignment horizontal="center"/>
    </xf>
    <xf numFmtId="171" fontId="51" fillId="0" borderId="0" xfId="0" applyNumberFormat="1" applyFont="1" applyFill="1" applyBorder="1" applyAlignment="1" applyProtection="1">
      <alignment horizontal="left"/>
    </xf>
    <xf numFmtId="172" fontId="59" fillId="0" borderId="0" xfId="0" applyNumberFormat="1" applyFont="1" applyFill="1" applyBorder="1" applyAlignment="1" applyProtection="1">
      <alignment horizontal="right"/>
    </xf>
    <xf numFmtId="3" fontId="53" fillId="0" borderId="0" xfId="0" applyNumberFormat="1" applyFont="1" applyFill="1" applyBorder="1" applyAlignment="1" applyProtection="1">
      <alignment horizontal="center"/>
    </xf>
    <xf numFmtId="0" fontId="53" fillId="0" borderId="0" xfId="0" applyNumberFormat="1" applyFont="1" applyFill="1" applyBorder="1" applyAlignment="1" applyProtection="1"/>
    <xf numFmtId="3" fontId="51" fillId="0" borderId="0" xfId="0" applyNumberFormat="1" applyFont="1" applyFill="1" applyBorder="1" applyAlignment="1" applyProtection="1">
      <alignment horizontal="left"/>
    </xf>
    <xf numFmtId="164" fontId="61" fillId="0" borderId="0" xfId="0" quotePrefix="1" applyNumberFormat="1" applyFont="1" applyFill="1" applyAlignment="1">
      <alignment horizontal="left"/>
    </xf>
    <xf numFmtId="0" fontId="51" fillId="0" borderId="0" xfId="0" quotePrefix="1" applyNumberFormat="1" applyFont="1" applyFill="1" applyAlignment="1" applyProtection="1">
      <alignment horizontal="fill"/>
    </xf>
    <xf numFmtId="183" fontId="51" fillId="0" borderId="0" xfId="0" applyNumberFormat="1" applyFont="1" applyFill="1" applyProtection="1"/>
    <xf numFmtId="169" fontId="51" fillId="0" borderId="0" xfId="0" quotePrefix="1" applyNumberFormat="1" applyFont="1" applyFill="1" applyAlignment="1" applyProtection="1">
      <alignment horizontal="right"/>
    </xf>
    <xf numFmtId="0" fontId="51" fillId="0" borderId="0" xfId="0" quotePrefix="1" applyNumberFormat="1" applyFont="1" applyFill="1" applyAlignment="1" applyProtection="1">
      <alignment horizontal="left"/>
      <protection locked="0"/>
    </xf>
    <xf numFmtId="3" fontId="51" fillId="0" borderId="0" xfId="0" applyNumberFormat="1" applyFont="1" applyFill="1" applyAlignment="1"/>
    <xf numFmtId="175" fontId="51" fillId="0" borderId="0" xfId="1" applyNumberFormat="1" applyFont="1" applyFill="1" applyBorder="1" applyAlignment="1"/>
    <xf numFmtId="0" fontId="51" fillId="0" borderId="1" xfId="0" applyNumberFormat="1" applyFont="1" applyFill="1" applyBorder="1"/>
    <xf numFmtId="3" fontId="51" fillId="0" borderId="1" xfId="0" applyNumberFormat="1" applyFont="1" applyFill="1" applyBorder="1" applyAlignment="1"/>
    <xf numFmtId="3" fontId="51" fillId="0" borderId="0" xfId="0" applyNumberFormat="1" applyFont="1" applyFill="1" applyAlignment="1">
      <alignment horizontal="center"/>
    </xf>
    <xf numFmtId="49" fontId="51" fillId="0" borderId="0" xfId="0" applyNumberFormat="1" applyFont="1" applyFill="1"/>
    <xf numFmtId="49" fontId="51" fillId="0" borderId="0" xfId="0" applyNumberFormat="1" applyFont="1" applyFill="1" applyAlignment="1"/>
    <xf numFmtId="49" fontId="51" fillId="0" borderId="0" xfId="0" applyNumberFormat="1" applyFont="1" applyFill="1" applyAlignment="1">
      <alignment horizontal="center"/>
    </xf>
    <xf numFmtId="164" fontId="51" fillId="0" borderId="0" xfId="0" applyNumberFormat="1" applyFont="1" applyFill="1" applyBorder="1" applyAlignment="1"/>
    <xf numFmtId="0" fontId="51" fillId="0" borderId="0" xfId="0" applyNumberFormat="1" applyFont="1" applyFill="1" applyAlignment="1"/>
    <xf numFmtId="0" fontId="51" fillId="0" borderId="0" xfId="0" applyNumberFormat="1" applyFont="1" applyFill="1" applyAlignment="1">
      <alignment horizontal="center"/>
    </xf>
    <xf numFmtId="3" fontId="51" fillId="0" borderId="0" xfId="0" applyNumberFormat="1" applyFont="1" applyFill="1" applyBorder="1" applyAlignment="1"/>
    <xf numFmtId="0" fontId="51" fillId="0" borderId="0" xfId="0" applyNumberFormat="1" applyFont="1" applyFill="1" applyBorder="1" applyAlignment="1"/>
    <xf numFmtId="164" fontId="53" fillId="0" borderId="0" xfId="0" applyNumberFormat="1" applyFont="1" applyFill="1" applyBorder="1"/>
    <xf numFmtId="164" fontId="53" fillId="0" borderId="0" xfId="0" applyNumberFormat="1" applyFont="1" applyFill="1" applyBorder="1" applyAlignment="1">
      <alignment horizontal="left" wrapText="1"/>
    </xf>
    <xf numFmtId="175" fontId="51" fillId="0" borderId="0" xfId="1" applyNumberFormat="1" applyFont="1" applyFill="1" applyAlignment="1"/>
    <xf numFmtId="3" fontId="53" fillId="0" borderId="0" xfId="0" applyNumberFormat="1" applyFont="1" applyFill="1" applyBorder="1" applyAlignment="1"/>
    <xf numFmtId="175" fontId="59" fillId="0" borderId="0" xfId="1" applyNumberFormat="1" applyFont="1" applyFill="1" applyAlignment="1"/>
    <xf numFmtId="164" fontId="51" fillId="0" borderId="0" xfId="0" applyNumberFormat="1" applyFont="1" applyFill="1" applyAlignment="1">
      <alignment horizontal="center"/>
    </xf>
    <xf numFmtId="3" fontId="51" fillId="0" borderId="0" xfId="0" quotePrefix="1" applyNumberFormat="1" applyFont="1" applyFill="1" applyAlignment="1"/>
    <xf numFmtId="3" fontId="59" fillId="0" borderId="0" xfId="0" applyNumberFormat="1" applyFont="1" applyFill="1" applyAlignment="1"/>
    <xf numFmtId="164" fontId="51" fillId="0" borderId="0" xfId="0" quotePrefix="1" applyNumberFormat="1" applyFont="1" applyFill="1" applyAlignment="1">
      <alignment horizontal="left"/>
    </xf>
    <xf numFmtId="3" fontId="52" fillId="0" borderId="0" xfId="0" applyNumberFormat="1" applyFont="1" applyFill="1" applyAlignment="1">
      <alignment horizontal="center"/>
    </xf>
    <xf numFmtId="172" fontId="59" fillId="0" borderId="0" xfId="0" applyNumberFormat="1" applyFont="1" applyFill="1" applyAlignment="1"/>
    <xf numFmtId="1" fontId="51" fillId="0" borderId="0" xfId="0" applyNumberFormat="1" applyFont="1" applyFill="1" applyProtection="1"/>
    <xf numFmtId="1" fontId="51" fillId="0" borderId="0" xfId="0" applyNumberFormat="1" applyFont="1" applyFill="1" applyAlignment="1" applyProtection="1"/>
    <xf numFmtId="3" fontId="51" fillId="0" borderId="0" xfId="0" applyNumberFormat="1" applyFont="1" applyFill="1" applyAlignment="1" applyProtection="1">
      <alignment horizontal="right"/>
      <protection locked="0"/>
    </xf>
    <xf numFmtId="8" fontId="51" fillId="0" borderId="0" xfId="0" applyNumberFormat="1" applyFont="1" applyFill="1" applyAlignment="1"/>
    <xf numFmtId="164" fontId="51" fillId="0" borderId="0" xfId="0" applyNumberFormat="1" applyFont="1" applyFill="1" applyAlignment="1">
      <alignment horizontal="left"/>
    </xf>
    <xf numFmtId="3" fontId="55" fillId="0" borderId="0" xfId="0" quotePrefix="1" applyNumberFormat="1" applyFont="1" applyAlignment="1" applyProtection="1">
      <alignment horizontal="left"/>
    </xf>
    <xf numFmtId="173" fontId="51" fillId="0" borderId="0" xfId="0" applyNumberFormat="1" applyFont="1" applyFill="1" applyAlignment="1">
      <alignment horizontal="left"/>
    </xf>
    <xf numFmtId="3" fontId="51" fillId="0" borderId="0" xfId="0" applyNumberFormat="1" applyFont="1" applyFill="1" applyAlignment="1">
      <alignment horizontal="right"/>
    </xf>
    <xf numFmtId="0" fontId="63" fillId="0" borderId="0" xfId="0" quotePrefix="1" applyNumberFormat="1" applyFont="1" applyFill="1" applyAlignment="1" applyProtection="1">
      <alignment horizontal="left"/>
    </xf>
    <xf numFmtId="0" fontId="51" fillId="0" borderId="0" xfId="0" quotePrefix="1" applyNumberFormat="1" applyFont="1" applyFill="1" applyAlignment="1" applyProtection="1">
      <alignment horizontal="right"/>
    </xf>
    <xf numFmtId="0" fontId="51" fillId="0" borderId="0" xfId="0" quotePrefix="1" applyNumberFormat="1" applyFont="1" applyAlignment="1" applyProtection="1">
      <alignment horizontal="right"/>
      <protection locked="0"/>
    </xf>
    <xf numFmtId="3" fontId="55" fillId="0" borderId="0" xfId="0" applyNumberFormat="1" applyFont="1" applyAlignment="1" applyProtection="1"/>
    <xf numFmtId="164" fontId="55" fillId="0" borderId="0" xfId="0" quotePrefix="1" applyNumberFormat="1" applyFont="1" applyAlignment="1" applyProtection="1">
      <alignment horizontal="left"/>
    </xf>
    <xf numFmtId="164" fontId="55" fillId="0" borderId="0" xfId="0" applyNumberFormat="1" applyFont="1" applyAlignment="1" applyProtection="1"/>
    <xf numFmtId="3" fontId="55" fillId="0" borderId="0" xfId="0" quotePrefix="1" applyNumberFormat="1" applyFont="1" applyFill="1" applyAlignment="1" applyProtection="1">
      <alignment horizontal="left"/>
    </xf>
    <xf numFmtId="0" fontId="55" fillId="0" borderId="0" xfId="0" applyNumberFormat="1" applyFont="1" applyFill="1" applyProtection="1"/>
    <xf numFmtId="0" fontId="55" fillId="0" borderId="0" xfId="0" quotePrefix="1" applyNumberFormat="1" applyFont="1" applyFill="1" applyAlignment="1" applyProtection="1">
      <alignment horizontal="left"/>
    </xf>
    <xf numFmtId="3" fontId="55" fillId="0" borderId="0" xfId="0" applyNumberFormat="1" applyFont="1" applyFill="1" applyAlignment="1" applyProtection="1"/>
    <xf numFmtId="0" fontId="51" fillId="0" borderId="0" xfId="0" applyNumberFormat="1" applyFont="1" applyFill="1" applyAlignment="1" applyProtection="1">
      <alignment horizontal="right"/>
    </xf>
    <xf numFmtId="0" fontId="51" fillId="0" borderId="0" xfId="0" applyNumberFormat="1" applyFont="1" applyAlignment="1">
      <alignment horizontal="right"/>
    </xf>
    <xf numFmtId="164" fontId="52" fillId="0" borderId="0" xfId="0" applyNumberFormat="1" applyFont="1" applyFill="1" applyAlignment="1" applyProtection="1">
      <alignment horizontal="centerContinuous"/>
    </xf>
    <xf numFmtId="164" fontId="51" fillId="0" borderId="0" xfId="0" applyNumberFormat="1" applyFont="1" applyFill="1" applyAlignment="1" applyProtection="1">
      <alignment horizontal="centerContinuous"/>
    </xf>
    <xf numFmtId="0" fontId="51" fillId="0" borderId="0" xfId="0" applyNumberFormat="1" applyFont="1" applyFill="1" applyAlignment="1" applyProtection="1">
      <alignment horizontal="centerContinuous"/>
    </xf>
    <xf numFmtId="3" fontId="51" fillId="0" borderId="0" xfId="0" applyNumberFormat="1" applyFont="1" applyFill="1" applyAlignment="1" applyProtection="1">
      <alignment horizontal="centerContinuous"/>
    </xf>
    <xf numFmtId="0" fontId="51" fillId="0" borderId="0" xfId="0" quotePrefix="1" applyNumberFormat="1" applyFont="1" applyFill="1" applyAlignment="1">
      <alignment horizontal="left"/>
    </xf>
    <xf numFmtId="0" fontId="51" fillId="0" borderId="1" xfId="0" quotePrefix="1" applyNumberFormat="1" applyFont="1" applyFill="1" applyBorder="1" applyAlignment="1" applyProtection="1">
      <alignment horizontal="left"/>
      <protection locked="0"/>
    </xf>
    <xf numFmtId="0" fontId="51" fillId="0" borderId="0" xfId="0" applyNumberFormat="1" applyFont="1" applyFill="1" applyAlignment="1" applyProtection="1">
      <alignment horizontal="left"/>
      <protection locked="0"/>
    </xf>
    <xf numFmtId="0" fontId="61" fillId="0" borderId="0" xfId="0" quotePrefix="1" applyNumberFormat="1" applyFont="1" applyAlignment="1">
      <alignment horizontal="left"/>
    </xf>
    <xf numFmtId="3" fontId="58" fillId="0" borderId="0" xfId="0" applyNumberFormat="1" applyFont="1" applyFill="1" applyProtection="1"/>
    <xf numFmtId="0" fontId="51" fillId="0" borderId="0" xfId="0" quotePrefix="1" applyNumberFormat="1" applyFont="1" applyFill="1" applyAlignment="1">
      <alignment horizontal="left" wrapText="1"/>
    </xf>
    <xf numFmtId="10" fontId="69" fillId="0" borderId="0" xfId="3" applyNumberFormat="1" applyFont="1" applyFill="1" applyBorder="1"/>
    <xf numFmtId="10" fontId="69" fillId="0" borderId="0" xfId="3" applyNumberFormat="1" applyFont="1" applyFill="1" applyBorder="1" applyAlignment="1">
      <alignment horizontal="right"/>
    </xf>
    <xf numFmtId="10" fontId="57" fillId="0" borderId="0" xfId="3" applyNumberFormat="1" applyFont="1"/>
    <xf numFmtId="0" fontId="55" fillId="0" borderId="0" xfId="0" quotePrefix="1" applyNumberFormat="1" applyFont="1" applyFill="1" applyBorder="1" applyAlignment="1" applyProtection="1">
      <alignment horizontal="left"/>
    </xf>
    <xf numFmtId="185" fontId="51" fillId="0" borderId="0" xfId="2" applyNumberFormat="1" applyFont="1" applyFill="1" applyBorder="1" applyProtection="1"/>
    <xf numFmtId="3" fontId="51" fillId="0" borderId="0" xfId="0" quotePrefix="1" applyNumberFormat="1" applyFont="1" applyFill="1" applyAlignment="1">
      <alignment horizontal="left" wrapText="1" indent="2"/>
    </xf>
    <xf numFmtId="0" fontId="51" fillId="0" borderId="0" xfId="0" quotePrefix="1" applyNumberFormat="1" applyFont="1" applyFill="1" applyAlignment="1" applyProtection="1">
      <alignment horizontal="right"/>
      <protection locked="0"/>
    </xf>
    <xf numFmtId="3" fontId="51" fillId="0" borderId="0" xfId="0" quotePrefix="1" applyNumberFormat="1" applyFont="1" applyFill="1" applyAlignment="1" applyProtection="1"/>
    <xf numFmtId="167" fontId="51" fillId="0" borderId="0" xfId="0" applyNumberFormat="1" applyFont="1" applyFill="1" applyAlignment="1" applyProtection="1">
      <alignment horizontal="centerContinuous"/>
    </xf>
    <xf numFmtId="49" fontId="52" fillId="0" borderId="0" xfId="0" quotePrefix="1" applyNumberFormat="1" applyFont="1" applyFill="1" applyAlignment="1" applyProtection="1">
      <alignment horizontal="centerContinuous"/>
    </xf>
    <xf numFmtId="0" fontId="52" fillId="0" borderId="0" xfId="0" applyNumberFormat="1" applyFont="1" applyFill="1" applyAlignment="1" applyProtection="1">
      <alignment horizontal="centerContinuous"/>
    </xf>
    <xf numFmtId="164" fontId="61" fillId="0" borderId="0" xfId="0" quotePrefix="1" applyNumberFormat="1" applyFont="1" applyAlignment="1">
      <alignment horizontal="left"/>
    </xf>
    <xf numFmtId="43" fontId="51" fillId="0" borderId="0" xfId="1" applyFont="1" applyFill="1" applyAlignment="1"/>
    <xf numFmtId="37" fontId="65" fillId="0" borderId="0" xfId="0" applyFont="1"/>
    <xf numFmtId="37" fontId="51" fillId="0" borderId="0" xfId="0" applyFont="1"/>
    <xf numFmtId="37" fontId="51" fillId="0" borderId="0" xfId="0" applyFont="1" applyFill="1"/>
    <xf numFmtId="37" fontId="52" fillId="0" borderId="0" xfId="0" applyFont="1" applyFill="1" applyAlignment="1">
      <alignment horizontal="center"/>
    </xf>
    <xf numFmtId="15" fontId="52" fillId="0" borderId="3" xfId="3" applyNumberFormat="1" applyFont="1" applyFill="1" applyBorder="1" applyAlignment="1">
      <alignment horizontal="center"/>
    </xf>
    <xf numFmtId="37" fontId="51" fillId="0" borderId="0" xfId="0" quotePrefix="1" applyFont="1" applyFill="1" applyBorder="1" applyAlignment="1">
      <alignment horizontal="center"/>
    </xf>
    <xf numFmtId="15" fontId="52" fillId="0" borderId="0" xfId="3" applyNumberFormat="1" applyFont="1" applyFill="1" applyBorder="1" applyAlignment="1">
      <alignment horizontal="center"/>
    </xf>
    <xf numFmtId="37" fontId="52" fillId="0" borderId="0" xfId="0" applyFont="1" applyFill="1"/>
    <xf numFmtId="10" fontId="51" fillId="0" borderId="0" xfId="3" applyNumberFormat="1" applyFont="1" applyFill="1"/>
    <xf numFmtId="37" fontId="51" fillId="0" borderId="0" xfId="0" quotePrefix="1" applyFont="1" applyFill="1" applyAlignment="1">
      <alignment horizontal="left"/>
    </xf>
    <xf numFmtId="10" fontId="51" fillId="0" borderId="0" xfId="3" applyNumberFormat="1" applyFont="1" applyFill="1" applyBorder="1"/>
    <xf numFmtId="43" fontId="51" fillId="0" borderId="0" xfId="1" applyFont="1" applyFill="1" applyAlignment="1">
      <alignment horizontal="left" indent="2"/>
    </xf>
    <xf numFmtId="43" fontId="52" fillId="0" borderId="0" xfId="1" quotePrefix="1" applyFont="1" applyFill="1" applyBorder="1" applyAlignment="1">
      <alignment horizontal="left"/>
    </xf>
    <xf numFmtId="37" fontId="52" fillId="0" borderId="0" xfId="0" applyFont="1" applyFill="1" applyBorder="1" applyAlignment="1">
      <alignment horizontal="center"/>
    </xf>
    <xf numFmtId="37" fontId="52" fillId="0" borderId="0" xfId="0" quotePrefix="1" applyFont="1" applyFill="1" applyAlignment="1">
      <alignment horizontal="left"/>
    </xf>
    <xf numFmtId="43" fontId="52" fillId="0" borderId="0" xfId="1" applyFont="1" applyFill="1" applyAlignment="1">
      <alignment horizontal="left" indent="2"/>
    </xf>
    <xf numFmtId="10" fontId="51" fillId="0" borderId="0" xfId="1" applyNumberFormat="1" applyFont="1" applyFill="1" applyAlignment="1" applyProtection="1">
      <alignment horizontal="left" indent="2"/>
    </xf>
    <xf numFmtId="43" fontId="51" fillId="0" borderId="0" xfId="1" quotePrefix="1" applyFont="1" applyFill="1" applyAlignment="1">
      <alignment horizontal="left"/>
    </xf>
    <xf numFmtId="10" fontId="51" fillId="0" borderId="0" xfId="1" applyNumberFormat="1" applyFont="1" applyFill="1" applyAlignment="1">
      <alignment horizontal="center"/>
    </xf>
    <xf numFmtId="10" fontId="51" fillId="0" borderId="0" xfId="1" applyNumberFormat="1" applyFont="1" applyFill="1" applyAlignment="1" applyProtection="1">
      <alignment horizontal="center"/>
    </xf>
    <xf numFmtId="37" fontId="55" fillId="0" borderId="0" xfId="0" quotePrefix="1" applyFont="1" applyAlignment="1">
      <alignment horizontal="left"/>
    </xf>
    <xf numFmtId="0" fontId="61" fillId="0" borderId="0" xfId="0" quotePrefix="1" applyNumberFormat="1" applyFont="1" applyAlignment="1" applyProtection="1">
      <alignment horizontal="left"/>
      <protection locked="0"/>
    </xf>
    <xf numFmtId="37" fontId="55" fillId="0" borderId="0" xfId="0" quotePrefix="1" applyFont="1" applyAlignment="1" applyProtection="1">
      <alignment horizontal="left" wrapText="1"/>
    </xf>
    <xf numFmtId="37" fontId="55" fillId="35" borderId="0" xfId="0" applyFont="1" applyFill="1" applyProtection="1"/>
    <xf numFmtId="37" fontId="55" fillId="37" borderId="0" xfId="0" applyFont="1" applyFill="1" applyProtection="1">
      <protection locked="0"/>
    </xf>
    <xf numFmtId="37" fontId="55" fillId="0" borderId="0" xfId="0" quotePrefix="1" applyFont="1" applyAlignment="1" applyProtection="1">
      <alignment horizontal="left"/>
    </xf>
    <xf numFmtId="37" fontId="55" fillId="0" borderId="0" xfId="0" applyFont="1" applyFill="1" applyProtection="1">
      <protection locked="0"/>
    </xf>
    <xf numFmtId="37" fontId="55" fillId="36" borderId="0" xfId="0" applyFont="1" applyFill="1" applyProtection="1">
      <protection locked="0"/>
    </xf>
    <xf numFmtId="37" fontId="55" fillId="0" borderId="0" xfId="0" applyFont="1" applyAlignment="1" applyProtection="1">
      <alignment horizontal="left"/>
    </xf>
    <xf numFmtId="37" fontId="55" fillId="0" borderId="0" xfId="0" quotePrefix="1" applyFont="1" applyFill="1" applyAlignment="1" applyProtection="1">
      <alignment horizontal="left"/>
    </xf>
    <xf numFmtId="37" fontId="55" fillId="0" borderId="0" xfId="0" applyFont="1" applyFill="1" applyProtection="1"/>
    <xf numFmtId="37" fontId="71" fillId="0" borderId="0" xfId="0" applyFont="1" applyProtection="1"/>
    <xf numFmtId="0" fontId="55" fillId="0" borderId="0" xfId="0" applyNumberFormat="1" applyFont="1" applyAlignment="1" applyProtection="1"/>
    <xf numFmtId="0" fontId="55" fillId="0" borderId="0" xfId="0" applyNumberFormat="1" applyFont="1" applyAlignment="1" applyProtection="1">
      <alignment horizontal="left" indent="1"/>
    </xf>
    <xf numFmtId="0" fontId="55" fillId="0" borderId="0" xfId="0" quotePrefix="1" applyNumberFormat="1" applyFont="1" applyAlignment="1" applyProtection="1">
      <alignment horizontal="left" indent="1"/>
    </xf>
    <xf numFmtId="9" fontId="55" fillId="0" borderId="0" xfId="3" applyFont="1" applyProtection="1"/>
    <xf numFmtId="3" fontId="55" fillId="0" borderId="0" xfId="0" applyNumberFormat="1" applyFont="1" applyAlignment="1" applyProtection="1">
      <alignment horizontal="left"/>
    </xf>
    <xf numFmtId="0" fontId="55" fillId="0" borderId="0" xfId="0" quotePrefix="1" applyNumberFormat="1" applyFont="1" applyAlignment="1" applyProtection="1">
      <alignment horizontal="left"/>
    </xf>
    <xf numFmtId="37" fontId="55" fillId="0" borderId="0" xfId="0" applyFont="1" applyAlignment="1" applyProtection="1">
      <alignment horizontal="left" indent="1"/>
    </xf>
    <xf numFmtId="171" fontId="55" fillId="0" borderId="0" xfId="3" applyNumberFormat="1" applyFont="1" applyProtection="1"/>
    <xf numFmtId="188" fontId="55" fillId="0" borderId="0" xfId="3" applyNumberFormat="1" applyFont="1" applyProtection="1"/>
    <xf numFmtId="37" fontId="55" fillId="0" borderId="0" xfId="0" quotePrefix="1" applyFont="1" applyAlignment="1" applyProtection="1">
      <alignment horizontal="left" indent="1"/>
    </xf>
    <xf numFmtId="175" fontId="55" fillId="0" borderId="0" xfId="1" quotePrefix="1" applyNumberFormat="1" applyFont="1" applyAlignment="1" applyProtection="1">
      <alignment horizontal="left"/>
    </xf>
    <xf numFmtId="37" fontId="55" fillId="0" borderId="0" xfId="0" quotePrefix="1" applyFont="1" applyAlignment="1" applyProtection="1">
      <alignment horizontal="right"/>
    </xf>
    <xf numFmtId="9" fontId="55" fillId="0" borderId="0" xfId="3" quotePrefix="1" applyFont="1" applyAlignment="1" applyProtection="1">
      <alignment horizontal="right"/>
    </xf>
    <xf numFmtId="37" fontId="71" fillId="0" borderId="0" xfId="0" quotePrefix="1" applyFont="1" applyAlignment="1" applyProtection="1">
      <alignment horizontal="left"/>
    </xf>
    <xf numFmtId="0" fontId="55" fillId="0" borderId="0" xfId="0" quotePrefix="1" applyNumberFormat="1" applyFont="1" applyFill="1" applyAlignment="1" applyProtection="1">
      <alignment horizontal="left" wrapText="1"/>
    </xf>
    <xf numFmtId="164" fontId="55" fillId="0" borderId="0" xfId="0" quotePrefix="1" applyNumberFormat="1" applyFont="1" applyFill="1" applyAlignment="1" applyProtection="1">
      <alignment horizontal="left"/>
    </xf>
    <xf numFmtId="0" fontId="55" fillId="0" borderId="0" xfId="0" quotePrefix="1" applyNumberFormat="1" applyFont="1" applyFill="1" applyAlignment="1" applyProtection="1">
      <alignment horizontal="left" wrapText="1" indent="1"/>
    </xf>
    <xf numFmtId="3" fontId="55" fillId="0" borderId="0" xfId="0" quotePrefix="1" applyNumberFormat="1" applyFont="1" applyFill="1" applyAlignment="1" applyProtection="1">
      <alignment horizontal="left" wrapText="1"/>
    </xf>
    <xf numFmtId="3" fontId="55" fillId="0" borderId="0" xfId="0" applyNumberFormat="1" applyFont="1" applyAlignment="1" applyProtection="1">
      <alignment horizontal="left" indent="2"/>
    </xf>
    <xf numFmtId="3" fontId="55" fillId="0" borderId="0" xfId="0" applyNumberFormat="1" applyFont="1" applyAlignment="1" applyProtection="1">
      <alignment horizontal="left" indent="1"/>
    </xf>
    <xf numFmtId="0" fontId="55" fillId="0" borderId="0" xfId="0" quotePrefix="1" applyNumberFormat="1" applyFont="1" applyAlignment="1" applyProtection="1">
      <alignment horizontal="left" indent="2"/>
    </xf>
    <xf numFmtId="0" fontId="55" fillId="0" borderId="0" xfId="0" applyNumberFormat="1" applyFont="1" applyAlignment="1" applyProtection="1">
      <alignment horizontal="left" indent="3"/>
    </xf>
    <xf numFmtId="37" fontId="55" fillId="0" borderId="0" xfId="0" applyFont="1" applyAlignment="1" applyProtection="1">
      <alignment horizontal="left" indent="3"/>
    </xf>
    <xf numFmtId="37" fontId="55" fillId="0" borderId="0" xfId="0" quotePrefix="1" applyFont="1" applyAlignment="1" applyProtection="1">
      <alignment horizontal="left" indent="2"/>
    </xf>
    <xf numFmtId="10" fontId="55" fillId="0" borderId="0" xfId="0" applyNumberFormat="1" applyFont="1" applyFill="1" applyProtection="1">
      <protection locked="0"/>
    </xf>
    <xf numFmtId="164" fontId="55" fillId="0" borderId="0" xfId="0" applyNumberFormat="1" applyFont="1" applyAlignment="1" applyProtection="1">
      <alignment horizontal="left"/>
    </xf>
    <xf numFmtId="3" fontId="55" fillId="0" borderId="0" xfId="0" applyNumberFormat="1" applyFont="1" applyAlignment="1" applyProtection="1">
      <alignment horizontal="right"/>
    </xf>
    <xf numFmtId="3" fontId="53" fillId="0" borderId="0" xfId="0" applyNumberFormat="1" applyFont="1" applyAlignment="1" applyProtection="1">
      <alignment horizontal="center"/>
    </xf>
    <xf numFmtId="3" fontId="55" fillId="0" borderId="0" xfId="0" quotePrefix="1" applyNumberFormat="1" applyFont="1" applyFill="1" applyBorder="1" applyAlignment="1" applyProtection="1">
      <alignment horizontal="left"/>
    </xf>
    <xf numFmtId="175" fontId="55" fillId="0" borderId="0" xfId="1" applyNumberFormat="1" applyFont="1" applyAlignment="1" applyProtection="1"/>
    <xf numFmtId="0" fontId="55" fillId="0" borderId="0" xfId="0" applyNumberFormat="1" applyFont="1" applyBorder="1" applyAlignment="1" applyProtection="1"/>
    <xf numFmtId="3" fontId="55" fillId="0" borderId="0" xfId="0" quotePrefix="1" applyNumberFormat="1" applyFont="1" applyAlignment="1" applyProtection="1">
      <alignment horizontal="left" indent="1"/>
    </xf>
    <xf numFmtId="37" fontId="55" fillId="0" borderId="0" xfId="0" applyFont="1" applyAlignment="1" applyProtection="1">
      <alignment horizontal="left" wrapText="1" indent="1"/>
    </xf>
    <xf numFmtId="175" fontId="55" fillId="0" borderId="0" xfId="1" applyNumberFormat="1" applyFont="1" applyFill="1" applyProtection="1"/>
    <xf numFmtId="37" fontId="72" fillId="39" borderId="23" xfId="0" applyFont="1" applyFill="1" applyBorder="1" applyAlignment="1">
      <alignment horizontal="left" vertical="center" readingOrder="1"/>
    </xf>
    <xf numFmtId="37" fontId="72" fillId="39" borderId="23" xfId="0" applyFont="1" applyFill="1" applyBorder="1" applyAlignment="1">
      <alignment horizontal="center" vertical="center" readingOrder="1"/>
    </xf>
    <xf numFmtId="37" fontId="74" fillId="0" borderId="23" xfId="0" applyFont="1" applyBorder="1" applyAlignment="1">
      <alignment horizontal="left" vertical="top" readingOrder="1"/>
    </xf>
    <xf numFmtId="37" fontId="74" fillId="0" borderId="23" xfId="0" applyFont="1" applyBorder="1" applyAlignment="1">
      <alignment horizontal="center" vertical="center" readingOrder="1"/>
    </xf>
    <xf numFmtId="8" fontId="75" fillId="0" borderId="23" xfId="0" applyNumberFormat="1" applyFont="1" applyBorder="1" applyAlignment="1">
      <alignment horizontal="center" vertical="center" readingOrder="1"/>
    </xf>
    <xf numFmtId="6" fontId="75" fillId="0" borderId="23" xfId="0" applyNumberFormat="1" applyFont="1" applyBorder="1" applyAlignment="1">
      <alignment horizontal="center" vertical="center" readingOrder="1"/>
    </xf>
    <xf numFmtId="191" fontId="75" fillId="0" borderId="23" xfId="0" applyNumberFormat="1" applyFont="1" applyBorder="1" applyAlignment="1">
      <alignment horizontal="center" vertical="center" readingOrder="1"/>
    </xf>
    <xf numFmtId="43" fontId="55" fillId="0" borderId="0" xfId="154" applyFont="1" applyProtection="1"/>
    <xf numFmtId="0" fontId="76" fillId="0" borderId="0" xfId="153" applyFont="1" applyProtection="1"/>
    <xf numFmtId="43" fontId="77" fillId="0" borderId="0" xfId="154" applyFont="1" applyAlignment="1" applyProtection="1">
      <alignment horizontal="center"/>
    </xf>
    <xf numFmtId="43" fontId="76" fillId="0" borderId="0" xfId="154" applyFont="1" applyProtection="1"/>
    <xf numFmtId="0" fontId="76" fillId="0" borderId="0" xfId="153" applyFont="1" applyFill="1" applyProtection="1"/>
    <xf numFmtId="43" fontId="77" fillId="0" borderId="0" xfId="154" applyFont="1" applyBorder="1" applyAlignment="1" applyProtection="1">
      <alignment horizontal="center"/>
    </xf>
    <xf numFmtId="43" fontId="55" fillId="0" borderId="0" xfId="154" applyFont="1" applyAlignment="1" applyProtection="1">
      <alignment horizontal="center"/>
    </xf>
    <xf numFmtId="43" fontId="55" fillId="0" borderId="0" xfId="154" quotePrefix="1" applyFont="1" applyAlignment="1" applyProtection="1">
      <alignment horizontal="left"/>
    </xf>
    <xf numFmtId="0" fontId="55" fillId="0" borderId="0" xfId="155" quotePrefix="1" applyFont="1" applyBorder="1" applyAlignment="1" applyProtection="1">
      <alignment horizontal="left"/>
    </xf>
    <xf numFmtId="0" fontId="77" fillId="0" borderId="0" xfId="155" applyFont="1" applyBorder="1" applyAlignment="1" applyProtection="1">
      <alignment horizontal="center"/>
    </xf>
    <xf numFmtId="0" fontId="76" fillId="0" borderId="0" xfId="153" applyFont="1" applyBorder="1" applyProtection="1"/>
    <xf numFmtId="0" fontId="77" fillId="0" borderId="0" xfId="155" quotePrefix="1" applyFont="1" applyBorder="1" applyAlignment="1" applyProtection="1">
      <alignment horizontal="center"/>
    </xf>
    <xf numFmtId="0" fontId="55" fillId="0" borderId="0" xfId="155" applyFont="1" applyBorder="1" applyAlignment="1" applyProtection="1">
      <alignment horizontal="left"/>
    </xf>
    <xf numFmtId="0" fontId="55" fillId="0" borderId="0" xfId="155" applyFont="1" applyBorder="1" applyProtection="1"/>
    <xf numFmtId="43" fontId="55" fillId="0" borderId="0" xfId="155" applyNumberFormat="1" applyFont="1" applyBorder="1" applyProtection="1"/>
    <xf numFmtId="43" fontId="78" fillId="0" borderId="0" xfId="155" applyNumberFormat="1" applyFont="1" applyBorder="1" applyAlignment="1" applyProtection="1">
      <alignment horizontal="center"/>
    </xf>
    <xf numFmtId="43" fontId="76" fillId="0" borderId="0" xfId="154" applyFont="1" applyBorder="1" applyProtection="1"/>
    <xf numFmtId="0" fontId="77" fillId="0" borderId="0" xfId="155" applyFont="1" applyBorder="1" applyProtection="1"/>
    <xf numFmtId="184" fontId="51" fillId="0" borderId="0" xfId="1" applyNumberFormat="1" applyFont="1" applyFill="1" applyBorder="1" applyAlignment="1" applyProtection="1">
      <alignment horizontal="center"/>
    </xf>
    <xf numFmtId="184" fontId="51" fillId="0" borderId="0" xfId="1" applyNumberFormat="1" applyFont="1" applyFill="1" applyBorder="1" applyAlignment="1" applyProtection="1">
      <alignment horizontal="left"/>
    </xf>
    <xf numFmtId="184" fontId="59" fillId="0" borderId="0" xfId="1" applyNumberFormat="1" applyFont="1" applyFill="1" applyBorder="1" applyAlignment="1" applyProtection="1">
      <alignment horizontal="right"/>
    </xf>
    <xf numFmtId="190" fontId="73" fillId="39" borderId="23" xfId="0" applyNumberFormat="1" applyFont="1" applyFill="1" applyBorder="1" applyAlignment="1">
      <alignment horizontal="center" vertical="center" wrapText="1" readingOrder="1"/>
    </xf>
    <xf numFmtId="37" fontId="58" fillId="0" borderId="0" xfId="0" applyFont="1" applyFill="1" applyAlignment="1">
      <alignment horizontal="center"/>
    </xf>
    <xf numFmtId="37" fontId="58" fillId="0" borderId="0" xfId="0" applyFont="1" applyFill="1"/>
    <xf numFmtId="37" fontId="58" fillId="0" borderId="0" xfId="0" applyFont="1" applyFill="1" applyAlignment="1">
      <alignment horizontal="left" wrapText="1" indent="1"/>
    </xf>
    <xf numFmtId="175" fontId="58" fillId="0" borderId="0" xfId="1" applyNumberFormat="1" applyFont="1" applyFill="1"/>
    <xf numFmtId="37" fontId="58" fillId="0" borderId="0" xfId="0" quotePrefix="1" applyFont="1" applyFill="1" applyAlignment="1">
      <alignment horizontal="left" wrapText="1" indent="1"/>
    </xf>
    <xf numFmtId="37" fontId="58" fillId="0" borderId="0" xfId="0" quotePrefix="1" applyFont="1" applyFill="1" applyAlignment="1">
      <alignment horizontal="center"/>
    </xf>
    <xf numFmtId="37" fontId="58" fillId="0" borderId="0" xfId="0" applyFont="1" applyFill="1" applyAlignment="1">
      <alignment horizontal="left"/>
    </xf>
    <xf numFmtId="37" fontId="58" fillId="0" borderId="0" xfId="0" applyFont="1" applyFill="1" applyBorder="1" applyAlignment="1">
      <alignment horizontal="left" wrapText="1" indent="1"/>
    </xf>
    <xf numFmtId="37" fontId="58" fillId="0" borderId="0" xfId="0" quotePrefix="1" applyFont="1" applyFill="1" applyBorder="1" applyAlignment="1">
      <alignment horizontal="center"/>
    </xf>
    <xf numFmtId="37" fontId="58" fillId="0" borderId="0" xfId="0" applyFont="1" applyFill="1" applyBorder="1"/>
    <xf numFmtId="175" fontId="58" fillId="0" borderId="0" xfId="1" applyNumberFormat="1" applyFont="1" applyFill="1" applyBorder="1"/>
    <xf numFmtId="37" fontId="58" fillId="0" borderId="0" xfId="0" quotePrefix="1" applyFont="1" applyFill="1" applyBorder="1" applyAlignment="1">
      <alignment horizontal="left" wrapText="1" indent="1"/>
    </xf>
    <xf numFmtId="37" fontId="58" fillId="0" borderId="0" xfId="0" applyFont="1" applyFill="1" applyBorder="1" applyAlignment="1">
      <alignment horizontal="left"/>
    </xf>
    <xf numFmtId="175" fontId="79" fillId="0" borderId="0" xfId="1" applyNumberFormat="1" applyFont="1" applyFill="1"/>
    <xf numFmtId="3" fontId="58" fillId="0" borderId="0" xfId="0" applyNumberFormat="1" applyFont="1" applyFill="1"/>
    <xf numFmtId="175" fontId="80" fillId="0" borderId="0" xfId="1" applyNumberFormat="1" applyFont="1" applyFill="1"/>
    <xf numFmtId="37" fontId="58" fillId="0" borderId="1" xfId="0" applyFont="1" applyFill="1" applyBorder="1" applyAlignment="1">
      <alignment wrapText="1"/>
    </xf>
    <xf numFmtId="37" fontId="58" fillId="0" borderId="1" xfId="0" applyFont="1" applyFill="1" applyBorder="1"/>
    <xf numFmtId="3" fontId="81" fillId="0" borderId="1" xfId="0" applyNumberFormat="1" applyFont="1" applyFill="1" applyBorder="1"/>
    <xf numFmtId="37" fontId="58" fillId="0" borderId="0" xfId="0" applyFont="1" applyFill="1" applyAlignment="1">
      <alignment wrapText="1"/>
    </xf>
    <xf numFmtId="3" fontId="79" fillId="0" borderId="0" xfId="0" applyNumberFormat="1" applyFont="1" applyFill="1"/>
    <xf numFmtId="37" fontId="58" fillId="0" borderId="0" xfId="0" quotePrefix="1" applyFont="1" applyFill="1" applyAlignment="1">
      <alignment horizontal="left"/>
    </xf>
    <xf numFmtId="195" fontId="51" fillId="0" borderId="0" xfId="2" applyNumberFormat="1" applyFont="1" applyFill="1" applyBorder="1" applyAlignment="1" applyProtection="1"/>
    <xf numFmtId="196" fontId="51" fillId="0" borderId="0" xfId="1" applyNumberFormat="1" applyFont="1" applyFill="1" applyBorder="1" applyAlignment="1"/>
    <xf numFmtId="37" fontId="55" fillId="40" borderId="0" xfId="0" quotePrefix="1" applyFont="1" applyFill="1" applyAlignment="1" applyProtection="1">
      <alignment horizontal="left"/>
    </xf>
    <xf numFmtId="37" fontId="55" fillId="40" borderId="0" xfId="0" applyFont="1" applyFill="1" applyProtection="1"/>
    <xf numFmtId="37" fontId="55" fillId="40" borderId="0" xfId="0" applyFont="1" applyFill="1" applyProtection="1">
      <protection locked="0"/>
    </xf>
    <xf numFmtId="3" fontId="55" fillId="40" borderId="0" xfId="0" applyNumberFormat="1" applyFont="1" applyFill="1" applyAlignment="1" applyProtection="1"/>
    <xf numFmtId="37" fontId="82" fillId="0" borderId="0" xfId="0" applyFont="1" applyProtection="1"/>
    <xf numFmtId="14" fontId="82" fillId="36" borderId="0" xfId="0" applyNumberFormat="1" applyFont="1" applyFill="1" applyProtection="1">
      <protection locked="0"/>
    </xf>
    <xf numFmtId="37" fontId="82" fillId="37" borderId="0" xfId="0" applyFont="1" applyFill="1" applyProtection="1">
      <protection locked="0"/>
    </xf>
    <xf numFmtId="37" fontId="82" fillId="0" borderId="0" xfId="0" quotePrefix="1" applyFont="1" applyAlignment="1" applyProtection="1">
      <alignment horizontal="left"/>
    </xf>
    <xf numFmtId="37" fontId="82" fillId="36" borderId="0" xfId="0" applyFont="1" applyFill="1" applyProtection="1">
      <protection locked="0"/>
    </xf>
    <xf numFmtId="37" fontId="82" fillId="36" borderId="0" xfId="0" applyFont="1" applyFill="1" applyProtection="1"/>
    <xf numFmtId="37" fontId="82" fillId="37" borderId="0" xfId="0" quotePrefix="1" applyFont="1" applyFill="1" applyAlignment="1" applyProtection="1">
      <alignment horizontal="left"/>
    </xf>
    <xf numFmtId="37" fontId="82" fillId="0" borderId="0" xfId="0" quotePrefix="1" applyFont="1" applyFill="1" applyAlignment="1" applyProtection="1">
      <alignment horizontal="left"/>
    </xf>
    <xf numFmtId="164" fontId="82" fillId="0" borderId="0" xfId="0" quotePrefix="1" applyNumberFormat="1" applyFont="1" applyAlignment="1" applyProtection="1">
      <alignment horizontal="left"/>
    </xf>
    <xf numFmtId="0" fontId="82" fillId="0" borderId="0" xfId="0" applyNumberFormat="1" applyFont="1" applyFill="1" applyProtection="1"/>
    <xf numFmtId="164" fontId="82" fillId="0" borderId="0" xfId="0" quotePrefix="1" applyNumberFormat="1" applyFont="1" applyFill="1" applyAlignment="1" applyProtection="1">
      <alignment horizontal="left"/>
    </xf>
    <xf numFmtId="0" fontId="82" fillId="0" borderId="0" xfId="0" quotePrefix="1" applyNumberFormat="1" applyFont="1" applyFill="1" applyAlignment="1" applyProtection="1">
      <alignment horizontal="left"/>
    </xf>
    <xf numFmtId="0" fontId="82" fillId="0" borderId="0" xfId="0" quotePrefix="1" applyNumberFormat="1" applyFont="1" applyFill="1" applyAlignment="1" applyProtection="1">
      <alignment horizontal="left" indent="1"/>
    </xf>
    <xf numFmtId="164" fontId="55" fillId="0" borderId="0" xfId="0" quotePrefix="1" applyNumberFormat="1" applyFont="1" applyAlignment="1" applyProtection="1">
      <alignment horizontal="left" indent="1"/>
    </xf>
    <xf numFmtId="3" fontId="55" fillId="0" borderId="0" xfId="0" applyNumberFormat="1" applyFont="1" applyFill="1" applyBorder="1" applyAlignment="1" applyProtection="1">
      <alignment horizontal="left" indent="1"/>
    </xf>
    <xf numFmtId="37" fontId="83" fillId="0" borderId="0" xfId="0" applyFont="1" applyProtection="1"/>
    <xf numFmtId="37" fontId="84" fillId="0" borderId="0" xfId="0" applyFont="1" applyAlignment="1" applyProtection="1">
      <alignment horizontal="center"/>
    </xf>
    <xf numFmtId="0" fontId="82" fillId="0" borderId="0" xfId="153" quotePrefix="1" applyFont="1" applyAlignment="1" applyProtection="1">
      <alignment horizontal="left"/>
    </xf>
    <xf numFmtId="43" fontId="82" fillId="36" borderId="0" xfId="154" applyFont="1" applyFill="1" applyProtection="1">
      <protection locked="0"/>
    </xf>
    <xf numFmtId="43" fontId="82" fillId="36" borderId="0" xfId="154" applyFont="1" applyFill="1" applyAlignment="1" applyProtection="1">
      <alignment horizontal="center"/>
      <protection locked="0"/>
    </xf>
    <xf numFmtId="43" fontId="82" fillId="36" borderId="0" xfId="154" quotePrefix="1" applyFont="1" applyFill="1" applyAlignment="1" applyProtection="1">
      <alignment horizontal="center"/>
      <protection locked="0"/>
    </xf>
    <xf numFmtId="43" fontId="82" fillId="36" borderId="0" xfId="154" quotePrefix="1" applyFont="1" applyFill="1" applyAlignment="1" applyProtection="1">
      <alignment horizontal="left"/>
      <protection locked="0"/>
    </xf>
    <xf numFmtId="0" fontId="82" fillId="0" borderId="0" xfId="154" quotePrefix="1" applyNumberFormat="1" applyFont="1" applyAlignment="1" applyProtection="1">
      <alignment horizontal="left"/>
    </xf>
    <xf numFmtId="43" fontId="84" fillId="0" borderId="0" xfId="154" applyFont="1" applyBorder="1" applyAlignment="1" applyProtection="1">
      <alignment horizontal="center"/>
    </xf>
    <xf numFmtId="0" fontId="85" fillId="0" borderId="0" xfId="153" quotePrefix="1" applyFont="1" applyAlignment="1" applyProtection="1">
      <alignment horizontal="left"/>
    </xf>
    <xf numFmtId="0" fontId="52" fillId="0" borderId="0" xfId="153" applyFont="1" applyFill="1" applyProtection="1"/>
    <xf numFmtId="0" fontId="52" fillId="0" borderId="0" xfId="153" applyFont="1" applyProtection="1"/>
    <xf numFmtId="43" fontId="55" fillId="0" borderId="24" xfId="154" quotePrefix="1" applyFont="1" applyBorder="1" applyAlignment="1" applyProtection="1">
      <alignment horizontal="left"/>
    </xf>
    <xf numFmtId="43" fontId="55" fillId="0" borderId="24" xfId="154" applyFont="1" applyBorder="1" applyProtection="1"/>
    <xf numFmtId="43" fontId="77" fillId="0" borderId="0" xfId="154" applyFont="1" applyAlignment="1" applyProtection="1">
      <alignment horizontal="center" wrapText="1"/>
    </xf>
    <xf numFmtId="43" fontId="55" fillId="0" borderId="0" xfId="154" applyFont="1" applyFill="1" applyAlignment="1" applyProtection="1">
      <alignment horizontal="center"/>
      <protection locked="0"/>
    </xf>
    <xf numFmtId="0" fontId="82" fillId="0" borderId="0" xfId="153" quotePrefix="1" applyFont="1" applyFill="1" applyAlignment="1" applyProtection="1">
      <alignment horizontal="left"/>
    </xf>
    <xf numFmtId="43" fontId="55" fillId="0" borderId="0" xfId="154" applyFont="1" applyFill="1" applyProtection="1"/>
    <xf numFmtId="0" fontId="82" fillId="0" borderId="0" xfId="153" applyFont="1" applyFill="1" applyProtection="1"/>
    <xf numFmtId="43" fontId="55" fillId="0" borderId="0" xfId="154" quotePrefix="1" applyFont="1" applyFill="1" applyAlignment="1" applyProtection="1">
      <alignment horizontal="left"/>
    </xf>
    <xf numFmtId="43" fontId="82" fillId="36" borderId="24" xfId="154" applyFont="1" applyFill="1" applyBorder="1" applyProtection="1">
      <protection locked="0"/>
    </xf>
    <xf numFmtId="43" fontId="55" fillId="0" borderId="24" xfId="154" applyFont="1" applyFill="1" applyBorder="1" applyAlignment="1" applyProtection="1">
      <alignment horizontal="center"/>
      <protection locked="0"/>
    </xf>
    <xf numFmtId="0" fontId="82" fillId="0" borderId="0" xfId="154" quotePrefix="1" applyNumberFormat="1" applyFont="1" applyAlignment="1" applyProtection="1">
      <alignment horizontal="left" indent="3"/>
    </xf>
    <xf numFmtId="0" fontId="82" fillId="0" borderId="0" xfId="154" applyNumberFormat="1" applyFont="1" applyAlignment="1" applyProtection="1">
      <alignment horizontal="left" indent="3"/>
    </xf>
    <xf numFmtId="0" fontId="82" fillId="0" borderId="0" xfId="155" quotePrefix="1" applyFont="1" applyBorder="1" applyAlignment="1" applyProtection="1">
      <alignment horizontal="left" indent="3"/>
    </xf>
    <xf numFmtId="0" fontId="76" fillId="0" borderId="0" xfId="153" applyFont="1" applyAlignment="1" applyProtection="1">
      <alignment horizontal="left" indent="2"/>
    </xf>
    <xf numFmtId="14" fontId="52" fillId="0" borderId="0" xfId="153" applyNumberFormat="1" applyFont="1" applyAlignment="1" applyProtection="1">
      <alignment horizontal="left"/>
    </xf>
    <xf numFmtId="37" fontId="86" fillId="0" borderId="0" xfId="0" applyFont="1" applyProtection="1"/>
    <xf numFmtId="37" fontId="86" fillId="37" borderId="0" xfId="0" applyFont="1" applyFill="1" applyProtection="1">
      <protection locked="0"/>
    </xf>
    <xf numFmtId="37" fontId="86" fillId="37" borderId="0" xfId="0" applyFont="1" applyFill="1" applyProtection="1"/>
    <xf numFmtId="3" fontId="86" fillId="38" borderId="0" xfId="0" applyNumberFormat="1" applyFont="1" applyFill="1" applyAlignment="1" applyProtection="1">
      <protection locked="0"/>
    </xf>
    <xf numFmtId="9" fontId="82" fillId="36" borderId="0" xfId="3" applyFont="1" applyFill="1" applyProtection="1">
      <protection locked="0"/>
    </xf>
    <xf numFmtId="49" fontId="51" fillId="0" borderId="0" xfId="0" applyNumberFormat="1" applyFont="1" applyFill="1" applyAlignment="1" applyProtection="1">
      <alignment horizontal="left"/>
    </xf>
    <xf numFmtId="49" fontId="51" fillId="0" borderId="0" xfId="0" applyNumberFormat="1" applyFont="1" applyFill="1" applyAlignment="1" applyProtection="1">
      <alignment horizontal="center"/>
    </xf>
    <xf numFmtId="3" fontId="52" fillId="0" borderId="0" xfId="0" applyNumberFormat="1" applyFont="1" applyFill="1" applyAlignment="1" applyProtection="1">
      <alignment horizontal="center"/>
    </xf>
    <xf numFmtId="0" fontId="52" fillId="0" borderId="0" xfId="0" applyNumberFormat="1" applyFont="1" applyFill="1" applyAlignment="1" applyProtection="1">
      <alignment horizontal="center"/>
    </xf>
    <xf numFmtId="164" fontId="52" fillId="0" borderId="0" xfId="0" applyNumberFormat="1" applyFont="1" applyFill="1" applyAlignment="1" applyProtection="1">
      <alignment horizontal="center"/>
    </xf>
    <xf numFmtId="3" fontId="52" fillId="0" borderId="0" xfId="0" applyNumberFormat="1" applyFont="1" applyFill="1" applyAlignment="1" applyProtection="1"/>
    <xf numFmtId="0" fontId="58" fillId="0" borderId="0" xfId="0" applyNumberFormat="1" applyFont="1" applyFill="1" applyAlignment="1" applyProtection="1">
      <alignment horizontal="center"/>
    </xf>
    <xf numFmtId="0" fontId="52" fillId="0" borderId="0" xfId="0" applyNumberFormat="1" applyFont="1" applyFill="1" applyAlignment="1" applyProtection="1"/>
    <xf numFmtId="169" fontId="51" fillId="0" borderId="0" xfId="0" applyNumberFormat="1" applyFont="1" applyFill="1" applyAlignment="1" applyProtection="1"/>
    <xf numFmtId="175" fontId="51" fillId="0" borderId="0" xfId="1" quotePrefix="1" applyNumberFormat="1" applyFont="1" applyFill="1" applyBorder="1" applyAlignment="1" applyProtection="1">
      <alignment horizontal="left"/>
    </xf>
    <xf numFmtId="175" fontId="54" fillId="0" borderId="0" xfId="1" applyNumberFormat="1" applyFont="1" applyFill="1" applyBorder="1" applyAlignment="1" applyProtection="1"/>
    <xf numFmtId="165" fontId="51" fillId="0" borderId="0" xfId="0" applyNumberFormat="1" applyFont="1" applyFill="1" applyAlignment="1" applyProtection="1">
      <alignment horizontal="right"/>
    </xf>
    <xf numFmtId="171" fontId="51" fillId="0" borderId="0" xfId="0" applyNumberFormat="1" applyFont="1" applyFill="1" applyAlignment="1" applyProtection="1">
      <alignment horizontal="center"/>
    </xf>
    <xf numFmtId="196" fontId="51" fillId="0" borderId="0" xfId="1" applyNumberFormat="1" applyFont="1" applyFill="1" applyBorder="1" applyAlignment="1" applyProtection="1"/>
    <xf numFmtId="0" fontId="51" fillId="0" borderId="0" xfId="0" applyNumberFormat="1" applyFont="1" applyFill="1" applyAlignment="1" applyProtection="1">
      <alignment horizontal="left" indent="1"/>
    </xf>
    <xf numFmtId="169" fontId="51" fillId="0" borderId="0" xfId="0" applyNumberFormat="1" applyFont="1" applyFill="1" applyBorder="1" applyAlignment="1" applyProtection="1"/>
    <xf numFmtId="0" fontId="51" fillId="0" borderId="0" xfId="0" quotePrefix="1" applyNumberFormat="1" applyFont="1" applyFill="1" applyAlignment="1" applyProtection="1">
      <alignment horizontal="left" indent="1"/>
    </xf>
    <xf numFmtId="196" fontId="54" fillId="0" borderId="0" xfId="1" applyNumberFormat="1" applyFont="1" applyFill="1" applyBorder="1" applyAlignment="1" applyProtection="1"/>
    <xf numFmtId="175" fontId="62" fillId="0" borderId="0" xfId="1" applyNumberFormat="1" applyFont="1" applyFill="1" applyBorder="1" applyAlignment="1" applyProtection="1"/>
    <xf numFmtId="170" fontId="62" fillId="0" borderId="0" xfId="2" applyNumberFormat="1" applyFont="1" applyFill="1" applyBorder="1" applyAlignment="1" applyProtection="1"/>
    <xf numFmtId="0" fontId="52" fillId="0" borderId="0" xfId="0" applyNumberFormat="1" applyFont="1" applyFill="1" applyAlignment="1">
      <alignment horizontal="centerContinuous"/>
    </xf>
    <xf numFmtId="164" fontId="51" fillId="0" borderId="0" xfId="0" applyNumberFormat="1" applyFont="1" applyFill="1" applyAlignment="1">
      <alignment horizontal="centerContinuous"/>
    </xf>
    <xf numFmtId="0" fontId="51" fillId="0" borderId="0" xfId="0" applyNumberFormat="1" applyFont="1" applyFill="1" applyAlignment="1">
      <alignment horizontal="centerContinuous"/>
    </xf>
    <xf numFmtId="3" fontId="51" fillId="0" borderId="0" xfId="0" applyNumberFormat="1" applyFont="1" applyFill="1" applyAlignment="1">
      <alignment horizontal="centerContinuous"/>
    </xf>
    <xf numFmtId="0" fontId="52" fillId="0" borderId="0" xfId="0" applyNumberFormat="1" applyFont="1" applyFill="1" applyAlignment="1"/>
    <xf numFmtId="0" fontId="51" fillId="0" borderId="1" xfId="0" applyNumberFormat="1" applyFont="1" applyFill="1" applyBorder="1" applyAlignment="1" applyProtection="1">
      <alignment horizontal="center"/>
      <protection locked="0"/>
    </xf>
    <xf numFmtId="3" fontId="55" fillId="0" borderId="0" xfId="0" quotePrefix="1" applyNumberFormat="1" applyFont="1" applyFill="1" applyAlignment="1">
      <alignment horizontal="left"/>
    </xf>
    <xf numFmtId="170" fontId="51" fillId="0" borderId="0" xfId="2" applyNumberFormat="1" applyFont="1" applyFill="1" applyBorder="1" applyAlignment="1"/>
    <xf numFmtId="0" fontId="64" fillId="0" borderId="0" xfId="0" applyNumberFormat="1" applyFont="1" applyFill="1"/>
    <xf numFmtId="164" fontId="55" fillId="0" borderId="0" xfId="0" quotePrefix="1" applyNumberFormat="1" applyFont="1" applyFill="1" applyAlignment="1">
      <alignment horizontal="left"/>
    </xf>
    <xf numFmtId="196" fontId="54" fillId="0" borderId="0" xfId="1" applyNumberFormat="1" applyFont="1" applyFill="1" applyBorder="1" applyAlignment="1"/>
    <xf numFmtId="3" fontId="55" fillId="0" borderId="0" xfId="0" applyNumberFormat="1" applyFont="1" applyFill="1" applyAlignment="1"/>
    <xf numFmtId="49" fontId="55" fillId="0" borderId="0" xfId="0" applyNumberFormat="1" applyFont="1" applyFill="1" applyAlignment="1"/>
    <xf numFmtId="182" fontId="51" fillId="0" borderId="0" xfId="1" applyNumberFormat="1" applyFont="1" applyFill="1" applyBorder="1" applyAlignment="1">
      <alignment horizontal="right"/>
    </xf>
    <xf numFmtId="175" fontId="54" fillId="0" borderId="0" xfId="1" applyNumberFormat="1" applyFont="1" applyFill="1" applyBorder="1" applyAlignment="1"/>
    <xf numFmtId="49" fontId="55" fillId="0" borderId="0" xfId="0" quotePrefix="1" applyNumberFormat="1" applyFont="1" applyFill="1" applyAlignment="1">
      <alignment horizontal="left"/>
    </xf>
    <xf numFmtId="169" fontId="51" fillId="0" borderId="0" xfId="0" applyNumberFormat="1" applyFont="1" applyFill="1" applyAlignment="1"/>
    <xf numFmtId="169" fontId="51" fillId="0" borderId="0" xfId="0" applyNumberFormat="1" applyFont="1" applyFill="1"/>
    <xf numFmtId="165" fontId="51" fillId="0" borderId="0" xfId="0" applyNumberFormat="1" applyFont="1" applyFill="1"/>
    <xf numFmtId="3" fontId="51" fillId="0" borderId="3" xfId="0" applyNumberFormat="1" applyFont="1" applyFill="1" applyBorder="1" applyAlignment="1"/>
    <xf numFmtId="3" fontId="51" fillId="0" borderId="3" xfId="0" applyNumberFormat="1" applyFont="1" applyFill="1" applyBorder="1" applyAlignment="1">
      <alignment horizontal="center"/>
    </xf>
    <xf numFmtId="170" fontId="51" fillId="0" borderId="0" xfId="2" applyNumberFormat="1" applyFont="1" applyFill="1" applyAlignment="1"/>
    <xf numFmtId="4" fontId="51" fillId="0" borderId="0" xfId="0" applyNumberFormat="1" applyFont="1" applyFill="1" applyAlignment="1"/>
    <xf numFmtId="195" fontId="51" fillId="0" borderId="0" xfId="2" applyNumberFormat="1" applyFont="1" applyFill="1" applyAlignment="1"/>
    <xf numFmtId="3" fontId="53" fillId="0" borderId="0" xfId="0" applyNumberFormat="1" applyFont="1" applyFill="1" applyAlignment="1"/>
    <xf numFmtId="196" fontId="51" fillId="0" borderId="0" xfId="1" applyNumberFormat="1" applyFont="1" applyFill="1" applyAlignment="1"/>
    <xf numFmtId="3" fontId="51" fillId="0" borderId="0" xfId="0" applyNumberFormat="1" applyFont="1" applyFill="1" applyBorder="1" applyAlignment="1">
      <alignment horizontal="center"/>
    </xf>
    <xf numFmtId="175" fontId="62" fillId="0" borderId="0" xfId="1" applyNumberFormat="1" applyFont="1" applyFill="1" applyBorder="1" applyAlignment="1"/>
    <xf numFmtId="0" fontId="51" fillId="0" borderId="0" xfId="0" quotePrefix="1" applyNumberFormat="1" applyFont="1" applyFill="1" applyBorder="1" applyAlignment="1" applyProtection="1">
      <alignment horizontal="center"/>
      <protection locked="0"/>
    </xf>
    <xf numFmtId="175" fontId="51" fillId="0" borderId="0" xfId="1" applyNumberFormat="1" applyFont="1" applyFill="1" applyAlignment="1">
      <alignment horizontal="center"/>
    </xf>
    <xf numFmtId="165" fontId="51" fillId="0" borderId="0" xfId="0" applyNumberFormat="1" applyFont="1" applyFill="1" applyAlignment="1">
      <alignment horizontal="center"/>
    </xf>
    <xf numFmtId="171" fontId="51" fillId="0" borderId="0" xfId="0" applyNumberFormat="1" applyFont="1" applyFill="1" applyAlignment="1">
      <alignment horizontal="center"/>
    </xf>
    <xf numFmtId="0" fontId="55" fillId="0" borderId="0" xfId="0" quotePrefix="1" applyNumberFormat="1" applyFont="1" applyFill="1" applyAlignment="1" applyProtection="1">
      <alignment horizontal="center"/>
      <protection locked="0"/>
    </xf>
    <xf numFmtId="165" fontId="51" fillId="0" borderId="0" xfId="0" applyNumberFormat="1" applyFont="1" applyFill="1" applyAlignment="1" applyProtection="1">
      <alignment horizontal="center"/>
      <protection locked="0"/>
    </xf>
    <xf numFmtId="3" fontId="55" fillId="0" borderId="0" xfId="0" applyNumberFormat="1" applyFont="1" applyFill="1" applyBorder="1" applyAlignment="1"/>
    <xf numFmtId="0" fontId="51" fillId="0" borderId="0" xfId="0" quotePrefix="1" applyNumberFormat="1" applyFont="1" applyFill="1" applyAlignment="1">
      <alignment horizontal="left" indent="3"/>
    </xf>
    <xf numFmtId="165" fontId="51" fillId="0" borderId="0" xfId="0" applyNumberFormat="1" applyFont="1" applyFill="1" applyAlignment="1"/>
    <xf numFmtId="3" fontId="55" fillId="0" borderId="0" xfId="0" quotePrefix="1" applyNumberFormat="1" applyFont="1" applyFill="1" applyAlignment="1">
      <alignment horizontal="center"/>
    </xf>
    <xf numFmtId="165" fontId="51" fillId="0" borderId="0" xfId="0" quotePrefix="1" applyNumberFormat="1" applyFont="1" applyFill="1" applyAlignment="1">
      <alignment horizontal="center"/>
    </xf>
    <xf numFmtId="3" fontId="55" fillId="0" borderId="0" xfId="0" applyNumberFormat="1" applyFont="1" applyFill="1" applyAlignment="1">
      <alignment horizontal="center"/>
    </xf>
    <xf numFmtId="3" fontId="51" fillId="0" borderId="3" xfId="0" quotePrefix="1" applyNumberFormat="1" applyFont="1" applyFill="1" applyBorder="1" applyAlignment="1">
      <alignment horizontal="center"/>
    </xf>
    <xf numFmtId="3" fontId="51" fillId="0" borderId="0" xfId="0" quotePrefix="1" applyNumberFormat="1" applyFont="1" applyFill="1" applyAlignment="1">
      <alignment horizontal="left" indent="2"/>
    </xf>
    <xf numFmtId="196" fontId="51" fillId="0" borderId="0" xfId="1" applyNumberFormat="1" applyFont="1" applyFill="1" applyAlignment="1" applyProtection="1">
      <protection locked="0"/>
    </xf>
    <xf numFmtId="3" fontId="51" fillId="0" borderId="0" xfId="0" quotePrefix="1" applyNumberFormat="1" applyFont="1" applyFill="1" applyAlignment="1">
      <alignment horizontal="left" indent="1"/>
    </xf>
    <xf numFmtId="0" fontId="55" fillId="0" borderId="0" xfId="0" quotePrefix="1" applyNumberFormat="1" applyFont="1" applyFill="1" applyAlignment="1" applyProtection="1">
      <alignment horizontal="left"/>
      <protection locked="0"/>
    </xf>
    <xf numFmtId="0" fontId="63" fillId="0" borderId="0" xfId="0" applyNumberFormat="1" applyFont="1" applyFill="1" applyAlignment="1" applyProtection="1">
      <alignment horizontal="center"/>
      <protection locked="0"/>
    </xf>
    <xf numFmtId="0" fontId="55" fillId="0" borderId="0" xfId="0" applyNumberFormat="1" applyFont="1" applyFill="1" applyProtection="1">
      <protection locked="0"/>
    </xf>
    <xf numFmtId="0" fontId="51" fillId="0" borderId="3" xfId="0" quotePrefix="1" applyNumberFormat="1" applyFont="1" applyFill="1" applyBorder="1" applyAlignment="1" applyProtection="1">
      <alignment horizontal="center"/>
      <protection locked="0"/>
    </xf>
    <xf numFmtId="0" fontId="51" fillId="0" borderId="3" xfId="0" applyNumberFormat="1" applyFont="1" applyFill="1" applyBorder="1" applyAlignment="1" applyProtection="1">
      <alignment horizontal="center"/>
      <protection locked="0"/>
    </xf>
    <xf numFmtId="10" fontId="51" fillId="0" borderId="0" xfId="0" applyNumberFormat="1" applyFont="1" applyFill="1" applyAlignment="1"/>
    <xf numFmtId="168" fontId="51" fillId="0" borderId="0" xfId="0" applyNumberFormat="1" applyFont="1" applyFill="1" applyAlignment="1"/>
    <xf numFmtId="186" fontId="51" fillId="0" borderId="0" xfId="1" applyNumberFormat="1" applyFont="1" applyFill="1" applyAlignment="1"/>
    <xf numFmtId="175" fontId="51" fillId="0" borderId="3" xfId="1" applyNumberFormat="1" applyFont="1" applyFill="1" applyBorder="1" applyAlignment="1"/>
    <xf numFmtId="186" fontId="51" fillId="0" borderId="3" xfId="0" applyNumberFormat="1" applyFont="1" applyFill="1" applyBorder="1" applyAlignment="1"/>
    <xf numFmtId="0" fontId="51" fillId="0" borderId="0" xfId="0" applyNumberFormat="1" applyFont="1" applyFill="1" applyAlignment="1" applyProtection="1">
      <protection locked="0"/>
    </xf>
    <xf numFmtId="196" fontId="51" fillId="0" borderId="0" xfId="0" applyNumberFormat="1" applyFont="1" applyFill="1" applyBorder="1" applyProtection="1">
      <protection locked="0"/>
    </xf>
    <xf numFmtId="164" fontId="51" fillId="0" borderId="3" xfId="0" quotePrefix="1" applyNumberFormat="1" applyFont="1" applyFill="1" applyBorder="1" applyAlignment="1">
      <alignment horizontal="left"/>
    </xf>
    <xf numFmtId="0" fontId="51" fillId="0" borderId="3" xfId="0" applyNumberFormat="1" applyFont="1" applyFill="1" applyBorder="1"/>
    <xf numFmtId="164" fontId="51" fillId="0" borderId="3" xfId="0" applyNumberFormat="1" applyFont="1" applyFill="1" applyBorder="1" applyAlignment="1"/>
    <xf numFmtId="0" fontId="51" fillId="0" borderId="0" xfId="0" applyNumberFormat="1" applyFont="1" applyFill="1" applyBorder="1" applyProtection="1">
      <protection locked="0"/>
    </xf>
    <xf numFmtId="196" fontId="54" fillId="0" borderId="0" xfId="0" applyNumberFormat="1" applyFont="1" applyFill="1" applyBorder="1" applyProtection="1">
      <protection locked="0"/>
    </xf>
    <xf numFmtId="0" fontId="55" fillId="0" borderId="0" xfId="0" quotePrefix="1" applyNumberFormat="1" applyFont="1" applyFill="1" applyBorder="1" applyAlignment="1" applyProtection="1">
      <alignment horizontal="left"/>
      <protection locked="0"/>
    </xf>
    <xf numFmtId="196" fontId="51" fillId="0" borderId="0" xfId="0" applyNumberFormat="1" applyFont="1" applyFill="1" applyBorder="1" applyProtection="1"/>
    <xf numFmtId="167" fontId="51" fillId="0" borderId="0" xfId="0" applyNumberFormat="1" applyFont="1" applyFill="1" applyProtection="1">
      <protection locked="0"/>
    </xf>
    <xf numFmtId="166" fontId="51" fillId="0" borderId="0" xfId="0" applyNumberFormat="1" applyFont="1" applyFill="1" applyProtection="1">
      <protection locked="0"/>
    </xf>
    <xf numFmtId="195" fontId="51" fillId="0" borderId="0" xfId="2" applyNumberFormat="1" applyFont="1" applyFill="1" applyBorder="1" applyProtection="1"/>
    <xf numFmtId="170" fontId="51" fillId="0" borderId="0" xfId="2" applyNumberFormat="1" applyFont="1" applyFill="1" applyBorder="1" applyAlignment="1" applyProtection="1">
      <protection locked="0"/>
    </xf>
    <xf numFmtId="164" fontId="59" fillId="0" borderId="0" xfId="0" applyNumberFormat="1" applyFont="1" applyFill="1" applyAlignment="1"/>
    <xf numFmtId="0" fontId="51" fillId="0" borderId="3" xfId="0" applyNumberFormat="1" applyFont="1" applyFill="1" applyBorder="1" applyAlignment="1" applyProtection="1">
      <protection locked="0"/>
    </xf>
    <xf numFmtId="0" fontId="51" fillId="0" borderId="3" xfId="0" applyNumberFormat="1" applyFont="1" applyFill="1" applyBorder="1" applyProtection="1">
      <protection locked="0"/>
    </xf>
    <xf numFmtId="175" fontId="54" fillId="0" borderId="0" xfId="1" applyNumberFormat="1" applyFont="1" applyFill="1" applyBorder="1" applyAlignment="1" applyProtection="1">
      <protection locked="0"/>
    </xf>
    <xf numFmtId="3" fontId="53" fillId="0" borderId="0" xfId="0" applyNumberFormat="1" applyFont="1" applyFill="1" applyAlignment="1">
      <alignment horizontal="left"/>
    </xf>
    <xf numFmtId="3" fontId="82" fillId="38" borderId="0" xfId="0" applyNumberFormat="1" applyFont="1" applyFill="1" applyAlignment="1" applyProtection="1">
      <protection locked="0"/>
    </xf>
    <xf numFmtId="3" fontId="82" fillId="0" borderId="0" xfId="0" applyNumberFormat="1" applyFont="1" applyAlignment="1" applyProtection="1"/>
    <xf numFmtId="37" fontId="82" fillId="0" borderId="0" xfId="0" applyFont="1" applyFill="1" applyProtection="1"/>
    <xf numFmtId="37" fontId="82" fillId="36" borderId="20" xfId="0" applyFont="1" applyFill="1" applyBorder="1" applyProtection="1"/>
    <xf numFmtId="37" fontId="82" fillId="36" borderId="2" xfId="0" applyFont="1" applyFill="1" applyBorder="1" applyProtection="1"/>
    <xf numFmtId="37" fontId="82" fillId="36" borderId="21" xfId="0" applyFont="1" applyFill="1" applyBorder="1" applyProtection="1"/>
    <xf numFmtId="37" fontId="82" fillId="36" borderId="22" xfId="0" applyFont="1" applyFill="1" applyBorder="1" applyProtection="1"/>
    <xf numFmtId="189" fontId="82" fillId="36" borderId="0" xfId="0" applyNumberFormat="1" applyFont="1" applyFill="1" applyProtection="1">
      <protection locked="0"/>
    </xf>
    <xf numFmtId="164" fontId="82" fillId="0" borderId="0" xfId="0" applyNumberFormat="1" applyFont="1" applyFill="1" applyAlignment="1" applyProtection="1"/>
    <xf numFmtId="3" fontId="55" fillId="0" borderId="0" xfId="0" applyNumberFormat="1" applyFont="1" applyFill="1" applyAlignment="1" applyProtection="1">
      <alignment horizontal="right"/>
    </xf>
    <xf numFmtId="37" fontId="82" fillId="37" borderId="0" xfId="0" applyFont="1" applyFill="1" applyProtection="1"/>
    <xf numFmtId="42" fontId="51" fillId="0" borderId="0" xfId="0" applyNumberFormat="1" applyFont="1" applyFill="1" applyProtection="1"/>
    <xf numFmtId="170" fontId="51" fillId="0" borderId="0" xfId="2" applyNumberFormat="1" applyFont="1" applyFill="1" applyAlignment="1" applyProtection="1">
      <alignment horizontal="right"/>
    </xf>
    <xf numFmtId="192" fontId="51" fillId="0" borderId="0" xfId="2" applyNumberFormat="1" applyFont="1" applyFill="1" applyAlignment="1" applyProtection="1">
      <alignment horizontal="right"/>
    </xf>
    <xf numFmtId="193" fontId="51" fillId="0" borderId="0" xfId="1" applyNumberFormat="1" applyFont="1" applyFill="1" applyAlignment="1" applyProtection="1"/>
    <xf numFmtId="175" fontId="51" fillId="0" borderId="0" xfId="1" applyNumberFormat="1" applyFont="1" applyFill="1" applyAlignment="1" applyProtection="1"/>
    <xf numFmtId="193" fontId="54" fillId="0" borderId="0" xfId="1" applyNumberFormat="1" applyFont="1" applyFill="1" applyAlignment="1" applyProtection="1"/>
    <xf numFmtId="170" fontId="51" fillId="0" borderId="0" xfId="2" applyNumberFormat="1" applyFont="1" applyFill="1" applyAlignment="1" applyProtection="1"/>
    <xf numFmtId="175" fontId="51" fillId="0" borderId="0" xfId="1" applyNumberFormat="1" applyFont="1" applyFill="1" applyProtection="1"/>
    <xf numFmtId="175" fontId="54" fillId="0" borderId="0" xfId="1" applyNumberFormat="1" applyFont="1" applyFill="1" applyProtection="1"/>
    <xf numFmtId="194" fontId="51" fillId="0" borderId="0" xfId="2" applyNumberFormat="1" applyFont="1" applyFill="1" applyAlignment="1" applyProtection="1">
      <alignment horizontal="right"/>
    </xf>
    <xf numFmtId="3" fontId="55" fillId="0" borderId="0" xfId="0" applyNumberFormat="1" applyFont="1" applyFill="1" applyAlignment="1">
      <alignment vertical="center"/>
    </xf>
    <xf numFmtId="3" fontId="51" fillId="0" borderId="0" xfId="0" applyNumberFormat="1" applyFont="1" applyFill="1" applyAlignment="1">
      <alignment vertical="center"/>
    </xf>
    <xf numFmtId="169" fontId="51" fillId="0" borderId="0" xfId="0" applyNumberFormat="1" applyFont="1" applyFill="1" applyAlignment="1">
      <alignment vertical="center"/>
    </xf>
    <xf numFmtId="196" fontId="62" fillId="0" borderId="0" xfId="1" applyNumberFormat="1" applyFont="1" applyFill="1" applyBorder="1" applyAlignment="1"/>
    <xf numFmtId="10" fontId="51" fillId="0" borderId="0" xfId="3" applyNumberFormat="1" applyFont="1" applyFill="1" applyBorder="1" applyAlignment="1">
      <alignment horizontal="right"/>
    </xf>
    <xf numFmtId="10" fontId="51" fillId="0" borderId="0" xfId="3" applyNumberFormat="1" applyFont="1" applyFill="1" applyBorder="1" applyAlignment="1"/>
    <xf numFmtId="187" fontId="51" fillId="0" borderId="0" xfId="1" applyNumberFormat="1" applyFont="1" applyFill="1" applyBorder="1" applyAlignment="1">
      <alignment horizontal="right"/>
    </xf>
    <xf numFmtId="10" fontId="55" fillId="0" borderId="0" xfId="0" quotePrefix="1" applyNumberFormat="1" applyFont="1" applyFill="1" applyAlignment="1">
      <alignment horizontal="left"/>
    </xf>
    <xf numFmtId="170" fontId="51" fillId="0" borderId="0" xfId="2" applyNumberFormat="1" applyFont="1" applyFill="1" applyBorder="1" applyAlignment="1">
      <alignment horizontal="right"/>
    </xf>
    <xf numFmtId="174" fontId="51" fillId="0" borderId="0" xfId="0" applyNumberFormat="1" applyFont="1" applyFill="1" applyAlignment="1"/>
    <xf numFmtId="170" fontId="54" fillId="0" borderId="0" xfId="2" applyNumberFormat="1" applyFont="1" applyFill="1" applyBorder="1" applyAlignment="1"/>
    <xf numFmtId="170" fontId="66" fillId="0" borderId="0" xfId="2" applyNumberFormat="1" applyFont="1" applyFill="1" applyBorder="1" applyAlignment="1"/>
    <xf numFmtId="195" fontId="51" fillId="0" borderId="0" xfId="2" applyNumberFormat="1" applyFont="1" applyFill="1" applyAlignment="1" applyProtection="1">
      <alignment horizontal="right"/>
    </xf>
    <xf numFmtId="196" fontId="51" fillId="0" borderId="0" xfId="1" applyNumberFormat="1" applyFont="1" applyFill="1" applyAlignment="1" applyProtection="1"/>
    <xf numFmtId="196" fontId="54" fillId="0" borderId="0" xfId="1" applyNumberFormat="1" applyFont="1" applyFill="1" applyAlignment="1" applyProtection="1"/>
    <xf numFmtId="195" fontId="51" fillId="0" borderId="0" xfId="2" applyNumberFormat="1" applyFont="1" applyFill="1" applyAlignment="1" applyProtection="1"/>
    <xf numFmtId="196" fontId="51" fillId="0" borderId="0" xfId="1" applyNumberFormat="1" applyFont="1" applyFill="1" applyProtection="1"/>
    <xf numFmtId="196" fontId="54" fillId="0" borderId="0" xfId="1" applyNumberFormat="1" applyFont="1" applyFill="1" applyProtection="1"/>
    <xf numFmtId="0" fontId="55" fillId="0" borderId="0" xfId="0" applyNumberFormat="1" applyFont="1" applyFill="1" applyAlignment="1" applyProtection="1">
      <alignment horizontal="left"/>
    </xf>
    <xf numFmtId="194" fontId="51" fillId="0" borderId="0" xfId="2" applyNumberFormat="1" applyFont="1" applyFill="1" applyProtection="1"/>
    <xf numFmtId="10" fontId="51" fillId="0" borderId="0" xfId="3" applyNumberFormat="1" applyFont="1" applyFill="1" applyAlignment="1">
      <alignment horizontal="right"/>
    </xf>
    <xf numFmtId="10" fontId="51" fillId="0" borderId="0" xfId="1" quotePrefix="1" applyNumberFormat="1" applyFont="1" applyFill="1" applyAlignment="1" applyProtection="1">
      <alignment horizontal="center"/>
    </xf>
    <xf numFmtId="37" fontId="58" fillId="0" borderId="0" xfId="0" applyFont="1" applyFill="1" applyAlignment="1">
      <alignment horizontal="center" wrapText="1"/>
    </xf>
    <xf numFmtId="175" fontId="58" fillId="0" borderId="0" xfId="0" applyNumberFormat="1" applyFont="1" applyFill="1"/>
    <xf numFmtId="168" fontId="58" fillId="0" borderId="0" xfId="0" applyNumberFormat="1" applyFont="1" applyFill="1"/>
    <xf numFmtId="37" fontId="86" fillId="36" borderId="0" xfId="0" applyFont="1" applyFill="1" applyProtection="1">
      <protection locked="0"/>
    </xf>
    <xf numFmtId="175" fontId="82" fillId="37" borderId="0" xfId="1" applyNumberFormat="1" applyFont="1" applyFill="1" applyProtection="1">
      <protection locked="0"/>
    </xf>
    <xf numFmtId="42" fontId="54" fillId="0" borderId="0" xfId="0" applyNumberFormat="1" applyFont="1" applyFill="1" applyBorder="1" applyAlignment="1" applyProtection="1">
      <alignment horizontal="right"/>
    </xf>
    <xf numFmtId="195" fontId="54" fillId="0" borderId="0" xfId="0" applyNumberFormat="1" applyFont="1" applyFill="1" applyBorder="1" applyAlignment="1" applyProtection="1">
      <alignment horizontal="right"/>
    </xf>
    <xf numFmtId="0" fontId="51" fillId="0" borderId="0" xfId="0" applyNumberFormat="1" applyFont="1" applyFill="1" applyBorder="1" applyAlignment="1" applyProtection="1">
      <alignment horizontal="right"/>
    </xf>
    <xf numFmtId="37" fontId="55" fillId="0" borderId="0" xfId="0" applyFont="1" applyFill="1" applyAlignment="1" applyProtection="1">
      <alignment horizontal="left"/>
    </xf>
    <xf numFmtId="3" fontId="55" fillId="0" borderId="0" xfId="0" applyNumberFormat="1" applyFont="1" applyFill="1" applyAlignment="1" applyProtection="1">
      <alignment horizontal="left"/>
    </xf>
    <xf numFmtId="0" fontId="55" fillId="0" borderId="0" xfId="0" applyNumberFormat="1" applyFont="1" applyFill="1" applyAlignment="1" applyProtection="1">
      <alignment horizontal="left" indent="1"/>
    </xf>
    <xf numFmtId="167" fontId="51" fillId="0" borderId="0" xfId="0" applyNumberFormat="1" applyFont="1" applyFill="1" applyProtection="1"/>
    <xf numFmtId="49" fontId="51" fillId="0" borderId="0" xfId="0" applyNumberFormat="1" applyFont="1" applyFill="1" applyAlignment="1">
      <alignment horizontal="left"/>
    </xf>
    <xf numFmtId="0" fontId="52" fillId="0" borderId="0" xfId="0" applyNumberFormat="1" applyFont="1" applyFill="1" applyAlignment="1" applyProtection="1">
      <alignment horizontal="center"/>
      <protection locked="0"/>
    </xf>
    <xf numFmtId="164" fontId="52" fillId="0" borderId="0" xfId="0" applyNumberFormat="1" applyFont="1" applyFill="1" applyAlignment="1">
      <alignment horizontal="center"/>
    </xf>
    <xf numFmtId="3" fontId="52" fillId="0" borderId="0" xfId="0" applyNumberFormat="1" applyFont="1" applyFill="1" applyAlignment="1"/>
    <xf numFmtId="0" fontId="52" fillId="0" borderId="0" xfId="0" quotePrefix="1" applyNumberFormat="1" applyFont="1" applyFill="1" applyAlignment="1" applyProtection="1">
      <alignment horizontal="centerContinuous"/>
      <protection locked="0"/>
    </xf>
    <xf numFmtId="0" fontId="58" fillId="0" borderId="0" xfId="0" applyNumberFormat="1" applyFont="1" applyFill="1" applyAlignment="1" applyProtection="1">
      <alignment horizontal="center"/>
      <protection locked="0"/>
    </xf>
    <xf numFmtId="0" fontId="52" fillId="0" borderId="0" xfId="0" applyNumberFormat="1" applyFont="1" applyFill="1" applyProtection="1">
      <protection locked="0"/>
    </xf>
    <xf numFmtId="0" fontId="65" fillId="0" borderId="0" xfId="0" applyNumberFormat="1" applyFont="1" applyFill="1" applyAlignment="1">
      <alignment horizontal="center"/>
    </xf>
    <xf numFmtId="3" fontId="65" fillId="0" borderId="0" xfId="0" applyNumberFormat="1" applyFont="1" applyFill="1" applyAlignment="1"/>
    <xf numFmtId="0" fontId="52" fillId="0" borderId="0" xfId="0" applyNumberFormat="1" applyFont="1" applyFill="1" applyAlignment="1">
      <alignment horizontal="center"/>
    </xf>
    <xf numFmtId="0" fontId="51" fillId="0" borderId="0" xfId="0" applyNumberFormat="1" applyFont="1" applyFill="1" applyAlignment="1" applyProtection="1">
      <alignment horizontal="center" vertical="center"/>
      <protection locked="0"/>
    </xf>
    <xf numFmtId="0" fontId="51" fillId="0" borderId="0" xfId="0" applyNumberFormat="1" applyFont="1" applyFill="1" applyAlignment="1">
      <alignment horizontal="fill"/>
    </xf>
    <xf numFmtId="0" fontId="51" fillId="0" borderId="0" xfId="0" quotePrefix="1" applyNumberFormat="1" applyFont="1" applyFill="1" applyAlignment="1">
      <alignment horizontal="left" indent="1"/>
    </xf>
    <xf numFmtId="3" fontId="51" fillId="0" borderId="0" xfId="0" quotePrefix="1" applyNumberFormat="1" applyFont="1" applyFill="1" applyAlignment="1">
      <alignment horizontal="left"/>
    </xf>
    <xf numFmtId="9" fontId="51" fillId="0" borderId="0" xfId="3" applyFont="1" applyFill="1" applyAlignment="1"/>
    <xf numFmtId="0" fontId="51" fillId="0" borderId="0" xfId="0" quotePrefix="1" applyNumberFormat="1" applyFont="1" applyFill="1" applyAlignment="1">
      <alignment horizontal="left" indent="2"/>
    </xf>
    <xf numFmtId="171" fontId="51" fillId="0" borderId="0" xfId="0" quotePrefix="1" applyNumberFormat="1" applyFont="1" applyFill="1" applyAlignment="1">
      <alignment horizontal="left" indent="1"/>
    </xf>
    <xf numFmtId="164" fontId="51" fillId="0" borderId="0" xfId="0" quotePrefix="1" applyNumberFormat="1" applyFont="1" applyFill="1" applyAlignment="1">
      <alignment horizontal="left" indent="1"/>
    </xf>
    <xf numFmtId="171" fontId="51" fillId="0" borderId="0" xfId="0" quotePrefix="1" applyNumberFormat="1" applyFont="1" applyFill="1" applyAlignment="1">
      <alignment horizontal="left"/>
    </xf>
    <xf numFmtId="3" fontId="51" fillId="0" borderId="0" xfId="0" applyNumberFormat="1" applyFont="1" applyFill="1" applyAlignment="1">
      <alignment horizontal="left"/>
    </xf>
    <xf numFmtId="171" fontId="51" fillId="0" borderId="0" xfId="0" applyNumberFormat="1" applyFont="1" applyFill="1" applyAlignment="1" applyProtection="1">
      <alignment horizontal="left"/>
      <protection locked="0"/>
    </xf>
    <xf numFmtId="3" fontId="51" fillId="0" borderId="0" xfId="0" quotePrefix="1" applyNumberFormat="1" applyFont="1" applyFill="1" applyAlignment="1">
      <alignment horizontal="center"/>
    </xf>
    <xf numFmtId="38" fontId="51" fillId="0" borderId="0" xfId="0" applyNumberFormat="1" applyFont="1" applyFill="1" applyAlignment="1" applyProtection="1"/>
    <xf numFmtId="38" fontId="51" fillId="0" borderId="0" xfId="0" applyNumberFormat="1" applyFont="1" applyFill="1" applyAlignment="1"/>
    <xf numFmtId="37" fontId="58" fillId="0" borderId="0" xfId="156" applyFont="1" applyFill="1"/>
    <xf numFmtId="37" fontId="58" fillId="0" borderId="0" xfId="156" quotePrefix="1" applyFont="1" applyFill="1" applyAlignment="1">
      <alignment horizontal="left"/>
    </xf>
    <xf numFmtId="37" fontId="79" fillId="0" borderId="0" xfId="0" applyFont="1" applyFill="1" applyAlignment="1">
      <alignment horizontal="center" wrapText="1"/>
    </xf>
    <xf numFmtId="37" fontId="79" fillId="0" borderId="0" xfId="0" applyFont="1" applyFill="1" applyAlignment="1">
      <alignment horizontal="center"/>
    </xf>
    <xf numFmtId="37" fontId="58" fillId="0" borderId="0" xfId="156" quotePrefix="1" applyFont="1" applyFill="1"/>
    <xf numFmtId="37" fontId="84" fillId="0" borderId="18" xfId="0" applyFont="1" applyBorder="1" applyAlignment="1" applyProtection="1">
      <alignment horizontal="center"/>
    </xf>
    <xf numFmtId="37" fontId="84" fillId="0" borderId="19" xfId="0" applyFont="1" applyBorder="1" applyAlignment="1" applyProtection="1">
      <alignment horizontal="center"/>
    </xf>
    <xf numFmtId="37" fontId="55" fillId="0" borderId="0" xfId="0" applyFont="1" applyAlignment="1" applyProtection="1">
      <alignment horizontal="left" wrapText="1"/>
    </xf>
    <xf numFmtId="0" fontId="51" fillId="0" borderId="0" xfId="0" applyNumberFormat="1" applyFont="1" applyFill="1" applyBorder="1" applyAlignment="1" applyProtection="1">
      <alignment horizontal="right"/>
    </xf>
    <xf numFmtId="3" fontId="51" fillId="0" borderId="0" xfId="0" quotePrefix="1" applyNumberFormat="1" applyFont="1" applyFill="1" applyBorder="1" applyAlignment="1" applyProtection="1">
      <alignment horizontal="left" wrapText="1"/>
    </xf>
    <xf numFmtId="3" fontId="51" fillId="0" borderId="0" xfId="0" applyNumberFormat="1" applyFont="1" applyFill="1" applyBorder="1" applyAlignment="1" applyProtection="1">
      <alignment wrapText="1"/>
    </xf>
    <xf numFmtId="37" fontId="52" fillId="0" borderId="3" xfId="0" quotePrefix="1" applyFont="1" applyFill="1" applyBorder="1" applyAlignment="1">
      <alignment horizontal="center"/>
    </xf>
  </cellXfs>
  <cellStyles count="157">
    <cellStyle name="_Row1" xfId="4"/>
    <cellStyle name="20% - Accent1 2" xfId="5"/>
    <cellStyle name="20% - Accent2 2" xfId="6"/>
    <cellStyle name="20% - Accent3 2" xfId="7"/>
    <cellStyle name="20% - Accent4 2" xfId="8"/>
    <cellStyle name="20% - Accent5 2" xfId="9"/>
    <cellStyle name="20% - Accent6 2" xfId="10"/>
    <cellStyle name="40% - Accent1 2" xfId="11"/>
    <cellStyle name="40% - Accent2 2" xfId="12"/>
    <cellStyle name="40% - Accent3 2" xfId="13"/>
    <cellStyle name="40% - Accent4 2" xfId="14"/>
    <cellStyle name="40% - Accent5 2" xfId="15"/>
    <cellStyle name="40% - Accent6 2" xfId="16"/>
    <cellStyle name="60% - Accent1 2" xfId="17"/>
    <cellStyle name="60% - Accent2 2" xfId="18"/>
    <cellStyle name="60% - Accent3 2" xfId="19"/>
    <cellStyle name="60% - Accent4 2" xfId="20"/>
    <cellStyle name="60% - Accent5 2" xfId="21"/>
    <cellStyle name="60% - Accent6 2" xfId="22"/>
    <cellStyle name="Accent1 2" xfId="23"/>
    <cellStyle name="Accent2 2" xfId="24"/>
    <cellStyle name="Accent3 2" xfId="25"/>
    <cellStyle name="Accent4 2" xfId="26"/>
    <cellStyle name="Accent5 2" xfId="27"/>
    <cellStyle name="Accent6 2" xfId="28"/>
    <cellStyle name="Bad 2" xfId="29"/>
    <cellStyle name="Calculation 2" xfId="30"/>
    <cellStyle name="Check Cell 2" xfId="31"/>
    <cellStyle name="CodeEingabe" xfId="32"/>
    <cellStyle name="ColumnAttributeAbovePrompt" xfId="33"/>
    <cellStyle name="ColumnAttributePrompt" xfId="34"/>
    <cellStyle name="ColumnAttributeValue" xfId="35"/>
    <cellStyle name="ColumnHeadingPrompt" xfId="36"/>
    <cellStyle name="ColumnHeadingValue" xfId="37"/>
    <cellStyle name="Comma" xfId="1" builtinId="3"/>
    <cellStyle name="Comma 12" xfId="38"/>
    <cellStyle name="Comma 13" xfId="39"/>
    <cellStyle name="Comma 2" xfId="40"/>
    <cellStyle name="Comma 2 2" xfId="41"/>
    <cellStyle name="Comma 3" xfId="42"/>
    <cellStyle name="Comma 4" xfId="154"/>
    <cellStyle name="Comma0" xfId="43"/>
    <cellStyle name="Currency" xfId="2" builtinId="4"/>
    <cellStyle name="Currency 2" xfId="44"/>
    <cellStyle name="Currency 2 2" xfId="45"/>
    <cellStyle name="Currency 3" xfId="46"/>
    <cellStyle name="Currency 4" xfId="47"/>
    <cellStyle name="Currency0" xfId="48"/>
    <cellStyle name="Date" xfId="49"/>
    <cellStyle name="Eingabe" xfId="50"/>
    <cellStyle name="Euro" xfId="51"/>
    <cellStyle name="Explanatory Text 2" xfId="52"/>
    <cellStyle name="F2" xfId="53"/>
    <cellStyle name="F3" xfId="54"/>
    <cellStyle name="F4" xfId="55"/>
    <cellStyle name="F5" xfId="56"/>
    <cellStyle name="F6" xfId="57"/>
    <cellStyle name="F7" xfId="58"/>
    <cellStyle name="F8" xfId="59"/>
    <cellStyle name="Fixed" xfId="60"/>
    <cellStyle name="Good 2" xfId="61"/>
    <cellStyle name="Heading 1 2" xfId="62"/>
    <cellStyle name="Heading 2 2" xfId="63"/>
    <cellStyle name="Heading 3 2" xfId="64"/>
    <cellStyle name="Heading 4 2" xfId="65"/>
    <cellStyle name="Input 2" xfId="66"/>
    <cellStyle name="LineItemPrompt" xfId="67"/>
    <cellStyle name="LineItemValue" xfId="68"/>
    <cellStyle name="Linked Cell 2" xfId="69"/>
    <cellStyle name="Neutral 2" xfId="70"/>
    <cellStyle name="Normal" xfId="0" builtinId="0"/>
    <cellStyle name="Normal 2" xfId="71"/>
    <cellStyle name="Normal 2 2" xfId="72"/>
    <cellStyle name="Normal 2 3" xfId="155"/>
    <cellStyle name="Normal 3" xfId="73"/>
    <cellStyle name="Normal 3 2" xfId="74"/>
    <cellStyle name="Normal 4" xfId="75"/>
    <cellStyle name="Normal 5" xfId="76"/>
    <cellStyle name="Normal 6" xfId="153"/>
    <cellStyle name="Normal_FINAL Billing Comparison and Facilities Charges" xfId="156"/>
    <cellStyle name="Note 2" xfId="77"/>
    <cellStyle name="Output 2" xfId="78"/>
    <cellStyle name="OUTPUT AMOUNTS" xfId="79"/>
    <cellStyle name="Output Amounts 2" xfId="80"/>
    <cellStyle name="OUTPUT COLUMN HEADINGS" xfId="81"/>
    <cellStyle name="OUTPUT LINE ITEMS" xfId="82"/>
    <cellStyle name="OUTPUT REPORT HEADING" xfId="83"/>
    <cellStyle name="OUTPUT REPORT TITLE" xfId="84"/>
    <cellStyle name="Percent" xfId="3" builtinId="5"/>
    <cellStyle name="Percent 2" xfId="85"/>
    <cellStyle name="Percent 3" xfId="86"/>
    <cellStyle name="Project Overview Data Entry" xfId="87"/>
    <cellStyle name="PSChar" xfId="88"/>
    <cellStyle name="PSDate" xfId="89"/>
    <cellStyle name="PSDec" xfId="90"/>
    <cellStyle name="PSHeading" xfId="91"/>
    <cellStyle name="PSInt" xfId="92"/>
    <cellStyle name="PSSpacer" xfId="93"/>
    <cellStyle name="ReportTitlePrompt" xfId="94"/>
    <cellStyle name="ReportTitleValue" xfId="95"/>
    <cellStyle name="RowAcctAbovePrompt" xfId="96"/>
    <cellStyle name="RowAcctSOBAbovePrompt" xfId="97"/>
    <cellStyle name="RowAcctSOBValue" xfId="98"/>
    <cellStyle name="RowAcctValue" xfId="99"/>
    <cellStyle name="RowAttrAbovePrompt" xfId="100"/>
    <cellStyle name="RowAttrValue" xfId="101"/>
    <cellStyle name="RowColSetAbovePrompt" xfId="102"/>
    <cellStyle name="RowColSetLeftPrompt" xfId="103"/>
    <cellStyle name="RowColSetValue" xfId="104"/>
    <cellStyle name="RowLeftPrompt" xfId="105"/>
    <cellStyle name="SampleUsingFormatMask" xfId="106"/>
    <cellStyle name="SampleWithNoFormatMask" xfId="107"/>
    <cellStyle name="SAPBEXaggData" xfId="108"/>
    <cellStyle name="SAPBEXaggDataEmph" xfId="109"/>
    <cellStyle name="SAPBEXaggItem" xfId="110"/>
    <cellStyle name="SAPBEXaggItemX" xfId="111"/>
    <cellStyle name="SAPBEXchaText" xfId="112"/>
    <cellStyle name="SAPBEXexcBad7" xfId="113"/>
    <cellStyle name="SAPBEXexcBad8" xfId="114"/>
    <cellStyle name="SAPBEXexcBad9" xfId="115"/>
    <cellStyle name="SAPBEXexcCritical4" xfId="116"/>
    <cellStyle name="SAPBEXexcCritical5" xfId="117"/>
    <cellStyle name="SAPBEXexcCritical6" xfId="118"/>
    <cellStyle name="SAPBEXexcGood1" xfId="119"/>
    <cellStyle name="SAPBEXexcGood2" xfId="120"/>
    <cellStyle name="SAPBEXexcGood3" xfId="121"/>
    <cellStyle name="SAPBEXfilterDrill" xfId="122"/>
    <cellStyle name="SAPBEXfilterItem" xfId="123"/>
    <cellStyle name="SAPBEXfilterText" xfId="124"/>
    <cellStyle name="SAPBEXformats" xfId="125"/>
    <cellStyle name="SAPBEXheaderItem" xfId="126"/>
    <cellStyle name="SAPBEXheaderText" xfId="127"/>
    <cellStyle name="SAPBEXHLevel0" xfId="128"/>
    <cellStyle name="SAPBEXHLevel0X" xfId="129"/>
    <cellStyle name="SAPBEXHLevel1" xfId="130"/>
    <cellStyle name="SAPBEXHLevel1X" xfId="131"/>
    <cellStyle name="SAPBEXHLevel2" xfId="132"/>
    <cellStyle name="SAPBEXHLevel2X" xfId="133"/>
    <cellStyle name="SAPBEXHLevel3" xfId="134"/>
    <cellStyle name="SAPBEXHLevel3X" xfId="135"/>
    <cellStyle name="SAPBEXresData" xfId="136"/>
    <cellStyle name="SAPBEXresDataEmph" xfId="137"/>
    <cellStyle name="SAPBEXresItem" xfId="138"/>
    <cellStyle name="SAPBEXresItemX" xfId="139"/>
    <cellStyle name="SAPBEXstdData" xfId="140"/>
    <cellStyle name="SAPBEXstdDataEmph" xfId="141"/>
    <cellStyle name="SAPBEXstdItem" xfId="142"/>
    <cellStyle name="SAPBEXstdItemX" xfId="143"/>
    <cellStyle name="SAPBEXtitle" xfId="144"/>
    <cellStyle name="SAPBEXundefined" xfId="145"/>
    <cellStyle name="SAPLocked" xfId="146"/>
    <cellStyle name="Standard_CORE_20040805_Movement types_Sets_V0.1_e" xfId="147"/>
    <cellStyle name="Title 2" xfId="148"/>
    <cellStyle name="Total 2" xfId="149"/>
    <cellStyle name="Undefiniert" xfId="150"/>
    <cellStyle name="UploadThisRowValue" xfId="151"/>
    <cellStyle name="Warning Text 2" xfId="152"/>
  </cellStyles>
  <dxfs count="0"/>
  <tableStyles count="0" defaultTableStyle="TableStyleMedium2" defaultPivotStyle="PivotStyleLight16"/>
  <colors>
    <mruColors>
      <color rgb="FF0070C0"/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23" Type="http://schemas.openxmlformats.org/officeDocument/2006/relationships/customXml" Target="../customXml/item5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62"/>
  <sheetViews>
    <sheetView showGridLines="0" tabSelected="1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defaultColWidth="9.33203125" defaultRowHeight="12.75" x14ac:dyDescent="0.2"/>
  <cols>
    <col min="1" max="1" width="38.83203125" style="16" customWidth="1"/>
    <col min="2" max="2" width="34" style="16" customWidth="1"/>
    <col min="3" max="3" width="23.83203125" style="16" customWidth="1"/>
    <col min="4" max="4" width="21.33203125" style="16" customWidth="1"/>
    <col min="5" max="5" width="18.6640625" style="16" customWidth="1"/>
    <col min="6" max="6" width="20.33203125" style="16" customWidth="1"/>
    <col min="7" max="7" width="9.33203125" style="16"/>
    <col min="8" max="8" width="79.5" style="16" customWidth="1"/>
    <col min="9" max="9" width="13.83203125" style="16" customWidth="1"/>
    <col min="10" max="11" width="18.33203125" style="16" customWidth="1"/>
    <col min="12" max="12" width="9.5" style="16" bestFit="1" customWidth="1"/>
    <col min="13" max="15" width="13.5" style="16" bestFit="1" customWidth="1"/>
    <col min="16" max="16" width="10.83203125" style="16" bestFit="1" customWidth="1"/>
    <col min="17" max="16384" width="9.33203125" style="16"/>
  </cols>
  <sheetData>
    <row r="1" spans="1:9" ht="18.75" x14ac:dyDescent="0.3">
      <c r="A1" s="351" t="s">
        <v>931</v>
      </c>
    </row>
    <row r="2" spans="1:9" x14ac:dyDescent="0.2">
      <c r="A2" s="236"/>
      <c r="B2" s="236"/>
      <c r="C2" s="236"/>
      <c r="D2" s="236"/>
      <c r="E2" s="236"/>
      <c r="F2" s="236"/>
      <c r="G2" s="236"/>
      <c r="H2" s="236"/>
      <c r="I2" s="236"/>
    </row>
    <row r="3" spans="1:9" x14ac:dyDescent="0.2">
      <c r="A3" s="16" t="s">
        <v>430</v>
      </c>
      <c r="H3" s="332" t="s">
        <v>934</v>
      </c>
    </row>
    <row r="4" spans="1:9" x14ac:dyDescent="0.2">
      <c r="A4" s="243" t="s">
        <v>431</v>
      </c>
      <c r="B4" s="337">
        <v>42369</v>
      </c>
      <c r="H4" s="341" t="s">
        <v>452</v>
      </c>
    </row>
    <row r="5" spans="1:9" x14ac:dyDescent="0.2">
      <c r="H5" s="342" t="s">
        <v>454</v>
      </c>
    </row>
    <row r="6" spans="1:9" ht="15" x14ac:dyDescent="0.35">
      <c r="A6" s="16" t="s">
        <v>432</v>
      </c>
      <c r="C6" s="352" t="s">
        <v>433</v>
      </c>
      <c r="D6" s="352" t="s">
        <v>434</v>
      </c>
      <c r="E6" s="352" t="s">
        <v>435</v>
      </c>
    </row>
    <row r="7" spans="1:9" x14ac:dyDescent="0.2">
      <c r="A7" s="16" t="s">
        <v>436</v>
      </c>
      <c r="C7" s="338">
        <v>0</v>
      </c>
      <c r="D7" s="338">
        <v>0</v>
      </c>
      <c r="E7" s="16">
        <f>C7+D7</f>
        <v>0</v>
      </c>
      <c r="F7" s="336" t="s">
        <v>437</v>
      </c>
      <c r="H7" s="336" t="s">
        <v>438</v>
      </c>
    </row>
    <row r="8" spans="1:9" x14ac:dyDescent="0.2">
      <c r="A8" s="16" t="s">
        <v>439</v>
      </c>
      <c r="C8" s="338">
        <v>0</v>
      </c>
      <c r="D8" s="338">
        <v>0</v>
      </c>
      <c r="E8" s="16">
        <f>C8+D8</f>
        <v>0</v>
      </c>
      <c r="F8" s="339" t="s">
        <v>440</v>
      </c>
      <c r="H8" s="339" t="s">
        <v>441</v>
      </c>
    </row>
    <row r="9" spans="1:9" x14ac:dyDescent="0.2">
      <c r="C9" s="239"/>
      <c r="D9" s="239"/>
      <c r="F9" s="238"/>
      <c r="H9" s="339" t="s">
        <v>442</v>
      </c>
    </row>
    <row r="10" spans="1:9" x14ac:dyDescent="0.2">
      <c r="H10" s="336" t="s">
        <v>443</v>
      </c>
    </row>
    <row r="11" spans="1:9" ht="15" x14ac:dyDescent="0.35">
      <c r="A11" s="235" t="s">
        <v>444</v>
      </c>
      <c r="B11" s="238" t="s">
        <v>445</v>
      </c>
      <c r="C11" s="352" t="s">
        <v>433</v>
      </c>
      <c r="D11" s="352" t="s">
        <v>434</v>
      </c>
      <c r="E11" s="352" t="s">
        <v>435</v>
      </c>
    </row>
    <row r="12" spans="1:9" x14ac:dyDescent="0.2">
      <c r="A12" s="251" t="s">
        <v>446</v>
      </c>
      <c r="B12" s="243" t="s">
        <v>447</v>
      </c>
      <c r="C12" s="340">
        <v>4860000</v>
      </c>
      <c r="D12" s="340">
        <v>1973000</v>
      </c>
      <c r="E12" s="16">
        <f>C12+D12</f>
        <v>6833000</v>
      </c>
      <c r="G12" s="243"/>
    </row>
    <row r="13" spans="1:9" x14ac:dyDescent="0.2">
      <c r="A13" s="251" t="s">
        <v>448</v>
      </c>
      <c r="B13" s="242"/>
      <c r="C13" s="340">
        <v>5112000</v>
      </c>
      <c r="D13" s="340">
        <v>1967000</v>
      </c>
      <c r="E13" s="16">
        <f t="shared" ref="E13:E23" si="0">C13+D13</f>
        <v>7079000</v>
      </c>
      <c r="G13" s="243"/>
    </row>
    <row r="14" spans="1:9" x14ac:dyDescent="0.2">
      <c r="A14" s="251" t="s">
        <v>449</v>
      </c>
      <c r="B14" s="243"/>
      <c r="C14" s="340">
        <v>4261000</v>
      </c>
      <c r="D14" s="340">
        <v>1712000</v>
      </c>
      <c r="E14" s="16">
        <f t="shared" si="0"/>
        <v>5973000</v>
      </c>
      <c r="G14" s="243"/>
    </row>
    <row r="15" spans="1:9" x14ac:dyDescent="0.2">
      <c r="A15" s="251" t="s">
        <v>450</v>
      </c>
      <c r="B15" s="243"/>
      <c r="C15" s="340">
        <v>2716000</v>
      </c>
      <c r="D15" s="340">
        <v>1524000</v>
      </c>
      <c r="E15" s="16">
        <f t="shared" si="0"/>
        <v>4240000</v>
      </c>
      <c r="G15" s="243"/>
    </row>
    <row r="16" spans="1:9" x14ac:dyDescent="0.2">
      <c r="A16" s="251" t="s">
        <v>451</v>
      </c>
      <c r="B16" s="243"/>
      <c r="C16" s="340">
        <v>3284000</v>
      </c>
      <c r="D16" s="340">
        <v>2023000</v>
      </c>
      <c r="E16" s="16">
        <f t="shared" si="0"/>
        <v>5307000</v>
      </c>
      <c r="G16" s="243"/>
    </row>
    <row r="17" spans="1:8" x14ac:dyDescent="0.2">
      <c r="A17" s="251" t="s">
        <v>453</v>
      </c>
      <c r="B17" s="243"/>
      <c r="C17" s="340">
        <v>3790000</v>
      </c>
      <c r="D17" s="340">
        <v>2472000</v>
      </c>
      <c r="E17" s="16">
        <f t="shared" si="0"/>
        <v>6262000</v>
      </c>
      <c r="G17" s="243"/>
    </row>
    <row r="18" spans="1:8" x14ac:dyDescent="0.2">
      <c r="A18" s="251" t="s">
        <v>455</v>
      </c>
      <c r="B18" s="243"/>
      <c r="C18" s="340">
        <v>3807000</v>
      </c>
      <c r="D18" s="340">
        <v>2585000</v>
      </c>
      <c r="E18" s="16">
        <f t="shared" si="0"/>
        <v>6392000</v>
      </c>
      <c r="G18" s="243"/>
    </row>
    <row r="19" spans="1:8" x14ac:dyDescent="0.2">
      <c r="A19" s="251" t="s">
        <v>456</v>
      </c>
      <c r="B19" s="243"/>
      <c r="C19" s="340">
        <v>3724000</v>
      </c>
      <c r="D19" s="340">
        <v>2484000</v>
      </c>
      <c r="E19" s="16">
        <f t="shared" si="0"/>
        <v>6208000</v>
      </c>
      <c r="G19" s="243"/>
    </row>
    <row r="20" spans="1:8" x14ac:dyDescent="0.2">
      <c r="A20" s="251" t="s">
        <v>457</v>
      </c>
      <c r="B20" s="243"/>
      <c r="C20" s="340">
        <v>3756000</v>
      </c>
      <c r="D20" s="340">
        <v>2443000</v>
      </c>
      <c r="E20" s="16">
        <f t="shared" si="0"/>
        <v>6199000</v>
      </c>
      <c r="G20" s="243"/>
    </row>
    <row r="21" spans="1:8" x14ac:dyDescent="0.2">
      <c r="A21" s="251" t="s">
        <v>458</v>
      </c>
      <c r="B21" s="243"/>
      <c r="C21" s="340">
        <v>3005000</v>
      </c>
      <c r="D21" s="340">
        <v>1797000</v>
      </c>
      <c r="E21" s="16">
        <f t="shared" si="0"/>
        <v>4802000</v>
      </c>
      <c r="G21" s="243"/>
    </row>
    <row r="22" spans="1:8" x14ac:dyDescent="0.2">
      <c r="A22" s="251" t="s">
        <v>459</v>
      </c>
      <c r="B22" s="243"/>
      <c r="C22" s="340">
        <v>3445000</v>
      </c>
      <c r="D22" s="340">
        <v>1570000</v>
      </c>
      <c r="E22" s="16">
        <f t="shared" si="0"/>
        <v>5015000</v>
      </c>
      <c r="G22" s="243"/>
    </row>
    <row r="23" spans="1:8" x14ac:dyDescent="0.2">
      <c r="A23" s="251" t="s">
        <v>460</v>
      </c>
      <c r="B23" s="243"/>
      <c r="C23" s="340">
        <v>3456000</v>
      </c>
      <c r="D23" s="340">
        <v>1570000</v>
      </c>
      <c r="E23" s="16">
        <f t="shared" si="0"/>
        <v>5026000</v>
      </c>
      <c r="G23" s="243"/>
    </row>
    <row r="24" spans="1:8" x14ac:dyDescent="0.2">
      <c r="A24" s="251"/>
      <c r="B24" s="243"/>
      <c r="G24" s="243"/>
    </row>
    <row r="25" spans="1:8" x14ac:dyDescent="0.2">
      <c r="A25" s="251" t="s">
        <v>461</v>
      </c>
      <c r="B25" s="243"/>
      <c r="C25" s="16">
        <f>AVERAGE(C12:C23)</f>
        <v>3768000</v>
      </c>
      <c r="D25" s="16">
        <f>AVERAGE(D12:D23)</f>
        <v>2010000</v>
      </c>
      <c r="E25" s="16">
        <f>ROUND(AVERAGE(E12:E23),-3)</f>
        <v>5778000</v>
      </c>
      <c r="F25" s="339" t="s">
        <v>462</v>
      </c>
      <c r="G25" s="243"/>
    </row>
    <row r="26" spans="1:8" x14ac:dyDescent="0.2">
      <c r="B26" s="243"/>
      <c r="D26" s="332" t="s">
        <v>926</v>
      </c>
      <c r="E26" s="333" t="str">
        <f>IF($E$25='NITS Pg 1 of 5'!$J$23,"ok","err on NITS pg 1")</f>
        <v>ok</v>
      </c>
      <c r="F26" s="238"/>
      <c r="G26" s="243"/>
    </row>
    <row r="27" spans="1:8" x14ac:dyDescent="0.2">
      <c r="B27" s="243"/>
      <c r="D27" s="332" t="s">
        <v>927</v>
      </c>
      <c r="E27" s="333" t="str">
        <f>IF($E$25='PTP Pg 1 of 5'!$J$23,"ok","err on PTP pg 1")</f>
        <v>ok</v>
      </c>
      <c r="F27" s="238"/>
      <c r="G27" s="243"/>
    </row>
    <row r="28" spans="1:8" x14ac:dyDescent="0.2">
      <c r="B28" s="243"/>
      <c r="G28" s="243"/>
    </row>
    <row r="29" spans="1:8" ht="15" x14ac:dyDescent="0.35">
      <c r="A29" s="235" t="s">
        <v>463</v>
      </c>
      <c r="B29" s="242" t="s">
        <v>464</v>
      </c>
      <c r="C29" s="352" t="s">
        <v>433</v>
      </c>
      <c r="D29" s="352" t="s">
        <v>434</v>
      </c>
      <c r="E29" s="352" t="s">
        <v>435</v>
      </c>
      <c r="G29" s="243"/>
    </row>
    <row r="30" spans="1:8" x14ac:dyDescent="0.2">
      <c r="A30" s="251" t="s">
        <v>446</v>
      </c>
      <c r="B30" s="242" t="s">
        <v>465</v>
      </c>
      <c r="C30" s="340">
        <v>0</v>
      </c>
      <c r="D30" s="340">
        <v>0</v>
      </c>
      <c r="E30" s="16">
        <f>C30+D30</f>
        <v>0</v>
      </c>
      <c r="G30" s="243"/>
      <c r="H30" s="477" t="s">
        <v>949</v>
      </c>
    </row>
    <row r="31" spans="1:8" x14ac:dyDescent="0.2">
      <c r="A31" s="251" t="s">
        <v>448</v>
      </c>
      <c r="B31" s="242" t="s">
        <v>466</v>
      </c>
      <c r="C31" s="340">
        <v>0</v>
      </c>
      <c r="D31" s="340">
        <v>0</v>
      </c>
      <c r="E31" s="16">
        <f t="shared" ref="E31:E41" si="1">C31+D31</f>
        <v>0</v>
      </c>
      <c r="G31" s="243"/>
    </row>
    <row r="32" spans="1:8" x14ac:dyDescent="0.2">
      <c r="A32" s="251" t="s">
        <v>449</v>
      </c>
      <c r="B32" s="526" t="s">
        <v>467</v>
      </c>
      <c r="C32" s="340">
        <v>0</v>
      </c>
      <c r="D32" s="340">
        <v>0</v>
      </c>
      <c r="E32" s="16">
        <f t="shared" si="1"/>
        <v>0</v>
      </c>
      <c r="G32" s="243"/>
    </row>
    <row r="33" spans="1:7" x14ac:dyDescent="0.2">
      <c r="A33" s="251" t="s">
        <v>450</v>
      </c>
      <c r="B33" s="243" t="s">
        <v>447</v>
      </c>
      <c r="C33" s="340">
        <v>0</v>
      </c>
      <c r="D33" s="340">
        <v>0</v>
      </c>
      <c r="E33" s="16">
        <f t="shared" si="1"/>
        <v>0</v>
      </c>
      <c r="G33" s="243"/>
    </row>
    <row r="34" spans="1:7" x14ac:dyDescent="0.2">
      <c r="A34" s="251" t="s">
        <v>451</v>
      </c>
      <c r="B34" s="243"/>
      <c r="C34" s="340">
        <v>0</v>
      </c>
      <c r="D34" s="340">
        <v>0</v>
      </c>
      <c r="E34" s="16">
        <f t="shared" si="1"/>
        <v>0</v>
      </c>
      <c r="G34" s="243"/>
    </row>
    <row r="35" spans="1:7" x14ac:dyDescent="0.2">
      <c r="A35" s="251" t="s">
        <v>453</v>
      </c>
      <c r="B35" s="243"/>
      <c r="C35" s="340">
        <v>0</v>
      </c>
      <c r="D35" s="340">
        <v>0</v>
      </c>
      <c r="E35" s="16">
        <f t="shared" si="1"/>
        <v>0</v>
      </c>
      <c r="G35" s="243"/>
    </row>
    <row r="36" spans="1:7" x14ac:dyDescent="0.2">
      <c r="A36" s="251" t="s">
        <v>455</v>
      </c>
      <c r="B36" s="243"/>
      <c r="C36" s="340">
        <v>0</v>
      </c>
      <c r="D36" s="340">
        <v>0</v>
      </c>
      <c r="E36" s="16">
        <f t="shared" si="1"/>
        <v>0</v>
      </c>
      <c r="G36" s="243"/>
    </row>
    <row r="37" spans="1:7" x14ac:dyDescent="0.2">
      <c r="A37" s="251" t="s">
        <v>456</v>
      </c>
      <c r="B37" s="243"/>
      <c r="C37" s="340">
        <v>0</v>
      </c>
      <c r="D37" s="340">
        <v>0</v>
      </c>
      <c r="E37" s="16">
        <f t="shared" si="1"/>
        <v>0</v>
      </c>
      <c r="G37" s="243"/>
    </row>
    <row r="38" spans="1:7" x14ac:dyDescent="0.2">
      <c r="A38" s="251" t="s">
        <v>457</v>
      </c>
      <c r="B38" s="243"/>
      <c r="C38" s="340">
        <v>0</v>
      </c>
      <c r="D38" s="340">
        <v>0</v>
      </c>
      <c r="E38" s="16">
        <f t="shared" si="1"/>
        <v>0</v>
      </c>
      <c r="G38" s="243"/>
    </row>
    <row r="39" spans="1:7" x14ac:dyDescent="0.2">
      <c r="A39" s="251" t="s">
        <v>458</v>
      </c>
      <c r="B39" s="243"/>
      <c r="C39" s="340">
        <v>0</v>
      </c>
      <c r="D39" s="340">
        <v>0</v>
      </c>
      <c r="E39" s="16">
        <f t="shared" si="1"/>
        <v>0</v>
      </c>
      <c r="G39" s="243"/>
    </row>
    <row r="40" spans="1:7" x14ac:dyDescent="0.2">
      <c r="A40" s="251" t="s">
        <v>459</v>
      </c>
      <c r="B40" s="243"/>
      <c r="C40" s="340">
        <v>0</v>
      </c>
      <c r="D40" s="340">
        <v>0</v>
      </c>
      <c r="E40" s="16">
        <f t="shared" si="1"/>
        <v>0</v>
      </c>
      <c r="G40" s="243"/>
    </row>
    <row r="41" spans="1:7" x14ac:dyDescent="0.2">
      <c r="A41" s="251" t="s">
        <v>460</v>
      </c>
      <c r="B41" s="243"/>
      <c r="C41" s="340">
        <v>0</v>
      </c>
      <c r="D41" s="340">
        <v>0</v>
      </c>
      <c r="E41" s="16">
        <f t="shared" si="1"/>
        <v>0</v>
      </c>
      <c r="G41" s="243"/>
    </row>
    <row r="42" spans="1:7" x14ac:dyDescent="0.2">
      <c r="A42" s="251"/>
      <c r="B42" s="243"/>
      <c r="G42" s="243"/>
    </row>
    <row r="43" spans="1:7" x14ac:dyDescent="0.2">
      <c r="A43" s="251" t="s">
        <v>6</v>
      </c>
      <c r="B43" s="243"/>
      <c r="C43" s="16">
        <f>SUM(C30:C41)</f>
        <v>0</v>
      </c>
      <c r="D43" s="16">
        <f>SUM(D30:D41)</f>
        <v>0</v>
      </c>
      <c r="E43" s="16">
        <f>SUM(E30:E41)</f>
        <v>0</v>
      </c>
      <c r="F43" s="339" t="s">
        <v>468</v>
      </c>
      <c r="G43" s="243"/>
    </row>
    <row r="44" spans="1:7" x14ac:dyDescent="0.2">
      <c r="B44" s="243"/>
      <c r="D44" s="332" t="s">
        <v>926</v>
      </c>
      <c r="E44" s="333" t="str">
        <f>IF($E$43='NITS Pg 1 of 5'!$J$24,"ok","err on NITS pg 1")</f>
        <v>ok</v>
      </c>
      <c r="F44" s="238"/>
      <c r="G44" s="243"/>
    </row>
    <row r="45" spans="1:7" x14ac:dyDescent="0.2">
      <c r="B45" s="243"/>
      <c r="D45" s="332" t="s">
        <v>927</v>
      </c>
      <c r="E45" s="333" t="str">
        <f>IF($E$43='PTP Pg 1 of 5'!$J$24,"ok","err on PTP pg 1")</f>
        <v>ok</v>
      </c>
      <c r="F45" s="238"/>
      <c r="G45" s="243"/>
    </row>
    <row r="46" spans="1:7" x14ac:dyDescent="0.2">
      <c r="B46" s="243"/>
      <c r="G46" s="243"/>
    </row>
    <row r="47" spans="1:7" ht="15" x14ac:dyDescent="0.35">
      <c r="A47" s="235" t="s">
        <v>469</v>
      </c>
      <c r="B47" s="242" t="s">
        <v>470</v>
      </c>
      <c r="C47" s="352" t="s">
        <v>471</v>
      </c>
      <c r="D47" s="352" t="s">
        <v>472</v>
      </c>
      <c r="E47" s="352" t="s">
        <v>473</v>
      </c>
      <c r="F47" s="352" t="s">
        <v>435</v>
      </c>
      <c r="G47" s="243"/>
    </row>
    <row r="48" spans="1:7" x14ac:dyDescent="0.2">
      <c r="A48" s="251" t="s">
        <v>446</v>
      </c>
      <c r="B48" s="243" t="s">
        <v>447</v>
      </c>
      <c r="C48" s="340">
        <v>548000</v>
      </c>
      <c r="D48" s="340">
        <v>0</v>
      </c>
      <c r="E48" s="340">
        <v>254000</v>
      </c>
      <c r="F48" s="16">
        <f>C48+D48+E48</f>
        <v>802000</v>
      </c>
      <c r="G48" s="243"/>
    </row>
    <row r="49" spans="1:7" x14ac:dyDescent="0.2">
      <c r="A49" s="251" t="s">
        <v>448</v>
      </c>
      <c r="B49" s="242" t="s">
        <v>950</v>
      </c>
      <c r="C49" s="340">
        <v>566000</v>
      </c>
      <c r="D49" s="340">
        <v>0</v>
      </c>
      <c r="E49" s="340">
        <v>262000</v>
      </c>
      <c r="F49" s="16">
        <f t="shared" ref="F49:F59" si="2">C49+D49+E49</f>
        <v>828000</v>
      </c>
      <c r="G49" s="243"/>
    </row>
    <row r="50" spans="1:7" x14ac:dyDescent="0.2">
      <c r="A50" s="251" t="s">
        <v>449</v>
      </c>
      <c r="B50" s="526"/>
      <c r="C50" s="340">
        <v>485000</v>
      </c>
      <c r="D50" s="340">
        <v>0</v>
      </c>
      <c r="E50" s="340">
        <v>225000</v>
      </c>
      <c r="F50" s="16">
        <f t="shared" si="2"/>
        <v>710000</v>
      </c>
      <c r="G50" s="243"/>
    </row>
    <row r="51" spans="1:7" x14ac:dyDescent="0.2">
      <c r="A51" s="251" t="s">
        <v>450</v>
      </c>
      <c r="B51" s="243"/>
      <c r="C51" s="340">
        <v>281000</v>
      </c>
      <c r="D51" s="340">
        <v>0</v>
      </c>
      <c r="E51" s="340">
        <v>130000</v>
      </c>
      <c r="F51" s="16">
        <f t="shared" si="2"/>
        <v>411000</v>
      </c>
      <c r="G51" s="243"/>
    </row>
    <row r="52" spans="1:7" x14ac:dyDescent="0.2">
      <c r="A52" s="251" t="s">
        <v>451</v>
      </c>
      <c r="B52" s="243"/>
      <c r="C52" s="340">
        <v>400000</v>
      </c>
      <c r="D52" s="340">
        <v>0</v>
      </c>
      <c r="E52" s="340">
        <v>186000</v>
      </c>
      <c r="F52" s="16">
        <f t="shared" si="2"/>
        <v>586000</v>
      </c>
      <c r="G52" s="243"/>
    </row>
    <row r="53" spans="1:7" x14ac:dyDescent="0.2">
      <c r="A53" s="251" t="s">
        <v>453</v>
      </c>
      <c r="B53" s="243"/>
      <c r="C53" s="340">
        <v>525000</v>
      </c>
      <c r="D53" s="340">
        <v>0</v>
      </c>
      <c r="E53" s="340">
        <v>243000</v>
      </c>
      <c r="F53" s="16">
        <f t="shared" si="2"/>
        <v>768000</v>
      </c>
      <c r="G53" s="243"/>
    </row>
    <row r="54" spans="1:7" x14ac:dyDescent="0.2">
      <c r="A54" s="251" t="s">
        <v>455</v>
      </c>
      <c r="B54" s="243"/>
      <c r="C54" s="340">
        <v>490000</v>
      </c>
      <c r="D54" s="340">
        <v>0</v>
      </c>
      <c r="E54" s="340">
        <v>233000</v>
      </c>
      <c r="F54" s="16">
        <f t="shared" si="2"/>
        <v>723000</v>
      </c>
      <c r="G54" s="243"/>
    </row>
    <row r="55" spans="1:7" x14ac:dyDescent="0.2">
      <c r="A55" s="251" t="s">
        <v>456</v>
      </c>
      <c r="B55" s="243"/>
      <c r="C55" s="340">
        <v>548000</v>
      </c>
      <c r="D55" s="340">
        <v>0</v>
      </c>
      <c r="E55" s="340">
        <v>260000</v>
      </c>
      <c r="F55" s="16">
        <f t="shared" si="2"/>
        <v>808000</v>
      </c>
      <c r="G55" s="243"/>
    </row>
    <row r="56" spans="1:7" x14ac:dyDescent="0.2">
      <c r="A56" s="251" t="s">
        <v>457</v>
      </c>
      <c r="B56" s="243"/>
      <c r="C56" s="340">
        <v>515000</v>
      </c>
      <c r="D56" s="340">
        <v>0</v>
      </c>
      <c r="E56" s="340">
        <v>245000</v>
      </c>
      <c r="F56" s="16">
        <f t="shared" si="2"/>
        <v>760000</v>
      </c>
      <c r="G56" s="243"/>
    </row>
    <row r="57" spans="1:7" x14ac:dyDescent="0.2">
      <c r="A57" s="251" t="s">
        <v>458</v>
      </c>
      <c r="B57" s="243"/>
      <c r="C57" s="340">
        <v>315000</v>
      </c>
      <c r="D57" s="340">
        <v>0</v>
      </c>
      <c r="E57" s="340">
        <v>151000</v>
      </c>
      <c r="F57" s="16">
        <f t="shared" si="2"/>
        <v>466000</v>
      </c>
      <c r="G57" s="243"/>
    </row>
    <row r="58" spans="1:7" x14ac:dyDescent="0.2">
      <c r="A58" s="251" t="s">
        <v>459</v>
      </c>
      <c r="B58" s="243"/>
      <c r="C58" s="340">
        <v>437000</v>
      </c>
      <c r="D58" s="340">
        <v>0</v>
      </c>
      <c r="E58" s="340">
        <v>208000</v>
      </c>
      <c r="F58" s="16">
        <f t="shared" si="2"/>
        <v>645000</v>
      </c>
      <c r="G58" s="243"/>
    </row>
    <row r="59" spans="1:7" x14ac:dyDescent="0.2">
      <c r="A59" s="251" t="s">
        <v>460</v>
      </c>
      <c r="B59" s="243"/>
      <c r="C59" s="340">
        <v>425000</v>
      </c>
      <c r="D59" s="340">
        <v>0</v>
      </c>
      <c r="E59" s="340">
        <v>202000</v>
      </c>
      <c r="F59" s="16">
        <f t="shared" si="2"/>
        <v>627000</v>
      </c>
      <c r="G59" s="243"/>
    </row>
    <row r="60" spans="1:7" x14ac:dyDescent="0.2">
      <c r="A60" s="251"/>
      <c r="B60" s="243"/>
      <c r="G60" s="243"/>
    </row>
    <row r="61" spans="1:7" x14ac:dyDescent="0.2">
      <c r="A61" s="251" t="s">
        <v>461</v>
      </c>
      <c r="B61" s="243"/>
      <c r="C61" s="16">
        <f>AVERAGE(C48:C59)</f>
        <v>461250</v>
      </c>
      <c r="D61" s="16">
        <f>AVERAGE(D48:D59)</f>
        <v>0</v>
      </c>
      <c r="E61" s="16">
        <f>AVERAGE(E48:E59)</f>
        <v>216583.33333333334</v>
      </c>
      <c r="F61" s="16">
        <f>ROUND(AVERAGE(F48:F59),-3)</f>
        <v>678000</v>
      </c>
      <c r="G61" s="343" t="s">
        <v>474</v>
      </c>
    </row>
    <row r="62" spans="1:7" x14ac:dyDescent="0.2">
      <c r="B62" s="243"/>
      <c r="E62" s="332" t="s">
        <v>926</v>
      </c>
      <c r="F62" s="333" t="str">
        <f>IF($F$61='NITS Pg 1 of 5'!$J$25,"ok","err on NITS pg 1")</f>
        <v>ok</v>
      </c>
      <c r="G62" s="242"/>
    </row>
    <row r="63" spans="1:7" x14ac:dyDescent="0.2">
      <c r="B63" s="243"/>
      <c r="E63" s="332" t="s">
        <v>927</v>
      </c>
      <c r="F63" s="333" t="str">
        <f>IF($F$61='PTP Pg 1 of 5'!$J$25,"ok","err on PTP pg 1")</f>
        <v>ok</v>
      </c>
      <c r="G63" s="242"/>
    </row>
    <row r="64" spans="1:7" x14ac:dyDescent="0.2">
      <c r="B64" s="243"/>
      <c r="G64" s="243"/>
    </row>
    <row r="65" spans="1:8" ht="15" x14ac:dyDescent="0.35">
      <c r="A65" s="235" t="s">
        <v>932</v>
      </c>
      <c r="B65" s="242"/>
      <c r="C65" s="352" t="s">
        <v>433</v>
      </c>
      <c r="D65" s="352" t="s">
        <v>434</v>
      </c>
      <c r="E65" s="352" t="s">
        <v>435</v>
      </c>
      <c r="G65" s="243"/>
      <c r="H65" s="336" t="s">
        <v>475</v>
      </c>
    </row>
    <row r="66" spans="1:8" x14ac:dyDescent="0.2">
      <c r="A66" s="251" t="s">
        <v>446</v>
      </c>
      <c r="B66" s="243"/>
      <c r="C66" s="237"/>
      <c r="D66" s="237"/>
      <c r="E66" s="16">
        <f>C66+D66</f>
        <v>0</v>
      </c>
      <c r="G66" s="243"/>
      <c r="H66" s="339" t="s">
        <v>476</v>
      </c>
    </row>
    <row r="67" spans="1:8" x14ac:dyDescent="0.2">
      <c r="A67" s="251" t="s">
        <v>448</v>
      </c>
      <c r="B67" s="242"/>
      <c r="C67" s="237"/>
      <c r="D67" s="237"/>
      <c r="E67" s="16">
        <f t="shared" ref="E67:E77" si="3">C67+D67</f>
        <v>0</v>
      </c>
      <c r="G67" s="243"/>
      <c r="H67" s="336" t="s">
        <v>477</v>
      </c>
    </row>
    <row r="68" spans="1:8" x14ac:dyDescent="0.2">
      <c r="A68" s="251" t="s">
        <v>449</v>
      </c>
      <c r="B68" s="526"/>
      <c r="C68" s="237"/>
      <c r="D68" s="237"/>
      <c r="E68" s="16">
        <f t="shared" si="3"/>
        <v>0</v>
      </c>
      <c r="G68" s="243"/>
      <c r="H68" s="336" t="s">
        <v>478</v>
      </c>
    </row>
    <row r="69" spans="1:8" x14ac:dyDescent="0.2">
      <c r="A69" s="251" t="s">
        <v>450</v>
      </c>
      <c r="B69" s="243"/>
      <c r="C69" s="237"/>
      <c r="D69" s="237"/>
      <c r="E69" s="16">
        <f t="shared" si="3"/>
        <v>0</v>
      </c>
      <c r="G69" s="243"/>
      <c r="H69" s="336" t="s">
        <v>479</v>
      </c>
    </row>
    <row r="70" spans="1:8" x14ac:dyDescent="0.2">
      <c r="A70" s="251" t="s">
        <v>451</v>
      </c>
      <c r="B70" s="243"/>
      <c r="C70" s="237"/>
      <c r="D70" s="237"/>
      <c r="E70" s="16">
        <f t="shared" si="3"/>
        <v>0</v>
      </c>
      <c r="G70" s="243"/>
      <c r="H70" s="339" t="s">
        <v>480</v>
      </c>
    </row>
    <row r="71" spans="1:8" x14ac:dyDescent="0.2">
      <c r="A71" s="251" t="s">
        <v>453</v>
      </c>
      <c r="B71" s="243"/>
      <c r="C71" s="237"/>
      <c r="D71" s="237"/>
      <c r="E71" s="16">
        <f t="shared" si="3"/>
        <v>0</v>
      </c>
      <c r="G71" s="243"/>
      <c r="H71" s="336" t="s">
        <v>481</v>
      </c>
    </row>
    <row r="72" spans="1:8" x14ac:dyDescent="0.2">
      <c r="A72" s="251" t="s">
        <v>455</v>
      </c>
      <c r="B72" s="243"/>
      <c r="C72" s="237"/>
      <c r="D72" s="237"/>
      <c r="E72" s="16">
        <f t="shared" si="3"/>
        <v>0</v>
      </c>
      <c r="G72" s="243"/>
    </row>
    <row r="73" spans="1:8" x14ac:dyDescent="0.2">
      <c r="A73" s="251" t="s">
        <v>456</v>
      </c>
      <c r="B73" s="243"/>
      <c r="C73" s="237"/>
      <c r="D73" s="237"/>
      <c r="E73" s="16">
        <f t="shared" si="3"/>
        <v>0</v>
      </c>
      <c r="G73" s="243"/>
    </row>
    <row r="74" spans="1:8" x14ac:dyDescent="0.2">
      <c r="A74" s="251" t="s">
        <v>457</v>
      </c>
      <c r="B74" s="243"/>
      <c r="C74" s="237"/>
      <c r="D74" s="237"/>
      <c r="E74" s="16">
        <f t="shared" si="3"/>
        <v>0</v>
      </c>
      <c r="G74" s="243"/>
    </row>
    <row r="75" spans="1:8" x14ac:dyDescent="0.2">
      <c r="A75" s="251" t="s">
        <v>458</v>
      </c>
      <c r="B75" s="243"/>
      <c r="C75" s="237"/>
      <c r="D75" s="237"/>
      <c r="E75" s="16">
        <f t="shared" si="3"/>
        <v>0</v>
      </c>
      <c r="G75" s="243"/>
    </row>
    <row r="76" spans="1:8" x14ac:dyDescent="0.2">
      <c r="A76" s="251" t="s">
        <v>459</v>
      </c>
      <c r="B76" s="243"/>
      <c r="C76" s="237"/>
      <c r="D76" s="237"/>
      <c r="E76" s="16">
        <f t="shared" si="3"/>
        <v>0</v>
      </c>
      <c r="G76" s="243"/>
    </row>
    <row r="77" spans="1:8" x14ac:dyDescent="0.2">
      <c r="A77" s="251" t="s">
        <v>460</v>
      </c>
      <c r="B77" s="243"/>
      <c r="C77" s="237"/>
      <c r="D77" s="237"/>
      <c r="E77" s="16">
        <f t="shared" si="3"/>
        <v>0</v>
      </c>
      <c r="G77" s="243"/>
    </row>
    <row r="78" spans="1:8" x14ac:dyDescent="0.2">
      <c r="A78" s="251"/>
      <c r="B78" s="243"/>
      <c r="G78" s="243"/>
    </row>
    <row r="79" spans="1:8" x14ac:dyDescent="0.2">
      <c r="A79" s="251" t="s">
        <v>461</v>
      </c>
      <c r="B79" s="243"/>
      <c r="C79" s="16" t="str">
        <f>IFERROR(AVERAGE(C66:C77),"")</f>
        <v/>
      </c>
      <c r="D79" s="16" t="str">
        <f>IFERROR(AVERAGE(D66:D77),"")</f>
        <v/>
      </c>
      <c r="E79" s="16">
        <f>ROUND(AVERAGE(E66:E77),-3)</f>
        <v>0</v>
      </c>
      <c r="F79" s="339" t="s">
        <v>482</v>
      </c>
      <c r="G79" s="243"/>
    </row>
    <row r="80" spans="1:8" x14ac:dyDescent="0.2">
      <c r="B80" s="243"/>
      <c r="D80" s="332" t="s">
        <v>926</v>
      </c>
      <c r="E80" s="333" t="str">
        <f>IF($E$79='NITS Pg 1 of 5'!$J$26,"ok","err on NITS pg 1")</f>
        <v>ok</v>
      </c>
      <c r="F80" s="238"/>
      <c r="G80" s="243"/>
    </row>
    <row r="81" spans="1:7" x14ac:dyDescent="0.2">
      <c r="B81" s="243"/>
      <c r="D81" s="332" t="s">
        <v>927</v>
      </c>
      <c r="E81" s="333" t="str">
        <f>IF($E$79='PTP Pg 1 of 5'!$J$26,"ok","err on PTP pg 1")</f>
        <v>ok</v>
      </c>
      <c r="F81" s="238"/>
      <c r="G81" s="243"/>
    </row>
    <row r="82" spans="1:7" x14ac:dyDescent="0.2">
      <c r="B82" s="243"/>
      <c r="G82" s="243"/>
    </row>
    <row r="83" spans="1:7" ht="27.75" x14ac:dyDescent="0.35">
      <c r="A83" s="235" t="s">
        <v>483</v>
      </c>
      <c r="B83" s="242" t="s">
        <v>484</v>
      </c>
      <c r="C83" s="352" t="s">
        <v>433</v>
      </c>
      <c r="D83" s="352" t="s">
        <v>434</v>
      </c>
      <c r="E83" s="352" t="s">
        <v>435</v>
      </c>
      <c r="G83" s="243"/>
    </row>
    <row r="84" spans="1:7" x14ac:dyDescent="0.2">
      <c r="A84" s="251" t="s">
        <v>446</v>
      </c>
      <c r="B84" s="243" t="s">
        <v>447</v>
      </c>
      <c r="C84" s="340">
        <v>419000</v>
      </c>
      <c r="D84" s="340">
        <v>191000</v>
      </c>
      <c r="E84" s="16">
        <f>C84+D84</f>
        <v>610000</v>
      </c>
      <c r="G84" s="243"/>
    </row>
    <row r="85" spans="1:7" x14ac:dyDescent="0.2">
      <c r="A85" s="251" t="s">
        <v>448</v>
      </c>
      <c r="B85" s="242"/>
      <c r="C85" s="340">
        <v>419000</v>
      </c>
      <c r="D85" s="340">
        <v>191000</v>
      </c>
      <c r="E85" s="16">
        <f t="shared" ref="E85:E95" si="4">C85+D85</f>
        <v>610000</v>
      </c>
      <c r="G85" s="243"/>
    </row>
    <row r="86" spans="1:7" x14ac:dyDescent="0.2">
      <c r="A86" s="251" t="s">
        <v>449</v>
      </c>
      <c r="B86" s="526"/>
      <c r="C86" s="340">
        <v>419000</v>
      </c>
      <c r="D86" s="340">
        <v>191000</v>
      </c>
      <c r="E86" s="16">
        <f t="shared" si="4"/>
        <v>610000</v>
      </c>
      <c r="G86" s="243"/>
    </row>
    <row r="87" spans="1:7" x14ac:dyDescent="0.2">
      <c r="A87" s="251" t="s">
        <v>450</v>
      </c>
      <c r="B87" s="243"/>
      <c r="C87" s="340">
        <v>419000</v>
      </c>
      <c r="D87" s="340">
        <v>191000</v>
      </c>
      <c r="E87" s="16">
        <f t="shared" si="4"/>
        <v>610000</v>
      </c>
      <c r="G87" s="243"/>
    </row>
    <row r="88" spans="1:7" x14ac:dyDescent="0.2">
      <c r="A88" s="251" t="s">
        <v>451</v>
      </c>
      <c r="B88" s="243"/>
      <c r="C88" s="340">
        <v>419000</v>
      </c>
      <c r="D88" s="340">
        <v>191000</v>
      </c>
      <c r="E88" s="16">
        <f t="shared" si="4"/>
        <v>610000</v>
      </c>
      <c r="G88" s="243"/>
    </row>
    <row r="89" spans="1:7" x14ac:dyDescent="0.2">
      <c r="A89" s="251" t="s">
        <v>453</v>
      </c>
      <c r="B89" s="243"/>
      <c r="C89" s="340">
        <v>419000</v>
      </c>
      <c r="D89" s="340">
        <v>191000</v>
      </c>
      <c r="E89" s="16">
        <f t="shared" si="4"/>
        <v>610000</v>
      </c>
      <c r="G89" s="243"/>
    </row>
    <row r="90" spans="1:7" x14ac:dyDescent="0.2">
      <c r="A90" s="251" t="s">
        <v>455</v>
      </c>
      <c r="B90" s="243"/>
      <c r="C90" s="340">
        <v>415000</v>
      </c>
      <c r="D90" s="340">
        <v>194000</v>
      </c>
      <c r="E90" s="16">
        <f t="shared" si="4"/>
        <v>609000</v>
      </c>
      <c r="G90" s="243"/>
    </row>
    <row r="91" spans="1:7" x14ac:dyDescent="0.2">
      <c r="A91" s="251" t="s">
        <v>456</v>
      </c>
      <c r="B91" s="243"/>
      <c r="C91" s="340">
        <v>415000</v>
      </c>
      <c r="D91" s="340">
        <v>194000</v>
      </c>
      <c r="E91" s="16">
        <f t="shared" si="4"/>
        <v>609000</v>
      </c>
      <c r="G91" s="243"/>
    </row>
    <row r="92" spans="1:7" x14ac:dyDescent="0.2">
      <c r="A92" s="251" t="s">
        <v>457</v>
      </c>
      <c r="B92" s="243"/>
      <c r="C92" s="340">
        <v>415000</v>
      </c>
      <c r="D92" s="340">
        <v>194000</v>
      </c>
      <c r="E92" s="16">
        <f t="shared" si="4"/>
        <v>609000</v>
      </c>
      <c r="G92" s="243"/>
    </row>
    <row r="93" spans="1:7" x14ac:dyDescent="0.2">
      <c r="A93" s="251" t="s">
        <v>458</v>
      </c>
      <c r="B93" s="243"/>
      <c r="C93" s="340">
        <v>415000</v>
      </c>
      <c r="D93" s="340">
        <v>194000</v>
      </c>
      <c r="E93" s="16">
        <f t="shared" si="4"/>
        <v>609000</v>
      </c>
      <c r="G93" s="243"/>
    </row>
    <row r="94" spans="1:7" x14ac:dyDescent="0.2">
      <c r="A94" s="251" t="s">
        <v>459</v>
      </c>
      <c r="B94" s="243"/>
      <c r="C94" s="340">
        <v>415000</v>
      </c>
      <c r="D94" s="340">
        <v>194000</v>
      </c>
      <c r="E94" s="16">
        <f t="shared" si="4"/>
        <v>609000</v>
      </c>
      <c r="G94" s="243"/>
    </row>
    <row r="95" spans="1:7" x14ac:dyDescent="0.2">
      <c r="A95" s="251" t="s">
        <v>460</v>
      </c>
      <c r="B95" s="243"/>
      <c r="C95" s="340">
        <v>415000</v>
      </c>
      <c r="D95" s="340">
        <v>194000</v>
      </c>
      <c r="E95" s="16">
        <f t="shared" si="4"/>
        <v>609000</v>
      </c>
      <c r="G95" s="243"/>
    </row>
    <row r="96" spans="1:7" x14ac:dyDescent="0.2">
      <c r="A96" s="251"/>
      <c r="B96" s="243"/>
      <c r="G96" s="243"/>
    </row>
    <row r="97" spans="1:11" x14ac:dyDescent="0.2">
      <c r="A97" s="251" t="s">
        <v>461</v>
      </c>
      <c r="B97" s="243"/>
      <c r="C97" s="16">
        <f>AVERAGE(C84:C95)</f>
        <v>417000</v>
      </c>
      <c r="D97" s="16">
        <f>AVERAGE(D84:D95)</f>
        <v>192500</v>
      </c>
      <c r="G97" s="243"/>
    </row>
    <row r="98" spans="1:11" x14ac:dyDescent="0.2">
      <c r="A98" s="254" t="s">
        <v>485</v>
      </c>
      <c r="B98" s="243"/>
      <c r="C98" s="380"/>
      <c r="E98" s="16">
        <f>C97+D97+C98</f>
        <v>609500</v>
      </c>
      <c r="F98" s="339" t="s">
        <v>486</v>
      </c>
      <c r="G98" s="243"/>
      <c r="H98" s="339" t="s">
        <v>933</v>
      </c>
    </row>
    <row r="99" spans="1:11" x14ac:dyDescent="0.2">
      <c r="A99" s="238"/>
      <c r="B99" s="243"/>
      <c r="D99" s="332" t="s">
        <v>926</v>
      </c>
      <c r="E99" s="333" t="str">
        <f>IF($E$98='NITS Pg 1 of 5'!$J$27,"ok","err on NITS pg 1")</f>
        <v>ok</v>
      </c>
      <c r="F99" s="238"/>
      <c r="G99" s="243"/>
      <c r="H99" s="238"/>
    </row>
    <row r="100" spans="1:11" x14ac:dyDescent="0.2">
      <c r="A100" s="238"/>
      <c r="B100" s="243"/>
      <c r="D100" s="332" t="s">
        <v>927</v>
      </c>
      <c r="E100" s="333" t="str">
        <f>IF(ROUND($E$98,0)='PTP Pg 1 of 5'!$J$27,"ok","err on PTP pg 1")</f>
        <v>ok</v>
      </c>
      <c r="F100" s="238"/>
      <c r="G100" s="243"/>
      <c r="H100" s="238"/>
    </row>
    <row r="101" spans="1:11" x14ac:dyDescent="0.2">
      <c r="B101" s="243"/>
      <c r="G101" s="243"/>
    </row>
    <row r="102" spans="1:11" x14ac:dyDescent="0.2">
      <c r="A102" s="16" t="s">
        <v>487</v>
      </c>
      <c r="B102" s="243"/>
      <c r="G102" s="243"/>
    </row>
    <row r="103" spans="1:11" ht="15" x14ac:dyDescent="0.35">
      <c r="C103" s="352" t="s">
        <v>433</v>
      </c>
      <c r="D103" s="352" t="s">
        <v>434</v>
      </c>
      <c r="E103" s="352" t="s">
        <v>435</v>
      </c>
      <c r="G103" s="243"/>
    </row>
    <row r="104" spans="1:11" x14ac:dyDescent="0.2">
      <c r="A104" s="238" t="s">
        <v>488</v>
      </c>
      <c r="C104" s="332" t="s">
        <v>927</v>
      </c>
      <c r="D104" s="333" t="str">
        <f>IF(ROUND($E$104,0)='PTP Pg 1 of 5'!$J$28,"ok","err on PTP pg 1")</f>
        <v>ok</v>
      </c>
      <c r="E104" s="485">
        <f>ROUND(2000*1000/12,0)</f>
        <v>166667</v>
      </c>
      <c r="F104" s="339" t="s">
        <v>489</v>
      </c>
      <c r="G104" s="243"/>
      <c r="H104" s="339" t="s">
        <v>490</v>
      </c>
    </row>
    <row r="105" spans="1:11" x14ac:dyDescent="0.2">
      <c r="A105" s="238" t="s">
        <v>491</v>
      </c>
      <c r="C105" s="332" t="s">
        <v>927</v>
      </c>
      <c r="D105" s="333" t="str">
        <f>IF(ROUND($E$105,0)*-1='PTP Pg 1 of 5'!$J$29,"ok","err on PTP pg 1")</f>
        <v>ok</v>
      </c>
      <c r="E105" s="485">
        <v>427000</v>
      </c>
      <c r="F105" s="339" t="s">
        <v>492</v>
      </c>
      <c r="G105" s="243"/>
      <c r="H105" s="339" t="s">
        <v>493</v>
      </c>
    </row>
    <row r="106" spans="1:11" x14ac:dyDescent="0.2">
      <c r="A106" s="238"/>
      <c r="F106" s="238"/>
      <c r="G106" s="243"/>
      <c r="H106" s="336" t="s">
        <v>494</v>
      </c>
    </row>
    <row r="107" spans="1:11" x14ac:dyDescent="0.2">
      <c r="A107" s="236"/>
      <c r="B107" s="236"/>
      <c r="C107" s="236"/>
      <c r="D107" s="236"/>
      <c r="E107" s="236"/>
      <c r="F107" s="236"/>
      <c r="G107" s="236"/>
      <c r="H107" s="236"/>
      <c r="I107" s="236"/>
      <c r="J107" s="236"/>
      <c r="K107" s="236"/>
    </row>
    <row r="108" spans="1:11" ht="15" x14ac:dyDescent="0.25">
      <c r="A108" s="244" t="s">
        <v>123</v>
      </c>
    </row>
    <row r="109" spans="1:11" ht="15" x14ac:dyDescent="0.35">
      <c r="A109" s="245" t="s">
        <v>30</v>
      </c>
      <c r="B109" s="181"/>
      <c r="C109" s="352" t="s">
        <v>433</v>
      </c>
      <c r="D109" s="352" t="s">
        <v>434</v>
      </c>
      <c r="E109" s="352" t="s">
        <v>435</v>
      </c>
    </row>
    <row r="110" spans="1:11" x14ac:dyDescent="0.2">
      <c r="A110" s="246" t="s">
        <v>495</v>
      </c>
      <c r="B110" s="184" t="s">
        <v>496</v>
      </c>
      <c r="C110" s="340">
        <v>92355301</v>
      </c>
      <c r="D110" s="340">
        <v>2240</v>
      </c>
      <c r="E110" s="16">
        <f t="shared" ref="E110:E114" si="5">C110+D110</f>
        <v>92357541</v>
      </c>
      <c r="F110" s="339" t="s">
        <v>497</v>
      </c>
      <c r="G110" s="243"/>
    </row>
    <row r="111" spans="1:11" x14ac:dyDescent="0.2">
      <c r="A111" s="246" t="s">
        <v>498</v>
      </c>
      <c r="B111" s="187" t="s">
        <v>499</v>
      </c>
      <c r="C111" s="340">
        <v>6074705324</v>
      </c>
      <c r="D111" s="340">
        <v>3205686729</v>
      </c>
      <c r="E111" s="16">
        <f t="shared" si="5"/>
        <v>9280392053</v>
      </c>
      <c r="F111" s="339" t="s">
        <v>500</v>
      </c>
      <c r="G111" s="243"/>
    </row>
    <row r="112" spans="1:11" x14ac:dyDescent="0.2">
      <c r="A112" s="247" t="s">
        <v>24</v>
      </c>
      <c r="B112" s="184" t="s">
        <v>501</v>
      </c>
      <c r="C112" s="340">
        <v>807382026</v>
      </c>
      <c r="D112" s="340">
        <v>382269319</v>
      </c>
      <c r="E112" s="16">
        <f t="shared" si="5"/>
        <v>1189651345</v>
      </c>
      <c r="F112" s="339" t="s">
        <v>502</v>
      </c>
      <c r="G112" s="243"/>
      <c r="I112" s="16" t="s">
        <v>868</v>
      </c>
    </row>
    <row r="113" spans="1:14" x14ac:dyDescent="0.2">
      <c r="A113" s="247" t="s">
        <v>503</v>
      </c>
      <c r="B113" s="184" t="s">
        <v>504</v>
      </c>
      <c r="C113" s="340">
        <v>1662186831</v>
      </c>
      <c r="D113" s="340">
        <v>1232856010</v>
      </c>
      <c r="E113" s="16">
        <f t="shared" si="5"/>
        <v>2895042841</v>
      </c>
      <c r="F113" s="339" t="s">
        <v>505</v>
      </c>
      <c r="G113" s="243"/>
      <c r="H113" s="339" t="s">
        <v>867</v>
      </c>
      <c r="I113" s="340">
        <v>265943525</v>
      </c>
      <c r="J113" s="243"/>
    </row>
    <row r="114" spans="1:14" x14ac:dyDescent="0.2">
      <c r="A114" s="247" t="s">
        <v>506</v>
      </c>
      <c r="B114" s="184" t="s">
        <v>507</v>
      </c>
      <c r="C114" s="340">
        <v>177718823</v>
      </c>
      <c r="D114" s="340">
        <v>17651756</v>
      </c>
      <c r="E114" s="16">
        <f t="shared" si="5"/>
        <v>195370579</v>
      </c>
      <c r="F114" s="339" t="s">
        <v>497</v>
      </c>
      <c r="G114" s="243"/>
      <c r="H114" s="336" t="s">
        <v>866</v>
      </c>
      <c r="I114" s="382">
        <v>0.7</v>
      </c>
      <c r="J114" s="243"/>
    </row>
    <row r="115" spans="1:14" x14ac:dyDescent="0.2">
      <c r="A115" s="247" t="s">
        <v>43</v>
      </c>
      <c r="B115" s="184" t="s">
        <v>508</v>
      </c>
      <c r="C115" s="243" t="s">
        <v>509</v>
      </c>
      <c r="D115" s="243">
        <f>I115</f>
        <v>186160467.5</v>
      </c>
      <c r="E115" s="16">
        <f>D115</f>
        <v>186160467.5</v>
      </c>
      <c r="F115" s="339" t="s">
        <v>510</v>
      </c>
      <c r="G115" s="243"/>
      <c r="I115" s="16">
        <f>I113*I114</f>
        <v>186160467.5</v>
      </c>
      <c r="J115" s="243"/>
    </row>
    <row r="116" spans="1:14" x14ac:dyDescent="0.2">
      <c r="A116" s="247"/>
      <c r="B116" s="184"/>
      <c r="C116" s="333" t="s">
        <v>928</v>
      </c>
      <c r="D116" s="333"/>
      <c r="E116" s="333">
        <f>ROUND(SUM(E110:E115),0)</f>
        <v>13838974827</v>
      </c>
      <c r="F116" s="238"/>
      <c r="G116" s="243"/>
      <c r="J116" s="243"/>
    </row>
    <row r="117" spans="1:14" x14ac:dyDescent="0.2">
      <c r="B117" s="243"/>
      <c r="C117" s="333"/>
      <c r="D117" s="332" t="s">
        <v>926</v>
      </c>
      <c r="E117" s="333" t="str">
        <f>IF($E$116='NITS Pg 2 of 5'!$E$19,"ok","err on NITS pg 2")</f>
        <v>ok</v>
      </c>
      <c r="G117" s="243"/>
      <c r="J117" s="561" t="s">
        <v>1012</v>
      </c>
      <c r="K117" s="561"/>
    </row>
    <row r="118" spans="1:14" x14ac:dyDescent="0.2">
      <c r="B118" s="527"/>
      <c r="C118" s="333"/>
      <c r="D118" s="332" t="s">
        <v>927</v>
      </c>
      <c r="E118" s="333" t="str">
        <f>IF($E$116='PTP Pg 2 of 5'!$E$19,"ok","err on PTP pg 2")</f>
        <v>ok</v>
      </c>
      <c r="G118" s="243"/>
      <c r="I118" s="238"/>
      <c r="J118" s="561"/>
      <c r="K118" s="561"/>
      <c r="M118" s="238" t="s">
        <v>511</v>
      </c>
    </row>
    <row r="119" spans="1:14" ht="15" x14ac:dyDescent="0.35">
      <c r="A119" s="245" t="s">
        <v>40</v>
      </c>
      <c r="B119" s="187"/>
      <c r="C119" s="352" t="s">
        <v>433</v>
      </c>
      <c r="D119" s="352" t="s">
        <v>434</v>
      </c>
      <c r="E119" s="352" t="s">
        <v>435</v>
      </c>
      <c r="G119" s="243"/>
      <c r="J119" s="352" t="s">
        <v>433</v>
      </c>
      <c r="K119" s="352" t="s">
        <v>434</v>
      </c>
      <c r="M119" s="352" t="s">
        <v>433</v>
      </c>
      <c r="N119" s="352" t="s">
        <v>434</v>
      </c>
    </row>
    <row r="120" spans="1:14" x14ac:dyDescent="0.2">
      <c r="A120" s="246" t="s">
        <v>495</v>
      </c>
      <c r="B120" s="187" t="s">
        <v>512</v>
      </c>
      <c r="C120" s="239">
        <f>J120-M120</f>
        <v>49298609.759999998</v>
      </c>
      <c r="D120" s="239">
        <f t="shared" ref="D120:D126" si="6">K120-N120</f>
        <v>0</v>
      </c>
      <c r="E120" s="16">
        <f t="shared" ref="E120:E126" si="7">C120+D120</f>
        <v>49298609.759999998</v>
      </c>
      <c r="F120" s="339" t="s">
        <v>513</v>
      </c>
      <c r="G120" s="243"/>
      <c r="I120" s="528" t="s">
        <v>495</v>
      </c>
      <c r="J120" s="340">
        <v>44427523</v>
      </c>
      <c r="K120" s="340">
        <v>0</v>
      </c>
      <c r="L120" s="243"/>
      <c r="M120" s="338">
        <v>-4871086.76</v>
      </c>
      <c r="N120" s="379"/>
    </row>
    <row r="121" spans="1:14" x14ac:dyDescent="0.2">
      <c r="A121" s="246" t="s">
        <v>514</v>
      </c>
      <c r="B121" s="184" t="s">
        <v>515</v>
      </c>
      <c r="C121" s="239">
        <f t="shared" ref="C121:C126" si="8">J121-M121</f>
        <v>1556772298.99</v>
      </c>
      <c r="D121" s="239">
        <f t="shared" si="6"/>
        <v>893300629.51999998</v>
      </c>
      <c r="E121" s="16">
        <f t="shared" si="7"/>
        <v>2450072928.5100002</v>
      </c>
      <c r="F121" s="339" t="s">
        <v>516</v>
      </c>
      <c r="G121" s="243"/>
      <c r="I121" s="528" t="s">
        <v>517</v>
      </c>
      <c r="J121" s="340">
        <v>1515970573</v>
      </c>
      <c r="K121" s="340">
        <v>842929463</v>
      </c>
      <c r="L121" s="243"/>
      <c r="M121" s="338">
        <v>-40801725.990000002</v>
      </c>
      <c r="N121" s="338">
        <v>-50371166.520000003</v>
      </c>
    </row>
    <row r="122" spans="1:14" x14ac:dyDescent="0.2">
      <c r="A122" s="246" t="s">
        <v>518</v>
      </c>
      <c r="B122" s="184" t="s">
        <v>519</v>
      </c>
      <c r="C122" s="239">
        <f t="shared" si="8"/>
        <v>8172348.71</v>
      </c>
      <c r="D122" s="239">
        <f t="shared" si="6"/>
        <v>5220508.5299999993</v>
      </c>
      <c r="E122" s="16">
        <f t="shared" si="7"/>
        <v>13392857.239999998</v>
      </c>
      <c r="F122" s="339" t="s">
        <v>516</v>
      </c>
      <c r="G122" s="243"/>
      <c r="I122" s="528" t="s">
        <v>520</v>
      </c>
      <c r="J122" s="340">
        <v>10701471</v>
      </c>
      <c r="K122" s="340">
        <v>8761689</v>
      </c>
      <c r="L122" s="243"/>
      <c r="M122" s="338">
        <v>2529122.29</v>
      </c>
      <c r="N122" s="338">
        <v>3541180.47</v>
      </c>
    </row>
    <row r="123" spans="1:14" x14ac:dyDescent="0.2">
      <c r="A123" s="246" t="s">
        <v>521</v>
      </c>
      <c r="B123" s="184" t="s">
        <v>522</v>
      </c>
      <c r="C123" s="239">
        <f t="shared" si="8"/>
        <v>237816024.34</v>
      </c>
      <c r="D123" s="239">
        <f t="shared" si="6"/>
        <v>103097335.12</v>
      </c>
      <c r="E123" s="16">
        <f t="shared" si="7"/>
        <v>340913359.46000004</v>
      </c>
      <c r="F123" s="339" t="s">
        <v>516</v>
      </c>
      <c r="G123" s="243"/>
      <c r="I123" s="528" t="s">
        <v>523</v>
      </c>
      <c r="J123" s="340">
        <v>248160618</v>
      </c>
      <c r="K123" s="340">
        <v>107168895</v>
      </c>
      <c r="L123" s="243"/>
      <c r="M123" s="338">
        <v>10344593.66</v>
      </c>
      <c r="N123" s="338">
        <v>4071559.88</v>
      </c>
    </row>
    <row r="124" spans="1:14" x14ac:dyDescent="0.2">
      <c r="A124" s="246" t="s">
        <v>24</v>
      </c>
      <c r="B124" s="184" t="s">
        <v>524</v>
      </c>
      <c r="C124" s="239">
        <f t="shared" si="8"/>
        <v>333231626.36000001</v>
      </c>
      <c r="D124" s="239">
        <f t="shared" si="6"/>
        <v>147437907.03</v>
      </c>
      <c r="E124" s="16">
        <f t="shared" si="7"/>
        <v>480669533.38999999</v>
      </c>
      <c r="F124" s="339" t="s">
        <v>525</v>
      </c>
      <c r="G124" s="243"/>
      <c r="I124" s="528" t="s">
        <v>24</v>
      </c>
      <c r="J124" s="340">
        <v>332446842</v>
      </c>
      <c r="K124" s="340">
        <v>147408544</v>
      </c>
      <c r="L124" s="243"/>
      <c r="M124" s="338">
        <v>-784784.36</v>
      </c>
      <c r="N124" s="338">
        <v>-29363.03</v>
      </c>
    </row>
    <row r="125" spans="1:14" x14ac:dyDescent="0.2">
      <c r="A125" s="246" t="s">
        <v>503</v>
      </c>
      <c r="B125" s="184" t="s">
        <v>526</v>
      </c>
      <c r="C125" s="239">
        <f t="shared" si="8"/>
        <v>632116290.16999996</v>
      </c>
      <c r="D125" s="239">
        <f t="shared" si="6"/>
        <v>466285934.56</v>
      </c>
      <c r="E125" s="16">
        <f t="shared" si="7"/>
        <v>1098402224.73</v>
      </c>
      <c r="F125" s="339" t="s">
        <v>527</v>
      </c>
      <c r="G125" s="243"/>
      <c r="I125" s="528" t="s">
        <v>503</v>
      </c>
      <c r="J125" s="340">
        <v>638252808</v>
      </c>
      <c r="K125" s="340">
        <v>475589914</v>
      </c>
      <c r="L125" s="243"/>
      <c r="M125" s="338">
        <v>6136517.8300000001</v>
      </c>
      <c r="N125" s="338">
        <v>9303979.4399999995</v>
      </c>
    </row>
    <row r="126" spans="1:14" x14ac:dyDescent="0.2">
      <c r="A126" s="246" t="s">
        <v>506</v>
      </c>
      <c r="B126" s="184" t="s">
        <v>528</v>
      </c>
      <c r="C126" s="239">
        <f t="shared" si="8"/>
        <v>55183008.609999999</v>
      </c>
      <c r="D126" s="239">
        <f t="shared" si="6"/>
        <v>7788327.7199999997</v>
      </c>
      <c r="E126" s="16">
        <f t="shared" si="7"/>
        <v>62971336.329999998</v>
      </c>
      <c r="F126" s="339" t="s">
        <v>513</v>
      </c>
      <c r="G126" s="243"/>
      <c r="I126" s="528" t="s">
        <v>506</v>
      </c>
      <c r="J126" s="340">
        <v>59892154</v>
      </c>
      <c r="K126" s="340">
        <v>7357244</v>
      </c>
      <c r="L126" s="243"/>
      <c r="M126" s="338">
        <v>4709145.3899999997</v>
      </c>
      <c r="N126" s="338">
        <v>-431083.72</v>
      </c>
    </row>
    <row r="127" spans="1:14" x14ac:dyDescent="0.2">
      <c r="A127" s="246" t="s">
        <v>43</v>
      </c>
      <c r="B127" s="184" t="s">
        <v>508</v>
      </c>
      <c r="C127" s="243" t="s">
        <v>509</v>
      </c>
      <c r="D127" s="239">
        <f>K127-N127</f>
        <v>104974058.37199999</v>
      </c>
      <c r="E127" s="16">
        <f>D127</f>
        <v>104974058.37199999</v>
      </c>
      <c r="F127" s="339" t="s">
        <v>529</v>
      </c>
      <c r="G127" s="243"/>
      <c r="I127" s="528" t="s">
        <v>43</v>
      </c>
      <c r="J127" s="243" t="s">
        <v>509</v>
      </c>
      <c r="K127" s="340">
        <v>96876366</v>
      </c>
      <c r="L127" s="243"/>
      <c r="M127" s="243"/>
      <c r="N127" s="338">
        <f>-5198652.39*0.7-6369479.57*0.7</f>
        <v>-8097692.3719999995</v>
      </c>
    </row>
    <row r="128" spans="1:14" x14ac:dyDescent="0.2">
      <c r="A128" s="246"/>
      <c r="B128" s="184"/>
      <c r="C128" s="333" t="s">
        <v>929</v>
      </c>
      <c r="D128" s="334"/>
      <c r="E128" s="333">
        <f>ROUND(SUM(E120:E127),0)</f>
        <v>4600694908</v>
      </c>
      <c r="F128" s="238"/>
      <c r="G128" s="243"/>
      <c r="I128" s="528"/>
      <c r="J128" s="243"/>
      <c r="K128" s="240"/>
      <c r="L128" s="243"/>
      <c r="M128" s="243"/>
      <c r="N128" s="237"/>
    </row>
    <row r="129" spans="1:8" x14ac:dyDescent="0.2">
      <c r="B129" s="243"/>
      <c r="C129" s="333"/>
      <c r="D129" s="332" t="s">
        <v>926</v>
      </c>
      <c r="E129" s="333" t="str">
        <f>IF($E$128='NITS Pg 2 of 5'!$E$27,"ok","err on NITS pg 2")</f>
        <v>ok</v>
      </c>
      <c r="G129" s="243"/>
    </row>
    <row r="130" spans="1:8" x14ac:dyDescent="0.2">
      <c r="A130" s="247"/>
      <c r="B130" s="243"/>
      <c r="C130" s="333"/>
      <c r="D130" s="332" t="s">
        <v>927</v>
      </c>
      <c r="E130" s="333" t="str">
        <f>IF($E$128='PTP Pg 2 of 5'!$E$27,"ok","err on PTP pg 2")</f>
        <v>ok</v>
      </c>
      <c r="G130" s="243"/>
    </row>
    <row r="131" spans="1:8" x14ac:dyDescent="0.2">
      <c r="B131" s="243"/>
      <c r="G131" s="243"/>
    </row>
    <row r="132" spans="1:8" ht="15" x14ac:dyDescent="0.35">
      <c r="A132" s="245" t="s">
        <v>530</v>
      </c>
      <c r="B132" s="187"/>
      <c r="C132" s="352" t="s">
        <v>433</v>
      </c>
      <c r="D132" s="352" t="s">
        <v>434</v>
      </c>
      <c r="E132" s="352" t="s">
        <v>435</v>
      </c>
      <c r="G132" s="243"/>
    </row>
    <row r="133" spans="1:8" x14ac:dyDescent="0.2">
      <c r="A133" s="247" t="s">
        <v>531</v>
      </c>
      <c r="B133" s="184" t="s">
        <v>532</v>
      </c>
      <c r="C133" s="340">
        <v>0</v>
      </c>
      <c r="D133" s="340">
        <v>0</v>
      </c>
      <c r="E133" s="16">
        <f>C133+D133</f>
        <v>0</v>
      </c>
      <c r="F133" s="339" t="s">
        <v>533</v>
      </c>
      <c r="G133" s="243"/>
    </row>
    <row r="134" spans="1:8" x14ac:dyDescent="0.2">
      <c r="A134" s="247" t="s">
        <v>534</v>
      </c>
      <c r="B134" s="184" t="s">
        <v>535</v>
      </c>
      <c r="C134" s="340">
        <v>1272308390</v>
      </c>
      <c r="D134" s="340">
        <v>738214075</v>
      </c>
      <c r="E134" s="16">
        <f>C134+D134</f>
        <v>2010522465</v>
      </c>
      <c r="F134" s="339" t="s">
        <v>536</v>
      </c>
      <c r="G134" s="243"/>
    </row>
    <row r="135" spans="1:8" x14ac:dyDescent="0.2">
      <c r="A135" s="247" t="s">
        <v>537</v>
      </c>
      <c r="B135" s="184" t="s">
        <v>538</v>
      </c>
      <c r="C135" s="340">
        <v>146850085</v>
      </c>
      <c r="D135" s="340">
        <v>154021334</v>
      </c>
      <c r="F135" s="238"/>
      <c r="G135" s="243"/>
    </row>
    <row r="136" spans="1:8" x14ac:dyDescent="0.2">
      <c r="A136" s="265" t="s">
        <v>539</v>
      </c>
      <c r="B136" s="184" t="s">
        <v>540</v>
      </c>
      <c r="C136" s="340">
        <v>19581644</v>
      </c>
      <c r="D136" s="340">
        <v>36169661</v>
      </c>
      <c r="F136" s="238"/>
      <c r="G136" s="243"/>
    </row>
    <row r="137" spans="1:8" x14ac:dyDescent="0.2">
      <c r="A137" s="265" t="s">
        <v>541</v>
      </c>
      <c r="B137" s="184" t="s">
        <v>542</v>
      </c>
      <c r="C137" s="340">
        <v>5049395</v>
      </c>
      <c r="D137" s="340">
        <v>10151221</v>
      </c>
      <c r="G137" s="243"/>
      <c r="H137" s="336" t="s">
        <v>543</v>
      </c>
    </row>
    <row r="138" spans="1:8" x14ac:dyDescent="0.2">
      <c r="A138" s="247" t="s">
        <v>544</v>
      </c>
      <c r="B138" s="184"/>
      <c r="C138" s="243">
        <f>C135-C136+C137</f>
        <v>132317836</v>
      </c>
      <c r="D138" s="243">
        <f>D135-D136+D137</f>
        <v>128002894</v>
      </c>
      <c r="E138" s="16">
        <f>C138+D138</f>
        <v>260320730</v>
      </c>
      <c r="F138" s="339" t="s">
        <v>545</v>
      </c>
      <c r="G138" s="243"/>
    </row>
    <row r="139" spans="1:8" x14ac:dyDescent="0.2">
      <c r="A139" s="247" t="s">
        <v>546</v>
      </c>
      <c r="B139" s="184" t="s">
        <v>547</v>
      </c>
      <c r="C139" s="340">
        <v>372206512</v>
      </c>
      <c r="D139" s="340">
        <v>244937160</v>
      </c>
      <c r="F139" s="238"/>
      <c r="G139" s="243"/>
    </row>
    <row r="140" spans="1:8" x14ac:dyDescent="0.2">
      <c r="A140" s="265" t="s">
        <v>548</v>
      </c>
      <c r="B140" s="184" t="s">
        <v>549</v>
      </c>
      <c r="C140" s="340">
        <v>31995746</v>
      </c>
      <c r="D140" s="340">
        <v>41839523</v>
      </c>
      <c r="F140" s="238"/>
      <c r="G140" s="243"/>
    </row>
    <row r="141" spans="1:8" x14ac:dyDescent="0.2">
      <c r="A141" s="265" t="s">
        <v>550</v>
      </c>
      <c r="B141" s="184" t="s">
        <v>551</v>
      </c>
      <c r="C141" s="340">
        <v>17319755</v>
      </c>
      <c r="D141" s="340">
        <v>16312969</v>
      </c>
      <c r="G141" s="243"/>
      <c r="H141" s="336" t="s">
        <v>543</v>
      </c>
    </row>
    <row r="142" spans="1:8" x14ac:dyDescent="0.2">
      <c r="A142" s="247" t="s">
        <v>552</v>
      </c>
      <c r="B142" s="184"/>
      <c r="C142" s="243">
        <f>C139-C140+C141</f>
        <v>357530521</v>
      </c>
      <c r="D142" s="243">
        <f>D139-D140+D141</f>
        <v>219410606</v>
      </c>
      <c r="E142" s="16">
        <f>C142+D142</f>
        <v>576941127</v>
      </c>
      <c r="F142" s="339" t="s">
        <v>553</v>
      </c>
      <c r="G142" s="243"/>
      <c r="H142" s="238"/>
    </row>
    <row r="143" spans="1:8" x14ac:dyDescent="0.2">
      <c r="A143" s="349" t="s">
        <v>554</v>
      </c>
      <c r="B143" s="260" t="s">
        <v>555</v>
      </c>
      <c r="C143" s="340">
        <v>0</v>
      </c>
      <c r="D143" s="243" t="s">
        <v>509</v>
      </c>
      <c r="E143" s="16">
        <f>C143</f>
        <v>0</v>
      </c>
      <c r="F143" s="339" t="s">
        <v>556</v>
      </c>
      <c r="G143" s="243"/>
      <c r="H143" s="336" t="s">
        <v>557</v>
      </c>
    </row>
    <row r="144" spans="1:8" x14ac:dyDescent="0.2">
      <c r="B144" s="80"/>
      <c r="G144" s="243"/>
    </row>
    <row r="145" spans="1:15" x14ac:dyDescent="0.2">
      <c r="A145" s="238" t="s">
        <v>635</v>
      </c>
      <c r="B145" s="184" t="s">
        <v>558</v>
      </c>
      <c r="C145" s="340">
        <v>413450</v>
      </c>
      <c r="D145" s="340">
        <v>218085</v>
      </c>
      <c r="E145" s="16">
        <f t="shared" ref="E145:E146" si="9">C145+D145</f>
        <v>631535</v>
      </c>
      <c r="F145" s="238"/>
      <c r="G145" s="243"/>
    </row>
    <row r="146" spans="1:15" x14ac:dyDescent="0.2">
      <c r="A146" s="16" t="s">
        <v>559</v>
      </c>
      <c r="B146" s="175" t="s">
        <v>951</v>
      </c>
      <c r="C146" s="338">
        <v>43701.11</v>
      </c>
      <c r="D146" s="338">
        <v>24596.49</v>
      </c>
      <c r="E146" s="16">
        <f t="shared" si="9"/>
        <v>68297.600000000006</v>
      </c>
      <c r="F146" s="238"/>
      <c r="G146" s="243"/>
    </row>
    <row r="147" spans="1:15" x14ac:dyDescent="0.2">
      <c r="B147" s="182"/>
      <c r="C147" s="239"/>
      <c r="D147" s="239"/>
      <c r="E147" s="16">
        <f>E145-E146</f>
        <v>563237.4</v>
      </c>
      <c r="F147" s="339" t="s">
        <v>560</v>
      </c>
      <c r="G147" s="243"/>
    </row>
    <row r="148" spans="1:15" x14ac:dyDescent="0.2">
      <c r="A148" s="238" t="s">
        <v>872</v>
      </c>
      <c r="B148" s="175" t="s">
        <v>873</v>
      </c>
      <c r="C148" s="243" t="s">
        <v>509</v>
      </c>
      <c r="D148" s="340">
        <v>0</v>
      </c>
      <c r="E148" s="16">
        <f>D148</f>
        <v>0</v>
      </c>
      <c r="F148" s="238"/>
      <c r="G148" s="243"/>
      <c r="H148" s="336" t="s">
        <v>561</v>
      </c>
    </row>
    <row r="149" spans="1:15" x14ac:dyDescent="0.2">
      <c r="A149" s="16" t="s">
        <v>562</v>
      </c>
      <c r="B149" s="175" t="s">
        <v>952</v>
      </c>
      <c r="C149" s="243" t="s">
        <v>509</v>
      </c>
      <c r="D149" s="338">
        <v>0</v>
      </c>
      <c r="E149" s="16">
        <f>D149</f>
        <v>0</v>
      </c>
      <c r="F149" s="238"/>
      <c r="G149" s="243"/>
      <c r="H149" s="336" t="s">
        <v>561</v>
      </c>
    </row>
    <row r="150" spans="1:15" x14ac:dyDescent="0.2">
      <c r="B150" s="182"/>
      <c r="C150" s="239"/>
      <c r="D150" s="239"/>
      <c r="E150" s="16">
        <f>E148-E149</f>
        <v>0</v>
      </c>
      <c r="F150" s="339" t="s">
        <v>871</v>
      </c>
      <c r="G150" s="243"/>
    </row>
    <row r="151" spans="1:15" x14ac:dyDescent="0.2">
      <c r="A151" s="16" t="s">
        <v>925</v>
      </c>
      <c r="B151" s="182"/>
      <c r="C151" s="239"/>
      <c r="D151" s="239"/>
      <c r="F151" s="238"/>
      <c r="G151" s="243"/>
    </row>
    <row r="152" spans="1:15" x14ac:dyDescent="0.2">
      <c r="A152" s="251" t="s">
        <v>564</v>
      </c>
      <c r="E152" s="338">
        <v>2118536</v>
      </c>
      <c r="G152" s="243"/>
      <c r="I152" s="339" t="s">
        <v>954</v>
      </c>
    </row>
    <row r="153" spans="1:15" x14ac:dyDescent="0.2">
      <c r="A153" s="251" t="s">
        <v>566</v>
      </c>
      <c r="E153" s="239">
        <f>E152*$I$161</f>
        <v>95728.132014187548</v>
      </c>
      <c r="F153" s="238"/>
      <c r="G153" s="243"/>
    </row>
    <row r="154" spans="1:15" x14ac:dyDescent="0.2">
      <c r="A154" s="251" t="s">
        <v>1005</v>
      </c>
      <c r="E154" s="16">
        <f>E152-E153</f>
        <v>2022807.8679858125</v>
      </c>
      <c r="F154" s="238"/>
      <c r="G154" s="243"/>
    </row>
    <row r="155" spans="1:15" x14ac:dyDescent="0.2">
      <c r="A155" s="254" t="s">
        <v>570</v>
      </c>
      <c r="E155" s="338">
        <v>0</v>
      </c>
      <c r="F155" s="238"/>
      <c r="G155" s="243"/>
      <c r="H155" s="336" t="s">
        <v>563</v>
      </c>
    </row>
    <row r="156" spans="1:15" x14ac:dyDescent="0.2">
      <c r="A156" s="241" t="s">
        <v>572</v>
      </c>
      <c r="E156" s="16">
        <f>E154+E155</f>
        <v>2022807.8679858125</v>
      </c>
      <c r="F156" s="339" t="s">
        <v>870</v>
      </c>
      <c r="G156" s="243"/>
      <c r="H156" s="336" t="s">
        <v>998</v>
      </c>
    </row>
    <row r="157" spans="1:15" x14ac:dyDescent="0.2">
      <c r="A157" s="241"/>
      <c r="F157" s="238"/>
      <c r="G157" s="243"/>
    </row>
    <row r="158" spans="1:15" x14ac:dyDescent="0.2">
      <c r="A158" s="241" t="s">
        <v>924</v>
      </c>
      <c r="F158" s="238"/>
      <c r="G158" s="243"/>
    </row>
    <row r="159" spans="1:15" x14ac:dyDescent="0.2">
      <c r="A159" s="251" t="s">
        <v>564</v>
      </c>
      <c r="E159" s="338">
        <v>8056328.6920770183</v>
      </c>
      <c r="G159" s="243"/>
      <c r="L159" s="336" t="s">
        <v>565</v>
      </c>
      <c r="M159" s="239">
        <f>C124</f>
        <v>333231626.36000001</v>
      </c>
      <c r="N159" s="239">
        <f>D124</f>
        <v>147437907.03</v>
      </c>
      <c r="O159" s="16">
        <f>M159+N159</f>
        <v>480669533.38999999</v>
      </c>
    </row>
    <row r="160" spans="1:15" x14ac:dyDescent="0.2">
      <c r="A160" s="251" t="s">
        <v>566</v>
      </c>
      <c r="E160" s="239">
        <f>E159*$I$161</f>
        <v>364033.13259006961</v>
      </c>
      <c r="G160" s="243"/>
      <c r="H160" s="336" t="s">
        <v>567</v>
      </c>
      <c r="L160" s="336" t="s">
        <v>568</v>
      </c>
      <c r="M160" s="239">
        <f>C208</f>
        <v>14686805.800000001</v>
      </c>
      <c r="N160" s="239">
        <f>D208</f>
        <v>7032719.6399999997</v>
      </c>
      <c r="O160" s="16">
        <f>M160+N160</f>
        <v>21719525.440000001</v>
      </c>
    </row>
    <row r="161" spans="1:10" x14ac:dyDescent="0.2">
      <c r="A161" s="251" t="s">
        <v>569</v>
      </c>
      <c r="E161" s="16">
        <f>E159-E160</f>
        <v>7692295.5594869489</v>
      </c>
      <c r="G161" s="243"/>
      <c r="H161" s="252">
        <f>E160/E159</f>
        <v>4.5185983157325409E-2</v>
      </c>
      <c r="I161" s="248">
        <f>O160/O159</f>
        <v>4.5185983157325409E-2</v>
      </c>
      <c r="J161" s="253"/>
    </row>
    <row r="162" spans="1:10" x14ac:dyDescent="0.2">
      <c r="A162" s="254" t="s">
        <v>570</v>
      </c>
      <c r="E162" s="338">
        <v>0</v>
      </c>
      <c r="G162" s="243"/>
      <c r="H162" s="336" t="s">
        <v>571</v>
      </c>
      <c r="I162" s="339" t="s">
        <v>953</v>
      </c>
    </row>
    <row r="163" spans="1:10" x14ac:dyDescent="0.2">
      <c r="A163" s="241" t="s">
        <v>572</v>
      </c>
      <c r="E163" s="16">
        <f>E161+E162</f>
        <v>7692295.5594869489</v>
      </c>
      <c r="F163" s="339" t="s">
        <v>869</v>
      </c>
      <c r="G163" s="243"/>
      <c r="I163" s="339" t="s">
        <v>1004</v>
      </c>
    </row>
    <row r="164" spans="1:10" x14ac:dyDescent="0.2">
      <c r="A164" s="241"/>
      <c r="F164" s="339"/>
      <c r="G164" s="243"/>
      <c r="I164" s="339"/>
    </row>
    <row r="165" spans="1:10" x14ac:dyDescent="0.2">
      <c r="A165" s="241" t="s">
        <v>573</v>
      </c>
      <c r="B165" s="238" t="s">
        <v>574</v>
      </c>
      <c r="C165" s="338">
        <v>0</v>
      </c>
      <c r="D165" s="338">
        <v>0</v>
      </c>
      <c r="E165" s="16">
        <f t="shared" ref="E165" si="10">C165+D165</f>
        <v>0</v>
      </c>
      <c r="F165" s="339" t="s">
        <v>575</v>
      </c>
      <c r="G165" s="243"/>
      <c r="H165" s="339" t="s">
        <v>576</v>
      </c>
    </row>
    <row r="166" spans="1:10" x14ac:dyDescent="0.2">
      <c r="A166" s="241"/>
      <c r="B166" s="238"/>
      <c r="C166" s="332" t="s">
        <v>923</v>
      </c>
      <c r="D166" s="332"/>
      <c r="E166" s="333">
        <f>ROUND(E133-E134-E138+E142-E143-E147-E150-E156-E163,0)</f>
        <v>-1704180409</v>
      </c>
      <c r="F166" s="238"/>
      <c r="G166" s="243"/>
      <c r="H166" s="339" t="s">
        <v>999</v>
      </c>
    </row>
    <row r="167" spans="1:10" x14ac:dyDescent="0.2">
      <c r="A167" s="241"/>
      <c r="B167" s="238"/>
      <c r="C167" s="332"/>
      <c r="D167" s="332" t="s">
        <v>926</v>
      </c>
      <c r="E167" s="333" t="str">
        <f>IF(E166='NITS Pg 2 of 5'!$E$47,"ok","err on NITS pg 2")</f>
        <v>ok</v>
      </c>
      <c r="F167" s="238"/>
      <c r="G167" s="243"/>
    </row>
    <row r="168" spans="1:10" x14ac:dyDescent="0.2">
      <c r="A168" s="241"/>
      <c r="B168" s="242"/>
      <c r="C168" s="332"/>
      <c r="D168" s="332" t="s">
        <v>927</v>
      </c>
      <c r="E168" s="333" t="str">
        <f>IF(E166='PTP Pg 2 of 5'!$E$47,"ok","err on PTP pg 2")</f>
        <v>ok</v>
      </c>
      <c r="F168" s="238"/>
      <c r="G168" s="243"/>
    </row>
    <row r="169" spans="1:10" x14ac:dyDescent="0.2">
      <c r="A169" s="241" t="s">
        <v>24</v>
      </c>
      <c r="B169" s="242" t="s">
        <v>577</v>
      </c>
      <c r="C169" s="340">
        <v>5816467</v>
      </c>
      <c r="D169" s="340">
        <v>3003481</v>
      </c>
      <c r="F169" s="238"/>
      <c r="G169" s="243"/>
    </row>
    <row r="170" spans="1:10" x14ac:dyDescent="0.2">
      <c r="A170" s="241" t="s">
        <v>578</v>
      </c>
      <c r="B170" s="242" t="s">
        <v>579</v>
      </c>
      <c r="C170" s="340">
        <v>9371630</v>
      </c>
      <c r="D170" s="340">
        <v>5546728</v>
      </c>
      <c r="F170" s="238"/>
      <c r="G170" s="243"/>
    </row>
    <row r="171" spans="1:10" x14ac:dyDescent="0.2">
      <c r="A171" s="241"/>
      <c r="B171" s="242"/>
      <c r="C171" s="255">
        <f>C170*C176</f>
        <v>1323591.8411437063</v>
      </c>
      <c r="D171" s="255">
        <f>D170*D176</f>
        <v>528269.03095408424</v>
      </c>
      <c r="F171" s="238"/>
      <c r="G171" s="243"/>
    </row>
    <row r="172" spans="1:10" x14ac:dyDescent="0.2">
      <c r="A172" s="241"/>
      <c r="B172" s="242"/>
      <c r="C172" s="256">
        <f>C169+C171</f>
        <v>7140058.8411437068</v>
      </c>
      <c r="D172" s="256">
        <f>D169+D171</f>
        <v>3531750.0309540844</v>
      </c>
      <c r="E172" s="16">
        <f>C172+D172</f>
        <v>10671808.87209779</v>
      </c>
      <c r="F172" s="339" t="s">
        <v>920</v>
      </c>
      <c r="G172" s="243"/>
    </row>
    <row r="173" spans="1:10" x14ac:dyDescent="0.2">
      <c r="A173" s="241"/>
      <c r="B173" s="242"/>
      <c r="C173" s="256"/>
      <c r="D173" s="332" t="s">
        <v>926</v>
      </c>
      <c r="E173" s="333" t="str">
        <f>IF(E172='NITS Pg 2 of 5'!$E$53,"ok","err on NITS pg 2")</f>
        <v>ok</v>
      </c>
      <c r="F173" s="238"/>
      <c r="G173" s="243"/>
    </row>
    <row r="174" spans="1:10" x14ac:dyDescent="0.2">
      <c r="A174" s="241"/>
      <c r="B174" s="242"/>
      <c r="C174" s="256"/>
      <c r="D174" s="332" t="s">
        <v>927</v>
      </c>
      <c r="E174" s="333" t="str">
        <f>IF(E172='PTP Pg 2 of 5'!$E$53,"ok","err on PTP pg 2")</f>
        <v>ok</v>
      </c>
      <c r="F174" s="238"/>
      <c r="G174" s="243"/>
    </row>
    <row r="175" spans="1:10" x14ac:dyDescent="0.2">
      <c r="A175" s="241" t="s">
        <v>580</v>
      </c>
      <c r="B175" s="242" t="s">
        <v>581</v>
      </c>
      <c r="C175" s="340">
        <v>41183222</v>
      </c>
      <c r="D175" s="340">
        <f>32048293-512293</f>
        <v>31536000</v>
      </c>
      <c r="E175" s="243">
        <f>C175+D175</f>
        <v>72719222</v>
      </c>
      <c r="F175" s="238"/>
      <c r="G175" s="243"/>
    </row>
    <row r="176" spans="1:10" x14ac:dyDescent="0.2">
      <c r="A176" s="251"/>
      <c r="B176" s="242" t="s">
        <v>582</v>
      </c>
      <c r="C176" s="257">
        <f>C169/C175</f>
        <v>0.1412338986007457</v>
      </c>
      <c r="D176" s="257">
        <f>D169/D175</f>
        <v>9.5239757737189248E-2</v>
      </c>
      <c r="E176" s="243"/>
      <c r="F176" s="238"/>
      <c r="G176" s="243"/>
    </row>
    <row r="177" spans="1:13" x14ac:dyDescent="0.2">
      <c r="A177" s="251"/>
      <c r="B177" s="242"/>
      <c r="C177" s="256"/>
      <c r="D177" s="256"/>
      <c r="F177" s="238"/>
      <c r="G177" s="243"/>
    </row>
    <row r="178" spans="1:13" x14ac:dyDescent="0.2">
      <c r="A178" s="241" t="s">
        <v>583</v>
      </c>
      <c r="B178" s="242" t="s">
        <v>584</v>
      </c>
      <c r="C178" s="340">
        <v>7513311</v>
      </c>
      <c r="D178" s="340">
        <v>6472537</v>
      </c>
      <c r="E178" s="16">
        <f t="shared" ref="E178" si="11">C178+D178</f>
        <v>13985848</v>
      </c>
      <c r="F178" s="339" t="s">
        <v>585</v>
      </c>
      <c r="G178" s="243"/>
    </row>
    <row r="179" spans="1:13" x14ac:dyDescent="0.2">
      <c r="A179" s="241"/>
      <c r="B179" s="242"/>
      <c r="D179" s="332" t="s">
        <v>926</v>
      </c>
      <c r="E179" s="333" t="str">
        <f>IF(E178='NITS Pg 2 of 5'!$E$54,"ok","err on NITS pg 2")</f>
        <v>ok</v>
      </c>
      <c r="F179" s="238"/>
      <c r="G179" s="243"/>
    </row>
    <row r="180" spans="1:13" x14ac:dyDescent="0.2">
      <c r="A180" s="241"/>
      <c r="B180" s="238"/>
      <c r="D180" s="332" t="s">
        <v>927</v>
      </c>
      <c r="E180" s="333" t="str">
        <f>IF(E178='PTP Pg 2 of 5'!$E$54,"ok","err on PTP pg 2")</f>
        <v>ok</v>
      </c>
      <c r="F180" s="238"/>
      <c r="G180" s="243"/>
    </row>
    <row r="181" spans="1:13" x14ac:dyDescent="0.2">
      <c r="A181" s="236"/>
      <c r="B181" s="236"/>
      <c r="C181" s="236"/>
      <c r="D181" s="236"/>
      <c r="E181" s="236"/>
      <c r="F181" s="236"/>
      <c r="G181" s="236"/>
      <c r="H181" s="236"/>
      <c r="I181" s="236"/>
      <c r="J181" s="236"/>
      <c r="K181" s="236"/>
    </row>
    <row r="182" spans="1:13" ht="15" x14ac:dyDescent="0.25">
      <c r="A182" s="258" t="s">
        <v>124</v>
      </c>
    </row>
    <row r="183" spans="1:13" ht="15" x14ac:dyDescent="0.35">
      <c r="A183" s="245" t="s">
        <v>55</v>
      </c>
      <c r="B183" s="181"/>
      <c r="C183" s="352" t="s">
        <v>433</v>
      </c>
      <c r="D183" s="352" t="s">
        <v>434</v>
      </c>
      <c r="E183" s="352" t="s">
        <v>435</v>
      </c>
    </row>
    <row r="184" spans="1:13" x14ac:dyDescent="0.2">
      <c r="A184" s="250" t="s">
        <v>586</v>
      </c>
      <c r="B184" s="184" t="s">
        <v>587</v>
      </c>
      <c r="C184" s="340">
        <v>31782982</v>
      </c>
      <c r="D184" s="340">
        <v>14487246</v>
      </c>
      <c r="G184" s="243"/>
      <c r="H184" s="336" t="s">
        <v>588</v>
      </c>
    </row>
    <row r="185" spans="1:13" x14ac:dyDescent="0.2">
      <c r="A185" s="247" t="s">
        <v>589</v>
      </c>
      <c r="B185" s="187"/>
      <c r="C185" s="243"/>
      <c r="D185" s="243"/>
      <c r="G185" s="243"/>
      <c r="H185" s="336" t="s">
        <v>590</v>
      </c>
    </row>
    <row r="186" spans="1:13" x14ac:dyDescent="0.2">
      <c r="A186" s="265" t="s">
        <v>591</v>
      </c>
      <c r="B186" s="187"/>
      <c r="C186" s="379"/>
      <c r="D186" s="379"/>
      <c r="E186" s="336" t="s">
        <v>874</v>
      </c>
      <c r="G186" s="243"/>
      <c r="H186" s="336" t="s">
        <v>592</v>
      </c>
    </row>
    <row r="187" spans="1:13" x14ac:dyDescent="0.2">
      <c r="A187" s="265" t="s">
        <v>593</v>
      </c>
      <c r="B187" s="187"/>
      <c r="C187" s="239"/>
      <c r="D187" s="239"/>
      <c r="G187" s="243"/>
      <c r="H187" s="336" t="s">
        <v>594</v>
      </c>
    </row>
    <row r="188" spans="1:13" x14ac:dyDescent="0.2">
      <c r="A188" s="265" t="s">
        <v>595</v>
      </c>
      <c r="B188" s="187"/>
      <c r="C188" s="338">
        <v>76391.55</v>
      </c>
      <c r="D188" s="338">
        <v>3481.66</v>
      </c>
      <c r="E188" s="336" t="s">
        <v>875</v>
      </c>
      <c r="G188" s="243"/>
      <c r="H188" s="336" t="s">
        <v>596</v>
      </c>
    </row>
    <row r="189" spans="1:13" ht="15" x14ac:dyDescent="0.35">
      <c r="A189" s="250" t="s">
        <v>597</v>
      </c>
      <c r="B189" s="187"/>
      <c r="C189" s="243">
        <f>C184-SUM(C186:C188)</f>
        <v>31706590.449999999</v>
      </c>
      <c r="D189" s="243">
        <f>D184-SUM(D186:D188)</f>
        <v>14483764.34</v>
      </c>
      <c r="E189" s="16">
        <f>C189+D189</f>
        <v>46190354.789999999</v>
      </c>
      <c r="F189" s="339" t="s">
        <v>598</v>
      </c>
      <c r="G189" s="243"/>
      <c r="H189" s="339" t="s">
        <v>599</v>
      </c>
      <c r="I189" s="559" t="s">
        <v>433</v>
      </c>
      <c r="J189" s="560"/>
      <c r="K189" s="559" t="s">
        <v>434</v>
      </c>
      <c r="L189" s="560"/>
      <c r="M189" s="243"/>
    </row>
    <row r="190" spans="1:13" x14ac:dyDescent="0.2">
      <c r="A190" s="247" t="s">
        <v>600</v>
      </c>
      <c r="B190" s="184" t="s">
        <v>601</v>
      </c>
      <c r="C190" s="340">
        <v>3381568</v>
      </c>
      <c r="D190" s="340">
        <v>792961</v>
      </c>
      <c r="E190" s="16">
        <f>C190+D190</f>
        <v>4174529</v>
      </c>
      <c r="F190" s="339" t="s">
        <v>602</v>
      </c>
      <c r="G190" s="243"/>
      <c r="I190" s="478">
        <v>2421324</v>
      </c>
      <c r="J190" s="479">
        <v>35310</v>
      </c>
      <c r="K190" s="478">
        <v>1373412</v>
      </c>
      <c r="L190" s="479">
        <v>18190</v>
      </c>
      <c r="M190" s="243"/>
    </row>
    <row r="191" spans="1:13" x14ac:dyDescent="0.2">
      <c r="A191" s="247"/>
      <c r="B191" s="184"/>
      <c r="C191" s="175"/>
      <c r="D191" s="175"/>
      <c r="F191" s="238"/>
      <c r="G191" s="243"/>
      <c r="I191" s="478">
        <v>25448</v>
      </c>
      <c r="J191" s="479">
        <v>9280</v>
      </c>
      <c r="K191" s="478">
        <v>13703</v>
      </c>
      <c r="L191" s="479">
        <v>7760</v>
      </c>
      <c r="M191" s="243"/>
    </row>
    <row r="192" spans="1:13" x14ac:dyDescent="0.2">
      <c r="A192" s="250" t="s">
        <v>56</v>
      </c>
      <c r="B192" s="184" t="s">
        <v>603</v>
      </c>
      <c r="C192" s="340">
        <v>120848660</v>
      </c>
      <c r="D192" s="340">
        <v>84250434</v>
      </c>
      <c r="E192" s="16">
        <f>C192+D192</f>
        <v>205099094</v>
      </c>
      <c r="F192" s="339" t="s">
        <v>604</v>
      </c>
      <c r="G192" s="243"/>
      <c r="I192" s="478">
        <v>13795</v>
      </c>
      <c r="J192" s="479"/>
      <c r="K192" s="478">
        <v>97560</v>
      </c>
      <c r="L192" s="479"/>
      <c r="M192" s="243"/>
    </row>
    <row r="193" spans="1:14" x14ac:dyDescent="0.2">
      <c r="A193" s="250"/>
      <c r="B193" s="184"/>
      <c r="C193" s="175"/>
      <c r="D193" s="175"/>
      <c r="F193" s="238"/>
      <c r="G193" s="243"/>
      <c r="I193" s="478">
        <v>102440</v>
      </c>
      <c r="J193" s="479"/>
      <c r="K193" s="478">
        <v>52500</v>
      </c>
      <c r="L193" s="479"/>
      <c r="M193" s="243"/>
    </row>
    <row r="194" spans="1:14" x14ac:dyDescent="0.2">
      <c r="A194" s="250" t="s">
        <v>605</v>
      </c>
      <c r="B194" s="187" t="s">
        <v>606</v>
      </c>
      <c r="C194" s="340">
        <v>406748</v>
      </c>
      <c r="D194" s="340">
        <v>350592</v>
      </c>
      <c r="E194" s="16">
        <f>C194+D194</f>
        <v>757340</v>
      </c>
      <c r="F194" s="339" t="s">
        <v>607</v>
      </c>
      <c r="G194" s="243"/>
      <c r="I194" s="480">
        <v>97500</v>
      </c>
      <c r="J194" s="481"/>
      <c r="K194" s="480">
        <v>5220</v>
      </c>
      <c r="L194" s="481"/>
      <c r="M194" s="243"/>
    </row>
    <row r="195" spans="1:14" x14ac:dyDescent="0.2">
      <c r="A195" s="259" t="s">
        <v>608</v>
      </c>
      <c r="B195" s="184" t="s">
        <v>609</v>
      </c>
      <c r="C195" s="239">
        <f>SUM(I190:J194)</f>
        <v>2705097</v>
      </c>
      <c r="D195" s="239">
        <f>SUM(K190:L194)</f>
        <v>1568345</v>
      </c>
      <c r="G195" s="243"/>
      <c r="H195" s="345" t="s">
        <v>610</v>
      </c>
      <c r="M195" s="243"/>
    </row>
    <row r="196" spans="1:14" x14ac:dyDescent="0.2">
      <c r="A196" s="259" t="s">
        <v>611</v>
      </c>
      <c r="B196" s="184" t="s">
        <v>612</v>
      </c>
      <c r="C196" s="340">
        <v>118945</v>
      </c>
      <c r="D196" s="340">
        <v>116028</v>
      </c>
      <c r="F196" s="238"/>
      <c r="G196" s="243"/>
      <c r="H196" s="346" t="s">
        <v>613</v>
      </c>
      <c r="I196" s="339" t="s">
        <v>614</v>
      </c>
    </row>
    <row r="197" spans="1:14" x14ac:dyDescent="0.2">
      <c r="A197" s="259" t="s">
        <v>877</v>
      </c>
      <c r="B197" s="184" t="s">
        <v>956</v>
      </c>
      <c r="C197" s="340">
        <v>1665507</v>
      </c>
      <c r="D197" s="340">
        <v>1209879</v>
      </c>
      <c r="F197" s="238"/>
      <c r="G197" s="243"/>
      <c r="I197" s="260"/>
    </row>
    <row r="198" spans="1:14" x14ac:dyDescent="0.2">
      <c r="A198" s="259" t="s">
        <v>615</v>
      </c>
      <c r="B198" s="184" t="s">
        <v>1009</v>
      </c>
      <c r="C198" s="340">
        <v>47507</v>
      </c>
      <c r="D198" s="340">
        <v>30527</v>
      </c>
      <c r="F198" s="238"/>
      <c r="G198" s="243"/>
      <c r="H198" s="339" t="s">
        <v>876</v>
      </c>
      <c r="I198" s="260"/>
    </row>
    <row r="199" spans="1:14" x14ac:dyDescent="0.2">
      <c r="A199" s="259" t="s">
        <v>616</v>
      </c>
      <c r="B199" s="184" t="s">
        <v>1010</v>
      </c>
      <c r="C199" s="340">
        <v>0</v>
      </c>
      <c r="D199" s="340">
        <v>188645</v>
      </c>
      <c r="F199" s="238"/>
      <c r="G199" s="243"/>
      <c r="I199" s="260"/>
    </row>
    <row r="200" spans="1:14" x14ac:dyDescent="0.2">
      <c r="A200" s="250"/>
      <c r="B200" s="184"/>
      <c r="C200" s="243">
        <f>-C194+SUM(C195:C197)-SUM(C198:C199)</f>
        <v>4035294</v>
      </c>
      <c r="D200" s="243">
        <f>-D194+SUM(D195:D197)-SUM(D198:D199)</f>
        <v>2324488</v>
      </c>
      <c r="E200" s="16">
        <f>C200+D200</f>
        <v>6359782</v>
      </c>
      <c r="F200" s="339" t="s">
        <v>617</v>
      </c>
      <c r="G200" s="243"/>
      <c r="H200" s="347" t="s">
        <v>618</v>
      </c>
    </row>
    <row r="201" spans="1:14" ht="25.5" x14ac:dyDescent="0.2">
      <c r="A201" s="261" t="s">
        <v>619</v>
      </c>
      <c r="B201" s="262" t="s">
        <v>620</v>
      </c>
      <c r="C201" s="338">
        <v>231846</v>
      </c>
      <c r="D201" s="338">
        <v>213861</v>
      </c>
      <c r="E201" s="16">
        <f>C201+D201</f>
        <v>445707</v>
      </c>
      <c r="F201" s="339" t="s">
        <v>623</v>
      </c>
      <c r="G201" s="243"/>
      <c r="H201" s="346" t="s">
        <v>621</v>
      </c>
    </row>
    <row r="202" spans="1:14" x14ac:dyDescent="0.2">
      <c r="A202" s="245" t="s">
        <v>37</v>
      </c>
      <c r="B202" s="175" t="s">
        <v>622</v>
      </c>
      <c r="C202" s="243" t="s">
        <v>509</v>
      </c>
      <c r="D202" s="340">
        <v>0</v>
      </c>
      <c r="E202" s="16">
        <f>D202</f>
        <v>0</v>
      </c>
      <c r="F202" s="339" t="s">
        <v>626</v>
      </c>
      <c r="G202" s="243"/>
      <c r="H202" s="347" t="s">
        <v>624</v>
      </c>
    </row>
    <row r="203" spans="1:14" x14ac:dyDescent="0.2">
      <c r="A203" s="245" t="s">
        <v>625</v>
      </c>
      <c r="B203" s="181"/>
      <c r="C203" s="338">
        <v>0</v>
      </c>
      <c r="D203" s="338">
        <v>0</v>
      </c>
      <c r="E203" s="16">
        <f>C203+D203</f>
        <v>0</v>
      </c>
      <c r="F203" s="339" t="s">
        <v>1006</v>
      </c>
      <c r="G203" s="243"/>
      <c r="H203" s="336" t="s">
        <v>627</v>
      </c>
    </row>
    <row r="204" spans="1:14" x14ac:dyDescent="0.2">
      <c r="B204" s="181"/>
      <c r="C204" s="333" t="s">
        <v>921</v>
      </c>
      <c r="D204" s="333"/>
      <c r="E204" s="333">
        <f>ROUND(E189-E190+E192-E194-E200+E201+E202+E203,0)</f>
        <v>240443505</v>
      </c>
      <c r="G204" s="243"/>
    </row>
    <row r="205" spans="1:14" x14ac:dyDescent="0.2">
      <c r="A205" s="245"/>
      <c r="B205" s="181"/>
      <c r="C205" s="333"/>
      <c r="D205" s="332" t="s">
        <v>926</v>
      </c>
      <c r="E205" s="333" t="str">
        <f>IF(E204='NITS Pg 3 of 5'!E22,"ok","err on NITS pg 3")</f>
        <v>ok</v>
      </c>
      <c r="G205" s="243"/>
      <c r="J205" s="561" t="s">
        <v>1011</v>
      </c>
      <c r="K205" s="561"/>
    </row>
    <row r="206" spans="1:14" x14ac:dyDescent="0.2">
      <c r="B206" s="181"/>
      <c r="C206" s="333"/>
      <c r="D206" s="332" t="s">
        <v>927</v>
      </c>
      <c r="E206" s="333" t="str">
        <f>IF(E204='PTP Pg 3 of 5'!E22,"ok","err on PTP pg 3")</f>
        <v>ok</v>
      </c>
      <c r="G206" s="243"/>
      <c r="J206" s="561"/>
      <c r="K206" s="561"/>
      <c r="M206" s="238" t="s">
        <v>955</v>
      </c>
    </row>
    <row r="207" spans="1:14" ht="15" x14ac:dyDescent="0.35">
      <c r="A207" s="245" t="s">
        <v>628</v>
      </c>
      <c r="B207" s="181"/>
      <c r="G207" s="243"/>
      <c r="J207" s="352" t="s">
        <v>433</v>
      </c>
      <c r="K207" s="352" t="s">
        <v>434</v>
      </c>
      <c r="L207" s="243"/>
      <c r="M207" s="352" t="s">
        <v>433</v>
      </c>
      <c r="N207" s="352" t="s">
        <v>434</v>
      </c>
    </row>
    <row r="208" spans="1:14" x14ac:dyDescent="0.2">
      <c r="A208" s="245" t="s">
        <v>24</v>
      </c>
      <c r="B208" s="184" t="s">
        <v>629</v>
      </c>
      <c r="C208" s="239">
        <f t="shared" ref="C208:D210" si="12">J208-M208</f>
        <v>14686805.800000001</v>
      </c>
      <c r="D208" s="239">
        <f t="shared" si="12"/>
        <v>7032719.6399999997</v>
      </c>
      <c r="E208" s="16">
        <f>C208+D208</f>
        <v>21719525.440000001</v>
      </c>
      <c r="F208" s="339" t="s">
        <v>632</v>
      </c>
      <c r="G208" s="243"/>
      <c r="I208" s="336" t="s">
        <v>24</v>
      </c>
      <c r="J208" s="340">
        <v>14413824</v>
      </c>
      <c r="K208" s="340">
        <v>7018552</v>
      </c>
      <c r="L208" s="243"/>
      <c r="M208" s="338">
        <v>-272981.8</v>
      </c>
      <c r="N208" s="338">
        <v>-14167.64</v>
      </c>
    </row>
    <row r="209" spans="1:14" x14ac:dyDescent="0.2">
      <c r="A209" s="245" t="s">
        <v>506</v>
      </c>
      <c r="B209" s="184" t="s">
        <v>630</v>
      </c>
      <c r="C209" s="239">
        <f t="shared" si="12"/>
        <v>9534030.3200000003</v>
      </c>
      <c r="D209" s="239">
        <f t="shared" si="12"/>
        <v>798625.83</v>
      </c>
      <c r="G209" s="243"/>
      <c r="I209" s="336" t="s">
        <v>506</v>
      </c>
      <c r="J209" s="340">
        <v>11533606</v>
      </c>
      <c r="K209" s="340">
        <v>856655</v>
      </c>
      <c r="L209" s="243"/>
      <c r="M209" s="338">
        <v>1999575.68</v>
      </c>
      <c r="N209" s="338">
        <v>58029.17</v>
      </c>
    </row>
    <row r="210" spans="1:14" x14ac:dyDescent="0.2">
      <c r="A210" s="245" t="s">
        <v>495</v>
      </c>
      <c r="B210" s="184" t="s">
        <v>631</v>
      </c>
      <c r="C210" s="239">
        <f t="shared" si="12"/>
        <v>12976036.68</v>
      </c>
      <c r="D210" s="239">
        <f t="shared" si="12"/>
        <v>0</v>
      </c>
      <c r="G210" s="243"/>
      <c r="I210" s="336" t="s">
        <v>495</v>
      </c>
      <c r="J210" s="340">
        <v>10864312</v>
      </c>
      <c r="K210" s="521"/>
      <c r="L210" s="243"/>
      <c r="M210" s="338">
        <v>-2111724.6800000002</v>
      </c>
      <c r="N210" s="379"/>
    </row>
    <row r="211" spans="1:14" x14ac:dyDescent="0.2">
      <c r="A211" s="245"/>
      <c r="B211" s="184"/>
      <c r="C211" s="243">
        <f>C209+C210</f>
        <v>22510067</v>
      </c>
      <c r="D211" s="243">
        <f>D209+D210</f>
        <v>798625.83</v>
      </c>
      <c r="E211" s="16">
        <f>C211+D211</f>
        <v>23308692.829999998</v>
      </c>
      <c r="F211" s="339" t="s">
        <v>634</v>
      </c>
      <c r="G211" s="243"/>
      <c r="I211" s="336" t="s">
        <v>43</v>
      </c>
      <c r="J211" s="378"/>
      <c r="K211" s="340">
        <v>15838253</v>
      </c>
      <c r="L211" s="243"/>
      <c r="N211" s="338">
        <f>-1883537.14-1499749.61</f>
        <v>-3383286.75</v>
      </c>
    </row>
    <row r="212" spans="1:14" x14ac:dyDescent="0.2">
      <c r="A212" s="245" t="s">
        <v>43</v>
      </c>
      <c r="B212" s="184" t="s">
        <v>633</v>
      </c>
      <c r="C212" s="243" t="s">
        <v>509</v>
      </c>
      <c r="D212" s="239">
        <f>K211-N211</f>
        <v>19221539.75</v>
      </c>
      <c r="E212" s="16">
        <f>D212</f>
        <v>19221539.75</v>
      </c>
      <c r="F212" s="339" t="s">
        <v>1007</v>
      </c>
      <c r="G212" s="243"/>
      <c r="L212" s="243"/>
      <c r="M212" s="243"/>
    </row>
    <row r="213" spans="1:14" x14ac:dyDescent="0.2">
      <c r="A213" s="245"/>
      <c r="B213" s="184"/>
      <c r="C213" s="175"/>
      <c r="D213" s="175"/>
      <c r="F213" s="238"/>
      <c r="G213" s="243"/>
      <c r="L213" s="243"/>
    </row>
    <row r="214" spans="1:14" x14ac:dyDescent="0.2">
      <c r="A214" s="245" t="s">
        <v>635</v>
      </c>
      <c r="B214" s="184" t="s">
        <v>636</v>
      </c>
      <c r="C214" s="338">
        <v>0</v>
      </c>
      <c r="D214" s="338">
        <v>0</v>
      </c>
      <c r="E214" s="16">
        <f>C214+D214</f>
        <v>0</v>
      </c>
      <c r="F214" s="339" t="s">
        <v>632</v>
      </c>
      <c r="G214" s="243"/>
      <c r="L214" s="243"/>
    </row>
    <row r="215" spans="1:14" x14ac:dyDescent="0.2">
      <c r="A215" s="245" t="s">
        <v>637</v>
      </c>
      <c r="B215" s="184" t="s">
        <v>638</v>
      </c>
      <c r="C215" s="243" t="s">
        <v>509</v>
      </c>
      <c r="D215" s="338">
        <v>0</v>
      </c>
      <c r="E215" s="16">
        <f>D215</f>
        <v>0</v>
      </c>
      <c r="F215" s="339" t="s">
        <v>1007</v>
      </c>
      <c r="G215" s="243"/>
      <c r="H215" s="336" t="s">
        <v>639</v>
      </c>
    </row>
    <row r="216" spans="1:14" x14ac:dyDescent="0.2">
      <c r="B216" s="243"/>
      <c r="G216" s="243"/>
    </row>
    <row r="217" spans="1:14" x14ac:dyDescent="0.2">
      <c r="B217" s="243"/>
      <c r="C217" s="332" t="s">
        <v>922</v>
      </c>
      <c r="D217" s="333"/>
      <c r="E217" s="333">
        <f>ROUND(E208+E211+E212-E214-E215,0)</f>
        <v>64249758</v>
      </c>
      <c r="G217" s="243"/>
    </row>
    <row r="218" spans="1:14" x14ac:dyDescent="0.2">
      <c r="B218" s="243"/>
      <c r="C218" s="333"/>
      <c r="D218" s="332" t="s">
        <v>926</v>
      </c>
      <c r="E218" s="333" t="str">
        <f>IF(E217='NITS Pg 3 of 5'!E28,"ok","err on NITS pg 3")</f>
        <v>ok</v>
      </c>
      <c r="G218" s="243"/>
    </row>
    <row r="219" spans="1:14" x14ac:dyDescent="0.2">
      <c r="B219" s="243"/>
      <c r="C219" s="333"/>
      <c r="D219" s="332" t="s">
        <v>927</v>
      </c>
      <c r="E219" s="333" t="str">
        <f>IF(E217='PTP Pg 3 of 5'!E28,"ok","err on PTP pg 3")</f>
        <v>ok</v>
      </c>
      <c r="G219" s="243"/>
    </row>
    <row r="220" spans="1:14" x14ac:dyDescent="0.2">
      <c r="A220" s="245" t="s">
        <v>640</v>
      </c>
      <c r="B220" s="80"/>
      <c r="G220" s="243"/>
      <c r="H220" s="345" t="s">
        <v>641</v>
      </c>
    </row>
    <row r="221" spans="1:14" x14ac:dyDescent="0.2">
      <c r="A221" s="245" t="s">
        <v>57</v>
      </c>
      <c r="B221" s="80"/>
      <c r="G221" s="243"/>
      <c r="H221" s="345" t="s">
        <v>642</v>
      </c>
    </row>
    <row r="222" spans="1:14" x14ac:dyDescent="0.2">
      <c r="A222" s="250" t="s">
        <v>59</v>
      </c>
      <c r="B222" s="187" t="s">
        <v>58</v>
      </c>
      <c r="G222" s="243"/>
      <c r="H222" s="345" t="s">
        <v>643</v>
      </c>
    </row>
    <row r="223" spans="1:14" x14ac:dyDescent="0.2">
      <c r="A223" s="263" t="s">
        <v>644</v>
      </c>
      <c r="B223" s="184" t="s">
        <v>645</v>
      </c>
      <c r="C223" s="340">
        <v>9348184</v>
      </c>
      <c r="D223" s="340">
        <v>6749475</v>
      </c>
      <c r="G223" s="243"/>
      <c r="H223" s="347" t="s">
        <v>646</v>
      </c>
    </row>
    <row r="224" spans="1:14" x14ac:dyDescent="0.2">
      <c r="A224" s="263" t="s">
        <v>647</v>
      </c>
      <c r="B224" s="184" t="s">
        <v>1002</v>
      </c>
      <c r="C224" s="340">
        <v>222990</v>
      </c>
      <c r="D224" s="340">
        <v>159007</v>
      </c>
      <c r="G224" s="243"/>
      <c r="H224" s="348" t="s">
        <v>648</v>
      </c>
    </row>
    <row r="225" spans="1:8" x14ac:dyDescent="0.2">
      <c r="A225" s="263" t="s">
        <v>649</v>
      </c>
      <c r="B225" s="184" t="s">
        <v>1000</v>
      </c>
      <c r="C225" s="338" t="s">
        <v>509</v>
      </c>
      <c r="D225" s="338">
        <f>ROUND(58593.16*79%,0)</f>
        <v>46289</v>
      </c>
      <c r="G225" s="243"/>
      <c r="H225" s="186"/>
    </row>
    <row r="226" spans="1:8" x14ac:dyDescent="0.2">
      <c r="A226" s="264" t="s">
        <v>650</v>
      </c>
      <c r="B226" s="187"/>
      <c r="C226" s="243">
        <f>SUM(C223:C224)</f>
        <v>9571174</v>
      </c>
      <c r="D226" s="243">
        <f>SUM(D223:D225)</f>
        <v>6954771</v>
      </c>
      <c r="E226" s="16">
        <f>C226+D226</f>
        <v>16525945</v>
      </c>
      <c r="F226" s="339" t="s">
        <v>653</v>
      </c>
      <c r="G226" s="243"/>
      <c r="H226" s="185"/>
    </row>
    <row r="227" spans="1:8" x14ac:dyDescent="0.2">
      <c r="A227" s="245" t="s">
        <v>651</v>
      </c>
      <c r="B227" s="184" t="s">
        <v>1001</v>
      </c>
      <c r="C227" s="338">
        <v>62321</v>
      </c>
      <c r="D227" s="338">
        <f>ROUND((12524.4+307.99+23384.63)*79%,0)</f>
        <v>28611</v>
      </c>
      <c r="E227" s="16">
        <f>C227+D227</f>
        <v>90932</v>
      </c>
      <c r="F227" s="339" t="s">
        <v>1008</v>
      </c>
      <c r="G227" s="243"/>
      <c r="H227" s="345" t="s">
        <v>654</v>
      </c>
    </row>
    <row r="228" spans="1:8" x14ac:dyDescent="0.2">
      <c r="A228" s="245" t="s">
        <v>60</v>
      </c>
      <c r="B228" s="187" t="s">
        <v>0</v>
      </c>
      <c r="G228" s="243"/>
    </row>
    <row r="229" spans="1:8" x14ac:dyDescent="0.2">
      <c r="A229" s="265" t="s">
        <v>61</v>
      </c>
      <c r="B229" s="184" t="s">
        <v>957</v>
      </c>
      <c r="C229" s="340">
        <v>25680955</v>
      </c>
      <c r="D229" s="340">
        <v>19235773</v>
      </c>
      <c r="E229" s="16">
        <f>C229+D229</f>
        <v>44916728</v>
      </c>
      <c r="F229" s="339" t="s">
        <v>656</v>
      </c>
      <c r="G229" s="243"/>
      <c r="H229" s="345" t="s">
        <v>654</v>
      </c>
    </row>
    <row r="230" spans="1:8" x14ac:dyDescent="0.2">
      <c r="A230" s="265" t="s">
        <v>655</v>
      </c>
      <c r="B230" s="184" t="s">
        <v>652</v>
      </c>
      <c r="C230" s="243" t="s">
        <v>509</v>
      </c>
      <c r="D230" s="243" t="s">
        <v>509</v>
      </c>
      <c r="E230" s="16">
        <v>0</v>
      </c>
      <c r="F230" s="339"/>
      <c r="G230" s="243"/>
      <c r="H230" s="345"/>
    </row>
    <row r="231" spans="1:8" x14ac:dyDescent="0.2">
      <c r="A231" s="265" t="s">
        <v>41</v>
      </c>
      <c r="B231" s="187" t="str">
        <f>+B230</f>
        <v>Page 262-3, Col.(i)</v>
      </c>
      <c r="G231" s="243"/>
    </row>
    <row r="232" spans="1:8" x14ac:dyDescent="0.2">
      <c r="A232" s="266" t="s">
        <v>657</v>
      </c>
      <c r="B232" s="184" t="s">
        <v>658</v>
      </c>
      <c r="C232" s="340">
        <v>2951355</v>
      </c>
      <c r="D232" s="340">
        <v>2121000</v>
      </c>
      <c r="G232" s="243"/>
    </row>
    <row r="233" spans="1:8" x14ac:dyDescent="0.2">
      <c r="A233" s="267" t="s">
        <v>659</v>
      </c>
      <c r="B233" s="184" t="s">
        <v>878</v>
      </c>
      <c r="C233" s="340">
        <v>34857</v>
      </c>
      <c r="D233" s="340">
        <v>0</v>
      </c>
      <c r="G233" s="243"/>
    </row>
    <row r="234" spans="1:8" x14ac:dyDescent="0.2">
      <c r="A234" s="267" t="s">
        <v>660</v>
      </c>
      <c r="B234" s="184" t="s">
        <v>1014</v>
      </c>
      <c r="C234" s="338">
        <v>508</v>
      </c>
      <c r="D234" s="338" t="s">
        <v>509</v>
      </c>
      <c r="G234" s="243"/>
    </row>
    <row r="235" spans="1:8" x14ac:dyDescent="0.2">
      <c r="A235" s="268" t="s">
        <v>661</v>
      </c>
      <c r="B235" s="243"/>
      <c r="C235" s="243">
        <f>SUM(C232:C234)</f>
        <v>2986720</v>
      </c>
      <c r="D235" s="243">
        <f>SUM(D232:D233)</f>
        <v>2121000</v>
      </c>
      <c r="E235" s="16">
        <f>C235+D235</f>
        <v>5107720</v>
      </c>
      <c r="F235" s="339" t="s">
        <v>662</v>
      </c>
      <c r="G235" s="243"/>
      <c r="H235" s="345" t="s">
        <v>654</v>
      </c>
    </row>
    <row r="236" spans="1:8" x14ac:dyDescent="0.2">
      <c r="A236" s="268"/>
      <c r="B236" s="243"/>
      <c r="C236" s="332" t="s">
        <v>661</v>
      </c>
      <c r="D236" s="333"/>
      <c r="E236" s="333">
        <f>ROUND(E226+E227+E229+E230+E235,0)</f>
        <v>66641325</v>
      </c>
      <c r="F236" s="238"/>
      <c r="G236" s="243"/>
      <c r="H236" s="185"/>
    </row>
    <row r="237" spans="1:8" x14ac:dyDescent="0.2">
      <c r="B237" s="243"/>
      <c r="C237" s="333"/>
      <c r="D237" s="332" t="s">
        <v>926</v>
      </c>
      <c r="E237" s="333" t="str">
        <f>IF(E236='NITS Pg 3 of 5'!E38,"ok","err on NITS pg 3")</f>
        <v>ok</v>
      </c>
      <c r="G237" s="243"/>
    </row>
    <row r="238" spans="1:8" x14ac:dyDescent="0.2">
      <c r="B238" s="243"/>
      <c r="C238" s="333"/>
      <c r="D238" s="332" t="s">
        <v>927</v>
      </c>
      <c r="E238" s="333" t="str">
        <f>IF(E236='PTP Pg 3 of 5'!E38,"ok","err on PTP pg 3")</f>
        <v>ok</v>
      </c>
    </row>
    <row r="239" spans="1:8" x14ac:dyDescent="0.2">
      <c r="A239" s="16" t="s">
        <v>663</v>
      </c>
      <c r="B239" s="243"/>
    </row>
    <row r="240" spans="1:8" x14ac:dyDescent="0.2">
      <c r="A240" s="185" t="s">
        <v>104</v>
      </c>
      <c r="B240" s="269">
        <v>0.35</v>
      </c>
      <c r="C240" s="185"/>
      <c r="F240" s="339" t="s">
        <v>1003</v>
      </c>
    </row>
    <row r="241" spans="1:11" x14ac:dyDescent="0.2">
      <c r="A241" s="185" t="s">
        <v>105</v>
      </c>
      <c r="B241" s="269">
        <v>0.06</v>
      </c>
      <c r="C241" s="185" t="s">
        <v>106</v>
      </c>
      <c r="F241" s="339" t="s">
        <v>1003</v>
      </c>
    </row>
    <row r="242" spans="1:11" x14ac:dyDescent="0.2">
      <c r="A242" s="185" t="s">
        <v>107</v>
      </c>
      <c r="B242" s="269">
        <v>0</v>
      </c>
      <c r="C242" s="185" t="s">
        <v>108</v>
      </c>
      <c r="F242" s="339" t="s">
        <v>1003</v>
      </c>
    </row>
    <row r="243" spans="1:11" x14ac:dyDescent="0.2">
      <c r="A243" s="185"/>
      <c r="B243" s="185"/>
      <c r="C243" s="185"/>
    </row>
    <row r="244" spans="1:11" ht="15" x14ac:dyDescent="0.35">
      <c r="B244" s="243"/>
      <c r="C244" s="352" t="s">
        <v>433</v>
      </c>
      <c r="D244" s="352" t="s">
        <v>434</v>
      </c>
    </row>
    <row r="245" spans="1:11" x14ac:dyDescent="0.2">
      <c r="A245" s="270" t="s">
        <v>664</v>
      </c>
      <c r="B245" s="242" t="s">
        <v>665</v>
      </c>
      <c r="C245" s="475">
        <v>-19453420</v>
      </c>
      <c r="D245" s="475">
        <v>-12314375</v>
      </c>
      <c r="E245" s="183"/>
      <c r="G245" s="243"/>
    </row>
    <row r="246" spans="1:11" x14ac:dyDescent="0.2">
      <c r="A246" s="249" t="s">
        <v>666</v>
      </c>
      <c r="B246" s="242" t="s">
        <v>667</v>
      </c>
      <c r="C246" s="475">
        <v>1153593</v>
      </c>
      <c r="D246" s="475">
        <v>1867677</v>
      </c>
      <c r="E246" s="183"/>
      <c r="G246" s="243"/>
    </row>
    <row r="247" spans="1:11" x14ac:dyDescent="0.2">
      <c r="A247" s="175" t="s">
        <v>668</v>
      </c>
      <c r="B247" s="243"/>
      <c r="C247" s="271">
        <f>C226+C227+C229+C235+C245+C246</f>
        <v>20001343</v>
      </c>
      <c r="D247" s="484">
        <f>D226+D227+D229+D235+D245+D246</f>
        <v>17893457</v>
      </c>
      <c r="E247" s="483" t="s">
        <v>669</v>
      </c>
    </row>
    <row r="248" spans="1:11" ht="15.75" x14ac:dyDescent="0.25">
      <c r="A248" s="272"/>
      <c r="B248" s="243"/>
    </row>
    <row r="249" spans="1:11" x14ac:dyDescent="0.2">
      <c r="B249" s="243"/>
    </row>
    <row r="250" spans="1:11" x14ac:dyDescent="0.2">
      <c r="A250" s="16" t="s">
        <v>670</v>
      </c>
      <c r="B250" s="243" t="s">
        <v>671</v>
      </c>
      <c r="C250" s="475">
        <v>0</v>
      </c>
      <c r="D250" s="475">
        <v>0</v>
      </c>
      <c r="E250" s="16">
        <f>C250+D250</f>
        <v>0</v>
      </c>
      <c r="F250" s="339" t="s">
        <v>672</v>
      </c>
      <c r="G250" s="243"/>
      <c r="H250" s="344" t="s">
        <v>673</v>
      </c>
    </row>
    <row r="252" spans="1:11" x14ac:dyDescent="0.2">
      <c r="A252" s="236"/>
      <c r="B252" s="236"/>
      <c r="C252" s="236"/>
      <c r="D252" s="236"/>
      <c r="E252" s="236"/>
      <c r="F252" s="236"/>
      <c r="G252" s="236"/>
      <c r="H252" s="236"/>
      <c r="I252" s="236"/>
      <c r="J252" s="236"/>
      <c r="K252" s="236"/>
    </row>
    <row r="253" spans="1:11" ht="15" x14ac:dyDescent="0.25">
      <c r="A253" s="258" t="s">
        <v>125</v>
      </c>
    </row>
    <row r="255" spans="1:11" ht="15" x14ac:dyDescent="0.35">
      <c r="A255" s="273" t="s">
        <v>674</v>
      </c>
      <c r="C255" s="352" t="s">
        <v>433</v>
      </c>
      <c r="D255" s="352" t="s">
        <v>434</v>
      </c>
    </row>
    <row r="256" spans="1:11" x14ac:dyDescent="0.2">
      <c r="A256" s="350" t="s">
        <v>675</v>
      </c>
      <c r="B256" s="243"/>
    </row>
    <row r="257" spans="1:8" x14ac:dyDescent="0.2">
      <c r="A257" s="350" t="s">
        <v>676</v>
      </c>
      <c r="B257" s="242" t="s">
        <v>677</v>
      </c>
      <c r="C257" s="475">
        <v>509431</v>
      </c>
      <c r="D257" s="475">
        <v>265644</v>
      </c>
      <c r="E257" s="16">
        <f t="shared" ref="E257:E264" si="13">C257+D257</f>
        <v>775075</v>
      </c>
      <c r="F257" s="336" t="s">
        <v>678</v>
      </c>
      <c r="G257" s="243"/>
    </row>
    <row r="258" spans="1:8" x14ac:dyDescent="0.2">
      <c r="A258" s="350" t="s">
        <v>679</v>
      </c>
      <c r="B258" s="242" t="s">
        <v>680</v>
      </c>
      <c r="C258" s="475">
        <v>1989765</v>
      </c>
      <c r="D258" s="475">
        <v>1048600</v>
      </c>
      <c r="E258" s="16">
        <f t="shared" si="13"/>
        <v>3038365</v>
      </c>
      <c r="F258" s="336" t="s">
        <v>681</v>
      </c>
      <c r="G258" s="243"/>
    </row>
    <row r="259" spans="1:8" x14ac:dyDescent="0.2">
      <c r="A259" s="350" t="s">
        <v>682</v>
      </c>
      <c r="B259" s="242" t="s">
        <v>683</v>
      </c>
      <c r="C259" s="475">
        <v>708930</v>
      </c>
      <c r="D259" s="475">
        <v>365206</v>
      </c>
      <c r="E259" s="16">
        <f t="shared" si="13"/>
        <v>1074136</v>
      </c>
      <c r="F259" s="336" t="s">
        <v>684</v>
      </c>
      <c r="G259" s="243"/>
    </row>
    <row r="260" spans="1:8" x14ac:dyDescent="0.2">
      <c r="A260" s="350" t="s">
        <v>685</v>
      </c>
      <c r="B260" s="242" t="s">
        <v>686</v>
      </c>
      <c r="C260" s="475">
        <v>0</v>
      </c>
      <c r="D260" s="475">
        <v>0</v>
      </c>
      <c r="E260" s="16">
        <f t="shared" si="13"/>
        <v>0</v>
      </c>
      <c r="F260" s="336" t="s">
        <v>687</v>
      </c>
      <c r="G260" s="243"/>
    </row>
    <row r="261" spans="1:8" x14ac:dyDescent="0.2">
      <c r="A261" s="350" t="s">
        <v>688</v>
      </c>
      <c r="B261" s="242" t="s">
        <v>689</v>
      </c>
      <c r="C261" s="475">
        <v>918887</v>
      </c>
      <c r="D261" s="475">
        <v>460299</v>
      </c>
      <c r="E261" s="16">
        <f t="shared" si="13"/>
        <v>1379186</v>
      </c>
      <c r="F261" s="336" t="s">
        <v>690</v>
      </c>
      <c r="G261" s="243"/>
    </row>
    <row r="262" spans="1:8" x14ac:dyDescent="0.2">
      <c r="A262" s="350" t="s">
        <v>691</v>
      </c>
      <c r="B262" s="242" t="s">
        <v>692</v>
      </c>
      <c r="C262" s="475">
        <v>9085</v>
      </c>
      <c r="D262" s="475">
        <v>-936</v>
      </c>
      <c r="E262" s="16">
        <f t="shared" si="13"/>
        <v>8149</v>
      </c>
      <c r="F262" s="336" t="s">
        <v>693</v>
      </c>
      <c r="G262" s="243"/>
    </row>
    <row r="263" spans="1:8" x14ac:dyDescent="0.2">
      <c r="A263" s="350" t="s">
        <v>694</v>
      </c>
      <c r="B263" s="242" t="s">
        <v>695</v>
      </c>
      <c r="C263" s="475">
        <v>0</v>
      </c>
      <c r="D263" s="475">
        <v>0</v>
      </c>
      <c r="E263" s="16">
        <f t="shared" si="13"/>
        <v>0</v>
      </c>
      <c r="F263" s="336" t="s">
        <v>696</v>
      </c>
      <c r="G263" s="243"/>
    </row>
    <row r="264" spans="1:8" x14ac:dyDescent="0.2">
      <c r="A264" s="350" t="s">
        <v>697</v>
      </c>
      <c r="B264" s="242" t="s">
        <v>698</v>
      </c>
      <c r="C264" s="475">
        <v>0</v>
      </c>
      <c r="D264" s="475">
        <v>0</v>
      </c>
      <c r="E264" s="16">
        <f t="shared" si="13"/>
        <v>0</v>
      </c>
      <c r="F264" s="336" t="s">
        <v>699</v>
      </c>
      <c r="G264" s="243"/>
    </row>
    <row r="265" spans="1:8" x14ac:dyDescent="0.2">
      <c r="A265" s="264" t="s">
        <v>6</v>
      </c>
      <c r="B265" s="243"/>
      <c r="C265" s="274">
        <f>SUM(C256:C264)</f>
        <v>4136098</v>
      </c>
      <c r="D265" s="274">
        <f>SUM(D256:D264)</f>
        <v>2138813</v>
      </c>
      <c r="E265" s="16">
        <f>C265+D265</f>
        <v>6274911</v>
      </c>
      <c r="F265" s="339" t="s">
        <v>700</v>
      </c>
      <c r="G265" s="243"/>
      <c r="H265" s="336" t="s">
        <v>701</v>
      </c>
    </row>
    <row r="266" spans="1:8" x14ac:dyDescent="0.2">
      <c r="A266" s="183"/>
      <c r="B266" s="243"/>
      <c r="C266" s="183"/>
      <c r="D266" s="332" t="s">
        <v>926</v>
      </c>
      <c r="E266" s="333" t="str">
        <f>IF(E265='NITS Pg 4 of 5'!J20,"ok","err on NITS pg 4")</f>
        <v>ok</v>
      </c>
      <c r="G266" s="243"/>
    </row>
    <row r="267" spans="1:8" x14ac:dyDescent="0.2">
      <c r="A267" s="183"/>
      <c r="B267" s="243"/>
      <c r="C267" s="183"/>
      <c r="D267" s="332" t="s">
        <v>927</v>
      </c>
      <c r="E267" s="333" t="str">
        <f>IF(E265='PTP Pg 4 of 5'!J20,"ok","err on PTP pg 4")</f>
        <v>ok</v>
      </c>
      <c r="G267" s="243"/>
    </row>
    <row r="268" spans="1:8" ht="15" x14ac:dyDescent="0.35">
      <c r="A268" s="183" t="s">
        <v>702</v>
      </c>
      <c r="B268" s="243"/>
      <c r="C268" s="352" t="s">
        <v>433</v>
      </c>
      <c r="D268" s="352" t="s">
        <v>434</v>
      </c>
      <c r="G268" s="243"/>
    </row>
    <row r="269" spans="1:8" x14ac:dyDescent="0.2">
      <c r="A269" s="247" t="s">
        <v>498</v>
      </c>
      <c r="B269" s="184" t="s">
        <v>703</v>
      </c>
      <c r="C269" s="475">
        <v>44284843</v>
      </c>
      <c r="D269" s="475">
        <v>35088724</v>
      </c>
      <c r="E269" s="243">
        <f t="shared" ref="E269" si="14">C269+D269</f>
        <v>79373567</v>
      </c>
      <c r="F269" s="339" t="s">
        <v>704</v>
      </c>
      <c r="G269" s="243"/>
    </row>
    <row r="270" spans="1:8" x14ac:dyDescent="0.2">
      <c r="A270" s="247" t="s">
        <v>24</v>
      </c>
      <c r="B270" s="184" t="s">
        <v>705</v>
      </c>
      <c r="C270" s="475">
        <v>5940240</v>
      </c>
      <c r="D270" s="475">
        <v>3256660</v>
      </c>
      <c r="E270" s="243">
        <f>C270+D270</f>
        <v>9196900</v>
      </c>
      <c r="F270" s="339" t="s">
        <v>706</v>
      </c>
      <c r="G270" s="243"/>
    </row>
    <row r="271" spans="1:8" x14ac:dyDescent="0.2">
      <c r="A271" s="247" t="s">
        <v>503</v>
      </c>
      <c r="B271" s="184" t="s">
        <v>707</v>
      </c>
      <c r="C271" s="475">
        <v>16009783</v>
      </c>
      <c r="D271" s="475">
        <v>10793951</v>
      </c>
      <c r="E271" s="243">
        <f>C271+D271</f>
        <v>26803734</v>
      </c>
      <c r="F271" s="339" t="s">
        <v>708</v>
      </c>
      <c r="G271" s="243"/>
    </row>
    <row r="272" spans="1:8" x14ac:dyDescent="0.2">
      <c r="A272" s="247" t="s">
        <v>41</v>
      </c>
      <c r="B272" s="187"/>
      <c r="C272" s="476"/>
      <c r="D272" s="476"/>
      <c r="E272" s="243"/>
      <c r="F272" s="238"/>
      <c r="G272" s="243"/>
    </row>
    <row r="273" spans="1:7" x14ac:dyDescent="0.2">
      <c r="A273" s="246" t="s">
        <v>709</v>
      </c>
      <c r="B273" s="184" t="s">
        <v>710</v>
      </c>
      <c r="C273" s="475">
        <v>12088541</v>
      </c>
      <c r="D273" s="475">
        <v>4111598</v>
      </c>
      <c r="E273" s="243"/>
      <c r="G273" s="243"/>
    </row>
    <row r="274" spans="1:7" x14ac:dyDescent="0.2">
      <c r="A274" s="246" t="s">
        <v>711</v>
      </c>
      <c r="B274" s="184" t="s">
        <v>712</v>
      </c>
      <c r="C274" s="475">
        <v>1086053</v>
      </c>
      <c r="D274" s="475">
        <v>744996</v>
      </c>
      <c r="E274" s="243"/>
      <c r="G274" s="243"/>
    </row>
    <row r="275" spans="1:7" x14ac:dyDescent="0.2">
      <c r="A275" s="246" t="s">
        <v>713</v>
      </c>
      <c r="B275" s="184" t="s">
        <v>714</v>
      </c>
      <c r="C275" s="475">
        <v>0</v>
      </c>
      <c r="D275" s="475">
        <v>0</v>
      </c>
      <c r="E275" s="243"/>
      <c r="G275" s="243"/>
    </row>
    <row r="276" spans="1:7" x14ac:dyDescent="0.2">
      <c r="B276" s="243"/>
      <c r="C276" s="16">
        <f>SUM(C273:C275)</f>
        <v>13174594</v>
      </c>
      <c r="D276" s="16">
        <f>SUM(D273:D275)</f>
        <v>4856594</v>
      </c>
      <c r="E276" s="243">
        <f t="shared" ref="E276" si="15">C276+D276</f>
        <v>18031188</v>
      </c>
      <c r="F276" s="339" t="s">
        <v>715</v>
      </c>
      <c r="G276" s="243"/>
    </row>
    <row r="277" spans="1:7" x14ac:dyDescent="0.2">
      <c r="B277" s="243"/>
      <c r="C277" s="333" t="s">
        <v>930</v>
      </c>
      <c r="D277" s="333"/>
      <c r="E277" s="333">
        <f>SUM(E269:E276)</f>
        <v>133405389</v>
      </c>
      <c r="G277" s="243"/>
    </row>
    <row r="278" spans="1:7" x14ac:dyDescent="0.2">
      <c r="C278" s="333"/>
      <c r="D278" s="332" t="s">
        <v>926</v>
      </c>
      <c r="E278" s="333" t="str">
        <f>IF(E277='NITS Pg 4 of 5'!E33,"ok","err on NITS pg 4")</f>
        <v>ok</v>
      </c>
      <c r="G278" s="243"/>
    </row>
    <row r="279" spans="1:7" x14ac:dyDescent="0.2">
      <c r="C279" s="335"/>
      <c r="D279" s="332" t="s">
        <v>927</v>
      </c>
      <c r="E279" s="333" t="str">
        <f>IF(E277='PTP Pg 4 of 5'!E33,"ok","err on PTP pg 4")</f>
        <v>ok</v>
      </c>
      <c r="G279" s="243"/>
    </row>
    <row r="280" spans="1:7" ht="15" x14ac:dyDescent="0.35">
      <c r="A280" s="245" t="s">
        <v>716</v>
      </c>
      <c r="B280" s="187"/>
      <c r="C280" s="352" t="s">
        <v>433</v>
      </c>
      <c r="D280" s="352" t="s">
        <v>434</v>
      </c>
      <c r="G280" s="243"/>
    </row>
    <row r="281" spans="1:7" x14ac:dyDescent="0.2">
      <c r="A281" s="245" t="s">
        <v>71</v>
      </c>
      <c r="B281" s="184" t="s">
        <v>717</v>
      </c>
      <c r="C281" s="475">
        <v>7232591744</v>
      </c>
      <c r="D281" s="475">
        <v>3748677590</v>
      </c>
      <c r="E281" s="16">
        <f>C281+D281</f>
        <v>10981269334</v>
      </c>
      <c r="F281" s="339" t="s">
        <v>718</v>
      </c>
      <c r="G281" s="243"/>
    </row>
    <row r="282" spans="1:7" x14ac:dyDescent="0.2">
      <c r="A282" s="245" t="s">
        <v>73</v>
      </c>
      <c r="B282" s="184" t="s">
        <v>719</v>
      </c>
      <c r="C282" s="475">
        <v>0</v>
      </c>
      <c r="D282" s="475">
        <v>966619554</v>
      </c>
      <c r="E282" s="16">
        <f>C282+D282</f>
        <v>966619554</v>
      </c>
      <c r="F282" s="339" t="s">
        <v>720</v>
      </c>
      <c r="G282" s="243"/>
    </row>
    <row r="283" spans="1:7" x14ac:dyDescent="0.2">
      <c r="A283" s="275" t="s">
        <v>75</v>
      </c>
      <c r="B283" s="273" t="s">
        <v>721</v>
      </c>
      <c r="C283" s="475">
        <v>0</v>
      </c>
      <c r="D283" s="475">
        <v>0</v>
      </c>
      <c r="E283" s="16">
        <f>C283+D283</f>
        <v>0</v>
      </c>
      <c r="F283" s="339" t="s">
        <v>722</v>
      </c>
      <c r="G283" s="243"/>
    </row>
    <row r="284" spans="1:7" x14ac:dyDescent="0.2">
      <c r="A284" s="275"/>
      <c r="B284" s="273"/>
      <c r="C284" s="332" t="s">
        <v>231</v>
      </c>
      <c r="D284" s="333"/>
      <c r="E284" s="333">
        <f>SUM(E281:E283)</f>
        <v>11947888888</v>
      </c>
      <c r="F284" s="238"/>
      <c r="G284" s="243"/>
    </row>
    <row r="285" spans="1:7" x14ac:dyDescent="0.2">
      <c r="A285" s="275"/>
      <c r="B285" s="273"/>
      <c r="C285" s="333"/>
      <c r="D285" s="332" t="s">
        <v>926</v>
      </c>
      <c r="E285" s="333" t="str">
        <f>IF(E284='NITS Pg 4 of 5'!E40,"ok","err on NITS pg 4")</f>
        <v>ok</v>
      </c>
      <c r="F285" s="238"/>
      <c r="G285" s="243"/>
    </row>
    <row r="286" spans="1:7" x14ac:dyDescent="0.2">
      <c r="A286" s="245"/>
      <c r="B286" s="187"/>
      <c r="C286" s="335"/>
      <c r="D286" s="332" t="s">
        <v>927</v>
      </c>
      <c r="E286" s="333" t="str">
        <f>IF(E284='PTP Pg 4 of 5'!E40,"ok","err on PTP pg 4")</f>
        <v>ok</v>
      </c>
      <c r="G286" s="243"/>
    </row>
    <row r="287" spans="1:7" x14ac:dyDescent="0.2">
      <c r="A287" s="245" t="s">
        <v>723</v>
      </c>
      <c r="B287" s="187"/>
      <c r="C287" s="181"/>
      <c r="G287" s="243"/>
    </row>
    <row r="288" spans="1:7" x14ac:dyDescent="0.2">
      <c r="A288" s="175" t="s">
        <v>77</v>
      </c>
      <c r="B288" s="243"/>
      <c r="G288" s="243"/>
    </row>
    <row r="289" spans="1:7" x14ac:dyDescent="0.2">
      <c r="A289" s="175" t="s">
        <v>724</v>
      </c>
      <c r="B289" s="184" t="s">
        <v>725</v>
      </c>
      <c r="C289" s="475">
        <v>75653843</v>
      </c>
      <c r="D289" s="475">
        <v>50809850</v>
      </c>
      <c r="F289" s="238"/>
      <c r="G289" s="243"/>
    </row>
    <row r="290" spans="1:7" x14ac:dyDescent="0.2">
      <c r="A290" s="16" t="s">
        <v>726</v>
      </c>
      <c r="B290" s="243"/>
      <c r="C290" s="378"/>
      <c r="D290" s="378"/>
      <c r="G290" s="243"/>
    </row>
    <row r="291" spans="1:7" x14ac:dyDescent="0.2">
      <c r="A291" s="276" t="s">
        <v>727</v>
      </c>
      <c r="B291" s="184" t="s">
        <v>725</v>
      </c>
      <c r="C291" s="475">
        <v>75653843</v>
      </c>
      <c r="D291" s="475">
        <v>50809850</v>
      </c>
      <c r="G291" s="243"/>
    </row>
    <row r="292" spans="1:7" x14ac:dyDescent="0.2">
      <c r="A292" s="276" t="s">
        <v>728</v>
      </c>
      <c r="B292" s="242" t="s">
        <v>729</v>
      </c>
      <c r="C292" s="475">
        <v>75807104</v>
      </c>
      <c r="D292" s="475">
        <v>50718552</v>
      </c>
      <c r="G292" s="243"/>
    </row>
    <row r="293" spans="1:7" x14ac:dyDescent="0.2">
      <c r="A293" s="175" t="s">
        <v>730</v>
      </c>
      <c r="B293" s="184" t="s">
        <v>731</v>
      </c>
      <c r="C293" s="475">
        <v>2958222</v>
      </c>
      <c r="D293" s="475">
        <v>2470268</v>
      </c>
      <c r="F293" s="238"/>
      <c r="G293" s="243"/>
    </row>
    <row r="294" spans="1:7" x14ac:dyDescent="0.2">
      <c r="A294" s="175" t="s">
        <v>732</v>
      </c>
      <c r="B294" s="184" t="s">
        <v>733</v>
      </c>
      <c r="C294" s="475">
        <v>683508</v>
      </c>
      <c r="D294" s="475">
        <v>1167401</v>
      </c>
      <c r="F294" s="238"/>
      <c r="G294" s="243"/>
    </row>
    <row r="295" spans="1:7" x14ac:dyDescent="0.2">
      <c r="A295" s="175" t="s">
        <v>734</v>
      </c>
      <c r="B295" s="184" t="s">
        <v>735</v>
      </c>
      <c r="C295" s="475">
        <v>0</v>
      </c>
      <c r="D295" s="475">
        <v>0</v>
      </c>
      <c r="F295" s="238"/>
      <c r="G295" s="243"/>
    </row>
    <row r="296" spans="1:7" x14ac:dyDescent="0.2">
      <c r="A296" s="175" t="s">
        <v>736</v>
      </c>
      <c r="B296" s="184" t="s">
        <v>737</v>
      </c>
      <c r="C296" s="475">
        <v>0</v>
      </c>
      <c r="D296" s="475">
        <v>0</v>
      </c>
      <c r="F296" s="238"/>
      <c r="G296" s="243"/>
    </row>
    <row r="297" spans="1:7" x14ac:dyDescent="0.2">
      <c r="A297" s="175" t="s">
        <v>738</v>
      </c>
      <c r="B297" s="184" t="s">
        <v>739</v>
      </c>
      <c r="C297" s="475">
        <v>1170</v>
      </c>
      <c r="D297" s="475">
        <v>5661</v>
      </c>
      <c r="F297" s="238"/>
      <c r="G297" s="243"/>
    </row>
    <row r="298" spans="1:7" x14ac:dyDescent="0.2">
      <c r="A298" s="175"/>
      <c r="B298" s="175"/>
      <c r="C298" s="16">
        <f>SUM(C289,-C291,C292:C297)</f>
        <v>79450004</v>
      </c>
      <c r="D298" s="16">
        <f>SUM(D289,-D291,D292:D297)</f>
        <v>54361882</v>
      </c>
      <c r="E298" s="16">
        <f t="shared" ref="E298" si="16">C298+D298</f>
        <v>133811886</v>
      </c>
      <c r="F298" s="339" t="s">
        <v>740</v>
      </c>
      <c r="G298" s="243"/>
    </row>
    <row r="299" spans="1:7" x14ac:dyDescent="0.2">
      <c r="A299" s="175"/>
      <c r="B299" s="175"/>
      <c r="D299" s="332" t="s">
        <v>926</v>
      </c>
      <c r="E299" s="333" t="str">
        <f>IF(E298='NITS Pg 4 of 5'!E44,"ok","err on NITS pg 4")</f>
        <v>ok</v>
      </c>
      <c r="F299" s="238"/>
      <c r="G299" s="243"/>
    </row>
    <row r="300" spans="1:7" x14ac:dyDescent="0.2">
      <c r="A300" s="175"/>
      <c r="B300" s="184"/>
      <c r="D300" s="332" t="s">
        <v>927</v>
      </c>
      <c r="E300" s="333" t="str">
        <f>IF(E298='PTP Pg 4 of 5'!E44,"ok","err on PTP pg 4")</f>
        <v>ok</v>
      </c>
      <c r="F300" s="238"/>
      <c r="G300" s="243"/>
    </row>
    <row r="301" spans="1:7" x14ac:dyDescent="0.2">
      <c r="B301" s="243"/>
      <c r="G301" s="243"/>
    </row>
    <row r="302" spans="1:7" x14ac:dyDescent="0.2">
      <c r="A302" s="175" t="s">
        <v>126</v>
      </c>
      <c r="B302" s="187" t="s">
        <v>741</v>
      </c>
      <c r="C302" s="475">
        <v>0</v>
      </c>
      <c r="D302" s="475">
        <v>0</v>
      </c>
      <c r="E302" s="16">
        <f t="shared" ref="E302" si="17">C302+D302</f>
        <v>0</v>
      </c>
      <c r="F302" s="339" t="s">
        <v>742</v>
      </c>
      <c r="G302" s="243"/>
    </row>
    <row r="303" spans="1:7" x14ac:dyDescent="0.2">
      <c r="B303" s="243"/>
      <c r="C303" s="378"/>
      <c r="D303" s="378"/>
      <c r="G303" s="243"/>
    </row>
    <row r="304" spans="1:7" x14ac:dyDescent="0.2">
      <c r="A304" s="175" t="s">
        <v>78</v>
      </c>
      <c r="B304" s="184" t="s">
        <v>743</v>
      </c>
      <c r="C304" s="475">
        <v>3286531337</v>
      </c>
      <c r="D304" s="475">
        <v>2330399677</v>
      </c>
      <c r="E304" s="16">
        <f t="shared" ref="E304:E313" si="18">C304+D304</f>
        <v>5616931014</v>
      </c>
      <c r="F304" s="238"/>
      <c r="G304" s="243"/>
    </row>
    <row r="305" spans="1:7" x14ac:dyDescent="0.2">
      <c r="A305" s="16" t="s">
        <v>726</v>
      </c>
      <c r="B305" s="243"/>
      <c r="C305" s="378"/>
      <c r="D305" s="378"/>
      <c r="G305" s="243"/>
    </row>
    <row r="306" spans="1:7" x14ac:dyDescent="0.2">
      <c r="A306" s="276" t="s">
        <v>744</v>
      </c>
      <c r="B306" s="243" t="s">
        <v>745</v>
      </c>
      <c r="C306" s="475">
        <v>2596446834</v>
      </c>
      <c r="D306" s="475">
        <v>1611167368</v>
      </c>
      <c r="E306" s="16">
        <f t="shared" si="18"/>
        <v>4207614202</v>
      </c>
      <c r="G306" s="243"/>
    </row>
    <row r="307" spans="1:7" x14ac:dyDescent="0.2">
      <c r="A307" s="276" t="s">
        <v>746</v>
      </c>
      <c r="B307" s="243" t="s">
        <v>747</v>
      </c>
      <c r="C307" s="475">
        <v>563858083</v>
      </c>
      <c r="D307" s="475">
        <v>417081499</v>
      </c>
      <c r="E307" s="16">
        <f t="shared" si="18"/>
        <v>980939582</v>
      </c>
      <c r="G307" s="243"/>
    </row>
    <row r="308" spans="1:7" x14ac:dyDescent="0.2">
      <c r="A308" s="251" t="s">
        <v>748</v>
      </c>
      <c r="B308" s="242" t="s">
        <v>749</v>
      </c>
      <c r="C308" s="475">
        <v>382553214</v>
      </c>
      <c r="D308" s="475">
        <v>294897774</v>
      </c>
      <c r="E308" s="16">
        <f t="shared" si="18"/>
        <v>677450988</v>
      </c>
      <c r="G308" s="243"/>
    </row>
    <row r="309" spans="1:7" x14ac:dyDescent="0.2">
      <c r="A309" s="254" t="s">
        <v>750</v>
      </c>
      <c r="B309" s="242" t="s">
        <v>751</v>
      </c>
      <c r="C309" s="475">
        <v>1809303187</v>
      </c>
      <c r="D309" s="475">
        <v>1098854463</v>
      </c>
      <c r="E309" s="16">
        <f t="shared" si="18"/>
        <v>2908157650</v>
      </c>
      <c r="G309" s="243"/>
    </row>
    <row r="310" spans="1:7" x14ac:dyDescent="0.2">
      <c r="A310" s="276" t="s">
        <v>752</v>
      </c>
      <c r="B310" s="243" t="s">
        <v>753</v>
      </c>
      <c r="C310" s="475">
        <v>0</v>
      </c>
      <c r="D310" s="475">
        <v>0</v>
      </c>
      <c r="E310" s="16">
        <f t="shared" si="18"/>
        <v>0</v>
      </c>
      <c r="G310" s="243"/>
    </row>
    <row r="311" spans="1:7" x14ac:dyDescent="0.2">
      <c r="A311" s="276" t="s">
        <v>754</v>
      </c>
      <c r="B311" s="243" t="s">
        <v>755</v>
      </c>
      <c r="C311" s="475">
        <v>0</v>
      </c>
      <c r="D311" s="475">
        <v>0</v>
      </c>
      <c r="E311" s="16">
        <f t="shared" si="18"/>
        <v>0</v>
      </c>
      <c r="G311" s="243"/>
    </row>
    <row r="312" spans="1:7" x14ac:dyDescent="0.2">
      <c r="A312" s="276" t="s">
        <v>756</v>
      </c>
      <c r="B312" s="242" t="s">
        <v>757</v>
      </c>
      <c r="C312" s="475">
        <v>-287400</v>
      </c>
      <c r="D312" s="475">
        <v>0</v>
      </c>
      <c r="E312" s="16">
        <f t="shared" si="18"/>
        <v>-287400</v>
      </c>
      <c r="G312" s="243"/>
    </row>
    <row r="313" spans="1:7" x14ac:dyDescent="0.2">
      <c r="A313" s="276" t="s">
        <v>758</v>
      </c>
      <c r="B313" s="242" t="s">
        <v>759</v>
      </c>
      <c r="C313" s="475">
        <v>-1627215</v>
      </c>
      <c r="D313" s="475">
        <v>0</v>
      </c>
      <c r="E313" s="16">
        <f t="shared" si="18"/>
        <v>-1627215</v>
      </c>
      <c r="G313" s="243"/>
    </row>
    <row r="314" spans="1:7" x14ac:dyDescent="0.2">
      <c r="A314" s="238" t="s">
        <v>760</v>
      </c>
      <c r="B314" s="243"/>
      <c r="C314" s="16">
        <f>C304-C306+C307-C308+C309-C310+C311-C312+C313</f>
        <v>2679352744</v>
      </c>
      <c r="D314" s="16">
        <f>D304-D306+D307-D308+D309-D310+D311-D312+D313</f>
        <v>1940270497</v>
      </c>
      <c r="E314" s="16">
        <f t="shared" ref="E314" si="19">C314+D314</f>
        <v>4619623241</v>
      </c>
      <c r="F314" s="339" t="s">
        <v>761</v>
      </c>
      <c r="G314" s="243"/>
    </row>
    <row r="315" spans="1:7" x14ac:dyDescent="0.2">
      <c r="B315" s="243"/>
      <c r="D315" s="332" t="s">
        <v>926</v>
      </c>
      <c r="E315" s="333" t="str">
        <f>IF(E314='NITS Pg 4 of 5'!E47,"ok","err on NITS pg 4")</f>
        <v>ok</v>
      </c>
      <c r="G315" s="243"/>
    </row>
    <row r="316" spans="1:7" x14ac:dyDescent="0.2">
      <c r="B316" s="243"/>
      <c r="D316" s="332" t="s">
        <v>927</v>
      </c>
      <c r="E316" s="333" t="str">
        <f>IF(E314='PTP Pg 4 of 5'!E47,"ok","err on PTP pg 4")</f>
        <v>ok</v>
      </c>
      <c r="G316" s="243"/>
    </row>
    <row r="317" spans="1:7" x14ac:dyDescent="0.2">
      <c r="A317" s="16" t="s">
        <v>762</v>
      </c>
      <c r="B317" s="243"/>
      <c r="G317" s="243"/>
    </row>
    <row r="318" spans="1:7" x14ac:dyDescent="0.2">
      <c r="A318" s="16" t="s">
        <v>763</v>
      </c>
      <c r="B318" s="243" t="s">
        <v>753</v>
      </c>
      <c r="C318" s="187">
        <f>C310</f>
        <v>0</v>
      </c>
      <c r="D318" s="187">
        <f>D310</f>
        <v>0</v>
      </c>
      <c r="G318" s="243"/>
    </row>
    <row r="319" spans="1:7" x14ac:dyDescent="0.2">
      <c r="A319" s="238" t="s">
        <v>764</v>
      </c>
      <c r="B319" s="242" t="s">
        <v>757</v>
      </c>
      <c r="C319" s="187">
        <f>C312</f>
        <v>-287400</v>
      </c>
      <c r="D319" s="187">
        <f>D312</f>
        <v>0</v>
      </c>
      <c r="G319" s="243"/>
    </row>
    <row r="320" spans="1:7" x14ac:dyDescent="0.2">
      <c r="A320" s="16" t="s">
        <v>726</v>
      </c>
      <c r="B320" s="243"/>
      <c r="G320" s="243"/>
    </row>
    <row r="321" spans="1:7" x14ac:dyDescent="0.2">
      <c r="A321" s="276" t="s">
        <v>752</v>
      </c>
      <c r="B321" s="243" t="s">
        <v>753</v>
      </c>
      <c r="C321" s="187">
        <f>C318</f>
        <v>0</v>
      </c>
      <c r="D321" s="187">
        <f>D318</f>
        <v>0</v>
      </c>
      <c r="G321" s="243"/>
    </row>
    <row r="322" spans="1:7" x14ac:dyDescent="0.2">
      <c r="A322" s="276" t="s">
        <v>746</v>
      </c>
      <c r="B322" s="243" t="s">
        <v>755</v>
      </c>
      <c r="C322" s="187">
        <f t="shared" ref="C322:D324" si="20">C311</f>
        <v>0</v>
      </c>
      <c r="D322" s="187">
        <f t="shared" si="20"/>
        <v>0</v>
      </c>
      <c r="G322" s="243"/>
    </row>
    <row r="323" spans="1:7" x14ac:dyDescent="0.2">
      <c r="A323" s="276" t="s">
        <v>756</v>
      </c>
      <c r="B323" s="242" t="s">
        <v>757</v>
      </c>
      <c r="C323" s="187">
        <f t="shared" si="20"/>
        <v>-287400</v>
      </c>
      <c r="D323" s="187">
        <f t="shared" si="20"/>
        <v>0</v>
      </c>
      <c r="G323" s="243"/>
    </row>
    <row r="324" spans="1:7" x14ac:dyDescent="0.2">
      <c r="A324" s="276" t="s">
        <v>758</v>
      </c>
      <c r="B324" s="242" t="s">
        <v>759</v>
      </c>
      <c r="C324" s="187">
        <f t="shared" si="20"/>
        <v>-1627215</v>
      </c>
      <c r="D324" s="187">
        <f t="shared" si="20"/>
        <v>0</v>
      </c>
      <c r="G324" s="243"/>
    </row>
    <row r="325" spans="1:7" x14ac:dyDescent="0.2">
      <c r="A325" s="238" t="s">
        <v>765</v>
      </c>
      <c r="B325" s="243"/>
      <c r="C325" s="16">
        <f>C318+C319-C321+C322-C323+C324</f>
        <v>-1627215</v>
      </c>
      <c r="D325" s="16">
        <f>D318+D319-D321+D322-D323+D324</f>
        <v>0</v>
      </c>
      <c r="E325" s="16">
        <f t="shared" ref="E325" si="21">C325+D325</f>
        <v>-1627215</v>
      </c>
      <c r="F325" s="339" t="s">
        <v>766</v>
      </c>
      <c r="G325" s="243"/>
    </row>
    <row r="326" spans="1:7" x14ac:dyDescent="0.2">
      <c r="A326" s="238"/>
      <c r="B326" s="243"/>
      <c r="D326" s="332" t="s">
        <v>926</v>
      </c>
      <c r="E326" s="333" t="str">
        <f>IF(E325='NITS Pg 4 of 5'!E49,"ok","err on NITS pg 4")</f>
        <v>ok</v>
      </c>
      <c r="F326" s="238"/>
      <c r="G326" s="243"/>
    </row>
    <row r="327" spans="1:7" x14ac:dyDescent="0.2">
      <c r="A327" s="254"/>
      <c r="B327" s="243"/>
      <c r="D327" s="332" t="s">
        <v>927</v>
      </c>
      <c r="E327" s="333" t="str">
        <f>IF(E325='PTP Pg 4 of 5'!E49,"ok","err on PTP pg 4")</f>
        <v>ok</v>
      </c>
      <c r="G327" s="243"/>
    </row>
    <row r="328" spans="1:7" x14ac:dyDescent="0.2">
      <c r="A328" s="264" t="s">
        <v>767</v>
      </c>
      <c r="B328" s="243"/>
      <c r="G328" s="243"/>
    </row>
    <row r="329" spans="1:7" x14ac:dyDescent="0.2">
      <c r="A329" s="16" t="s">
        <v>768</v>
      </c>
      <c r="B329" s="242" t="s">
        <v>769</v>
      </c>
      <c r="C329" s="475">
        <v>2341500118</v>
      </c>
      <c r="D329" s="475">
        <v>1653138914</v>
      </c>
      <c r="G329" s="243"/>
    </row>
    <row r="330" spans="1:7" x14ac:dyDescent="0.2">
      <c r="A330" s="16" t="s">
        <v>726</v>
      </c>
      <c r="B330" s="243"/>
      <c r="C330" s="378"/>
      <c r="D330" s="378"/>
      <c r="G330" s="243"/>
    </row>
    <row r="331" spans="1:7" x14ac:dyDescent="0.2">
      <c r="A331" s="276" t="s">
        <v>770</v>
      </c>
      <c r="B331" s="242" t="s">
        <v>771</v>
      </c>
      <c r="C331" s="475">
        <v>369516</v>
      </c>
      <c r="D331" s="475">
        <v>-1590554</v>
      </c>
      <c r="G331" s="243"/>
    </row>
    <row r="332" spans="1:7" x14ac:dyDescent="0.2">
      <c r="A332" s="276" t="s">
        <v>772</v>
      </c>
      <c r="B332" s="242" t="s">
        <v>773</v>
      </c>
      <c r="C332" s="475">
        <v>0</v>
      </c>
      <c r="D332" s="475">
        <v>0</v>
      </c>
      <c r="G332" s="243"/>
    </row>
    <row r="333" spans="1:7" x14ac:dyDescent="0.2">
      <c r="A333" s="16" t="s">
        <v>768</v>
      </c>
      <c r="B333" s="243"/>
      <c r="C333" s="16">
        <f>C329-C331+C332</f>
        <v>2341130602</v>
      </c>
      <c r="D333" s="16">
        <f>D329-D331+D332</f>
        <v>1654729468</v>
      </c>
      <c r="E333" s="16">
        <f>C333+D333</f>
        <v>3995860070</v>
      </c>
      <c r="F333" s="339" t="s">
        <v>774</v>
      </c>
      <c r="G333" s="243"/>
    </row>
    <row r="334" spans="1:7" x14ac:dyDescent="0.2">
      <c r="B334" s="243"/>
      <c r="D334" s="332" t="s">
        <v>926</v>
      </c>
      <c r="E334" s="333" t="str">
        <f>IF(E333='NITS Pg 4 of 5'!E53,"ok","err on NITS pg 4")</f>
        <v>ok</v>
      </c>
      <c r="F334" s="238"/>
      <c r="G334" s="243"/>
    </row>
    <row r="335" spans="1:7" x14ac:dyDescent="0.2">
      <c r="D335" s="332" t="s">
        <v>927</v>
      </c>
      <c r="E335" s="333" t="str">
        <f>IF(E333='PTP Pg 4 of 5'!E53,"ok","err on PTP pg 4")</f>
        <v>ok</v>
      </c>
      <c r="F335" s="238"/>
      <c r="G335" s="243"/>
    </row>
    <row r="336" spans="1:7" x14ac:dyDescent="0.2">
      <c r="G336" s="243"/>
    </row>
    <row r="337" spans="1:8" x14ac:dyDescent="0.2">
      <c r="A337" s="16" t="s">
        <v>775</v>
      </c>
      <c r="D337" s="243"/>
      <c r="E337" s="482">
        <v>0.10879999999999999</v>
      </c>
      <c r="F337" s="339" t="s">
        <v>919</v>
      </c>
      <c r="G337" s="243"/>
      <c r="H337" s="336" t="s">
        <v>776</v>
      </c>
    </row>
    <row r="338" spans="1:8" x14ac:dyDescent="0.2">
      <c r="G338" s="243"/>
    </row>
    <row r="339" spans="1:8" x14ac:dyDescent="0.2">
      <c r="A339" s="16" t="s">
        <v>777</v>
      </c>
      <c r="G339" s="243"/>
    </row>
    <row r="340" spans="1:8" x14ac:dyDescent="0.2">
      <c r="A340" s="238" t="s">
        <v>935</v>
      </c>
      <c r="G340" s="243"/>
    </row>
    <row r="341" spans="1:8" x14ac:dyDescent="0.2">
      <c r="A341" s="16" t="s">
        <v>778</v>
      </c>
      <c r="B341" s="242" t="s">
        <v>779</v>
      </c>
      <c r="C341" s="475">
        <v>18710777</v>
      </c>
      <c r="D341" s="475">
        <v>8643621</v>
      </c>
      <c r="E341" s="16">
        <f>C341+D341</f>
        <v>27354398</v>
      </c>
      <c r="F341" s="336" t="s">
        <v>780</v>
      </c>
      <c r="G341" s="243"/>
    </row>
    <row r="342" spans="1:8" x14ac:dyDescent="0.2">
      <c r="B342" s="242"/>
      <c r="C342" s="238"/>
      <c r="D342" s="238"/>
      <c r="F342" s="336"/>
      <c r="G342" s="243"/>
    </row>
    <row r="343" spans="1:8" x14ac:dyDescent="0.2">
      <c r="A343" s="16" t="s">
        <v>781</v>
      </c>
      <c r="B343" s="242" t="s">
        <v>782</v>
      </c>
      <c r="C343" s="381"/>
      <c r="D343" s="475">
        <v>2129215</v>
      </c>
      <c r="E343" s="333" t="str">
        <f>IF(E341='NITS Pg 4 of 5'!J66,"ok","err on NITS pg 4")</f>
        <v>ok</v>
      </c>
      <c r="F343" s="332" t="s">
        <v>926</v>
      </c>
      <c r="G343" s="243"/>
    </row>
    <row r="344" spans="1:8" x14ac:dyDescent="0.2">
      <c r="B344" s="242" t="s">
        <v>804</v>
      </c>
      <c r="C344" s="475">
        <v>4672882</v>
      </c>
      <c r="D344" s="475"/>
      <c r="E344" s="333" t="str">
        <f>IF(E341='PTP Pg 4 of 5'!J66,"ok","err on PTP pg 4")</f>
        <v>ok</v>
      </c>
      <c r="F344" s="332" t="s">
        <v>927</v>
      </c>
      <c r="G344" s="243"/>
    </row>
    <row r="345" spans="1:8" x14ac:dyDescent="0.2">
      <c r="B345" s="242" t="s">
        <v>812</v>
      </c>
      <c r="C345" s="475">
        <v>1765584</v>
      </c>
      <c r="D345" s="475"/>
      <c r="G345" s="243"/>
    </row>
    <row r="346" spans="1:8" x14ac:dyDescent="0.2">
      <c r="B346" s="242" t="s">
        <v>805</v>
      </c>
      <c r="C346" s="475">
        <v>1563583</v>
      </c>
      <c r="D346" s="475"/>
      <c r="G346" s="243"/>
    </row>
    <row r="347" spans="1:8" x14ac:dyDescent="0.2">
      <c r="B347" s="242" t="s">
        <v>786</v>
      </c>
      <c r="C347" s="381"/>
      <c r="D347" s="475">
        <v>27196</v>
      </c>
      <c r="G347" s="243"/>
    </row>
    <row r="348" spans="1:8" x14ac:dyDescent="0.2">
      <c r="B348" s="242" t="s">
        <v>788</v>
      </c>
      <c r="C348" s="475">
        <v>899987</v>
      </c>
      <c r="D348" s="475"/>
      <c r="G348" s="243"/>
    </row>
    <row r="349" spans="1:8" x14ac:dyDescent="0.2">
      <c r="B349" s="242" t="s">
        <v>808</v>
      </c>
      <c r="C349" s="381"/>
      <c r="D349" s="475">
        <v>869518</v>
      </c>
      <c r="G349" s="243"/>
    </row>
    <row r="350" spans="1:8" x14ac:dyDescent="0.2">
      <c r="B350" s="242" t="s">
        <v>992</v>
      </c>
      <c r="C350" s="381"/>
      <c r="D350" s="475">
        <v>788903</v>
      </c>
      <c r="G350" s="243"/>
    </row>
    <row r="351" spans="1:8" x14ac:dyDescent="0.2">
      <c r="B351" s="242" t="s">
        <v>884</v>
      </c>
      <c r="C351" s="475">
        <v>123061</v>
      </c>
      <c r="D351" s="475"/>
      <c r="G351" s="243"/>
    </row>
    <row r="352" spans="1:8" x14ac:dyDescent="0.2">
      <c r="B352" s="242" t="s">
        <v>809</v>
      </c>
      <c r="C352" s="475">
        <v>9700</v>
      </c>
      <c r="D352" s="475"/>
      <c r="G352" s="243"/>
    </row>
    <row r="353" spans="2:7" x14ac:dyDescent="0.2">
      <c r="B353" s="242" t="s">
        <v>790</v>
      </c>
      <c r="C353" s="381"/>
      <c r="D353" s="475">
        <v>55976</v>
      </c>
      <c r="G353" s="243"/>
    </row>
    <row r="354" spans="2:7" x14ac:dyDescent="0.2">
      <c r="B354" s="242" t="s">
        <v>792</v>
      </c>
      <c r="C354" s="475">
        <v>59673</v>
      </c>
      <c r="D354" s="475"/>
      <c r="G354" s="243"/>
    </row>
    <row r="355" spans="2:7" x14ac:dyDescent="0.2">
      <c r="B355" s="242" t="s">
        <v>793</v>
      </c>
      <c r="C355" s="381"/>
      <c r="D355" s="475">
        <v>4824</v>
      </c>
      <c r="G355" s="243"/>
    </row>
    <row r="356" spans="2:7" x14ac:dyDescent="0.2">
      <c r="B356" s="242" t="s">
        <v>993</v>
      </c>
      <c r="C356" s="381"/>
      <c r="D356" s="475">
        <v>409899</v>
      </c>
      <c r="G356" s="243"/>
    </row>
    <row r="357" spans="2:7" x14ac:dyDescent="0.2">
      <c r="B357" s="242" t="s">
        <v>958</v>
      </c>
      <c r="C357" s="475">
        <v>218662</v>
      </c>
      <c r="D357" s="475"/>
      <c r="G357" s="243"/>
    </row>
    <row r="358" spans="2:7" x14ac:dyDescent="0.2">
      <c r="B358" s="242" t="s">
        <v>959</v>
      </c>
      <c r="C358" s="475">
        <v>419768</v>
      </c>
      <c r="D358" s="475"/>
      <c r="G358" s="243"/>
    </row>
    <row r="359" spans="2:7" x14ac:dyDescent="0.2">
      <c r="B359" s="242" t="s">
        <v>960</v>
      </c>
      <c r="C359" s="475">
        <v>19504</v>
      </c>
      <c r="D359" s="475">
        <v>100119</v>
      </c>
      <c r="G359" s="243"/>
    </row>
    <row r="360" spans="2:7" x14ac:dyDescent="0.2">
      <c r="B360" s="242" t="s">
        <v>961</v>
      </c>
      <c r="C360" s="475">
        <v>9382</v>
      </c>
      <c r="D360" s="475">
        <v>192418</v>
      </c>
      <c r="G360" s="243"/>
    </row>
    <row r="361" spans="2:7" x14ac:dyDescent="0.2">
      <c r="B361" s="242" t="s">
        <v>962</v>
      </c>
      <c r="C361" s="475">
        <v>303927</v>
      </c>
      <c r="D361" s="475">
        <v>8952</v>
      </c>
      <c r="G361" s="243"/>
    </row>
    <row r="362" spans="2:7" x14ac:dyDescent="0.2">
      <c r="B362" s="242" t="s">
        <v>963</v>
      </c>
      <c r="C362" s="475">
        <v>193943</v>
      </c>
      <c r="D362" s="475">
        <v>4205</v>
      </c>
      <c r="G362" s="243"/>
    </row>
    <row r="363" spans="2:7" x14ac:dyDescent="0.2">
      <c r="B363" s="242" t="s">
        <v>964</v>
      </c>
      <c r="C363" s="475">
        <v>42808</v>
      </c>
      <c r="D363" s="475">
        <v>139026</v>
      </c>
      <c r="G363" s="243"/>
    </row>
    <row r="364" spans="2:7" x14ac:dyDescent="0.2">
      <c r="B364" s="242" t="s">
        <v>965</v>
      </c>
      <c r="C364" s="475">
        <v>74813</v>
      </c>
      <c r="D364" s="475"/>
      <c r="G364" s="243"/>
    </row>
    <row r="365" spans="2:7" x14ac:dyDescent="0.2">
      <c r="B365" s="242" t="s">
        <v>986</v>
      </c>
      <c r="C365" s="475"/>
      <c r="D365" s="475">
        <v>88839</v>
      </c>
      <c r="G365" s="243"/>
    </row>
    <row r="366" spans="2:7" x14ac:dyDescent="0.2">
      <c r="B366" s="242" t="s">
        <v>966</v>
      </c>
      <c r="C366" s="475">
        <v>1531537</v>
      </c>
      <c r="D366" s="475"/>
      <c r="G366" s="243"/>
    </row>
    <row r="367" spans="2:7" x14ac:dyDescent="0.2">
      <c r="B367" s="242" t="s">
        <v>987</v>
      </c>
      <c r="C367" s="475"/>
      <c r="D367" s="475">
        <v>19622</v>
      </c>
      <c r="G367" s="243"/>
    </row>
    <row r="368" spans="2:7" x14ac:dyDescent="0.2">
      <c r="B368" s="242" t="s">
        <v>967</v>
      </c>
      <c r="C368" s="475">
        <v>601585</v>
      </c>
      <c r="D368" s="475"/>
      <c r="G368" s="243"/>
    </row>
    <row r="369" spans="1:7" x14ac:dyDescent="0.2">
      <c r="B369" s="242" t="s">
        <v>988</v>
      </c>
      <c r="C369" s="475"/>
      <c r="D369" s="475">
        <v>701533</v>
      </c>
      <c r="G369" s="243"/>
    </row>
    <row r="370" spans="1:7" x14ac:dyDescent="0.2">
      <c r="B370" s="242" t="s">
        <v>968</v>
      </c>
      <c r="C370" s="475">
        <v>431736</v>
      </c>
      <c r="D370" s="475"/>
      <c r="G370" s="243"/>
    </row>
    <row r="371" spans="1:7" x14ac:dyDescent="0.2">
      <c r="B371" s="242" t="s">
        <v>989</v>
      </c>
      <c r="C371" s="475"/>
      <c r="D371" s="475">
        <v>276138</v>
      </c>
      <c r="G371" s="243"/>
    </row>
    <row r="372" spans="1:7" x14ac:dyDescent="0.2">
      <c r="B372" s="242" t="s">
        <v>969</v>
      </c>
      <c r="C372" s="475">
        <v>148257</v>
      </c>
      <c r="D372" s="475"/>
      <c r="G372" s="243"/>
    </row>
    <row r="373" spans="1:7" x14ac:dyDescent="0.2">
      <c r="B373" s="242" t="s">
        <v>990</v>
      </c>
      <c r="C373" s="475"/>
      <c r="D373" s="475">
        <v>197694</v>
      </c>
      <c r="G373" s="243"/>
    </row>
    <row r="374" spans="1:7" x14ac:dyDescent="0.2">
      <c r="B374" s="242" t="s">
        <v>970</v>
      </c>
      <c r="C374" s="475">
        <v>64152</v>
      </c>
      <c r="D374" s="475"/>
      <c r="G374" s="243"/>
    </row>
    <row r="375" spans="1:7" x14ac:dyDescent="0.2">
      <c r="B375" s="242" t="s">
        <v>991</v>
      </c>
      <c r="C375" s="475"/>
      <c r="D375" s="475">
        <v>67842</v>
      </c>
      <c r="G375" s="243"/>
    </row>
    <row r="376" spans="1:7" x14ac:dyDescent="0.2">
      <c r="B376" s="242" t="s">
        <v>994</v>
      </c>
      <c r="C376" s="475"/>
      <c r="D376" s="475">
        <v>29427</v>
      </c>
      <c r="G376" s="243"/>
    </row>
    <row r="377" spans="1:7" x14ac:dyDescent="0.2">
      <c r="B377" s="242"/>
      <c r="C377" s="238"/>
      <c r="D377" s="238"/>
      <c r="G377" s="243"/>
    </row>
    <row r="378" spans="1:7" x14ac:dyDescent="0.2">
      <c r="A378" s="238" t="s">
        <v>799</v>
      </c>
      <c r="B378" s="242" t="s">
        <v>784</v>
      </c>
      <c r="C378" s="475"/>
      <c r="D378" s="475">
        <v>0</v>
      </c>
      <c r="G378" s="243"/>
    </row>
    <row r="379" spans="1:7" x14ac:dyDescent="0.2">
      <c r="B379" s="242" t="s">
        <v>883</v>
      </c>
      <c r="C379" s="381"/>
      <c r="D379" s="475">
        <v>0</v>
      </c>
      <c r="G379" s="243"/>
    </row>
    <row r="380" spans="1:7" x14ac:dyDescent="0.2">
      <c r="B380" s="242"/>
      <c r="C380" s="238"/>
      <c r="D380" s="238"/>
      <c r="G380" s="243"/>
    </row>
    <row r="381" spans="1:7" x14ac:dyDescent="0.2">
      <c r="A381" s="238" t="s">
        <v>801</v>
      </c>
      <c r="B381" s="242" t="s">
        <v>802</v>
      </c>
      <c r="C381" s="381"/>
      <c r="D381" s="475"/>
      <c r="G381" s="243"/>
    </row>
    <row r="382" spans="1:7" x14ac:dyDescent="0.2">
      <c r="A382" s="238"/>
      <c r="B382" s="242"/>
      <c r="C382" s="238"/>
      <c r="D382" s="238"/>
      <c r="G382" s="243"/>
    </row>
    <row r="383" spans="1:7" x14ac:dyDescent="0.2">
      <c r="A383" s="238" t="s">
        <v>803</v>
      </c>
      <c r="B383" s="242" t="s">
        <v>782</v>
      </c>
      <c r="C383" s="475">
        <v>145043</v>
      </c>
      <c r="D383" s="475"/>
      <c r="G383" s="243"/>
    </row>
    <row r="384" spans="1:7" x14ac:dyDescent="0.2">
      <c r="A384" s="238"/>
      <c r="B384" s="242" t="s">
        <v>804</v>
      </c>
      <c r="C384" s="475"/>
      <c r="D384" s="475">
        <v>-12128</v>
      </c>
      <c r="G384" s="243"/>
    </row>
    <row r="385" spans="1:7" x14ac:dyDescent="0.2">
      <c r="A385" s="238"/>
      <c r="B385" s="242" t="s">
        <v>971</v>
      </c>
      <c r="C385" s="475">
        <v>-26626</v>
      </c>
      <c r="D385" s="475"/>
      <c r="G385" s="243"/>
    </row>
    <row r="386" spans="1:7" x14ac:dyDescent="0.2">
      <c r="B386" s="242" t="s">
        <v>783</v>
      </c>
      <c r="C386" s="475"/>
      <c r="D386" s="475">
        <v>-2470</v>
      </c>
      <c r="G386" s="243"/>
    </row>
    <row r="387" spans="1:7" x14ac:dyDescent="0.2">
      <c r="B387" s="242" t="s">
        <v>811</v>
      </c>
      <c r="C387" s="475">
        <v>-5553</v>
      </c>
      <c r="D387" s="475">
        <v>-6331</v>
      </c>
      <c r="G387" s="243"/>
    </row>
    <row r="388" spans="1:7" x14ac:dyDescent="0.2">
      <c r="B388" s="242" t="s">
        <v>784</v>
      </c>
      <c r="C388" s="475">
        <v>-13767</v>
      </c>
      <c r="D388" s="475"/>
      <c r="G388" s="243"/>
    </row>
    <row r="389" spans="1:7" x14ac:dyDescent="0.2">
      <c r="B389" s="242" t="s">
        <v>883</v>
      </c>
      <c r="C389" s="475">
        <v>30046</v>
      </c>
      <c r="D389" s="475"/>
      <c r="G389" s="243"/>
    </row>
    <row r="390" spans="1:7" x14ac:dyDescent="0.2">
      <c r="B390" s="242" t="s">
        <v>972</v>
      </c>
      <c r="C390" s="475">
        <v>-3762</v>
      </c>
      <c r="D390" s="475"/>
      <c r="G390" s="243"/>
    </row>
    <row r="391" spans="1:7" x14ac:dyDescent="0.2">
      <c r="B391" s="242" t="s">
        <v>805</v>
      </c>
      <c r="C391" s="475"/>
      <c r="D391" s="475">
        <v>-83</v>
      </c>
      <c r="G391" s="243"/>
    </row>
    <row r="392" spans="1:7" x14ac:dyDescent="0.2">
      <c r="B392" s="242" t="s">
        <v>800</v>
      </c>
      <c r="C392" s="475">
        <v>39693</v>
      </c>
      <c r="D392" s="475"/>
      <c r="G392" s="243"/>
    </row>
    <row r="393" spans="1:7" x14ac:dyDescent="0.2">
      <c r="B393" s="242" t="s">
        <v>806</v>
      </c>
      <c r="C393" s="475"/>
      <c r="D393" s="475">
        <v>-1197</v>
      </c>
      <c r="G393" s="243"/>
    </row>
    <row r="394" spans="1:7" x14ac:dyDescent="0.2">
      <c r="B394" s="242" t="s">
        <v>785</v>
      </c>
      <c r="C394" s="475">
        <v>44170</v>
      </c>
      <c r="D394" s="475"/>
      <c r="G394" s="243"/>
    </row>
    <row r="395" spans="1:7" x14ac:dyDescent="0.2">
      <c r="B395" s="242" t="s">
        <v>807</v>
      </c>
      <c r="C395" s="475">
        <v>-8640</v>
      </c>
      <c r="D395" s="475"/>
      <c r="G395" s="243"/>
    </row>
    <row r="396" spans="1:7" x14ac:dyDescent="0.2">
      <c r="B396" s="242" t="s">
        <v>787</v>
      </c>
      <c r="C396" s="475">
        <v>4852</v>
      </c>
      <c r="D396" s="475">
        <v>-10</v>
      </c>
      <c r="G396" s="243"/>
    </row>
    <row r="397" spans="1:7" x14ac:dyDescent="0.2">
      <c r="B397" s="242" t="s">
        <v>788</v>
      </c>
      <c r="C397" s="475"/>
      <c r="D397" s="475">
        <v>-62</v>
      </c>
      <c r="G397" s="243"/>
    </row>
    <row r="398" spans="1:7" x14ac:dyDescent="0.2">
      <c r="B398" s="242" t="s">
        <v>808</v>
      </c>
      <c r="C398" s="475">
        <v>-9067</v>
      </c>
      <c r="D398" s="475"/>
      <c r="G398" s="243"/>
    </row>
    <row r="399" spans="1:7" x14ac:dyDescent="0.2">
      <c r="B399" s="242" t="s">
        <v>880</v>
      </c>
      <c r="C399" s="475">
        <v>-20008</v>
      </c>
      <c r="D399" s="475">
        <v>13367</v>
      </c>
      <c r="G399" s="243"/>
    </row>
    <row r="400" spans="1:7" x14ac:dyDescent="0.2">
      <c r="B400" s="242" t="s">
        <v>973</v>
      </c>
      <c r="C400" s="475">
        <v>21490</v>
      </c>
      <c r="D400" s="475">
        <v>-1754</v>
      </c>
      <c r="G400" s="243"/>
    </row>
    <row r="401" spans="2:7" x14ac:dyDescent="0.2">
      <c r="B401" s="242" t="s">
        <v>789</v>
      </c>
      <c r="C401" s="475">
        <v>6</v>
      </c>
      <c r="D401" s="475">
        <v>17659</v>
      </c>
      <c r="G401" s="243"/>
    </row>
    <row r="402" spans="2:7" x14ac:dyDescent="0.2">
      <c r="B402" s="242" t="s">
        <v>881</v>
      </c>
      <c r="C402" s="475">
        <v>-786</v>
      </c>
      <c r="D402" s="475">
        <v>-4027</v>
      </c>
      <c r="G402" s="243"/>
    </row>
    <row r="403" spans="2:7" x14ac:dyDescent="0.2">
      <c r="B403" s="242" t="s">
        <v>882</v>
      </c>
      <c r="C403" s="475">
        <v>824</v>
      </c>
      <c r="D403" s="475">
        <v>19650</v>
      </c>
      <c r="G403" s="243"/>
    </row>
    <row r="404" spans="2:7" x14ac:dyDescent="0.2">
      <c r="B404" s="242" t="s">
        <v>813</v>
      </c>
      <c r="C404" s="475">
        <v>-1340</v>
      </c>
      <c r="D404" s="475"/>
      <c r="G404" s="243"/>
    </row>
    <row r="405" spans="2:7" x14ac:dyDescent="0.2">
      <c r="B405" s="242" t="s">
        <v>809</v>
      </c>
      <c r="C405" s="475"/>
      <c r="D405" s="475">
        <v>2159</v>
      </c>
      <c r="G405" s="243"/>
    </row>
    <row r="406" spans="2:7" x14ac:dyDescent="0.2">
      <c r="B406" s="242" t="s">
        <v>791</v>
      </c>
      <c r="C406" s="475">
        <v>-27</v>
      </c>
      <c r="D406" s="475">
        <v>-596</v>
      </c>
      <c r="G406" s="243"/>
    </row>
    <row r="407" spans="2:7" x14ac:dyDescent="0.2">
      <c r="B407" s="242" t="s">
        <v>792</v>
      </c>
      <c r="C407" s="475"/>
      <c r="D407" s="475">
        <v>361</v>
      </c>
      <c r="G407" s="243"/>
    </row>
    <row r="408" spans="2:7" x14ac:dyDescent="0.2">
      <c r="B408" s="242" t="s">
        <v>793</v>
      </c>
      <c r="C408" s="475">
        <v>-134</v>
      </c>
      <c r="D408" s="475"/>
      <c r="G408" s="243"/>
    </row>
    <row r="409" spans="2:7" x14ac:dyDescent="0.2">
      <c r="B409" s="242" t="s">
        <v>794</v>
      </c>
      <c r="C409" s="475">
        <v>-22</v>
      </c>
      <c r="D409" s="475"/>
      <c r="G409" s="243"/>
    </row>
    <row r="410" spans="2:7" x14ac:dyDescent="0.2">
      <c r="B410" s="242" t="s">
        <v>795</v>
      </c>
      <c r="C410" s="475"/>
      <c r="D410" s="475">
        <v>-12</v>
      </c>
      <c r="G410" s="243"/>
    </row>
    <row r="411" spans="2:7" x14ac:dyDescent="0.2">
      <c r="B411" s="242" t="s">
        <v>796</v>
      </c>
      <c r="C411" s="475">
        <v>-2598</v>
      </c>
      <c r="D411" s="475"/>
      <c r="G411" s="243"/>
    </row>
    <row r="412" spans="2:7" x14ac:dyDescent="0.2">
      <c r="B412" s="242" t="s">
        <v>797</v>
      </c>
      <c r="C412" s="475"/>
      <c r="D412" s="475">
        <v>1</v>
      </c>
      <c r="G412" s="243"/>
    </row>
    <row r="413" spans="2:7" x14ac:dyDescent="0.2">
      <c r="B413" s="242" t="s">
        <v>798</v>
      </c>
      <c r="C413" s="475"/>
      <c r="D413" s="475">
        <v>-4</v>
      </c>
      <c r="G413" s="243"/>
    </row>
    <row r="414" spans="2:7" x14ac:dyDescent="0.2">
      <c r="B414" s="242" t="s">
        <v>996</v>
      </c>
      <c r="C414" s="475"/>
      <c r="D414" s="475">
        <v>555</v>
      </c>
      <c r="G414" s="243"/>
    </row>
    <row r="415" spans="2:7" x14ac:dyDescent="0.2">
      <c r="B415" s="242" t="s">
        <v>974</v>
      </c>
      <c r="C415" s="475">
        <v>-9</v>
      </c>
      <c r="D415" s="475"/>
      <c r="G415" s="243"/>
    </row>
    <row r="416" spans="2:7" x14ac:dyDescent="0.2">
      <c r="B416" s="242" t="s">
        <v>975</v>
      </c>
      <c r="C416" s="475">
        <v>1</v>
      </c>
      <c r="D416" s="475">
        <v>17137</v>
      </c>
      <c r="G416" s="243"/>
    </row>
    <row r="417" spans="2:7" x14ac:dyDescent="0.2">
      <c r="B417" s="242" t="s">
        <v>976</v>
      </c>
      <c r="C417" s="475">
        <v>38522</v>
      </c>
      <c r="D417" s="475">
        <v>32</v>
      </c>
      <c r="G417" s="243"/>
    </row>
    <row r="418" spans="2:7" x14ac:dyDescent="0.2">
      <c r="B418" s="242" t="s">
        <v>977</v>
      </c>
      <c r="C418" s="475">
        <v>72</v>
      </c>
      <c r="D418" s="475">
        <v>-2021</v>
      </c>
      <c r="G418" s="243"/>
    </row>
    <row r="419" spans="2:7" x14ac:dyDescent="0.2">
      <c r="B419" s="242" t="s">
        <v>978</v>
      </c>
      <c r="C419" s="475">
        <v>-185</v>
      </c>
      <c r="D419" s="475">
        <v>-794</v>
      </c>
      <c r="G419" s="243"/>
    </row>
    <row r="420" spans="2:7" x14ac:dyDescent="0.2">
      <c r="B420" s="242" t="s">
        <v>979</v>
      </c>
      <c r="C420" s="475">
        <v>1247</v>
      </c>
      <c r="D420" s="475">
        <v>1365</v>
      </c>
      <c r="G420" s="243"/>
    </row>
    <row r="421" spans="2:7" x14ac:dyDescent="0.2">
      <c r="B421" s="242" t="s">
        <v>980</v>
      </c>
      <c r="C421" s="475">
        <v>1050</v>
      </c>
      <c r="D421" s="475">
        <v>3</v>
      </c>
      <c r="G421" s="243"/>
    </row>
    <row r="422" spans="2:7" x14ac:dyDescent="0.2">
      <c r="B422" s="242" t="s">
        <v>959</v>
      </c>
      <c r="C422" s="475"/>
      <c r="D422" s="475">
        <v>-116</v>
      </c>
      <c r="G422" s="243"/>
    </row>
    <row r="423" spans="2:7" x14ac:dyDescent="0.2">
      <c r="B423" s="242" t="s">
        <v>981</v>
      </c>
      <c r="C423" s="475">
        <v>2376</v>
      </c>
      <c r="D423" s="475">
        <v>66212</v>
      </c>
      <c r="G423" s="243"/>
    </row>
    <row r="424" spans="2:7" x14ac:dyDescent="0.2">
      <c r="B424" s="242" t="s">
        <v>982</v>
      </c>
      <c r="C424" s="475">
        <v>-247</v>
      </c>
      <c r="D424" s="475">
        <v>467</v>
      </c>
      <c r="G424" s="243"/>
    </row>
    <row r="425" spans="2:7" x14ac:dyDescent="0.2">
      <c r="B425" s="242" t="s">
        <v>983</v>
      </c>
      <c r="C425" s="475">
        <v>96</v>
      </c>
      <c r="D425" s="475">
        <v>1057</v>
      </c>
      <c r="G425" s="243"/>
    </row>
    <row r="426" spans="2:7" x14ac:dyDescent="0.2">
      <c r="B426" s="242" t="s">
        <v>984</v>
      </c>
      <c r="C426" s="475">
        <v>1143</v>
      </c>
      <c r="D426" s="475">
        <v>-110</v>
      </c>
      <c r="G426" s="243"/>
    </row>
    <row r="427" spans="2:7" x14ac:dyDescent="0.2">
      <c r="B427" s="242" t="s">
        <v>985</v>
      </c>
      <c r="C427" s="475">
        <v>1125</v>
      </c>
      <c r="D427" s="475">
        <v>43</v>
      </c>
      <c r="G427" s="243"/>
    </row>
    <row r="428" spans="2:7" x14ac:dyDescent="0.2">
      <c r="B428" s="242" t="s">
        <v>965</v>
      </c>
      <c r="C428" s="475"/>
      <c r="D428" s="475">
        <v>508</v>
      </c>
      <c r="G428" s="243"/>
    </row>
    <row r="429" spans="2:7" x14ac:dyDescent="0.2">
      <c r="B429" s="242" t="s">
        <v>986</v>
      </c>
      <c r="C429" s="475">
        <v>174</v>
      </c>
      <c r="D429" s="475"/>
      <c r="G429" s="243"/>
    </row>
    <row r="430" spans="2:7" x14ac:dyDescent="0.2">
      <c r="B430" s="242" t="s">
        <v>966</v>
      </c>
      <c r="C430" s="475"/>
      <c r="D430" s="475">
        <v>501</v>
      </c>
      <c r="G430" s="243"/>
    </row>
    <row r="431" spans="2:7" x14ac:dyDescent="0.2">
      <c r="B431" s="242" t="s">
        <v>987</v>
      </c>
      <c r="C431" s="475">
        <v>7504</v>
      </c>
      <c r="D431" s="475"/>
      <c r="G431" s="243"/>
    </row>
    <row r="432" spans="2:7" x14ac:dyDescent="0.2">
      <c r="B432" s="242" t="s">
        <v>967</v>
      </c>
      <c r="C432" s="475"/>
      <c r="D432" s="475">
        <v>77</v>
      </c>
      <c r="G432" s="243"/>
    </row>
    <row r="433" spans="1:7" x14ac:dyDescent="0.2">
      <c r="B433" s="242" t="s">
        <v>988</v>
      </c>
      <c r="C433" s="475">
        <v>41845</v>
      </c>
      <c r="D433" s="475"/>
      <c r="G433" s="243"/>
    </row>
    <row r="434" spans="1:7" x14ac:dyDescent="0.2">
      <c r="B434" s="242" t="s">
        <v>968</v>
      </c>
      <c r="C434" s="475"/>
      <c r="D434" s="475">
        <v>3338</v>
      </c>
      <c r="G434" s="243"/>
    </row>
    <row r="435" spans="1:7" x14ac:dyDescent="0.2">
      <c r="B435" s="242" t="s">
        <v>989</v>
      </c>
      <c r="C435" s="475">
        <v>2543</v>
      </c>
      <c r="D435" s="475"/>
      <c r="G435" s="243"/>
    </row>
    <row r="436" spans="1:7" x14ac:dyDescent="0.2">
      <c r="B436" s="242" t="s">
        <v>969</v>
      </c>
      <c r="C436" s="475"/>
      <c r="D436" s="475">
        <v>18617</v>
      </c>
      <c r="G436" s="243"/>
    </row>
    <row r="437" spans="1:7" x14ac:dyDescent="0.2">
      <c r="B437" s="242" t="s">
        <v>990</v>
      </c>
      <c r="C437" s="475">
        <v>1281</v>
      </c>
      <c r="D437" s="475"/>
      <c r="G437" s="243"/>
    </row>
    <row r="438" spans="1:7" x14ac:dyDescent="0.2">
      <c r="B438" s="242" t="s">
        <v>970</v>
      </c>
      <c r="C438" s="475"/>
      <c r="D438" s="475">
        <v>1131</v>
      </c>
      <c r="G438" s="243"/>
    </row>
    <row r="439" spans="1:7" x14ac:dyDescent="0.2">
      <c r="B439" s="242" t="s">
        <v>991</v>
      </c>
      <c r="C439" s="475">
        <v>644</v>
      </c>
      <c r="D439" s="475"/>
      <c r="G439" s="243"/>
    </row>
    <row r="440" spans="1:7" x14ac:dyDescent="0.2">
      <c r="B440" s="242" t="s">
        <v>997</v>
      </c>
      <c r="C440" s="475"/>
      <c r="D440" s="475">
        <v>570</v>
      </c>
      <c r="G440" s="243"/>
    </row>
    <row r="441" spans="1:7" x14ac:dyDescent="0.2">
      <c r="B441" s="242" t="s">
        <v>995</v>
      </c>
      <c r="C441" s="475"/>
      <c r="D441" s="475">
        <v>286</v>
      </c>
      <c r="G441" s="243"/>
    </row>
    <row r="442" spans="1:7" x14ac:dyDescent="0.2">
      <c r="B442" s="242"/>
      <c r="C442" s="238"/>
      <c r="D442" s="238"/>
      <c r="G442" s="243"/>
    </row>
    <row r="443" spans="1:7" x14ac:dyDescent="0.2">
      <c r="A443" s="238" t="s">
        <v>810</v>
      </c>
      <c r="B443" s="242" t="s">
        <v>812</v>
      </c>
      <c r="C443" s="381"/>
      <c r="D443" s="475">
        <v>0</v>
      </c>
      <c r="G443" s="243"/>
    </row>
    <row r="444" spans="1:7" x14ac:dyDescent="0.2">
      <c r="B444" s="242" t="s">
        <v>972</v>
      </c>
      <c r="C444" s="475"/>
      <c r="D444" s="475">
        <v>0</v>
      </c>
      <c r="G444" s="243"/>
    </row>
    <row r="445" spans="1:7" x14ac:dyDescent="0.2">
      <c r="B445" s="242" t="s">
        <v>806</v>
      </c>
      <c r="C445" s="475">
        <v>3459423</v>
      </c>
      <c r="D445" s="475"/>
      <c r="G445" s="243"/>
    </row>
    <row r="446" spans="1:7" x14ac:dyDescent="0.2">
      <c r="B446" s="242" t="s">
        <v>807</v>
      </c>
      <c r="C446" s="475"/>
      <c r="D446" s="475">
        <v>151708</v>
      </c>
      <c r="G446" s="243"/>
    </row>
    <row r="447" spans="1:7" x14ac:dyDescent="0.2">
      <c r="B447" s="242" t="s">
        <v>884</v>
      </c>
      <c r="C447" s="475"/>
      <c r="D447" s="475">
        <v>1577737</v>
      </c>
      <c r="G447" s="243"/>
    </row>
    <row r="448" spans="1:7" x14ac:dyDescent="0.2">
      <c r="B448" s="242" t="s">
        <v>797</v>
      </c>
      <c r="C448" s="475">
        <v>332642</v>
      </c>
      <c r="D448" s="475"/>
      <c r="G448" s="243"/>
    </row>
    <row r="449" spans="1:11" x14ac:dyDescent="0.2">
      <c r="B449" s="242"/>
      <c r="C449" s="238"/>
      <c r="D449" s="238"/>
      <c r="G449" s="243"/>
    </row>
    <row r="450" spans="1:11" x14ac:dyDescent="0.2">
      <c r="A450" s="238" t="s">
        <v>814</v>
      </c>
      <c r="B450" s="243"/>
      <c r="C450" s="187">
        <f>C341-SUM(C343:C449)</f>
        <v>1471192</v>
      </c>
      <c r="D450" s="187">
        <f>D341-SUM(D343:D449)</f>
        <v>669449</v>
      </c>
      <c r="E450" s="16">
        <f>C450+D450</f>
        <v>2140641</v>
      </c>
      <c r="F450" s="339" t="s">
        <v>815</v>
      </c>
      <c r="G450" s="243"/>
    </row>
    <row r="451" spans="1:11" x14ac:dyDescent="0.2">
      <c r="C451" s="16">
        <f>C341-C450</f>
        <v>17239585</v>
      </c>
      <c r="D451" s="16">
        <f>D341-D450</f>
        <v>7974172</v>
      </c>
      <c r="E451" s="16">
        <f>C451+D451</f>
        <v>25213757</v>
      </c>
      <c r="F451" s="336" t="s">
        <v>816</v>
      </c>
      <c r="G451" s="243"/>
    </row>
    <row r="452" spans="1:11" x14ac:dyDescent="0.2">
      <c r="E452" s="333" t="str">
        <f>IF(E451='NITS Pg 4 of 5'!J67,"ok","err on NITS pg 4")</f>
        <v>ok</v>
      </c>
      <c r="F452" s="332" t="s">
        <v>926</v>
      </c>
      <c r="G452" s="243"/>
    </row>
    <row r="453" spans="1:11" x14ac:dyDescent="0.2">
      <c r="E453" s="333" t="str">
        <f>IF(E451='PTP Pg 4 of 5'!J67,"ok","err on PTP pg 4")</f>
        <v>ok</v>
      </c>
      <c r="F453" s="332" t="s">
        <v>927</v>
      </c>
    </row>
    <row r="454" spans="1:11" x14ac:dyDescent="0.2">
      <c r="A454" s="236"/>
      <c r="B454" s="236"/>
      <c r="C454" s="236"/>
      <c r="D454" s="236"/>
      <c r="E454" s="236"/>
      <c r="F454" s="236"/>
      <c r="G454" s="236"/>
      <c r="H454" s="236"/>
      <c r="I454" s="236"/>
      <c r="J454" s="236"/>
      <c r="K454" s="236"/>
    </row>
    <row r="455" spans="1:11" ht="15" x14ac:dyDescent="0.35">
      <c r="A455" s="16" t="s">
        <v>817</v>
      </c>
      <c r="C455" s="352" t="s">
        <v>433</v>
      </c>
      <c r="D455" s="352" t="s">
        <v>818</v>
      </c>
    </row>
    <row r="456" spans="1:11" x14ac:dyDescent="0.2">
      <c r="D456" s="243"/>
    </row>
    <row r="457" spans="1:11" x14ac:dyDescent="0.2">
      <c r="A457" s="16" t="s">
        <v>819</v>
      </c>
      <c r="H457" s="336" t="s">
        <v>820</v>
      </c>
    </row>
    <row r="458" spans="1:11" x14ac:dyDescent="0.2">
      <c r="A458" s="277" t="s">
        <v>821</v>
      </c>
    </row>
    <row r="459" spans="1:11" x14ac:dyDescent="0.2">
      <c r="A459" s="277" t="s">
        <v>822</v>
      </c>
      <c r="C459" s="522">
        <v>570954</v>
      </c>
      <c r="D459" s="522">
        <v>292550</v>
      </c>
      <c r="E459" s="16">
        <f t="shared" ref="E459:E460" si="22">C459+D459</f>
        <v>863504</v>
      </c>
      <c r="F459" s="339" t="s">
        <v>823</v>
      </c>
      <c r="H459" s="336" t="s">
        <v>1013</v>
      </c>
    </row>
    <row r="460" spans="1:11" x14ac:dyDescent="0.2">
      <c r="A460" s="277" t="s">
        <v>824</v>
      </c>
      <c r="C460" s="522">
        <v>-530084</v>
      </c>
      <c r="D460" s="522">
        <v>-271574</v>
      </c>
      <c r="E460" s="16">
        <f t="shared" si="22"/>
        <v>-801658</v>
      </c>
      <c r="F460" s="339" t="s">
        <v>825</v>
      </c>
      <c r="H460" s="336" t="s">
        <v>826</v>
      </c>
    </row>
    <row r="461" spans="1:11" x14ac:dyDescent="0.2">
      <c r="A461" s="277"/>
      <c r="C461" s="278"/>
      <c r="D461" s="278"/>
    </row>
    <row r="462" spans="1:11" x14ac:dyDescent="0.2">
      <c r="A462" s="277" t="s">
        <v>827</v>
      </c>
      <c r="C462" s="278">
        <f>SUM(C459:C460)</f>
        <v>40870</v>
      </c>
      <c r="D462" s="278">
        <f>SUM(D459:D460)</f>
        <v>20976</v>
      </c>
      <c r="E462" s="16">
        <f t="shared" ref="E462" si="23">C462+D462</f>
        <v>61846</v>
      </c>
      <c r="F462" s="339" t="s">
        <v>828</v>
      </c>
    </row>
  </sheetData>
  <mergeCells count="4">
    <mergeCell ref="I189:J189"/>
    <mergeCell ref="K189:L189"/>
    <mergeCell ref="J205:K206"/>
    <mergeCell ref="J117:K118"/>
  </mergeCells>
  <pageMargins left="0.7" right="0.7" top="0.75" bottom="0.75" header="0.3" footer="0.3"/>
  <pageSetup paperSize="17" scale="63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36"/>
  <sheetViews>
    <sheetView workbookViewId="0"/>
  </sheetViews>
  <sheetFormatPr defaultColWidth="9.33203125" defaultRowHeight="15.75" x14ac:dyDescent="0.25"/>
  <cols>
    <col min="1" max="1" width="9" style="89" customWidth="1"/>
    <col min="2" max="2" width="2.1640625" style="89" customWidth="1"/>
    <col min="3" max="3" width="53.33203125" style="89" customWidth="1"/>
    <col min="4" max="4" width="35.6640625" style="89" customWidth="1"/>
    <col min="5" max="5" width="23" style="89" customWidth="1"/>
    <col min="6" max="6" width="15" style="89" customWidth="1"/>
    <col min="7" max="7" width="20.6640625" style="89" customWidth="1"/>
    <col min="8" max="8" width="18.5" style="89" customWidth="1"/>
    <col min="9" max="9" width="8.6640625" style="89" customWidth="1"/>
    <col min="10" max="10" width="23" style="89" customWidth="1"/>
    <col min="11" max="11" width="9.33203125" style="89" customWidth="1"/>
    <col min="12" max="12" width="11.6640625" style="89" customWidth="1"/>
    <col min="13" max="13" width="2.83203125" style="89" customWidth="1"/>
    <col min="14" max="14" width="41" style="89" customWidth="1"/>
    <col min="15" max="15" width="48.83203125" style="89" customWidth="1"/>
    <col min="16" max="16" width="23.5" style="89" customWidth="1"/>
    <col min="17" max="17" width="20.5" style="89" customWidth="1"/>
    <col min="18" max="18" width="20.83203125" style="89" customWidth="1"/>
    <col min="19" max="19" width="23.6640625" style="89" bestFit="1" customWidth="1"/>
    <col min="20" max="20" width="22.1640625" style="89" bestFit="1" customWidth="1"/>
    <col min="21" max="21" width="23" style="89" bestFit="1" customWidth="1"/>
    <col min="22" max="22" width="19.83203125" style="89" customWidth="1"/>
    <col min="23" max="23" width="20.33203125" style="89" customWidth="1"/>
    <col min="24" max="24" width="23.5" style="89" bestFit="1" customWidth="1"/>
    <col min="25" max="25" width="21.6640625" style="89" bestFit="1" customWidth="1"/>
    <col min="26" max="26" width="16.1640625" style="89" customWidth="1"/>
    <col min="27" max="28" width="23.5" style="89" bestFit="1" customWidth="1"/>
    <col min="29" max="29" width="21.33203125" style="89" bestFit="1" customWidth="1"/>
    <col min="30" max="30" width="23.5" style="89" bestFit="1" customWidth="1"/>
    <col min="31" max="31" width="21.33203125" style="89" bestFit="1" customWidth="1"/>
    <col min="32" max="32" width="20.6640625" style="89" bestFit="1" customWidth="1"/>
    <col min="33" max="16384" width="9.33203125" style="89"/>
  </cols>
  <sheetData>
    <row r="1" spans="1:24" x14ac:dyDescent="0.25">
      <c r="A1" s="190" t="s">
        <v>185</v>
      </c>
      <c r="B1" s="191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88"/>
      <c r="N1" s="106"/>
      <c r="O1" s="106"/>
      <c r="P1" s="106"/>
    </row>
    <row r="2" spans="1:24" x14ac:dyDescent="0.25">
      <c r="A2" s="190" t="s">
        <v>249</v>
      </c>
      <c r="B2" s="191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88"/>
      <c r="N2" s="106"/>
      <c r="O2" s="106"/>
      <c r="P2" s="106"/>
    </row>
    <row r="3" spans="1:24" x14ac:dyDescent="0.25">
      <c r="A3" s="1"/>
      <c r="B3" s="1"/>
      <c r="C3" s="6"/>
      <c r="D3" s="2"/>
      <c r="E3" s="3"/>
      <c r="F3" s="2"/>
      <c r="G3" s="2"/>
      <c r="H3" s="2"/>
      <c r="I3" s="4"/>
      <c r="J3" s="4"/>
      <c r="K3" s="4"/>
      <c r="L3" s="4"/>
      <c r="M3" s="4"/>
      <c r="N3" s="106"/>
      <c r="O3" s="106"/>
      <c r="P3" s="106"/>
    </row>
    <row r="4" spans="1:24" x14ac:dyDescent="0.25">
      <c r="A4" s="1" t="s">
        <v>186</v>
      </c>
      <c r="B4" s="1"/>
      <c r="C4" s="2"/>
      <c r="D4" s="2"/>
      <c r="E4" s="7"/>
      <c r="F4" s="2"/>
      <c r="G4" s="2"/>
      <c r="H4" s="2"/>
      <c r="I4" s="4"/>
      <c r="J4" s="206" t="str">
        <f>"For the 12 months ended "&amp;TEXT('OATT Input Data'!B4,"MM/DD/YYYY")</f>
        <v>For the 12 months ended 12/31/2015</v>
      </c>
      <c r="K4" s="4"/>
      <c r="L4" s="4"/>
      <c r="M4" s="4"/>
      <c r="N4" s="106"/>
      <c r="O4" s="106"/>
      <c r="P4" s="106"/>
    </row>
    <row r="5" spans="1:24" x14ac:dyDescent="0.25">
      <c r="A5" s="207" t="s">
        <v>187</v>
      </c>
      <c r="B5" s="1"/>
      <c r="C5" s="2"/>
      <c r="D5" s="1"/>
      <c r="E5" s="1"/>
      <c r="F5" s="8"/>
      <c r="G5" s="8"/>
      <c r="H5" s="8"/>
      <c r="I5" s="2"/>
      <c r="J5" s="206" t="s">
        <v>124</v>
      </c>
      <c r="K5" s="192"/>
      <c r="L5" s="192"/>
      <c r="M5" s="4"/>
      <c r="N5" s="106"/>
      <c r="O5" s="106"/>
      <c r="P5" s="106"/>
    </row>
    <row r="6" spans="1:24" x14ac:dyDescent="0.25">
      <c r="A6" s="1"/>
      <c r="B6" s="1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106"/>
      <c r="O6" s="106"/>
      <c r="P6" s="106"/>
    </row>
    <row r="7" spans="1:24" x14ac:dyDescent="0.25">
      <c r="A7" s="209" t="s">
        <v>130</v>
      </c>
      <c r="B7" s="191"/>
      <c r="C7" s="192"/>
      <c r="D7" s="192"/>
      <c r="E7" s="191"/>
      <c r="F7" s="192"/>
      <c r="G7" s="192"/>
      <c r="H7" s="192"/>
      <c r="I7" s="192"/>
      <c r="J7" s="192"/>
      <c r="K7" s="192"/>
      <c r="L7" s="192"/>
      <c r="M7" s="4"/>
      <c r="N7" s="146"/>
      <c r="O7" s="146"/>
      <c r="P7" s="155"/>
    </row>
    <row r="8" spans="1:24" x14ac:dyDescent="0.25">
      <c r="A8" s="84"/>
      <c r="C8" s="156" t="s">
        <v>18</v>
      </c>
      <c r="D8" s="156" t="s">
        <v>19</v>
      </c>
      <c r="E8" s="156" t="s">
        <v>20</v>
      </c>
      <c r="F8" s="146" t="s">
        <v>0</v>
      </c>
      <c r="G8" s="146"/>
      <c r="H8" s="530" t="s">
        <v>21</v>
      </c>
      <c r="I8" s="146"/>
      <c r="J8" s="153" t="s">
        <v>22</v>
      </c>
      <c r="K8" s="146"/>
      <c r="L8" s="146"/>
      <c r="M8" s="146"/>
      <c r="N8" s="106"/>
      <c r="O8" s="146"/>
      <c r="P8" s="155"/>
    </row>
    <row r="9" spans="1:24" x14ac:dyDescent="0.25">
      <c r="A9" s="84"/>
      <c r="C9" s="156"/>
      <c r="D9" s="110"/>
      <c r="E9" s="110"/>
      <c r="F9" s="110"/>
      <c r="G9" s="110"/>
      <c r="H9" s="110"/>
      <c r="I9" s="110"/>
      <c r="J9" s="110"/>
      <c r="K9" s="110"/>
      <c r="L9" s="531"/>
      <c r="M9" s="110"/>
      <c r="N9" s="110"/>
      <c r="O9" s="146"/>
      <c r="P9" s="155"/>
    </row>
    <row r="10" spans="1:24" x14ac:dyDescent="0.25">
      <c r="A10" s="84" t="s">
        <v>1</v>
      </c>
      <c r="C10" s="155"/>
      <c r="D10" s="168" t="s">
        <v>23</v>
      </c>
      <c r="E10" s="146"/>
      <c r="F10" s="146"/>
      <c r="G10" s="146"/>
      <c r="H10" s="84"/>
      <c r="I10" s="146"/>
      <c r="J10" s="531" t="s">
        <v>24</v>
      </c>
      <c r="K10" s="146"/>
      <c r="L10" s="531"/>
      <c r="M10" s="146"/>
      <c r="N10" s="106"/>
      <c r="O10" s="146"/>
      <c r="P10" s="155"/>
    </row>
    <row r="11" spans="1:24" ht="16.5" thickBot="1" x14ac:dyDescent="0.3">
      <c r="A11" s="408" t="s">
        <v>3</v>
      </c>
      <c r="C11" s="155"/>
      <c r="D11" s="532" t="s">
        <v>25</v>
      </c>
      <c r="E11" s="531" t="s">
        <v>26</v>
      </c>
      <c r="F11" s="533"/>
      <c r="G11" s="534" t="s">
        <v>7</v>
      </c>
      <c r="H11" s="404"/>
      <c r="I11" s="533"/>
      <c r="J11" s="535" t="s">
        <v>28</v>
      </c>
      <c r="K11" s="146"/>
      <c r="L11" s="531"/>
      <c r="M11" s="536"/>
      <c r="N11" s="531"/>
      <c r="O11" s="146"/>
    </row>
    <row r="12" spans="1:24" x14ac:dyDescent="0.25">
      <c r="C12" s="155"/>
      <c r="D12" s="146"/>
      <c r="E12" s="537"/>
      <c r="F12" s="538"/>
      <c r="G12" s="539"/>
      <c r="I12" s="538"/>
      <c r="J12" s="537"/>
      <c r="K12" s="146"/>
      <c r="L12" s="146"/>
      <c r="M12" s="146"/>
      <c r="N12" s="146"/>
      <c r="O12" s="146"/>
      <c r="Q12" s="173"/>
      <c r="V12" s="167"/>
      <c r="X12" s="174"/>
    </row>
    <row r="13" spans="1:24" x14ac:dyDescent="0.25">
      <c r="A13" s="84"/>
      <c r="C13" s="155" t="s">
        <v>55</v>
      </c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55"/>
    </row>
    <row r="14" spans="1:24" x14ac:dyDescent="0.25">
      <c r="A14" s="84">
        <v>1</v>
      </c>
      <c r="C14" s="194" t="s">
        <v>24</v>
      </c>
      <c r="D14" s="262" t="s">
        <v>384</v>
      </c>
      <c r="E14" s="410">
        <f>'OATT Input Data'!E189</f>
        <v>46190354.789999999</v>
      </c>
      <c r="F14" s="146"/>
      <c r="G14" s="146" t="s">
        <v>53</v>
      </c>
      <c r="H14" s="419">
        <f>'PTP Pg 4 of 5'!$J$25</f>
        <v>0.82591000000000003</v>
      </c>
      <c r="I14" s="146"/>
      <c r="J14" s="410">
        <f>ROUND(E14*H14,0)</f>
        <v>38149076</v>
      </c>
      <c r="K14" s="106"/>
      <c r="L14" s="146"/>
      <c r="M14" s="146"/>
      <c r="N14" s="146"/>
      <c r="O14" s="155"/>
      <c r="P14" s="146"/>
      <c r="Q14" s="146"/>
    </row>
    <row r="15" spans="1:24" x14ac:dyDescent="0.25">
      <c r="A15" s="84">
        <v>2</v>
      </c>
      <c r="C15" s="194" t="s">
        <v>198</v>
      </c>
      <c r="D15" s="184" t="s">
        <v>274</v>
      </c>
      <c r="E15" s="147">
        <f>'OATT Input Data'!E190*-1</f>
        <v>-4174529</v>
      </c>
      <c r="F15" s="146"/>
      <c r="G15" s="146" t="s">
        <v>0</v>
      </c>
      <c r="H15" s="419">
        <v>1</v>
      </c>
      <c r="I15" s="146"/>
      <c r="J15" s="147">
        <f>ROUND(E15*H15,0)</f>
        <v>-4174529</v>
      </c>
      <c r="K15" s="106"/>
      <c r="L15" s="146"/>
      <c r="M15" s="146"/>
      <c r="N15" s="146"/>
      <c r="O15" s="156"/>
      <c r="P15" s="146"/>
      <c r="Q15" s="146"/>
    </row>
    <row r="16" spans="1:24" x14ac:dyDescent="0.25">
      <c r="A16" s="84">
        <v>3</v>
      </c>
      <c r="C16" s="155" t="s">
        <v>56</v>
      </c>
      <c r="D16" s="184" t="s">
        <v>275</v>
      </c>
      <c r="E16" s="147">
        <f>'OATT Input Data'!E192</f>
        <v>205099094</v>
      </c>
      <c r="F16" s="146"/>
      <c r="G16" s="146" t="s">
        <v>36</v>
      </c>
      <c r="H16" s="419">
        <f>'PTP Pg 4 of 5'!$J$33</f>
        <v>6.5890000000000004E-2</v>
      </c>
      <c r="I16" s="146"/>
      <c r="J16" s="147">
        <f t="shared" ref="J16:J21" si="0">ROUND(E16*H16,0)</f>
        <v>13513979</v>
      </c>
      <c r="K16" s="146"/>
      <c r="L16" s="146" t="s">
        <v>0</v>
      </c>
      <c r="M16" s="146"/>
      <c r="N16" s="146"/>
      <c r="O16" s="156"/>
      <c r="P16" s="146"/>
      <c r="Q16" s="146"/>
    </row>
    <row r="17" spans="1:21" x14ac:dyDescent="0.25">
      <c r="A17" s="84">
        <v>4</v>
      </c>
      <c r="C17" s="194" t="s">
        <v>200</v>
      </c>
      <c r="D17" s="184" t="s">
        <v>276</v>
      </c>
      <c r="E17" s="147">
        <f>'OATT Input Data'!E194*-1</f>
        <v>-757340</v>
      </c>
      <c r="F17" s="146"/>
      <c r="G17" s="146" t="str">
        <f>+G16</f>
        <v>W/S</v>
      </c>
      <c r="H17" s="419">
        <f>'PTP Pg 4 of 5'!$J$33</f>
        <v>6.5890000000000004E-2</v>
      </c>
      <c r="I17" s="146"/>
      <c r="J17" s="147">
        <f t="shared" si="0"/>
        <v>-49901</v>
      </c>
      <c r="K17" s="146"/>
      <c r="L17" s="146"/>
      <c r="M17" s="146"/>
      <c r="N17" s="146"/>
      <c r="O17" s="156"/>
      <c r="P17" s="146"/>
      <c r="Q17" s="146"/>
    </row>
    <row r="18" spans="1:21" ht="31.5" x14ac:dyDescent="0.25">
      <c r="A18" s="540">
        <v>5</v>
      </c>
      <c r="C18" s="199" t="s">
        <v>279</v>
      </c>
      <c r="D18" s="496" t="s">
        <v>277</v>
      </c>
      <c r="E18" s="147">
        <f>'OATT Input Data'!E200*-1</f>
        <v>-6359782</v>
      </c>
      <c r="F18" s="497"/>
      <c r="G18" s="497" t="str">
        <f>+G17</f>
        <v>W/S</v>
      </c>
      <c r="H18" s="498">
        <f>'PTP Pg 4 of 5'!$J$33</f>
        <v>6.5890000000000004E-2</v>
      </c>
      <c r="I18" s="497"/>
      <c r="J18" s="147">
        <f t="shared" si="0"/>
        <v>-419046</v>
      </c>
      <c r="K18" s="146"/>
      <c r="L18" s="146"/>
      <c r="M18" s="146"/>
      <c r="N18" s="146"/>
      <c r="O18" s="155"/>
      <c r="P18" s="146"/>
      <c r="Q18" s="146"/>
    </row>
    <row r="19" spans="1:21" x14ac:dyDescent="0.25">
      <c r="A19" s="84">
        <v>6</v>
      </c>
      <c r="C19" s="194" t="s">
        <v>278</v>
      </c>
      <c r="D19" s="414" t="s">
        <v>277</v>
      </c>
      <c r="E19" s="147">
        <f>'OATT Input Data'!E201</f>
        <v>445707</v>
      </c>
      <c r="F19" s="146"/>
      <c r="G19" s="176" t="str">
        <f>+G14</f>
        <v>TE</v>
      </c>
      <c r="H19" s="419">
        <f>'PTP Pg 4 of 5'!$J$25</f>
        <v>0.82591000000000003</v>
      </c>
      <c r="I19" s="146"/>
      <c r="J19" s="147">
        <f t="shared" si="0"/>
        <v>368114</v>
      </c>
      <c r="K19" s="146"/>
      <c r="L19" s="146"/>
      <c r="M19" s="146"/>
      <c r="O19" s="156"/>
      <c r="P19" s="146"/>
      <c r="Q19" s="146"/>
    </row>
    <row r="20" spans="1:21" x14ac:dyDescent="0.25">
      <c r="A20" s="84">
        <v>7</v>
      </c>
      <c r="C20" s="155" t="s">
        <v>43</v>
      </c>
      <c r="D20" s="184" t="s">
        <v>179</v>
      </c>
      <c r="E20" s="331">
        <f>'OATT Input Data'!E202</f>
        <v>0</v>
      </c>
      <c r="F20" s="146"/>
      <c r="G20" s="146" t="s">
        <v>38</v>
      </c>
      <c r="H20" s="419">
        <f>'PTP Pg 4 of 5'!$J$41</f>
        <v>6.0560000000000003E-2</v>
      </c>
      <c r="I20" s="146"/>
      <c r="J20" s="331">
        <f t="shared" si="0"/>
        <v>0</v>
      </c>
      <c r="K20" s="146"/>
      <c r="L20" s="146"/>
      <c r="M20" s="146"/>
      <c r="N20" s="146"/>
      <c r="O20" s="156"/>
      <c r="P20" s="146"/>
      <c r="Q20" s="146"/>
    </row>
    <row r="21" spans="1:21" ht="18" x14ac:dyDescent="0.4">
      <c r="A21" s="84">
        <v>8</v>
      </c>
      <c r="C21" s="155" t="s">
        <v>199</v>
      </c>
      <c r="D21" s="146"/>
      <c r="E21" s="413">
        <f>'OATT Input Data'!E203</f>
        <v>0</v>
      </c>
      <c r="F21" s="146"/>
      <c r="G21" s="146" t="s">
        <v>0</v>
      </c>
      <c r="H21" s="419">
        <v>1</v>
      </c>
      <c r="I21" s="146"/>
      <c r="J21" s="413">
        <f t="shared" si="0"/>
        <v>0</v>
      </c>
      <c r="K21" s="146"/>
      <c r="L21" s="146"/>
      <c r="M21" s="146"/>
      <c r="N21" s="146"/>
      <c r="O21" s="156"/>
      <c r="P21" s="146"/>
      <c r="Q21" s="146"/>
    </row>
    <row r="22" spans="1:21" x14ac:dyDescent="0.25">
      <c r="A22" s="84">
        <v>9</v>
      </c>
      <c r="C22" s="194" t="s">
        <v>197</v>
      </c>
      <c r="D22" s="409" t="s">
        <v>322</v>
      </c>
      <c r="E22" s="410">
        <f>ROUND(SUM(E14:E21),0)</f>
        <v>240443505</v>
      </c>
      <c r="F22" s="146"/>
      <c r="G22" s="146"/>
      <c r="H22" s="146"/>
      <c r="I22" s="146"/>
      <c r="J22" s="410">
        <f>ROUND(SUM(J14:J21),0)</f>
        <v>47387693</v>
      </c>
      <c r="K22" s="146"/>
      <c r="L22" s="146"/>
      <c r="M22" s="146"/>
      <c r="N22" s="541"/>
      <c r="O22" s="146"/>
      <c r="P22" s="155"/>
    </row>
    <row r="23" spans="1:21" x14ac:dyDescent="0.25">
      <c r="A23" s="84"/>
      <c r="D23" s="146"/>
      <c r="E23" s="147"/>
      <c r="F23" s="146"/>
      <c r="G23" s="146"/>
      <c r="H23" s="146"/>
      <c r="I23" s="146"/>
      <c r="J23" s="147"/>
      <c r="K23" s="146"/>
      <c r="L23" s="146"/>
      <c r="M23" s="146"/>
      <c r="N23" s="146"/>
      <c r="O23" s="146"/>
      <c r="P23" s="155"/>
    </row>
    <row r="24" spans="1:21" x14ac:dyDescent="0.25">
      <c r="A24" s="84"/>
      <c r="C24" s="194" t="s">
        <v>416</v>
      </c>
      <c r="D24" s="414" t="s">
        <v>252</v>
      </c>
      <c r="E24" s="147"/>
      <c r="F24" s="146"/>
      <c r="G24" s="146"/>
      <c r="H24" s="146"/>
      <c r="I24" s="146"/>
      <c r="J24" s="147"/>
      <c r="K24" s="146"/>
      <c r="L24" s="146"/>
      <c r="M24" s="146"/>
      <c r="N24" s="146"/>
      <c r="O24" s="146"/>
      <c r="P24" s="155"/>
    </row>
    <row r="25" spans="1:21" x14ac:dyDescent="0.25">
      <c r="A25" s="84">
        <v>10</v>
      </c>
      <c r="C25" s="542" t="s">
        <v>414</v>
      </c>
      <c r="D25" s="409" t="s">
        <v>194</v>
      </c>
      <c r="E25" s="410">
        <f>'OATT Input Data'!$E$208</f>
        <v>21719525.440000001</v>
      </c>
      <c r="F25" s="146"/>
      <c r="G25" s="146" t="s">
        <v>9</v>
      </c>
      <c r="H25" s="419">
        <f>'PTP Pg 4 of 5'!$J$24</f>
        <v>0.95574999999999999</v>
      </c>
      <c r="I25" s="146"/>
      <c r="J25" s="410">
        <f t="shared" ref="J25" si="1">ROUND(H25*E25,0)</f>
        <v>20758436</v>
      </c>
      <c r="K25" s="146"/>
      <c r="L25" s="434"/>
      <c r="M25" s="146"/>
      <c r="N25" s="146"/>
      <c r="O25" s="156"/>
      <c r="P25" s="155"/>
    </row>
    <row r="26" spans="1:21" x14ac:dyDescent="0.25">
      <c r="A26" s="84">
        <v>11</v>
      </c>
      <c r="C26" s="542" t="s">
        <v>399</v>
      </c>
      <c r="D26" s="409" t="s">
        <v>195</v>
      </c>
      <c r="E26" s="147">
        <f>'OATT Input Data'!$E$211</f>
        <v>23308692.829999998</v>
      </c>
      <c r="F26" s="146"/>
      <c r="G26" s="146" t="s">
        <v>36</v>
      </c>
      <c r="H26" s="419">
        <f>'PTP Pg 4 of 5'!$J$33</f>
        <v>6.5890000000000004E-2</v>
      </c>
      <c r="I26" s="146"/>
      <c r="J26" s="147">
        <f>ROUND(H26*E26,0)</f>
        <v>1535810</v>
      </c>
      <c r="K26" s="146"/>
      <c r="L26" s="434"/>
      <c r="M26" s="146"/>
      <c r="N26" s="543"/>
      <c r="O26" s="156"/>
      <c r="P26" s="155"/>
    </row>
    <row r="27" spans="1:21" x14ac:dyDescent="0.25">
      <c r="A27" s="84">
        <v>12</v>
      </c>
      <c r="C27" s="542" t="s">
        <v>415</v>
      </c>
      <c r="D27" s="409" t="s">
        <v>196</v>
      </c>
      <c r="E27" s="430">
        <f>'OATT Input Data'!$E$212</f>
        <v>19221539.75</v>
      </c>
      <c r="F27" s="146"/>
      <c r="G27" s="146" t="s">
        <v>38</v>
      </c>
      <c r="H27" s="419">
        <f>'PTP Pg 4 of 5'!$J$41</f>
        <v>6.0560000000000003E-2</v>
      </c>
      <c r="I27" s="146"/>
      <c r="J27" s="430">
        <f t="shared" ref="J27" si="2">ROUND(H27*E27,0)</f>
        <v>1164056</v>
      </c>
      <c r="K27" s="146"/>
      <c r="L27" s="434"/>
      <c r="M27" s="146"/>
      <c r="N27" s="543"/>
      <c r="O27" s="156"/>
      <c r="P27" s="155"/>
    </row>
    <row r="28" spans="1:21" x14ac:dyDescent="0.25">
      <c r="A28" s="84">
        <v>13</v>
      </c>
      <c r="C28" s="194" t="s">
        <v>201</v>
      </c>
      <c r="D28" s="409" t="s">
        <v>336</v>
      </c>
      <c r="E28" s="410">
        <f>ROUND(SUM(E25:E27),0)</f>
        <v>64249758</v>
      </c>
      <c r="F28" s="146"/>
      <c r="G28" s="146"/>
      <c r="H28" s="146"/>
      <c r="I28" s="146"/>
      <c r="J28" s="410">
        <f>ROUND(SUM(J25:J27),0)</f>
        <v>23458302</v>
      </c>
      <c r="K28" s="146"/>
      <c r="L28" s="146"/>
      <c r="M28" s="146"/>
      <c r="N28" s="146"/>
      <c r="O28" s="146"/>
      <c r="P28" s="155"/>
      <c r="U28" s="544"/>
    </row>
    <row r="29" spans="1:21" x14ac:dyDescent="0.25">
      <c r="A29" s="84"/>
      <c r="C29" s="155"/>
      <c r="D29" s="146"/>
      <c r="E29" s="147"/>
      <c r="F29" s="146"/>
      <c r="G29" s="146"/>
      <c r="H29" s="146"/>
      <c r="I29" s="146"/>
      <c r="J29" s="147"/>
      <c r="K29" s="146"/>
      <c r="L29" s="146"/>
      <c r="M29" s="146"/>
      <c r="N29" s="146"/>
      <c r="O29" s="146"/>
      <c r="P29" s="155"/>
    </row>
    <row r="30" spans="1:21" x14ac:dyDescent="0.25">
      <c r="A30" s="84" t="s">
        <v>0</v>
      </c>
      <c r="C30" s="194" t="s">
        <v>281</v>
      </c>
      <c r="D30" s="121" t="s">
        <v>303</v>
      </c>
      <c r="E30" s="147"/>
      <c r="F30" s="146"/>
      <c r="G30" s="146"/>
      <c r="H30" s="146"/>
      <c r="I30" s="146"/>
      <c r="J30" s="147"/>
      <c r="K30" s="146"/>
      <c r="L30" s="146"/>
      <c r="M30" s="146"/>
      <c r="N30" s="146"/>
      <c r="O30" s="146"/>
      <c r="P30" s="155"/>
    </row>
    <row r="31" spans="1:21" x14ac:dyDescent="0.25">
      <c r="A31" s="84"/>
      <c r="C31" s="155" t="s">
        <v>57</v>
      </c>
      <c r="D31" s="121"/>
      <c r="E31" s="147"/>
      <c r="F31" s="146"/>
      <c r="G31" s="146"/>
      <c r="I31" s="146"/>
      <c r="J31" s="147"/>
      <c r="K31" s="146"/>
      <c r="L31" s="434"/>
      <c r="M31" s="146"/>
      <c r="N31" s="150"/>
      <c r="O31" s="156"/>
      <c r="P31" s="155"/>
    </row>
    <row r="32" spans="1:21" x14ac:dyDescent="0.25">
      <c r="A32" s="84">
        <v>14</v>
      </c>
      <c r="C32" s="545" t="s">
        <v>59</v>
      </c>
      <c r="D32" s="414" t="s">
        <v>58</v>
      </c>
      <c r="E32" s="410">
        <f>'OATT Input Data'!$E$226</f>
        <v>16525945</v>
      </c>
      <c r="F32" s="146"/>
      <c r="G32" s="146" t="s">
        <v>36</v>
      </c>
      <c r="H32" s="419">
        <f>'PTP Pg 4 of 5'!$J$33</f>
        <v>6.5890000000000004E-2</v>
      </c>
      <c r="I32" s="146"/>
      <c r="J32" s="410">
        <f>ROUND(H32*E32,0)</f>
        <v>1088895</v>
      </c>
      <c r="K32" s="146"/>
      <c r="L32" s="434"/>
      <c r="M32" s="146"/>
      <c r="N32" s="150"/>
      <c r="P32" s="156"/>
      <c r="Q32" s="156"/>
    </row>
    <row r="33" spans="1:17" x14ac:dyDescent="0.25">
      <c r="A33" s="84">
        <v>15</v>
      </c>
      <c r="C33" s="545" t="s">
        <v>390</v>
      </c>
      <c r="D33" s="414" t="s">
        <v>58</v>
      </c>
      <c r="E33" s="331">
        <f>'OATT Input Data'!$E$227</f>
        <v>90932</v>
      </c>
      <c r="F33" s="146"/>
      <c r="G33" s="146" t="str">
        <f>+G32</f>
        <v>W/S</v>
      </c>
      <c r="H33" s="419">
        <f>'PTP Pg 4 of 5'!$J$33</f>
        <v>6.5890000000000004E-2</v>
      </c>
      <c r="I33" s="146"/>
      <c r="J33" s="331">
        <f>ROUND(H33*E33,0)</f>
        <v>5992</v>
      </c>
      <c r="K33" s="146"/>
      <c r="L33" s="434"/>
      <c r="M33" s="146"/>
      <c r="N33" s="150"/>
      <c r="P33" s="146"/>
      <c r="Q33" s="146"/>
    </row>
    <row r="34" spans="1:17" x14ac:dyDescent="0.25">
      <c r="A34" s="84">
        <v>16</v>
      </c>
      <c r="C34" s="155" t="s">
        <v>60</v>
      </c>
      <c r="D34" s="414" t="s">
        <v>0</v>
      </c>
      <c r="E34" s="147"/>
      <c r="F34" s="146"/>
      <c r="G34" s="146"/>
      <c r="I34" s="146"/>
      <c r="J34" s="147"/>
      <c r="K34" s="146"/>
      <c r="L34" s="434"/>
      <c r="M34" s="146"/>
      <c r="N34" s="150"/>
      <c r="P34" s="146"/>
      <c r="Q34" s="146"/>
    </row>
    <row r="35" spans="1:17" x14ac:dyDescent="0.25">
      <c r="A35" s="84">
        <v>17</v>
      </c>
      <c r="C35" s="545" t="s">
        <v>61</v>
      </c>
      <c r="D35" s="414" t="s">
        <v>58</v>
      </c>
      <c r="E35" s="147">
        <f>'OATT Input Data'!$E$229</f>
        <v>44916728</v>
      </c>
      <c r="F35" s="146"/>
      <c r="G35" s="146" t="s">
        <v>54</v>
      </c>
      <c r="H35" s="439">
        <f>'PTP Pg 2 of 5'!$H$19</f>
        <v>8.4339999999999998E-2</v>
      </c>
      <c r="I35" s="146"/>
      <c r="J35" s="147">
        <f>ROUND(H35*E35,0)</f>
        <v>3788277</v>
      </c>
      <c r="K35" s="146"/>
      <c r="L35" s="434"/>
      <c r="M35" s="146"/>
      <c r="N35" s="150"/>
      <c r="P35" s="146"/>
      <c r="Q35" s="146"/>
    </row>
    <row r="36" spans="1:17" x14ac:dyDescent="0.25">
      <c r="A36" s="84">
        <v>18</v>
      </c>
      <c r="C36" s="545" t="s">
        <v>41</v>
      </c>
      <c r="D36" s="414" t="s">
        <v>58</v>
      </c>
      <c r="E36" s="147">
        <f>'OATT Input Data'!$E$235</f>
        <v>5107720</v>
      </c>
      <c r="F36" s="146"/>
      <c r="G36" s="146" t="str">
        <f>+G35</f>
        <v>GP</v>
      </c>
      <c r="H36" s="439">
        <f>'PTP Pg 2 of 5'!$H$19</f>
        <v>8.4339999999999998E-2</v>
      </c>
      <c r="I36" s="146"/>
      <c r="J36" s="147">
        <f>ROUND(H36*E36,0)</f>
        <v>430785</v>
      </c>
      <c r="K36" s="146"/>
      <c r="L36" s="434"/>
      <c r="M36" s="146"/>
      <c r="P36" s="157"/>
      <c r="Q36" s="157"/>
    </row>
    <row r="37" spans="1:17" x14ac:dyDescent="0.25">
      <c r="A37" s="84">
        <v>19</v>
      </c>
      <c r="C37" s="545" t="s">
        <v>391</v>
      </c>
      <c r="D37" s="146"/>
      <c r="E37" s="499">
        <v>0</v>
      </c>
      <c r="F37" s="146"/>
      <c r="G37" s="146" t="s">
        <v>54</v>
      </c>
      <c r="H37" s="439">
        <f>'PTP Pg 2 of 5'!$H$19</f>
        <v>8.4339999999999998E-2</v>
      </c>
      <c r="I37" s="146"/>
      <c r="J37" s="499">
        <f>ROUND(H37*E37,0)</f>
        <v>0</v>
      </c>
      <c r="K37" s="146"/>
      <c r="L37" s="434"/>
      <c r="M37" s="146"/>
      <c r="N37" s="150"/>
      <c r="O37" s="150"/>
      <c r="P37" s="146"/>
      <c r="Q37" s="146"/>
    </row>
    <row r="38" spans="1:17" x14ac:dyDescent="0.25">
      <c r="A38" s="84">
        <v>20</v>
      </c>
      <c r="C38" s="194" t="s">
        <v>202</v>
      </c>
      <c r="D38" s="409" t="s">
        <v>410</v>
      </c>
      <c r="E38" s="410">
        <f>ROUND(SUM(E32:E37),0)</f>
        <v>66641325</v>
      </c>
      <c r="F38" s="146"/>
      <c r="G38" s="146"/>
      <c r="H38" s="439"/>
      <c r="I38" s="146"/>
      <c r="J38" s="410">
        <f>ROUND(SUM(J32:J37),0)</f>
        <v>5313949</v>
      </c>
      <c r="K38" s="146"/>
      <c r="L38" s="146"/>
      <c r="M38" s="146"/>
      <c r="N38" s="150"/>
      <c r="O38" s="168"/>
      <c r="P38" s="146"/>
      <c r="Q38" s="146"/>
    </row>
    <row r="39" spans="1:17" x14ac:dyDescent="0.25">
      <c r="A39" s="84"/>
      <c r="C39" s="155"/>
      <c r="D39" s="146"/>
      <c r="E39" s="147"/>
      <c r="F39" s="146"/>
      <c r="G39" s="146"/>
      <c r="H39" s="439"/>
      <c r="I39" s="146"/>
      <c r="J39" s="147"/>
      <c r="K39" s="146"/>
      <c r="L39" s="146"/>
      <c r="M39" s="146"/>
      <c r="N39" s="155"/>
      <c r="P39" s="156"/>
      <c r="Q39" s="156"/>
    </row>
    <row r="40" spans="1:17" x14ac:dyDescent="0.25">
      <c r="A40" s="84" t="s">
        <v>62</v>
      </c>
      <c r="C40" s="155"/>
      <c r="D40" s="146"/>
      <c r="E40" s="147"/>
      <c r="F40" s="146"/>
      <c r="G40" s="146"/>
      <c r="H40" s="439"/>
      <c r="I40" s="146"/>
      <c r="J40" s="147"/>
      <c r="K40" s="146"/>
      <c r="L40" s="146"/>
      <c r="M40" s="146"/>
      <c r="N40" s="146"/>
      <c r="P40" s="156"/>
      <c r="Q40" s="156"/>
    </row>
    <row r="41" spans="1:17" x14ac:dyDescent="0.25">
      <c r="A41" s="84" t="s">
        <v>0</v>
      </c>
      <c r="C41" s="194" t="s">
        <v>307</v>
      </c>
      <c r="D41" s="414" t="s">
        <v>305</v>
      </c>
      <c r="E41" s="147"/>
      <c r="F41" s="146"/>
      <c r="H41" s="433"/>
      <c r="I41" s="146"/>
      <c r="J41" s="147"/>
      <c r="K41" s="146"/>
      <c r="M41" s="146"/>
      <c r="N41" s="165"/>
      <c r="P41" s="156"/>
      <c r="Q41" s="156"/>
    </row>
    <row r="42" spans="1:17" x14ac:dyDescent="0.25">
      <c r="A42" s="84">
        <v>21</v>
      </c>
      <c r="C42" s="546" t="s">
        <v>400</v>
      </c>
      <c r="D42" s="146"/>
      <c r="E42" s="500">
        <f>IF('OATT Input Data'!$B$240&gt;0,1-(((1-'OATT Input Data'!$B$241)*(1-'OATT Input Data'!$B$240))/(1-'OATT Input Data'!$B$241*'OATT Input Data'!$B$240*'OATT Input Data'!$B$242)),0)</f>
        <v>0.38900000000000001</v>
      </c>
      <c r="F42" s="146"/>
      <c r="H42" s="433"/>
      <c r="I42" s="146"/>
      <c r="J42" s="147"/>
      <c r="K42" s="146"/>
      <c r="M42" s="146"/>
      <c r="N42" s="146"/>
      <c r="P42" s="156"/>
      <c r="Q42" s="156"/>
    </row>
    <row r="43" spans="1:17" x14ac:dyDescent="0.25">
      <c r="A43" s="84">
        <v>22</v>
      </c>
      <c r="C43" s="547" t="s">
        <v>401</v>
      </c>
      <c r="D43" s="146"/>
      <c r="E43" s="500">
        <f>IF('PTP Pg 4 of 5'!$J$56&gt;0,ROUND((E42/(1-E42))*(1-'PTP Pg 4 of 5'!$J$53/'PTP Pg 4 of 5'!$J$56),4),0)</f>
        <v>0.50290000000000001</v>
      </c>
      <c r="F43" s="146"/>
      <c r="H43" s="433"/>
      <c r="I43" s="146"/>
      <c r="J43" s="147"/>
      <c r="K43" s="146"/>
      <c r="M43" s="146"/>
      <c r="N43" s="146"/>
      <c r="O43" s="168"/>
      <c r="P43" s="156"/>
      <c r="Q43" s="156"/>
    </row>
    <row r="44" spans="1:17" x14ac:dyDescent="0.25">
      <c r="A44" s="84"/>
      <c r="C44" s="438" t="s">
        <v>337</v>
      </c>
      <c r="D44" s="409" t="s">
        <v>333</v>
      </c>
      <c r="E44" s="501">
        <f>'PTP Pg 4 of 5'!J53</f>
        <v>1.55E-2</v>
      </c>
      <c r="F44" s="146"/>
      <c r="H44" s="433"/>
      <c r="I44" s="146"/>
      <c r="J44" s="147"/>
      <c r="K44" s="146"/>
      <c r="M44" s="146"/>
      <c r="P44" s="146"/>
    </row>
    <row r="45" spans="1:17" x14ac:dyDescent="0.25">
      <c r="A45" s="84"/>
      <c r="C45" s="438" t="s">
        <v>338</v>
      </c>
      <c r="D45" s="409" t="s">
        <v>334</v>
      </c>
      <c r="E45" s="501">
        <f>'PTP Pg 4 of 5'!J56</f>
        <v>7.3800000010000005E-2</v>
      </c>
      <c r="F45" s="146"/>
      <c r="H45" s="433"/>
      <c r="I45" s="146"/>
      <c r="J45" s="147"/>
      <c r="K45" s="146"/>
      <c r="M45" s="146"/>
      <c r="N45" s="146"/>
      <c r="O45" s="150"/>
      <c r="P45" s="146"/>
    </row>
    <row r="46" spans="1:17" x14ac:dyDescent="0.25">
      <c r="A46" s="84"/>
      <c r="C46" s="438" t="s">
        <v>306</v>
      </c>
      <c r="D46" s="414" t="s">
        <v>305</v>
      </c>
      <c r="E46" s="147"/>
      <c r="F46" s="146"/>
      <c r="H46" s="433"/>
      <c r="I46" s="146"/>
      <c r="J46" s="147"/>
      <c r="K46" s="146"/>
      <c r="M46" s="146"/>
      <c r="N46" s="146"/>
      <c r="O46" s="150"/>
      <c r="P46" s="146"/>
    </row>
    <row r="47" spans="1:17" x14ac:dyDescent="0.25">
      <c r="A47" s="84">
        <v>23</v>
      </c>
      <c r="C47" s="548" t="s">
        <v>308</v>
      </c>
      <c r="D47" s="409" t="s">
        <v>879</v>
      </c>
      <c r="E47" s="502">
        <f>IF(E42&gt;0,ROUND(1/(1-E42),8),0)</f>
        <v>1.63666121</v>
      </c>
      <c r="F47" s="146"/>
      <c r="H47" s="433"/>
      <c r="I47" s="146"/>
      <c r="J47" s="147"/>
      <c r="K47" s="146"/>
      <c r="M47" s="146"/>
      <c r="N47" s="146"/>
      <c r="O47" s="150"/>
      <c r="P47" s="177"/>
      <c r="Q47" s="177"/>
    </row>
    <row r="48" spans="1:17" x14ac:dyDescent="0.25">
      <c r="A48" s="84">
        <v>24</v>
      </c>
      <c r="C48" s="194" t="s">
        <v>309</v>
      </c>
      <c r="D48" s="409" t="s">
        <v>392</v>
      </c>
      <c r="E48" s="331">
        <v>0</v>
      </c>
      <c r="F48" s="146"/>
      <c r="H48" s="433"/>
      <c r="I48" s="146"/>
      <c r="J48" s="147"/>
      <c r="K48" s="146"/>
      <c r="M48" s="146"/>
      <c r="N48" s="146"/>
      <c r="O48" s="150"/>
      <c r="P48" s="146"/>
      <c r="Q48" s="146"/>
    </row>
    <row r="49" spans="1:19" x14ac:dyDescent="0.25">
      <c r="A49" s="84"/>
      <c r="C49" s="155"/>
      <c r="D49" s="146"/>
      <c r="E49" s="147"/>
      <c r="F49" s="146"/>
      <c r="H49" s="433"/>
      <c r="I49" s="146"/>
      <c r="J49" s="147"/>
      <c r="K49" s="146"/>
      <c r="M49" s="146"/>
      <c r="N49" s="146"/>
      <c r="O49" s="150"/>
      <c r="P49" s="150"/>
    </row>
    <row r="50" spans="1:19" x14ac:dyDescent="0.25">
      <c r="A50" s="84">
        <v>25</v>
      </c>
      <c r="C50" s="548" t="s">
        <v>311</v>
      </c>
      <c r="D50" s="503" t="s">
        <v>411</v>
      </c>
      <c r="E50" s="410">
        <f>ROUND(E43*E54,0)</f>
        <v>281651343</v>
      </c>
      <c r="F50" s="146"/>
      <c r="G50" s="146"/>
      <c r="H50" s="439"/>
      <c r="I50" s="146"/>
      <c r="J50" s="410">
        <f>ROUND(E43*J54,0)</f>
        <v>21250640</v>
      </c>
      <c r="K50" s="146"/>
      <c r="L50" s="549" t="s">
        <v>0</v>
      </c>
      <c r="M50" s="146"/>
      <c r="N50" s="146"/>
      <c r="O50" s="150"/>
      <c r="P50" s="150"/>
    </row>
    <row r="51" spans="1:19" ht="18" x14ac:dyDescent="0.4">
      <c r="A51" s="84">
        <v>26</v>
      </c>
      <c r="C51" s="167" t="s">
        <v>312</v>
      </c>
      <c r="D51" s="503" t="s">
        <v>412</v>
      </c>
      <c r="E51" s="413">
        <f>ROUND(E47*E48,0)</f>
        <v>0</v>
      </c>
      <c r="F51" s="146"/>
      <c r="G51" s="89" t="s">
        <v>46</v>
      </c>
      <c r="H51" s="439">
        <f>'PTP Pg 2 of 5'!$H$35</f>
        <v>7.5130000000000002E-2</v>
      </c>
      <c r="I51" s="146"/>
      <c r="J51" s="413">
        <f>ROUND(H51*E51,0)</f>
        <v>0</v>
      </c>
      <c r="K51" s="146"/>
      <c r="L51" s="549"/>
      <c r="M51" s="146"/>
      <c r="N51" s="146"/>
      <c r="O51" s="150"/>
      <c r="P51" s="150"/>
    </row>
    <row r="52" spans="1:19" x14ac:dyDescent="0.25">
      <c r="A52" s="84">
        <v>27</v>
      </c>
      <c r="C52" s="550" t="s">
        <v>63</v>
      </c>
      <c r="D52" s="412" t="s">
        <v>413</v>
      </c>
      <c r="E52" s="504">
        <f>E50+E51</f>
        <v>281651343</v>
      </c>
      <c r="F52" s="146"/>
      <c r="G52" s="146" t="s">
        <v>0</v>
      </c>
      <c r="H52" s="439" t="s">
        <v>0</v>
      </c>
      <c r="I52" s="146"/>
      <c r="J52" s="504">
        <f>J50+J51</f>
        <v>21250640</v>
      </c>
      <c r="K52" s="146"/>
      <c r="L52" s="146"/>
      <c r="M52" s="146"/>
      <c r="N52" s="146"/>
      <c r="O52" s="146"/>
      <c r="P52" s="155"/>
    </row>
    <row r="53" spans="1:19" x14ac:dyDescent="0.25">
      <c r="A53" s="84" t="s">
        <v>0</v>
      </c>
      <c r="D53" s="505"/>
      <c r="E53" s="147"/>
      <c r="F53" s="146"/>
      <c r="G53" s="146"/>
      <c r="H53" s="439"/>
      <c r="I53" s="146"/>
      <c r="J53" s="147"/>
      <c r="K53" s="146"/>
      <c r="L53" s="146"/>
      <c r="M53" s="146"/>
      <c r="N53" s="146"/>
      <c r="O53" s="146"/>
      <c r="P53" s="155"/>
    </row>
    <row r="54" spans="1:19" ht="18" x14ac:dyDescent="0.4">
      <c r="A54" s="84">
        <v>28</v>
      </c>
      <c r="C54" s="194" t="s">
        <v>310</v>
      </c>
      <c r="D54" s="412" t="s">
        <v>339</v>
      </c>
      <c r="E54" s="506">
        <f>ROUND('PTP Pg 4 of 5'!$J$56*'PTP Pg 2 of 5'!$E$57,0)</f>
        <v>560054370</v>
      </c>
      <c r="F54" s="146"/>
      <c r="G54" s="146"/>
      <c r="H54" s="433"/>
      <c r="I54" s="146"/>
      <c r="J54" s="506">
        <f>ROUND('PTP Pg 4 of 5'!$J$56*'PTP Pg 2 of 5'!$J$57,0)</f>
        <v>42256195</v>
      </c>
      <c r="K54" s="146"/>
      <c r="M54" s="146"/>
      <c r="N54" s="146"/>
      <c r="O54" s="156"/>
      <c r="P54" s="146" t="s">
        <v>0</v>
      </c>
    </row>
    <row r="55" spans="1:19" x14ac:dyDescent="0.25">
      <c r="A55" s="84"/>
      <c r="C55" s="155"/>
      <c r="E55" s="147"/>
      <c r="F55" s="146"/>
      <c r="G55" s="146"/>
      <c r="H55" s="433"/>
      <c r="I55" s="146"/>
      <c r="J55" s="147"/>
      <c r="K55" s="146"/>
      <c r="L55" s="434"/>
      <c r="M55" s="146"/>
      <c r="N55" s="146"/>
      <c r="O55" s="156"/>
      <c r="P55" s="146"/>
    </row>
    <row r="56" spans="1:19" ht="18" x14ac:dyDescent="0.4">
      <c r="A56" s="84">
        <v>29</v>
      </c>
      <c r="C56" s="194" t="s">
        <v>203</v>
      </c>
      <c r="D56" s="409" t="s">
        <v>408</v>
      </c>
      <c r="E56" s="507">
        <f>ROUND(E54+E52+E38+E28+E22,0)</f>
        <v>1213040301</v>
      </c>
      <c r="F56" s="146"/>
      <c r="G56" s="146"/>
      <c r="H56" s="146"/>
      <c r="I56" s="146"/>
      <c r="J56" s="507">
        <f>ROUND(J54+J52+J38+J28+J22,0)</f>
        <v>139666779</v>
      </c>
      <c r="K56" s="106"/>
      <c r="L56" s="106"/>
      <c r="M56" s="106"/>
      <c r="N56" s="106"/>
      <c r="O56" s="106"/>
      <c r="P56" s="155"/>
    </row>
    <row r="57" spans="1:19" x14ac:dyDescent="0.25">
      <c r="Q57" s="121"/>
      <c r="R57" s="121"/>
      <c r="S57" s="121"/>
    </row>
    <row r="58" spans="1:19" x14ac:dyDescent="0.25">
      <c r="Q58" s="121"/>
      <c r="R58" s="121"/>
      <c r="S58" s="121"/>
    </row>
    <row r="59" spans="1:19" x14ac:dyDescent="0.25">
      <c r="Q59" s="121"/>
      <c r="R59" s="121"/>
      <c r="S59" s="121"/>
    </row>
    <row r="60" spans="1:19" x14ac:dyDescent="0.25">
      <c r="Q60" s="121"/>
      <c r="R60" s="121"/>
      <c r="S60" s="121"/>
    </row>
    <row r="61" spans="1:19" x14ac:dyDescent="0.25">
      <c r="Q61" s="121"/>
      <c r="R61" s="121"/>
      <c r="S61" s="121"/>
    </row>
    <row r="62" spans="1:19" x14ac:dyDescent="0.25">
      <c r="Q62" s="121"/>
      <c r="R62" s="121"/>
      <c r="S62" s="121"/>
    </row>
    <row r="63" spans="1:19" x14ac:dyDescent="0.25">
      <c r="Q63" s="121"/>
      <c r="R63" s="121"/>
      <c r="S63" s="121"/>
    </row>
    <row r="64" spans="1:19" x14ac:dyDescent="0.25">
      <c r="Q64" s="121"/>
      <c r="R64" s="121"/>
      <c r="S64" s="121"/>
    </row>
    <row r="65" spans="17:19" x14ac:dyDescent="0.25">
      <c r="Q65" s="121"/>
      <c r="R65" s="121"/>
      <c r="S65" s="121"/>
    </row>
    <row r="66" spans="17:19" x14ac:dyDescent="0.25">
      <c r="Q66" s="121"/>
      <c r="R66" s="121"/>
      <c r="S66" s="121"/>
    </row>
    <row r="67" spans="17:19" x14ac:dyDescent="0.25">
      <c r="Q67" s="121"/>
      <c r="R67" s="121"/>
      <c r="S67" s="121"/>
    </row>
    <row r="68" spans="17:19" x14ac:dyDescent="0.25">
      <c r="Q68" s="121"/>
      <c r="R68" s="121"/>
      <c r="S68" s="121"/>
    </row>
    <row r="69" spans="17:19" x14ac:dyDescent="0.25">
      <c r="Q69" s="121"/>
      <c r="R69" s="121"/>
      <c r="S69" s="121"/>
    </row>
    <row r="70" spans="17:19" x14ac:dyDescent="0.25">
      <c r="Q70" s="121"/>
      <c r="R70" s="121"/>
      <c r="S70" s="121"/>
    </row>
    <row r="71" spans="17:19" x14ac:dyDescent="0.25">
      <c r="Q71" s="121"/>
      <c r="R71" s="121"/>
      <c r="S71" s="121"/>
    </row>
    <row r="72" spans="17:19" x14ac:dyDescent="0.25">
      <c r="Q72" s="121"/>
      <c r="R72" s="121"/>
      <c r="S72" s="121"/>
    </row>
    <row r="73" spans="17:19" x14ac:dyDescent="0.25">
      <c r="Q73" s="121"/>
      <c r="R73" s="121"/>
      <c r="S73" s="121"/>
    </row>
    <row r="74" spans="17:19" x14ac:dyDescent="0.25">
      <c r="Q74" s="121"/>
      <c r="R74" s="121"/>
      <c r="S74" s="121"/>
    </row>
    <row r="75" spans="17:19" x14ac:dyDescent="0.25">
      <c r="Q75" s="121"/>
      <c r="R75" s="121"/>
      <c r="S75" s="121"/>
    </row>
    <row r="76" spans="17:19" x14ac:dyDescent="0.25">
      <c r="Q76" s="121"/>
      <c r="R76" s="121"/>
      <c r="S76" s="121"/>
    </row>
    <row r="77" spans="17:19" x14ac:dyDescent="0.25">
      <c r="Q77" s="121"/>
      <c r="R77" s="121"/>
      <c r="S77" s="121"/>
    </row>
    <row r="78" spans="17:19" x14ac:dyDescent="0.25">
      <c r="Q78" s="121"/>
      <c r="R78" s="121"/>
      <c r="S78" s="121"/>
    </row>
    <row r="79" spans="17:19" x14ac:dyDescent="0.25">
      <c r="Q79" s="121"/>
      <c r="R79" s="121"/>
      <c r="S79" s="121"/>
    </row>
    <row r="80" spans="17:19" x14ac:dyDescent="0.25">
      <c r="Q80" s="121"/>
      <c r="R80" s="121"/>
      <c r="S80" s="121"/>
    </row>
    <row r="81" spans="17:19" x14ac:dyDescent="0.25">
      <c r="Q81" s="121"/>
      <c r="R81" s="121"/>
      <c r="S81" s="121"/>
    </row>
    <row r="82" spans="17:19" x14ac:dyDescent="0.25">
      <c r="Q82" s="121"/>
      <c r="R82" s="121"/>
      <c r="S82" s="121"/>
    </row>
    <row r="83" spans="17:19" x14ac:dyDescent="0.25">
      <c r="Q83" s="121"/>
      <c r="R83" s="121"/>
      <c r="S83" s="121"/>
    </row>
    <row r="84" spans="17:19" x14ac:dyDescent="0.25">
      <c r="Q84" s="121"/>
      <c r="R84" s="121"/>
      <c r="S84" s="121"/>
    </row>
    <row r="85" spans="17:19" x14ac:dyDescent="0.25">
      <c r="Q85" s="121"/>
      <c r="R85" s="121"/>
      <c r="S85" s="121"/>
    </row>
    <row r="86" spans="17:19" x14ac:dyDescent="0.25">
      <c r="Q86" s="121"/>
      <c r="R86" s="121"/>
      <c r="S86" s="121"/>
    </row>
    <row r="87" spans="17:19" x14ac:dyDescent="0.25">
      <c r="Q87" s="121"/>
      <c r="R87" s="121"/>
      <c r="S87" s="121"/>
    </row>
    <row r="88" spans="17:19" x14ac:dyDescent="0.25">
      <c r="Q88" s="121"/>
      <c r="R88" s="121"/>
      <c r="S88" s="121"/>
    </row>
    <row r="89" spans="17:19" x14ac:dyDescent="0.25">
      <c r="Q89" s="121"/>
      <c r="R89" s="121"/>
      <c r="S89" s="121"/>
    </row>
    <row r="90" spans="17:19" x14ac:dyDescent="0.25">
      <c r="Q90" s="121"/>
      <c r="R90" s="121"/>
      <c r="S90" s="121"/>
    </row>
    <row r="91" spans="17:19" x14ac:dyDescent="0.25">
      <c r="Q91" s="121"/>
      <c r="R91" s="121"/>
      <c r="S91" s="121"/>
    </row>
    <row r="92" spans="17:19" x14ac:dyDescent="0.25">
      <c r="Q92" s="121"/>
      <c r="R92" s="121"/>
      <c r="S92" s="121"/>
    </row>
    <row r="93" spans="17:19" x14ac:dyDescent="0.25">
      <c r="Q93" s="121"/>
      <c r="R93" s="121"/>
      <c r="S93" s="121"/>
    </row>
    <row r="94" spans="17:19" x14ac:dyDescent="0.25">
      <c r="Q94" s="121"/>
      <c r="R94" s="121"/>
      <c r="S94" s="121"/>
    </row>
    <row r="95" spans="17:19" x14ac:dyDescent="0.25">
      <c r="Q95" s="121"/>
      <c r="R95" s="121"/>
      <c r="S95" s="121"/>
    </row>
    <row r="96" spans="17:19" x14ac:dyDescent="0.25">
      <c r="Q96" s="121"/>
      <c r="R96" s="121"/>
      <c r="S96" s="121"/>
    </row>
    <row r="97" spans="17:19" x14ac:dyDescent="0.25">
      <c r="Q97" s="121"/>
      <c r="R97" s="121"/>
      <c r="S97" s="121"/>
    </row>
    <row r="98" spans="17:19" x14ac:dyDescent="0.25">
      <c r="Q98" s="121"/>
      <c r="R98" s="121"/>
      <c r="S98" s="121"/>
    </row>
    <row r="99" spans="17:19" x14ac:dyDescent="0.25">
      <c r="Q99" s="121"/>
      <c r="R99" s="121"/>
      <c r="S99" s="121"/>
    </row>
    <row r="100" spans="17:19" x14ac:dyDescent="0.25">
      <c r="Q100" s="121"/>
      <c r="R100" s="121"/>
      <c r="S100" s="121"/>
    </row>
    <row r="101" spans="17:19" x14ac:dyDescent="0.25">
      <c r="Q101" s="121"/>
      <c r="R101" s="121"/>
      <c r="S101" s="121"/>
    </row>
    <row r="102" spans="17:19" x14ac:dyDescent="0.25">
      <c r="Q102" s="121"/>
      <c r="R102" s="121"/>
      <c r="S102" s="121"/>
    </row>
    <row r="103" spans="17:19" x14ac:dyDescent="0.25">
      <c r="Q103" s="121"/>
      <c r="R103" s="121"/>
      <c r="S103" s="121"/>
    </row>
    <row r="104" spans="17:19" x14ac:dyDescent="0.25">
      <c r="Q104" s="121"/>
      <c r="R104" s="121"/>
      <c r="S104" s="121"/>
    </row>
    <row r="105" spans="17:19" x14ac:dyDescent="0.25">
      <c r="Q105" s="121"/>
      <c r="R105" s="121"/>
      <c r="S105" s="121"/>
    </row>
    <row r="106" spans="17:19" x14ac:dyDescent="0.25">
      <c r="Q106" s="121"/>
      <c r="R106" s="121"/>
      <c r="S106" s="121"/>
    </row>
    <row r="107" spans="17:19" x14ac:dyDescent="0.25">
      <c r="Q107" s="121"/>
      <c r="R107" s="121"/>
      <c r="S107" s="121"/>
    </row>
    <row r="108" spans="17:19" x14ac:dyDescent="0.25">
      <c r="Q108" s="121"/>
      <c r="R108" s="121"/>
      <c r="S108" s="121"/>
    </row>
    <row r="109" spans="17:19" x14ac:dyDescent="0.25">
      <c r="Q109" s="121"/>
      <c r="R109" s="121"/>
      <c r="S109" s="121"/>
    </row>
    <row r="110" spans="17:19" x14ac:dyDescent="0.25">
      <c r="Q110" s="121"/>
      <c r="R110" s="121"/>
      <c r="S110" s="121"/>
    </row>
    <row r="111" spans="17:19" x14ac:dyDescent="0.25">
      <c r="Q111" s="121"/>
      <c r="R111" s="121"/>
      <c r="S111" s="121"/>
    </row>
    <row r="112" spans="17:19" x14ac:dyDescent="0.25">
      <c r="Q112" s="121"/>
      <c r="R112" s="121"/>
      <c r="S112" s="121"/>
    </row>
    <row r="113" spans="17:19" x14ac:dyDescent="0.25">
      <c r="Q113" s="121"/>
      <c r="R113" s="121"/>
      <c r="S113" s="121"/>
    </row>
    <row r="114" spans="17:19" x14ac:dyDescent="0.25">
      <c r="Q114" s="121"/>
      <c r="R114" s="121"/>
      <c r="S114" s="121"/>
    </row>
    <row r="115" spans="17:19" x14ac:dyDescent="0.25">
      <c r="Q115" s="121"/>
      <c r="R115" s="121"/>
      <c r="S115" s="121"/>
    </row>
    <row r="116" spans="17:19" x14ac:dyDescent="0.25">
      <c r="Q116" s="121"/>
      <c r="R116" s="121"/>
      <c r="S116" s="121"/>
    </row>
    <row r="117" spans="17:19" x14ac:dyDescent="0.25">
      <c r="Q117" s="121"/>
      <c r="R117" s="121"/>
      <c r="S117" s="121"/>
    </row>
    <row r="118" spans="17:19" x14ac:dyDescent="0.25">
      <c r="Q118" s="121"/>
      <c r="R118" s="121"/>
      <c r="S118" s="121"/>
    </row>
    <row r="119" spans="17:19" x14ac:dyDescent="0.25">
      <c r="Q119" s="121"/>
      <c r="R119" s="121"/>
      <c r="S119" s="121"/>
    </row>
    <row r="120" spans="17:19" x14ac:dyDescent="0.25">
      <c r="Q120" s="121"/>
      <c r="R120" s="121"/>
      <c r="S120" s="121"/>
    </row>
    <row r="121" spans="17:19" x14ac:dyDescent="0.25">
      <c r="Q121" s="121"/>
      <c r="R121" s="121"/>
      <c r="S121" s="121"/>
    </row>
    <row r="122" spans="17:19" x14ac:dyDescent="0.25">
      <c r="Q122" s="121"/>
      <c r="R122" s="121"/>
      <c r="S122" s="121"/>
    </row>
    <row r="123" spans="17:19" x14ac:dyDescent="0.25">
      <c r="Q123" s="121"/>
      <c r="R123" s="121"/>
      <c r="S123" s="121"/>
    </row>
    <row r="124" spans="17:19" x14ac:dyDescent="0.25">
      <c r="Q124" s="121"/>
      <c r="R124" s="121"/>
      <c r="S124" s="121"/>
    </row>
    <row r="125" spans="17:19" x14ac:dyDescent="0.25">
      <c r="Q125" s="121"/>
      <c r="R125" s="121"/>
      <c r="S125" s="121"/>
    </row>
    <row r="126" spans="17:19" x14ac:dyDescent="0.25">
      <c r="Q126" s="121"/>
      <c r="R126" s="121"/>
      <c r="S126" s="121"/>
    </row>
    <row r="127" spans="17:19" x14ac:dyDescent="0.25">
      <c r="Q127" s="121"/>
      <c r="R127" s="121"/>
      <c r="S127" s="121"/>
    </row>
    <row r="128" spans="17:19" x14ac:dyDescent="0.25">
      <c r="Q128" s="121"/>
      <c r="R128" s="121"/>
      <c r="S128" s="121"/>
    </row>
    <row r="129" spans="17:19" x14ac:dyDescent="0.25">
      <c r="Q129" s="121"/>
      <c r="R129" s="121"/>
      <c r="S129" s="121"/>
    </row>
    <row r="130" spans="17:19" x14ac:dyDescent="0.25">
      <c r="Q130" s="121"/>
      <c r="R130" s="121"/>
      <c r="S130" s="121"/>
    </row>
    <row r="131" spans="17:19" x14ac:dyDescent="0.25">
      <c r="Q131" s="121"/>
      <c r="R131" s="121"/>
      <c r="S131" s="121"/>
    </row>
    <row r="132" spans="17:19" x14ac:dyDescent="0.25">
      <c r="Q132" s="121"/>
      <c r="R132" s="121"/>
      <c r="S132" s="121"/>
    </row>
    <row r="133" spans="17:19" x14ac:dyDescent="0.25">
      <c r="Q133" s="121"/>
      <c r="R133" s="121"/>
      <c r="S133" s="121"/>
    </row>
    <row r="134" spans="17:19" x14ac:dyDescent="0.25">
      <c r="Q134" s="121"/>
      <c r="R134" s="121"/>
      <c r="S134" s="121"/>
    </row>
    <row r="135" spans="17:19" x14ac:dyDescent="0.25">
      <c r="Q135" s="121"/>
      <c r="R135" s="121"/>
      <c r="S135" s="121"/>
    </row>
    <row r="136" spans="17:19" x14ac:dyDescent="0.25">
      <c r="Q136" s="121"/>
      <c r="R136" s="121"/>
      <c r="S136" s="121"/>
    </row>
    <row r="137" spans="17:19" x14ac:dyDescent="0.25">
      <c r="Q137" s="121"/>
      <c r="R137" s="121"/>
      <c r="S137" s="121"/>
    </row>
    <row r="138" spans="17:19" x14ac:dyDescent="0.25">
      <c r="Q138" s="121"/>
      <c r="R138" s="121"/>
      <c r="S138" s="121"/>
    </row>
    <row r="139" spans="17:19" x14ac:dyDescent="0.25">
      <c r="Q139" s="121"/>
      <c r="R139" s="121"/>
      <c r="S139" s="121"/>
    </row>
    <row r="140" spans="17:19" x14ac:dyDescent="0.25">
      <c r="Q140" s="121"/>
      <c r="R140" s="121"/>
      <c r="S140" s="121"/>
    </row>
    <row r="141" spans="17:19" x14ac:dyDescent="0.25">
      <c r="Q141" s="121"/>
      <c r="R141" s="121"/>
      <c r="S141" s="121"/>
    </row>
    <row r="142" spans="17:19" x14ac:dyDescent="0.25">
      <c r="Q142" s="121"/>
      <c r="R142" s="121"/>
      <c r="S142" s="121"/>
    </row>
    <row r="143" spans="17:19" x14ac:dyDescent="0.25">
      <c r="Q143" s="121"/>
      <c r="R143" s="121"/>
      <c r="S143" s="121"/>
    </row>
    <row r="144" spans="17:19" x14ac:dyDescent="0.25">
      <c r="Q144" s="121"/>
      <c r="R144" s="121"/>
      <c r="S144" s="121"/>
    </row>
    <row r="145" spans="17:19" x14ac:dyDescent="0.25">
      <c r="Q145" s="121"/>
      <c r="R145" s="121"/>
      <c r="S145" s="121"/>
    </row>
    <row r="146" spans="17:19" x14ac:dyDescent="0.25">
      <c r="Q146" s="121"/>
      <c r="R146" s="121"/>
      <c r="S146" s="121"/>
    </row>
    <row r="147" spans="17:19" x14ac:dyDescent="0.25">
      <c r="Q147" s="121"/>
      <c r="R147" s="121"/>
      <c r="S147" s="121"/>
    </row>
    <row r="148" spans="17:19" x14ac:dyDescent="0.25">
      <c r="Q148" s="121"/>
      <c r="R148" s="121"/>
      <c r="S148" s="121"/>
    </row>
    <row r="149" spans="17:19" x14ac:dyDescent="0.25">
      <c r="Q149" s="121"/>
      <c r="R149" s="121"/>
      <c r="S149" s="121"/>
    </row>
    <row r="150" spans="17:19" x14ac:dyDescent="0.25">
      <c r="Q150" s="121"/>
      <c r="R150" s="121"/>
      <c r="S150" s="121"/>
    </row>
    <row r="151" spans="17:19" x14ac:dyDescent="0.25">
      <c r="Q151" s="121"/>
      <c r="R151" s="121"/>
      <c r="S151" s="121"/>
    </row>
    <row r="152" spans="17:19" x14ac:dyDescent="0.25">
      <c r="Q152" s="121"/>
      <c r="R152" s="121"/>
      <c r="S152" s="121"/>
    </row>
    <row r="153" spans="17:19" x14ac:dyDescent="0.25">
      <c r="Q153" s="121"/>
      <c r="R153" s="121"/>
      <c r="S153" s="121"/>
    </row>
    <row r="154" spans="17:19" x14ac:dyDescent="0.25">
      <c r="Q154" s="121"/>
      <c r="R154" s="121"/>
      <c r="S154" s="121"/>
    </row>
    <row r="155" spans="17:19" x14ac:dyDescent="0.25">
      <c r="Q155" s="121"/>
      <c r="R155" s="121"/>
      <c r="S155" s="121"/>
    </row>
    <row r="156" spans="17:19" x14ac:dyDescent="0.25">
      <c r="Q156" s="121"/>
      <c r="R156" s="121"/>
      <c r="S156" s="121"/>
    </row>
    <row r="157" spans="17:19" x14ac:dyDescent="0.25">
      <c r="Q157" s="121"/>
      <c r="R157" s="121"/>
      <c r="S157" s="121"/>
    </row>
    <row r="158" spans="17:19" x14ac:dyDescent="0.25">
      <c r="Q158" s="121"/>
      <c r="R158" s="121"/>
      <c r="S158" s="121"/>
    </row>
    <row r="159" spans="17:19" x14ac:dyDescent="0.25">
      <c r="Q159" s="121"/>
      <c r="R159" s="121"/>
      <c r="S159" s="121"/>
    </row>
    <row r="160" spans="17:19" x14ac:dyDescent="0.25">
      <c r="Q160" s="121"/>
      <c r="R160" s="121"/>
      <c r="S160" s="121"/>
    </row>
    <row r="161" spans="17:19" x14ac:dyDescent="0.25">
      <c r="Q161" s="121"/>
      <c r="R161" s="121"/>
      <c r="S161" s="121"/>
    </row>
    <row r="162" spans="17:19" x14ac:dyDescent="0.25">
      <c r="Q162" s="121"/>
      <c r="R162" s="121"/>
      <c r="S162" s="121"/>
    </row>
    <row r="163" spans="17:19" x14ac:dyDescent="0.25">
      <c r="Q163" s="121"/>
      <c r="R163" s="121"/>
      <c r="S163" s="121"/>
    </row>
    <row r="164" spans="17:19" x14ac:dyDescent="0.25">
      <c r="Q164" s="121"/>
      <c r="R164" s="121"/>
      <c r="S164" s="121"/>
    </row>
    <row r="165" spans="17:19" x14ac:dyDescent="0.25">
      <c r="Q165" s="121"/>
      <c r="R165" s="121"/>
      <c r="S165" s="121"/>
    </row>
    <row r="166" spans="17:19" x14ac:dyDescent="0.25">
      <c r="Q166" s="121"/>
      <c r="R166" s="121"/>
      <c r="S166" s="121"/>
    </row>
    <row r="167" spans="17:19" x14ac:dyDescent="0.25">
      <c r="Q167" s="121"/>
      <c r="R167" s="121"/>
      <c r="S167" s="121"/>
    </row>
    <row r="168" spans="17:19" x14ac:dyDescent="0.25">
      <c r="Q168" s="121"/>
      <c r="R168" s="121"/>
      <c r="S168" s="121"/>
    </row>
    <row r="169" spans="17:19" x14ac:dyDescent="0.25">
      <c r="Q169" s="121"/>
      <c r="R169" s="121"/>
      <c r="S169" s="121"/>
    </row>
    <row r="170" spans="17:19" x14ac:dyDescent="0.25">
      <c r="Q170" s="121"/>
      <c r="R170" s="121"/>
      <c r="S170" s="121"/>
    </row>
    <row r="171" spans="17:19" x14ac:dyDescent="0.25">
      <c r="Q171" s="121"/>
      <c r="R171" s="121"/>
      <c r="S171" s="121"/>
    </row>
    <row r="172" spans="17:19" x14ac:dyDescent="0.25">
      <c r="Q172" s="121"/>
      <c r="R172" s="121"/>
      <c r="S172" s="121"/>
    </row>
    <row r="173" spans="17:19" x14ac:dyDescent="0.25">
      <c r="Q173" s="121"/>
      <c r="R173" s="121"/>
      <c r="S173" s="121"/>
    </row>
    <row r="174" spans="17:19" x14ac:dyDescent="0.25">
      <c r="Q174" s="121"/>
      <c r="R174" s="121"/>
      <c r="S174" s="121"/>
    </row>
    <row r="175" spans="17:19" x14ac:dyDescent="0.25">
      <c r="Q175" s="121"/>
      <c r="R175" s="121"/>
      <c r="S175" s="121"/>
    </row>
    <row r="176" spans="17:19" x14ac:dyDescent="0.25">
      <c r="Q176" s="121"/>
      <c r="R176" s="121"/>
      <c r="S176" s="121"/>
    </row>
    <row r="177" spans="3:19" x14ac:dyDescent="0.25">
      <c r="Q177" s="121"/>
      <c r="R177" s="121"/>
      <c r="S177" s="121"/>
    </row>
    <row r="178" spans="3:19" x14ac:dyDescent="0.25">
      <c r="Q178" s="121"/>
      <c r="R178" s="121"/>
      <c r="S178" s="121"/>
    </row>
    <row r="179" spans="3:19" x14ac:dyDescent="0.25">
      <c r="Q179" s="121"/>
      <c r="R179" s="121"/>
      <c r="S179" s="121"/>
    </row>
    <row r="180" spans="3:19" x14ac:dyDescent="0.25">
      <c r="C180" s="121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Q180" s="121"/>
      <c r="R180" s="121"/>
      <c r="S180" s="121"/>
    </row>
    <row r="181" spans="3:19" x14ac:dyDescent="0.25">
      <c r="C181" s="121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</row>
    <row r="182" spans="3:19" x14ac:dyDescent="0.25">
      <c r="C182" s="121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</row>
    <row r="183" spans="3:19" x14ac:dyDescent="0.25">
      <c r="C183" s="121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</row>
    <row r="184" spans="3:19" x14ac:dyDescent="0.25">
      <c r="C184" s="121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</row>
    <row r="185" spans="3:19" x14ac:dyDescent="0.25">
      <c r="C185" s="121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</row>
    <row r="186" spans="3:19" x14ac:dyDescent="0.25">
      <c r="C186" s="121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</row>
    <row r="187" spans="3:19" x14ac:dyDescent="0.25">
      <c r="C187" s="121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</row>
    <row r="188" spans="3:19" x14ac:dyDescent="0.25">
      <c r="C188" s="121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</row>
    <row r="189" spans="3:19" x14ac:dyDescent="0.25">
      <c r="C189" s="121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</row>
    <row r="190" spans="3:19" x14ac:dyDescent="0.25">
      <c r="C190" s="121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</row>
    <row r="191" spans="3:19" x14ac:dyDescent="0.25">
      <c r="C191" s="121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</row>
    <row r="192" spans="3:19" x14ac:dyDescent="0.25">
      <c r="C192" s="121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</row>
    <row r="193" spans="3:19" x14ac:dyDescent="0.25">
      <c r="C193" s="121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</row>
    <row r="194" spans="3:19" x14ac:dyDescent="0.25">
      <c r="C194" s="121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</row>
    <row r="195" spans="3:19" x14ac:dyDescent="0.25">
      <c r="C195" s="121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</row>
    <row r="196" spans="3:19" x14ac:dyDescent="0.25">
      <c r="C196" s="121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</row>
    <row r="197" spans="3:19" x14ac:dyDescent="0.25">
      <c r="C197" s="121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</row>
    <row r="198" spans="3:19" x14ac:dyDescent="0.25">
      <c r="C198" s="121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</row>
    <row r="199" spans="3:19" x14ac:dyDescent="0.25">
      <c r="C199" s="121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</row>
    <row r="200" spans="3:19" x14ac:dyDescent="0.25">
      <c r="C200" s="121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</row>
    <row r="201" spans="3:19" x14ac:dyDescent="0.25">
      <c r="C201" s="121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</row>
    <row r="202" spans="3:19" x14ac:dyDescent="0.25">
      <c r="C202" s="121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</row>
    <row r="203" spans="3:19" x14ac:dyDescent="0.25">
      <c r="C203" s="121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</row>
    <row r="204" spans="3:19" x14ac:dyDescent="0.25">
      <c r="C204" s="121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</row>
    <row r="205" spans="3:19" x14ac:dyDescent="0.25">
      <c r="C205" s="121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</row>
    <row r="206" spans="3:19" x14ac:dyDescent="0.25">
      <c r="C206" s="121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</row>
    <row r="207" spans="3:19" x14ac:dyDescent="0.25">
      <c r="C207" s="121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</row>
    <row r="208" spans="3:19" x14ac:dyDescent="0.25">
      <c r="C208" s="121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</row>
    <row r="209" spans="3:19" x14ac:dyDescent="0.25">
      <c r="C209" s="121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</row>
    <row r="210" spans="3:19" x14ac:dyDescent="0.25">
      <c r="C210" s="121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</row>
    <row r="211" spans="3:19" x14ac:dyDescent="0.25">
      <c r="C211" s="121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</row>
    <row r="212" spans="3:19" x14ac:dyDescent="0.25">
      <c r="C212" s="121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</row>
    <row r="213" spans="3:19" x14ac:dyDescent="0.25">
      <c r="C213" s="121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</row>
    <row r="214" spans="3:19" x14ac:dyDescent="0.25">
      <c r="C214" s="121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</row>
    <row r="215" spans="3:19" x14ac:dyDescent="0.25">
      <c r="C215" s="121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</row>
    <row r="216" spans="3:19" x14ac:dyDescent="0.25">
      <c r="C216" s="121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</row>
    <row r="217" spans="3:19" x14ac:dyDescent="0.25">
      <c r="C217" s="121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</row>
    <row r="218" spans="3:19" x14ac:dyDescent="0.25">
      <c r="C218" s="121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</row>
    <row r="219" spans="3:19" x14ac:dyDescent="0.25">
      <c r="C219" s="121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</row>
    <row r="220" spans="3:19" x14ac:dyDescent="0.25">
      <c r="C220" s="121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</row>
    <row r="221" spans="3:19" x14ac:dyDescent="0.25">
      <c r="C221" s="121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</row>
    <row r="222" spans="3:19" x14ac:dyDescent="0.25">
      <c r="C222" s="121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</row>
    <row r="223" spans="3:19" x14ac:dyDescent="0.25">
      <c r="C223" s="121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</row>
    <row r="224" spans="3:19" x14ac:dyDescent="0.25">
      <c r="C224" s="121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</row>
    <row r="225" spans="3:19" x14ac:dyDescent="0.25">
      <c r="C225" s="121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</row>
    <row r="226" spans="3:19" x14ac:dyDescent="0.25">
      <c r="C226" s="121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</row>
    <row r="227" spans="3:19" x14ac:dyDescent="0.25">
      <c r="C227" s="121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</row>
    <row r="228" spans="3:19" x14ac:dyDescent="0.25">
      <c r="C228" s="121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</row>
    <row r="229" spans="3:19" x14ac:dyDescent="0.25">
      <c r="C229" s="121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</row>
    <row r="230" spans="3:19" x14ac:dyDescent="0.25">
      <c r="C230" s="121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</row>
    <row r="231" spans="3:19" x14ac:dyDescent="0.25">
      <c r="C231" s="121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</row>
    <row r="232" spans="3:19" x14ac:dyDescent="0.25">
      <c r="C232" s="121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</row>
    <row r="233" spans="3:19" x14ac:dyDescent="0.25">
      <c r="C233" s="121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</row>
    <row r="234" spans="3:19" x14ac:dyDescent="0.25">
      <c r="C234" s="121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</row>
    <row r="235" spans="3:19" x14ac:dyDescent="0.25">
      <c r="C235" s="121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</row>
    <row r="236" spans="3:19" x14ac:dyDescent="0.25">
      <c r="P236" s="121"/>
      <c r="Q236" s="121"/>
      <c r="R236" s="121"/>
      <c r="S236" s="121"/>
    </row>
  </sheetData>
  <printOptions horizontalCentered="1"/>
  <pageMargins left="0.75" right="0.75" top="0.54" bottom="0.49" header="0.5" footer="0.5"/>
  <pageSetup scale="59" orientation="landscape" r:id="rId1"/>
  <headerFooter alignWithMargins="0"/>
  <colBreaks count="1" manualBreakCount="1">
    <brk id="13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60"/>
  <sheetViews>
    <sheetView workbookViewId="0"/>
  </sheetViews>
  <sheetFormatPr defaultColWidth="9.33203125" defaultRowHeight="15.75" x14ac:dyDescent="0.25"/>
  <cols>
    <col min="1" max="1" width="9" style="89" customWidth="1"/>
    <col min="2" max="2" width="2.1640625" style="89" customWidth="1"/>
    <col min="3" max="3" width="44.6640625" style="89" customWidth="1"/>
    <col min="4" max="4" width="31.1640625" style="89" customWidth="1"/>
    <col min="5" max="5" width="26.33203125" style="89" customWidth="1"/>
    <col min="6" max="6" width="15" style="89" customWidth="1"/>
    <col min="7" max="7" width="20.6640625" style="89" customWidth="1"/>
    <col min="8" max="8" width="18.5" style="89" customWidth="1"/>
    <col min="9" max="9" width="8.6640625" style="89" customWidth="1"/>
    <col min="10" max="10" width="23" style="89" customWidth="1"/>
    <col min="11" max="11" width="12.1640625" style="89" customWidth="1"/>
    <col min="12" max="12" width="11.6640625" style="89" customWidth="1"/>
    <col min="13" max="13" width="2.83203125" style="89" customWidth="1"/>
    <col min="14" max="14" width="41" style="89" customWidth="1"/>
    <col min="15" max="15" width="48.83203125" style="89" customWidth="1"/>
    <col min="16" max="16" width="23.5" style="89" customWidth="1"/>
    <col min="17" max="17" width="20.5" style="89" customWidth="1"/>
    <col min="18" max="18" width="20.83203125" style="89" customWidth="1"/>
    <col min="19" max="19" width="23.6640625" style="89" bestFit="1" customWidth="1"/>
    <col min="20" max="20" width="22.1640625" style="89" bestFit="1" customWidth="1"/>
    <col min="21" max="21" width="23" style="89" bestFit="1" customWidth="1"/>
    <col min="22" max="22" width="19.83203125" style="89" customWidth="1"/>
    <col min="23" max="23" width="20.33203125" style="89" customWidth="1"/>
    <col min="24" max="24" width="23.5" style="89" bestFit="1" customWidth="1"/>
    <col min="25" max="25" width="21.6640625" style="89" bestFit="1" customWidth="1"/>
    <col min="26" max="26" width="16.1640625" style="89" customWidth="1"/>
    <col min="27" max="28" width="23.5" style="89" bestFit="1" customWidth="1"/>
    <col min="29" max="29" width="21.33203125" style="89" bestFit="1" customWidth="1"/>
    <col min="30" max="30" width="23.5" style="89" bestFit="1" customWidth="1"/>
    <col min="31" max="31" width="21.33203125" style="89" bestFit="1" customWidth="1"/>
    <col min="32" max="32" width="20.6640625" style="89" bestFit="1" customWidth="1"/>
    <col min="33" max="16384" width="9.33203125" style="89"/>
  </cols>
  <sheetData>
    <row r="1" spans="1:16" s="1" customFormat="1" x14ac:dyDescent="0.25">
      <c r="A1" s="190" t="s">
        <v>185</v>
      </c>
      <c r="B1" s="191"/>
      <c r="C1" s="192"/>
      <c r="D1" s="192"/>
      <c r="E1" s="192"/>
      <c r="F1" s="192"/>
      <c r="G1" s="192"/>
      <c r="H1" s="192"/>
      <c r="I1" s="192"/>
      <c r="J1" s="192"/>
      <c r="K1" s="192"/>
      <c r="L1" s="2"/>
      <c r="M1" s="179"/>
      <c r="N1" s="4"/>
      <c r="O1" s="4"/>
      <c r="P1" s="4"/>
    </row>
    <row r="2" spans="1:16" s="1" customFormat="1" x14ac:dyDescent="0.25">
      <c r="A2" s="190" t="s">
        <v>249</v>
      </c>
      <c r="B2" s="191"/>
      <c r="C2" s="192"/>
      <c r="D2" s="192"/>
      <c r="E2" s="192"/>
      <c r="F2" s="192"/>
      <c r="G2" s="192"/>
      <c r="H2" s="192"/>
      <c r="I2" s="192"/>
      <c r="J2" s="192"/>
      <c r="K2" s="192"/>
      <c r="L2" s="2"/>
      <c r="M2" s="188"/>
      <c r="N2" s="4"/>
      <c r="O2" s="4"/>
      <c r="P2" s="4"/>
    </row>
    <row r="3" spans="1:16" s="1" customFormat="1" x14ac:dyDescent="0.25">
      <c r="C3" s="6"/>
      <c r="D3" s="2"/>
      <c r="E3" s="3"/>
      <c r="F3" s="2"/>
      <c r="G3" s="2"/>
      <c r="H3" s="2"/>
      <c r="I3" s="4"/>
      <c r="J3" s="4"/>
      <c r="K3" s="4"/>
      <c r="L3" s="4"/>
      <c r="M3" s="4"/>
      <c r="N3" s="4"/>
      <c r="O3" s="4"/>
      <c r="P3" s="4"/>
    </row>
    <row r="4" spans="1:16" s="1" customFormat="1" x14ac:dyDescent="0.25">
      <c r="A4" s="1" t="s">
        <v>186</v>
      </c>
      <c r="C4" s="2"/>
      <c r="D4" s="2"/>
      <c r="E4" s="7"/>
      <c r="F4" s="2"/>
      <c r="G4" s="2"/>
      <c r="H4" s="2"/>
      <c r="I4" s="4"/>
      <c r="K4" s="206" t="str">
        <f>"For the 12 months ended "&amp;TEXT('OATT Input Data'!B4,"MM/DD/YYYY")</f>
        <v>For the 12 months ended 12/31/2015</v>
      </c>
      <c r="L4" s="4"/>
      <c r="M4" s="4"/>
      <c r="N4" s="4"/>
      <c r="O4" s="5"/>
      <c r="P4" s="4"/>
    </row>
    <row r="5" spans="1:16" s="1" customFormat="1" x14ac:dyDescent="0.25">
      <c r="A5" s="207" t="s">
        <v>187</v>
      </c>
      <c r="C5" s="2"/>
      <c r="D5" s="8"/>
      <c r="F5" s="8"/>
      <c r="G5" s="8"/>
      <c r="H5" s="8"/>
      <c r="I5" s="2"/>
      <c r="J5" s="2"/>
      <c r="K5" s="206" t="s">
        <v>125</v>
      </c>
      <c r="L5" s="192"/>
      <c r="M5" s="4"/>
      <c r="N5" s="4"/>
      <c r="O5" s="4"/>
      <c r="P5" s="4"/>
    </row>
    <row r="6" spans="1:16" s="1" customFormat="1" x14ac:dyDescent="0.25"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s="1" customFormat="1" x14ac:dyDescent="0.25">
      <c r="A7" s="209" t="s">
        <v>130</v>
      </c>
      <c r="B7" s="190"/>
      <c r="C7" s="210"/>
      <c r="D7" s="210"/>
      <c r="E7" s="190"/>
      <c r="F7" s="210"/>
      <c r="G7" s="210"/>
      <c r="H7" s="210"/>
      <c r="I7" s="210"/>
      <c r="J7" s="210"/>
      <c r="K7" s="210"/>
      <c r="L7" s="2"/>
      <c r="M7" s="4"/>
      <c r="N7" s="4"/>
      <c r="O7" s="4"/>
      <c r="P7" s="4"/>
    </row>
    <row r="8" spans="1:16" x14ac:dyDescent="0.25">
      <c r="A8" s="403" t="s">
        <v>389</v>
      </c>
      <c r="B8" s="404"/>
      <c r="C8" s="404"/>
      <c r="D8" s="404"/>
      <c r="E8" s="404"/>
      <c r="F8" s="405"/>
      <c r="G8" s="405"/>
      <c r="H8" s="405"/>
      <c r="I8" s="405"/>
      <c r="J8" s="405"/>
      <c r="K8" s="406"/>
      <c r="L8" s="146"/>
      <c r="M8" s="146"/>
      <c r="N8" s="106"/>
      <c r="O8" s="146"/>
      <c r="P8" s="155"/>
    </row>
    <row r="9" spans="1:16" x14ac:dyDescent="0.25">
      <c r="A9" s="84" t="s">
        <v>1</v>
      </c>
      <c r="C9" s="407"/>
      <c r="D9" s="106"/>
      <c r="E9" s="106"/>
      <c r="F9" s="106"/>
      <c r="G9" s="106"/>
      <c r="H9" s="106"/>
      <c r="I9" s="106"/>
      <c r="J9" s="106"/>
      <c r="K9" s="146"/>
      <c r="L9" s="146"/>
      <c r="M9" s="146"/>
      <c r="N9" s="106"/>
      <c r="O9" s="146"/>
      <c r="P9" s="155"/>
    </row>
    <row r="10" spans="1:16" ht="16.5" thickBot="1" x14ac:dyDescent="0.3">
      <c r="A10" s="408" t="s">
        <v>3</v>
      </c>
      <c r="C10" s="145" t="s">
        <v>204</v>
      </c>
      <c r="D10" s="106"/>
      <c r="E10" s="106"/>
      <c r="F10" s="106"/>
      <c r="G10" s="106"/>
      <c r="H10" s="106"/>
      <c r="K10" s="146"/>
      <c r="L10" s="146"/>
      <c r="M10" s="146"/>
      <c r="N10" s="106"/>
      <c r="O10" s="146"/>
      <c r="P10" s="155"/>
    </row>
    <row r="11" spans="1:16" x14ac:dyDescent="0.25">
      <c r="A11" s="84">
        <v>1</v>
      </c>
      <c r="C11" s="145" t="s">
        <v>205</v>
      </c>
      <c r="D11" s="106"/>
      <c r="E11" s="146"/>
      <c r="F11" s="146"/>
      <c r="G11" s="409" t="s">
        <v>331</v>
      </c>
      <c r="H11" s="146"/>
      <c r="I11" s="146"/>
      <c r="J11" s="410">
        <f>'PTP Pg 2 of 5'!E15</f>
        <v>1189651345</v>
      </c>
      <c r="K11" s="146"/>
      <c r="L11" s="146"/>
      <c r="M11" s="146"/>
      <c r="N11" s="106"/>
      <c r="O11" s="146"/>
      <c r="P11" s="155"/>
    </row>
    <row r="12" spans="1:16" x14ac:dyDescent="0.25">
      <c r="A12" s="84">
        <v>2</v>
      </c>
      <c r="C12" s="145" t="s">
        <v>207</v>
      </c>
      <c r="G12" s="121" t="s">
        <v>206</v>
      </c>
      <c r="J12" s="147">
        <f>ROUND('VA Transmission'!$G$60,0)</f>
        <v>52642796</v>
      </c>
      <c r="K12" s="146"/>
      <c r="L12" s="146"/>
      <c r="M12" s="146"/>
      <c r="N12" s="106"/>
      <c r="O12" s="146"/>
      <c r="P12" s="411"/>
    </row>
    <row r="13" spans="1:16" ht="18.75" thickBot="1" x14ac:dyDescent="0.45">
      <c r="A13" s="84">
        <v>3</v>
      </c>
      <c r="C13" s="195" t="s">
        <v>209</v>
      </c>
      <c r="D13" s="148"/>
      <c r="E13" s="149"/>
      <c r="F13" s="146"/>
      <c r="G13" s="412" t="s">
        <v>208</v>
      </c>
      <c r="H13" s="150"/>
      <c r="I13" s="146"/>
      <c r="J13" s="413">
        <v>0</v>
      </c>
      <c r="K13" s="146"/>
      <c r="L13" s="146"/>
      <c r="M13" s="146"/>
      <c r="N13" s="106"/>
      <c r="O13" s="146"/>
      <c r="P13" s="411"/>
    </row>
    <row r="14" spans="1:16" x14ac:dyDescent="0.25">
      <c r="A14" s="84">
        <v>4</v>
      </c>
      <c r="C14" s="145" t="s">
        <v>340</v>
      </c>
      <c r="D14" s="106"/>
      <c r="E14" s="146"/>
      <c r="F14" s="146"/>
      <c r="G14" s="414" t="s">
        <v>210</v>
      </c>
      <c r="H14" s="150"/>
      <c r="I14" s="146"/>
      <c r="J14" s="410">
        <f>ROUND(J11-J12-J13,0)</f>
        <v>1137008549</v>
      </c>
      <c r="K14" s="146"/>
      <c r="L14" s="146"/>
      <c r="M14" s="146"/>
      <c r="N14" s="106"/>
      <c r="O14" s="146"/>
      <c r="P14" s="155"/>
    </row>
    <row r="15" spans="1:16" x14ac:dyDescent="0.25">
      <c r="A15" s="84"/>
      <c r="D15" s="106"/>
      <c r="E15" s="146"/>
      <c r="F15" s="146"/>
      <c r="G15" s="146"/>
      <c r="H15" s="150"/>
      <c r="I15" s="146"/>
      <c r="J15" s="147"/>
      <c r="K15" s="146"/>
      <c r="L15" s="146"/>
      <c r="M15" s="146"/>
      <c r="N15" s="106"/>
    </row>
    <row r="16" spans="1:16" x14ac:dyDescent="0.25">
      <c r="A16" s="84">
        <v>5</v>
      </c>
      <c r="C16" s="145" t="s">
        <v>341</v>
      </c>
      <c r="D16" s="151"/>
      <c r="E16" s="152"/>
      <c r="F16" s="152"/>
      <c r="G16" s="415" t="s">
        <v>211</v>
      </c>
      <c r="H16" s="153"/>
      <c r="I16" s="146" t="s">
        <v>64</v>
      </c>
      <c r="J16" s="416">
        <f>IF(J11&gt;0,ROUND(J14/J11,5),0)</f>
        <v>0.95574999999999999</v>
      </c>
      <c r="K16" s="146"/>
      <c r="L16" s="146"/>
      <c r="M16" s="146"/>
      <c r="N16" s="106"/>
    </row>
    <row r="17" spans="1:22" x14ac:dyDescent="0.25">
      <c r="A17" s="84"/>
      <c r="J17" s="147"/>
      <c r="K17" s="146"/>
      <c r="L17" s="146"/>
      <c r="M17" s="146"/>
      <c r="N17" s="106"/>
      <c r="R17" s="154"/>
      <c r="S17" s="154"/>
      <c r="T17" s="154"/>
      <c r="U17" s="154"/>
      <c r="V17" s="154"/>
    </row>
    <row r="18" spans="1:22" x14ac:dyDescent="0.25">
      <c r="A18" s="84"/>
      <c r="C18" s="155" t="s">
        <v>65</v>
      </c>
      <c r="J18" s="147"/>
      <c r="K18" s="146"/>
      <c r="L18" s="146"/>
      <c r="M18" s="146"/>
      <c r="N18" s="106"/>
      <c r="R18" s="154"/>
      <c r="S18" s="154"/>
      <c r="T18" s="154"/>
      <c r="U18" s="154"/>
      <c r="V18" s="154"/>
    </row>
    <row r="19" spans="1:22" x14ac:dyDescent="0.25">
      <c r="A19" s="84">
        <v>6</v>
      </c>
      <c r="C19" s="167" t="s">
        <v>216</v>
      </c>
      <c r="E19" s="106"/>
      <c r="F19" s="106"/>
      <c r="G19" s="409" t="s">
        <v>332</v>
      </c>
      <c r="H19" s="156"/>
      <c r="I19" s="106"/>
      <c r="J19" s="410">
        <f>'PTP Pg 3 of 5'!E14</f>
        <v>46190354.789999999</v>
      </c>
      <c r="K19" s="146"/>
      <c r="L19" s="146"/>
      <c r="M19" s="146"/>
      <c r="N19" s="146"/>
      <c r="R19" s="157"/>
      <c r="S19" s="158"/>
      <c r="T19" s="154"/>
      <c r="U19" s="154"/>
      <c r="V19" s="154"/>
    </row>
    <row r="20" spans="1:22" ht="18.75" thickBot="1" x14ac:dyDescent="0.45">
      <c r="A20" s="84">
        <v>7</v>
      </c>
      <c r="C20" s="195" t="s">
        <v>215</v>
      </c>
      <c r="D20" s="148"/>
      <c r="E20" s="149"/>
      <c r="F20" s="157"/>
      <c r="G20" s="412" t="s">
        <v>212</v>
      </c>
      <c r="H20" s="146"/>
      <c r="I20" s="146"/>
      <c r="J20" s="417">
        <f>'Sch 1'!$D$21</f>
        <v>6274911</v>
      </c>
      <c r="K20" s="146"/>
      <c r="L20" s="146"/>
      <c r="M20" s="146"/>
      <c r="N20" s="157"/>
      <c r="R20" s="157"/>
      <c r="S20" s="158"/>
      <c r="T20" s="154"/>
      <c r="U20" s="154"/>
      <c r="V20" s="154"/>
    </row>
    <row r="21" spans="1:22" x14ac:dyDescent="0.25">
      <c r="A21" s="84">
        <v>8</v>
      </c>
      <c r="C21" s="145" t="s">
        <v>214</v>
      </c>
      <c r="D21" s="151"/>
      <c r="E21" s="152"/>
      <c r="F21" s="152"/>
      <c r="G21" s="409" t="s">
        <v>213</v>
      </c>
      <c r="H21" s="153"/>
      <c r="I21" s="152"/>
      <c r="J21" s="410">
        <f>ROUND(J19-J20,0)</f>
        <v>39915444</v>
      </c>
      <c r="M21" s="146"/>
      <c r="N21" s="146"/>
      <c r="S21" s="154"/>
      <c r="T21" s="154"/>
      <c r="U21" s="154"/>
      <c r="V21" s="154"/>
    </row>
    <row r="22" spans="1:22" x14ac:dyDescent="0.25">
      <c r="A22" s="84"/>
      <c r="C22" s="110"/>
      <c r="D22" s="106"/>
      <c r="E22" s="146"/>
      <c r="F22" s="146"/>
      <c r="G22" s="146"/>
      <c r="H22" s="146"/>
      <c r="M22" s="146"/>
      <c r="N22" s="146"/>
      <c r="S22" s="154"/>
      <c r="T22" s="154"/>
      <c r="U22" s="154"/>
      <c r="V22" s="154"/>
    </row>
    <row r="23" spans="1:22" x14ac:dyDescent="0.25">
      <c r="A23" s="84">
        <v>9</v>
      </c>
      <c r="C23" s="145" t="s">
        <v>220</v>
      </c>
      <c r="D23" s="106"/>
      <c r="E23" s="146"/>
      <c r="F23" s="146"/>
      <c r="G23" s="418" t="s">
        <v>217</v>
      </c>
      <c r="H23" s="146"/>
      <c r="I23" s="146"/>
      <c r="J23" s="419">
        <f>ROUND(J21/J19,5)</f>
        <v>0.86414999999999997</v>
      </c>
      <c r="M23" s="146"/>
      <c r="N23" s="146"/>
      <c r="S23" s="159"/>
      <c r="T23" s="154"/>
      <c r="U23" s="154"/>
      <c r="V23" s="154"/>
    </row>
    <row r="24" spans="1:22" x14ac:dyDescent="0.25">
      <c r="A24" s="84">
        <v>10</v>
      </c>
      <c r="C24" s="145" t="s">
        <v>341</v>
      </c>
      <c r="D24" s="106"/>
      <c r="E24" s="146"/>
      <c r="F24" s="146"/>
      <c r="G24" s="412" t="s">
        <v>218</v>
      </c>
      <c r="H24" s="146"/>
      <c r="I24" s="106" t="s">
        <v>9</v>
      </c>
      <c r="J24" s="420">
        <f>J16</f>
        <v>0.95574999999999999</v>
      </c>
      <c r="M24" s="146"/>
      <c r="N24" s="146"/>
      <c r="S24" s="159"/>
      <c r="T24" s="154"/>
      <c r="U24" s="154"/>
      <c r="V24" s="154"/>
    </row>
    <row r="25" spans="1:22" x14ac:dyDescent="0.25">
      <c r="A25" s="84">
        <v>11</v>
      </c>
      <c r="C25" s="145" t="s">
        <v>342</v>
      </c>
      <c r="D25" s="106"/>
      <c r="E25" s="106"/>
      <c r="F25" s="106"/>
      <c r="G25" s="412" t="s">
        <v>219</v>
      </c>
      <c r="H25" s="106"/>
      <c r="I25" s="106" t="s">
        <v>66</v>
      </c>
      <c r="J25" s="421">
        <f>ROUND(J24*J23,5)</f>
        <v>0.82591000000000003</v>
      </c>
      <c r="M25" s="146"/>
      <c r="N25" s="146"/>
      <c r="S25" s="159"/>
      <c r="T25" s="154"/>
      <c r="U25" s="154"/>
      <c r="V25" s="154"/>
    </row>
    <row r="26" spans="1:22" x14ac:dyDescent="0.25">
      <c r="A26" s="84"/>
      <c r="D26" s="106"/>
      <c r="E26" s="146"/>
      <c r="F26" s="146"/>
      <c r="G26" s="146"/>
      <c r="H26" s="150"/>
      <c r="I26" s="146"/>
      <c r="M26" s="146"/>
      <c r="N26" s="146"/>
      <c r="S26" s="160"/>
      <c r="T26" s="154"/>
      <c r="U26" s="154"/>
      <c r="V26" s="154"/>
    </row>
    <row r="27" spans="1:22" x14ac:dyDescent="0.25">
      <c r="A27" s="84" t="s">
        <v>0</v>
      </c>
      <c r="C27" s="194" t="s">
        <v>167</v>
      </c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S27" s="158"/>
      <c r="T27" s="154"/>
      <c r="U27" s="154"/>
      <c r="V27" s="154"/>
    </row>
    <row r="28" spans="1:22" x14ac:dyDescent="0.25">
      <c r="A28" s="84" t="s">
        <v>0</v>
      </c>
      <c r="C28" s="155"/>
      <c r="D28" s="422" t="s">
        <v>67</v>
      </c>
      <c r="E28" s="423" t="s">
        <v>230</v>
      </c>
      <c r="F28" s="423" t="s">
        <v>9</v>
      </c>
      <c r="G28" s="146"/>
      <c r="H28" s="423" t="s">
        <v>229</v>
      </c>
      <c r="I28" s="146"/>
      <c r="J28" s="146"/>
      <c r="K28" s="146"/>
      <c r="L28" s="146"/>
      <c r="M28" s="146"/>
      <c r="N28" s="146"/>
      <c r="S28" s="158"/>
      <c r="T28" s="154"/>
      <c r="U28" s="154"/>
      <c r="V28" s="154"/>
    </row>
    <row r="29" spans="1:22" x14ac:dyDescent="0.25">
      <c r="A29" s="84">
        <v>12</v>
      </c>
      <c r="C29" s="155" t="s">
        <v>31</v>
      </c>
      <c r="D29" s="409" t="s">
        <v>174</v>
      </c>
      <c r="E29" s="424">
        <f>'OATT Input Data'!$E$269</f>
        <v>79373567</v>
      </c>
      <c r="F29" s="425">
        <v>0</v>
      </c>
      <c r="G29" s="425"/>
      <c r="H29" s="426">
        <f>ROUND(E29*F29,0)</f>
        <v>0</v>
      </c>
      <c r="I29" s="146"/>
      <c r="J29" s="146"/>
      <c r="K29" s="146"/>
      <c r="L29" s="146"/>
      <c r="M29" s="146"/>
      <c r="N29" s="165"/>
      <c r="S29" s="154"/>
      <c r="T29" s="154"/>
      <c r="U29" s="154"/>
      <c r="V29" s="154"/>
    </row>
    <row r="30" spans="1:22" x14ac:dyDescent="0.25">
      <c r="A30" s="84">
        <v>13</v>
      </c>
      <c r="C30" s="155" t="s">
        <v>33</v>
      </c>
      <c r="D30" s="409" t="s">
        <v>221</v>
      </c>
      <c r="E30" s="161">
        <f>'OATT Input Data'!$E$270</f>
        <v>9196900</v>
      </c>
      <c r="F30" s="419">
        <f>+J16</f>
        <v>0.95574999999999999</v>
      </c>
      <c r="G30" s="425"/>
      <c r="H30" s="161">
        <f t="shared" ref="H30:H32" si="0">ROUND(E30*F30,0)</f>
        <v>8789937</v>
      </c>
      <c r="I30" s="146"/>
      <c r="J30" s="146"/>
      <c r="K30" s="146"/>
      <c r="L30" s="146"/>
      <c r="M30" s="106"/>
      <c r="N30" s="427"/>
    </row>
    <row r="31" spans="1:22" x14ac:dyDescent="0.25">
      <c r="A31" s="84">
        <v>14</v>
      </c>
      <c r="C31" s="155" t="s">
        <v>34</v>
      </c>
      <c r="D31" s="409" t="s">
        <v>222</v>
      </c>
      <c r="E31" s="161">
        <f>'OATT Input Data'!$E$271</f>
        <v>26803734</v>
      </c>
      <c r="F31" s="425">
        <v>0</v>
      </c>
      <c r="G31" s="425"/>
      <c r="H31" s="428">
        <f t="shared" si="0"/>
        <v>0</v>
      </c>
      <c r="I31" s="146"/>
      <c r="J31" s="429" t="s">
        <v>68</v>
      </c>
      <c r="K31" s="146"/>
      <c r="L31" s="146"/>
      <c r="M31" s="146"/>
      <c r="N31" s="427"/>
    </row>
    <row r="32" spans="1:22" ht="22.5" customHeight="1" x14ac:dyDescent="0.4">
      <c r="A32" s="84">
        <v>15</v>
      </c>
      <c r="C32" s="155" t="s">
        <v>69</v>
      </c>
      <c r="D32" s="409" t="s">
        <v>865</v>
      </c>
      <c r="E32" s="430">
        <f>'OATT Input Data'!$E$276</f>
        <v>18031188</v>
      </c>
      <c r="F32" s="425">
        <v>0</v>
      </c>
      <c r="G32" s="425"/>
      <c r="H32" s="413">
        <f t="shared" si="0"/>
        <v>0</v>
      </c>
      <c r="I32" s="146"/>
      <c r="J32" s="431" t="s">
        <v>393</v>
      </c>
      <c r="K32" s="146"/>
      <c r="L32" s="146"/>
      <c r="M32" s="146"/>
      <c r="N32" s="427"/>
    </row>
    <row r="33" spans="1:22" x14ac:dyDescent="0.25">
      <c r="A33" s="84">
        <v>16</v>
      </c>
      <c r="C33" s="194" t="s">
        <v>223</v>
      </c>
      <c r="D33" s="414" t="s">
        <v>224</v>
      </c>
      <c r="E33" s="424">
        <f>ROUND(SUM(E29:E32),0)</f>
        <v>133405389</v>
      </c>
      <c r="F33" s="146"/>
      <c r="G33" s="146"/>
      <c r="H33" s="424">
        <f>ROUND(SUM(H29:H32),0)</f>
        <v>8789937</v>
      </c>
      <c r="I33" s="156" t="s">
        <v>70</v>
      </c>
      <c r="J33" s="419">
        <f>IF(H33&gt;0,ROUND(H33/E33,5),0)</f>
        <v>6.5890000000000004E-2</v>
      </c>
      <c r="K33" s="551" t="s">
        <v>323</v>
      </c>
      <c r="L33" s="146"/>
      <c r="M33" s="146"/>
      <c r="N33" s="146"/>
      <c r="O33" s="146"/>
      <c r="P33" s="155"/>
    </row>
    <row r="34" spans="1:22" x14ac:dyDescent="0.25">
      <c r="A34" s="84"/>
      <c r="C34" s="155"/>
      <c r="D34" s="414"/>
      <c r="E34" s="161"/>
      <c r="F34" s="146"/>
      <c r="G34" s="146"/>
      <c r="H34" s="146"/>
      <c r="I34" s="146"/>
      <c r="J34" s="146"/>
      <c r="K34" s="146"/>
      <c r="L34" s="146"/>
      <c r="M34" s="146" t="s">
        <v>0</v>
      </c>
      <c r="N34" s="146"/>
      <c r="O34" s="146"/>
      <c r="P34" s="155"/>
    </row>
    <row r="35" spans="1:22" x14ac:dyDescent="0.25">
      <c r="A35" s="84"/>
      <c r="C35" s="194" t="s">
        <v>225</v>
      </c>
      <c r="D35" s="414" t="s">
        <v>226</v>
      </c>
      <c r="E35" s="161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55"/>
    </row>
    <row r="36" spans="1:22" x14ac:dyDescent="0.25">
      <c r="A36" s="84"/>
      <c r="C36" s="155"/>
      <c r="D36" s="414"/>
      <c r="E36" s="432" t="s">
        <v>231</v>
      </c>
      <c r="F36" s="146"/>
      <c r="G36" s="146"/>
      <c r="H36" s="150"/>
      <c r="I36" s="433"/>
      <c r="J36" s="434"/>
      <c r="M36" s="146"/>
      <c r="N36" s="146"/>
      <c r="O36" s="146"/>
      <c r="P36" s="157"/>
      <c r="Q36" s="162"/>
    </row>
    <row r="37" spans="1:22" x14ac:dyDescent="0.25">
      <c r="A37" s="84">
        <v>17</v>
      </c>
      <c r="C37" s="155" t="s">
        <v>71</v>
      </c>
      <c r="D37" s="414" t="s">
        <v>72</v>
      </c>
      <c r="E37" s="424">
        <f>ROUND('OATT Input Data'!E281,0)</f>
        <v>10981269334</v>
      </c>
      <c r="F37" s="146"/>
      <c r="H37" s="435"/>
      <c r="I37" s="436"/>
      <c r="J37" s="84"/>
      <c r="K37" s="146"/>
      <c r="L37" s="156"/>
      <c r="M37" s="146"/>
      <c r="N37" s="146"/>
      <c r="O37" s="146"/>
      <c r="P37" s="146"/>
      <c r="Q37" s="146"/>
      <c r="R37" s="163"/>
      <c r="S37" s="161"/>
      <c r="T37" s="163"/>
      <c r="U37" s="163"/>
    </row>
    <row r="38" spans="1:22" x14ac:dyDescent="0.25">
      <c r="A38" s="84">
        <v>18</v>
      </c>
      <c r="C38" s="155" t="s">
        <v>73</v>
      </c>
      <c r="D38" s="414" t="s">
        <v>74</v>
      </c>
      <c r="E38" s="161">
        <f>ROUND('OATT Input Data'!E282,0)</f>
        <v>966619554</v>
      </c>
      <c r="F38" s="146"/>
      <c r="I38" s="150"/>
      <c r="K38" s="433"/>
      <c r="M38" s="146"/>
      <c r="N38" s="146"/>
      <c r="O38" s="146"/>
      <c r="P38" s="155"/>
      <c r="Q38" s="146"/>
      <c r="R38" s="161"/>
      <c r="S38" s="161"/>
      <c r="T38" s="163"/>
      <c r="U38" s="163"/>
    </row>
    <row r="39" spans="1:22" ht="18" x14ac:dyDescent="0.4">
      <c r="A39" s="84">
        <v>19</v>
      </c>
      <c r="C39" s="158" t="s">
        <v>75</v>
      </c>
      <c r="D39" s="437" t="s">
        <v>76</v>
      </c>
      <c r="E39" s="413">
        <f>ROUND('OATT Input Data'!E283,0)</f>
        <v>0</v>
      </c>
      <c r="F39" s="146"/>
      <c r="G39" s="146"/>
      <c r="H39" s="146" t="s">
        <v>0</v>
      </c>
      <c r="I39" s="146"/>
      <c r="J39" s="146"/>
      <c r="K39" s="146"/>
      <c r="L39" s="146"/>
      <c r="M39" s="146"/>
      <c r="N39" s="146"/>
      <c r="O39" s="146"/>
      <c r="P39" s="155"/>
      <c r="R39" s="161"/>
      <c r="S39" s="161"/>
      <c r="T39" s="161"/>
      <c r="U39" s="161"/>
    </row>
    <row r="40" spans="1:22" x14ac:dyDescent="0.25">
      <c r="A40" s="84">
        <v>20</v>
      </c>
      <c r="C40" s="194" t="s">
        <v>228</v>
      </c>
      <c r="D40" s="414" t="s">
        <v>227</v>
      </c>
      <c r="E40" s="424">
        <f>ROUND(SUM(E37:E39),0)</f>
        <v>11947888888</v>
      </c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55"/>
      <c r="R40" s="161"/>
      <c r="S40" s="161"/>
      <c r="T40" s="161"/>
      <c r="U40" s="161"/>
    </row>
    <row r="41" spans="1:22" x14ac:dyDescent="0.25">
      <c r="A41" s="84">
        <v>21</v>
      </c>
      <c r="C41" s="438" t="s">
        <v>313</v>
      </c>
      <c r="D41" s="414" t="s">
        <v>314</v>
      </c>
      <c r="F41" s="439">
        <f>IF(E40&gt;0,ROUND(E37/E40,5),0)</f>
        <v>0.91910000000000003</v>
      </c>
      <c r="G41" s="440" t="s">
        <v>324</v>
      </c>
      <c r="H41" s="439">
        <f>J33</f>
        <v>6.5890000000000004E-2</v>
      </c>
      <c r="I41" s="146"/>
      <c r="J41" s="439">
        <f>ROUND(H41*F41,5)</f>
        <v>6.0560000000000003E-2</v>
      </c>
      <c r="K41" s="441" t="s">
        <v>315</v>
      </c>
      <c r="L41" s="146"/>
      <c r="M41" s="146"/>
      <c r="N41" s="146"/>
      <c r="O41" s="146"/>
      <c r="P41" s="155"/>
      <c r="R41" s="161"/>
      <c r="S41" s="161"/>
      <c r="T41" s="161"/>
      <c r="U41" s="161"/>
    </row>
    <row r="42" spans="1:22" x14ac:dyDescent="0.25">
      <c r="A42" s="84"/>
      <c r="C42" s="438"/>
      <c r="D42" s="414"/>
      <c r="F42" s="439"/>
      <c r="G42" s="442"/>
      <c r="H42" s="439"/>
      <c r="I42" s="146"/>
      <c r="J42" s="439"/>
      <c r="K42" s="441"/>
      <c r="L42" s="146"/>
      <c r="M42" s="146"/>
      <c r="N42" s="146"/>
      <c r="O42" s="146"/>
      <c r="P42" s="155"/>
      <c r="R42" s="161"/>
      <c r="S42" s="161"/>
      <c r="T42" s="161"/>
      <c r="U42" s="161"/>
    </row>
    <row r="43" spans="1:22" x14ac:dyDescent="0.25">
      <c r="A43" s="84"/>
      <c r="B43" s="110"/>
      <c r="C43" s="145" t="s">
        <v>316</v>
      </c>
      <c r="D43" s="146"/>
      <c r="E43" s="443" t="s">
        <v>232</v>
      </c>
      <c r="F43" s="146"/>
      <c r="G43" s="146"/>
      <c r="H43" s="146"/>
      <c r="I43" s="146"/>
      <c r="K43" s="146"/>
      <c r="L43" s="146"/>
      <c r="M43" s="146"/>
      <c r="N43" s="146"/>
      <c r="O43" s="146"/>
      <c r="P43" s="156"/>
      <c r="Q43" s="164"/>
      <c r="R43" s="161"/>
      <c r="S43" s="161"/>
      <c r="T43" s="161"/>
      <c r="U43" s="161"/>
    </row>
    <row r="44" spans="1:22" x14ac:dyDescent="0.25">
      <c r="A44" s="84">
        <v>22</v>
      </c>
      <c r="B44" s="110"/>
      <c r="C44" s="444" t="s">
        <v>77</v>
      </c>
      <c r="D44" s="409" t="s">
        <v>343</v>
      </c>
      <c r="E44" s="424">
        <f>'OATT Input Data'!$E$298</f>
        <v>133811886</v>
      </c>
      <c r="F44" s="146"/>
      <c r="H44" s="146"/>
      <c r="I44" s="146"/>
      <c r="K44" s="146"/>
      <c r="L44" s="146"/>
      <c r="M44" s="146"/>
      <c r="N44" s="146"/>
      <c r="O44" s="165"/>
      <c r="P44" s="146"/>
      <c r="Q44" s="146"/>
      <c r="R44" s="163"/>
      <c r="S44" s="163"/>
      <c r="T44" s="163"/>
      <c r="U44" s="163"/>
    </row>
    <row r="45" spans="1:22" x14ac:dyDescent="0.25">
      <c r="A45" s="84">
        <v>23</v>
      </c>
      <c r="B45" s="110"/>
      <c r="C45" s="444" t="s">
        <v>126</v>
      </c>
      <c r="D45" s="409" t="s">
        <v>233</v>
      </c>
      <c r="E45" s="428">
        <v>0</v>
      </c>
      <c r="F45" s="146"/>
      <c r="H45" s="146"/>
      <c r="I45" s="146"/>
      <c r="K45" s="146"/>
      <c r="L45" s="146"/>
      <c r="M45" s="146"/>
      <c r="N45" s="146"/>
      <c r="O45" s="146"/>
      <c r="P45" s="166"/>
      <c r="Q45" s="166"/>
      <c r="R45" s="161"/>
      <c r="S45" s="161"/>
      <c r="T45" s="161"/>
      <c r="U45" s="161"/>
    </row>
    <row r="46" spans="1:22" x14ac:dyDescent="0.25">
      <c r="A46" s="84"/>
      <c r="B46" s="110"/>
      <c r="C46" s="145" t="s">
        <v>129</v>
      </c>
      <c r="D46" s="146"/>
      <c r="E46" s="146"/>
      <c r="F46" s="146"/>
      <c r="G46" s="146"/>
      <c r="H46" s="146"/>
      <c r="I46" s="146"/>
      <c r="K46" s="146"/>
      <c r="L46" s="146"/>
      <c r="M46" s="146"/>
      <c r="N46" s="146"/>
      <c r="O46" s="146"/>
      <c r="P46" s="166"/>
      <c r="Q46" s="166"/>
      <c r="R46" s="163"/>
      <c r="S46" s="163"/>
      <c r="T46" s="163"/>
      <c r="U46" s="163"/>
      <c r="V46" s="167"/>
    </row>
    <row r="47" spans="1:22" x14ac:dyDescent="0.25">
      <c r="A47" s="84">
        <v>24</v>
      </c>
      <c r="B47" s="110"/>
      <c r="C47" s="444" t="s">
        <v>78</v>
      </c>
      <c r="D47" s="409" t="s">
        <v>344</v>
      </c>
      <c r="E47" s="424">
        <f>'OATT Input Data'!$E$314</f>
        <v>4619623241</v>
      </c>
      <c r="F47" s="146"/>
      <c r="H47" s="146"/>
      <c r="I47" s="146"/>
      <c r="K47" s="146"/>
      <c r="L47" s="146"/>
      <c r="M47" s="146"/>
      <c r="N47" s="146"/>
      <c r="O47" s="146"/>
      <c r="P47" s="146"/>
      <c r="Q47" s="146"/>
      <c r="R47" s="163"/>
      <c r="S47" s="163"/>
      <c r="T47" s="163"/>
      <c r="U47" s="163"/>
      <c r="V47" s="167"/>
    </row>
    <row r="48" spans="1:22" x14ac:dyDescent="0.25">
      <c r="A48" s="84">
        <v>25</v>
      </c>
      <c r="B48" s="110"/>
      <c r="C48" s="444" t="s">
        <v>318</v>
      </c>
      <c r="D48" s="409" t="s">
        <v>345</v>
      </c>
      <c r="E48" s="445">
        <f>-E54</f>
        <v>0</v>
      </c>
      <c r="F48" s="146"/>
      <c r="H48" s="146"/>
      <c r="I48" s="146"/>
      <c r="K48" s="146"/>
      <c r="L48" s="146"/>
      <c r="M48" s="146"/>
      <c r="N48" s="146"/>
      <c r="O48" s="146"/>
      <c r="P48" s="168"/>
      <c r="Q48" s="150"/>
      <c r="R48" s="163"/>
      <c r="S48" s="163"/>
      <c r="T48" s="163"/>
      <c r="U48" s="163"/>
    </row>
    <row r="49" spans="1:21" ht="33.75" x14ac:dyDescent="0.4">
      <c r="A49" s="84">
        <v>26</v>
      </c>
      <c r="B49" s="110"/>
      <c r="C49" s="205" t="s">
        <v>234</v>
      </c>
      <c r="D49" s="414" t="s">
        <v>235</v>
      </c>
      <c r="E49" s="417">
        <f>'OATT Input Data'!$E$325</f>
        <v>-1627215</v>
      </c>
      <c r="F49" s="146"/>
      <c r="H49" s="146"/>
      <c r="I49" s="146"/>
      <c r="K49" s="146"/>
      <c r="L49" s="146"/>
      <c r="M49" s="146"/>
      <c r="N49" s="146"/>
      <c r="O49" s="146"/>
      <c r="P49" s="156"/>
      <c r="Q49" s="164"/>
      <c r="R49" s="163"/>
      <c r="S49" s="163"/>
      <c r="T49" s="163"/>
      <c r="U49" s="163"/>
    </row>
    <row r="50" spans="1:21" x14ac:dyDescent="0.25">
      <c r="A50" s="84">
        <v>27</v>
      </c>
      <c r="B50" s="110"/>
      <c r="C50" s="446" t="s">
        <v>346</v>
      </c>
      <c r="D50" s="447" t="s">
        <v>325</v>
      </c>
      <c r="E50" s="424">
        <f>ROUND(SUM(E47:E49),0)</f>
        <v>4617996026</v>
      </c>
      <c r="F50" s="110"/>
      <c r="H50" s="448"/>
      <c r="I50" s="110"/>
      <c r="K50" s="146"/>
      <c r="L50" s="146"/>
      <c r="M50" s="146"/>
      <c r="N50" s="146"/>
      <c r="O50" s="146"/>
      <c r="P50" s="146"/>
      <c r="Q50" s="146"/>
      <c r="R50" s="163"/>
      <c r="S50" s="163"/>
      <c r="T50" s="161"/>
      <c r="U50" s="161"/>
    </row>
    <row r="51" spans="1:21" x14ac:dyDescent="0.25">
      <c r="A51" s="84"/>
      <c r="B51" s="110"/>
      <c r="C51" s="110"/>
      <c r="D51" s="146"/>
      <c r="E51" s="110"/>
      <c r="F51" s="110"/>
      <c r="G51" s="449"/>
      <c r="H51" s="84" t="s">
        <v>237</v>
      </c>
      <c r="I51" s="110"/>
      <c r="J51" s="424"/>
      <c r="K51" s="146"/>
      <c r="L51" s="146"/>
      <c r="M51" s="146"/>
      <c r="N51" s="146"/>
      <c r="O51" s="146"/>
      <c r="P51" s="146"/>
      <c r="Q51" s="146"/>
      <c r="R51" s="163"/>
      <c r="S51" s="163"/>
      <c r="T51" s="161"/>
      <c r="U51" s="161"/>
    </row>
    <row r="52" spans="1:21" x14ac:dyDescent="0.25">
      <c r="A52" s="84"/>
      <c r="C52" s="155" t="s">
        <v>347</v>
      </c>
      <c r="D52" s="146"/>
      <c r="E52" s="450" t="s">
        <v>327</v>
      </c>
      <c r="F52" s="451" t="s">
        <v>79</v>
      </c>
      <c r="G52" s="146"/>
      <c r="H52" s="450" t="s">
        <v>138</v>
      </c>
      <c r="I52" s="146"/>
      <c r="J52" s="451" t="s">
        <v>80</v>
      </c>
      <c r="K52" s="146"/>
      <c r="L52" s="146"/>
      <c r="M52" s="146"/>
      <c r="N52" s="146"/>
      <c r="O52" s="146"/>
      <c r="P52" s="156"/>
      <c r="Q52" s="164"/>
      <c r="R52" s="161"/>
      <c r="S52" s="161"/>
      <c r="T52" s="161"/>
      <c r="U52" s="161"/>
    </row>
    <row r="53" spans="1:21" x14ac:dyDescent="0.25">
      <c r="A53" s="84">
        <v>28</v>
      </c>
      <c r="C53" s="145" t="s">
        <v>282</v>
      </c>
      <c r="D53" s="412" t="s">
        <v>402</v>
      </c>
      <c r="E53" s="424">
        <f>'OATT Input Data'!$E$333</f>
        <v>3995860070</v>
      </c>
      <c r="F53" s="452">
        <f>ROUND(E53/E56,4)</f>
        <v>0.46389999999999998</v>
      </c>
      <c r="G53" s="453"/>
      <c r="H53" s="453">
        <f>IF(E53&gt;0.01,ROUND(E44/E53,4),0)</f>
        <v>3.3500000000000002E-2</v>
      </c>
      <c r="J53" s="454">
        <f>ROUND(F53*H53,4)</f>
        <v>1.55E-2</v>
      </c>
      <c r="K53" s="551" t="s">
        <v>326</v>
      </c>
      <c r="M53" s="146"/>
      <c r="N53" s="146"/>
      <c r="O53" s="146"/>
      <c r="P53" s="156"/>
      <c r="Q53" s="164"/>
      <c r="R53" s="161"/>
      <c r="S53" s="161"/>
      <c r="T53" s="161"/>
      <c r="U53" s="161"/>
    </row>
    <row r="54" spans="1:21" x14ac:dyDescent="0.25">
      <c r="A54" s="84">
        <v>29</v>
      </c>
      <c r="C54" s="145" t="s">
        <v>283</v>
      </c>
      <c r="D54" s="121" t="s">
        <v>236</v>
      </c>
      <c r="E54" s="428">
        <v>0</v>
      </c>
      <c r="F54" s="452">
        <f>ROUND(E54/E56,4)+0.000001</f>
        <v>9.9999999999999995E-7</v>
      </c>
      <c r="G54" s="453"/>
      <c r="H54" s="453">
        <f>IF(E54&gt;0.01,E45/E54,0.00001)</f>
        <v>1.0000000000000001E-5</v>
      </c>
      <c r="J54" s="454">
        <f>F54*H54</f>
        <v>1.0000000000000001E-11</v>
      </c>
      <c r="K54" s="146"/>
      <c r="M54" s="146"/>
      <c r="N54" s="146"/>
      <c r="O54" s="146"/>
      <c r="P54" s="156"/>
      <c r="Q54" s="164"/>
      <c r="R54" s="161"/>
      <c r="S54" s="161"/>
      <c r="T54" s="161"/>
      <c r="U54" s="161"/>
    </row>
    <row r="55" spans="1:21" x14ac:dyDescent="0.25">
      <c r="A55" s="84">
        <v>30</v>
      </c>
      <c r="C55" s="145" t="s">
        <v>284</v>
      </c>
      <c r="D55" s="412" t="s">
        <v>348</v>
      </c>
      <c r="E55" s="455">
        <f>E50</f>
        <v>4617996026</v>
      </c>
      <c r="F55" s="452">
        <f>ROUND(E55/E56,4)</f>
        <v>0.53610000000000002</v>
      </c>
      <c r="G55" s="453"/>
      <c r="H55" s="453">
        <v>0.10879999999999999</v>
      </c>
      <c r="J55" s="456">
        <f t="shared" ref="J55" si="1">ROUND(F55*H55,4)</f>
        <v>5.8299999999999998E-2</v>
      </c>
      <c r="K55" s="146"/>
      <c r="M55" s="146"/>
      <c r="N55" s="146"/>
      <c r="O55" s="165"/>
      <c r="P55" s="166"/>
      <c r="Q55" s="166"/>
      <c r="R55" s="161"/>
      <c r="S55" s="161"/>
      <c r="T55" s="161"/>
      <c r="U55" s="161"/>
    </row>
    <row r="56" spans="1:21" x14ac:dyDescent="0.25">
      <c r="A56" s="84">
        <v>31</v>
      </c>
      <c r="C56" s="194" t="s">
        <v>285</v>
      </c>
      <c r="D56" s="412" t="s">
        <v>328</v>
      </c>
      <c r="E56" s="424">
        <f>ROUND(SUM(E53:E55),0)</f>
        <v>8613856096</v>
      </c>
      <c r="F56" s="146" t="s">
        <v>0</v>
      </c>
      <c r="G56" s="146"/>
      <c r="H56" s="146"/>
      <c r="I56" s="146"/>
      <c r="J56" s="454">
        <f>SUM(J53:J55)</f>
        <v>7.3800000010000005E-2</v>
      </c>
      <c r="K56" s="551" t="s">
        <v>317</v>
      </c>
      <c r="M56" s="146"/>
      <c r="N56" s="146"/>
      <c r="O56" s="165"/>
      <c r="P56" s="166"/>
      <c r="Q56" s="166"/>
      <c r="R56" s="161"/>
      <c r="S56" s="161"/>
      <c r="T56" s="161"/>
      <c r="U56" s="161"/>
    </row>
    <row r="57" spans="1:21" x14ac:dyDescent="0.25">
      <c r="A57" s="84"/>
      <c r="L57" s="146"/>
      <c r="M57" s="146"/>
      <c r="N57" s="146"/>
      <c r="O57" s="165"/>
      <c r="P57" s="146"/>
      <c r="Q57" s="146"/>
      <c r="R57" s="163"/>
      <c r="S57" s="161"/>
      <c r="T57" s="163"/>
      <c r="U57" s="163"/>
    </row>
    <row r="58" spans="1:21" x14ac:dyDescent="0.25">
      <c r="A58" s="84"/>
      <c r="C58" s="457" t="s">
        <v>81</v>
      </c>
      <c r="D58" s="110"/>
      <c r="E58" s="110"/>
      <c r="F58" s="110"/>
      <c r="G58" s="110"/>
      <c r="H58" s="110"/>
      <c r="I58" s="110"/>
      <c r="J58" s="110"/>
      <c r="K58" s="110"/>
      <c r="L58" s="110"/>
      <c r="M58" s="146"/>
      <c r="N58" s="150"/>
      <c r="P58" s="166"/>
      <c r="Q58" s="169"/>
    </row>
    <row r="59" spans="1:21" x14ac:dyDescent="0.25">
      <c r="A59" s="84"/>
      <c r="C59" s="457" t="s">
        <v>83</v>
      </c>
      <c r="D59" s="110"/>
      <c r="G59" s="110"/>
      <c r="H59" s="89" t="s">
        <v>0</v>
      </c>
      <c r="I59" s="449"/>
      <c r="J59" s="451" t="s">
        <v>82</v>
      </c>
      <c r="K59" s="1"/>
      <c r="O59" s="146"/>
      <c r="P59" s="168"/>
      <c r="Q59" s="150"/>
    </row>
    <row r="60" spans="1:21" x14ac:dyDescent="0.25">
      <c r="A60" s="84">
        <v>32</v>
      </c>
      <c r="C60" s="167" t="s">
        <v>403</v>
      </c>
      <c r="D60" s="110"/>
      <c r="F60" s="447" t="s">
        <v>319</v>
      </c>
      <c r="G60" s="110"/>
      <c r="J60" s="458">
        <v>0</v>
      </c>
      <c r="K60" s="552"/>
      <c r="O60" s="146"/>
      <c r="P60" s="155"/>
    </row>
    <row r="61" spans="1:21" ht="18" x14ac:dyDescent="0.4">
      <c r="A61" s="84">
        <v>33</v>
      </c>
      <c r="C61" s="459" t="s">
        <v>404</v>
      </c>
      <c r="D61" s="460"/>
      <c r="E61" s="461"/>
      <c r="F61" s="447" t="s">
        <v>330</v>
      </c>
      <c r="G61" s="462"/>
      <c r="I61" s="110"/>
      <c r="J61" s="463">
        <f>+J60</f>
        <v>0</v>
      </c>
      <c r="K61" s="553"/>
      <c r="O61" s="146"/>
      <c r="P61" s="155"/>
    </row>
    <row r="62" spans="1:21" x14ac:dyDescent="0.25">
      <c r="A62" s="84">
        <v>34</v>
      </c>
      <c r="C62" s="167" t="s">
        <v>405</v>
      </c>
      <c r="D62" s="106"/>
      <c r="F62" s="464" t="s">
        <v>329</v>
      </c>
      <c r="G62" s="462"/>
      <c r="I62" s="110"/>
      <c r="J62" s="465">
        <f>+J60-J61</f>
        <v>0</v>
      </c>
      <c r="K62" s="552"/>
      <c r="O62" s="146"/>
      <c r="P62" s="155"/>
    </row>
    <row r="63" spans="1:21" x14ac:dyDescent="0.25">
      <c r="A63" s="84"/>
      <c r="C63" s="167" t="s">
        <v>0</v>
      </c>
      <c r="D63" s="106"/>
      <c r="F63" s="110"/>
      <c r="G63" s="110"/>
      <c r="H63" s="466"/>
      <c r="I63" s="110"/>
      <c r="J63" s="58" t="s">
        <v>0</v>
      </c>
      <c r="K63" s="1"/>
      <c r="L63" s="170"/>
      <c r="M63" s="146"/>
      <c r="N63" s="150"/>
      <c r="O63" s="146"/>
      <c r="P63" s="155"/>
    </row>
    <row r="64" spans="1:21" x14ac:dyDescent="0.25">
      <c r="A64" s="84">
        <v>35</v>
      </c>
      <c r="C64" s="145" t="s">
        <v>241</v>
      </c>
      <c r="D64" s="106"/>
      <c r="F64" s="447" t="s">
        <v>239</v>
      </c>
      <c r="G64" s="110"/>
      <c r="H64" s="467"/>
      <c r="I64" s="110"/>
      <c r="J64" s="468">
        <v>0</v>
      </c>
      <c r="K64" s="1"/>
      <c r="L64" s="170"/>
      <c r="M64" s="146"/>
      <c r="N64" s="150"/>
      <c r="O64" s="146"/>
      <c r="P64" s="155"/>
    </row>
    <row r="65" spans="1:19" x14ac:dyDescent="0.25">
      <c r="C65" s="145" t="s">
        <v>240</v>
      </c>
      <c r="D65" s="110"/>
      <c r="E65" s="449" t="s">
        <v>84</v>
      </c>
      <c r="F65" s="447" t="s">
        <v>406</v>
      </c>
      <c r="G65" s="110"/>
      <c r="H65" s="110"/>
      <c r="I65" s="110"/>
      <c r="L65" s="171"/>
      <c r="M65" s="146"/>
      <c r="N65" s="150"/>
      <c r="O65" s="106"/>
      <c r="P65" s="150"/>
    </row>
    <row r="66" spans="1:19" x14ac:dyDescent="0.25">
      <c r="A66" s="84">
        <v>36</v>
      </c>
      <c r="C66" s="457" t="s">
        <v>85</v>
      </c>
      <c r="D66" s="146"/>
      <c r="E66" s="146"/>
      <c r="F66" s="146"/>
      <c r="G66" s="146"/>
      <c r="H66" s="146"/>
      <c r="I66" s="146"/>
      <c r="J66" s="469">
        <f>'OATT Input Data'!$E$341</f>
        <v>27354398</v>
      </c>
      <c r="K66" s="8"/>
      <c r="L66" s="171"/>
      <c r="M66" s="146"/>
      <c r="N66" s="150"/>
      <c r="O66" s="106"/>
      <c r="P66" s="470"/>
      <c r="Q66" s="470"/>
    </row>
    <row r="67" spans="1:19" ht="18" x14ac:dyDescent="0.4">
      <c r="A67" s="84">
        <v>37</v>
      </c>
      <c r="C67" s="471" t="s">
        <v>86</v>
      </c>
      <c r="D67" s="472"/>
      <c r="E67" s="472"/>
      <c r="F67" s="462"/>
      <c r="G67" s="462"/>
      <c r="H67" s="110"/>
      <c r="I67" s="110"/>
      <c r="J67" s="473">
        <f>'OATT Input Data'!$E$451</f>
        <v>25213757</v>
      </c>
      <c r="L67" s="172"/>
      <c r="M67" s="110"/>
      <c r="N67" s="84"/>
      <c r="O67" s="106"/>
      <c r="P67" s="474"/>
    </row>
    <row r="68" spans="1:19" x14ac:dyDescent="0.25">
      <c r="A68" s="84">
        <v>38</v>
      </c>
      <c r="C68" s="167" t="s">
        <v>238</v>
      </c>
      <c r="D68" s="84"/>
      <c r="E68" s="146"/>
      <c r="F68" s="464" t="s">
        <v>349</v>
      </c>
      <c r="G68" s="146"/>
      <c r="H68" s="146"/>
      <c r="I68" s="110"/>
      <c r="J68" s="128">
        <f>+J66-J67</f>
        <v>2140641</v>
      </c>
      <c r="K68" s="8"/>
      <c r="L68" s="8"/>
      <c r="M68" s="110"/>
      <c r="N68" s="84"/>
      <c r="O68" s="106"/>
      <c r="P68" s="474"/>
    </row>
    <row r="69" spans="1:19" x14ac:dyDescent="0.25">
      <c r="C69" s="167"/>
      <c r="Q69" s="121"/>
      <c r="R69" s="121"/>
      <c r="S69" s="121"/>
    </row>
    <row r="70" spans="1:19" x14ac:dyDescent="0.25">
      <c r="Q70" s="121"/>
      <c r="R70" s="121"/>
      <c r="S70" s="121"/>
    </row>
    <row r="71" spans="1:19" x14ac:dyDescent="0.25">
      <c r="Q71" s="121"/>
      <c r="R71" s="121"/>
      <c r="S71" s="121"/>
    </row>
    <row r="72" spans="1:19" x14ac:dyDescent="0.25">
      <c r="Q72" s="121"/>
      <c r="R72" s="121"/>
      <c r="S72" s="121"/>
    </row>
    <row r="73" spans="1:19" x14ac:dyDescent="0.25">
      <c r="Q73" s="121"/>
      <c r="R73" s="121"/>
      <c r="S73" s="121"/>
    </row>
    <row r="74" spans="1:19" x14ac:dyDescent="0.25">
      <c r="Q74" s="121"/>
      <c r="R74" s="121"/>
      <c r="S74" s="121"/>
    </row>
    <row r="75" spans="1:19" x14ac:dyDescent="0.25">
      <c r="Q75" s="121"/>
      <c r="R75" s="121"/>
      <c r="S75" s="121"/>
    </row>
    <row r="76" spans="1:19" x14ac:dyDescent="0.25">
      <c r="Q76" s="121"/>
      <c r="R76" s="121"/>
      <c r="S76" s="121"/>
    </row>
    <row r="77" spans="1:19" x14ac:dyDescent="0.25">
      <c r="Q77" s="121"/>
      <c r="R77" s="121"/>
      <c r="S77" s="121"/>
    </row>
    <row r="78" spans="1:19" x14ac:dyDescent="0.25">
      <c r="Q78" s="121"/>
      <c r="R78" s="121"/>
      <c r="S78" s="121"/>
    </row>
    <row r="79" spans="1:19" x14ac:dyDescent="0.25">
      <c r="Q79" s="121"/>
      <c r="R79" s="121"/>
      <c r="S79" s="121"/>
    </row>
    <row r="80" spans="1:19" x14ac:dyDescent="0.25">
      <c r="Q80" s="121"/>
      <c r="R80" s="121"/>
      <c r="S80" s="121"/>
    </row>
    <row r="81" spans="17:19" x14ac:dyDescent="0.25">
      <c r="Q81" s="121"/>
      <c r="R81" s="121"/>
      <c r="S81" s="121"/>
    </row>
    <row r="82" spans="17:19" x14ac:dyDescent="0.25">
      <c r="Q82" s="121"/>
      <c r="R82" s="121"/>
      <c r="S82" s="121"/>
    </row>
    <row r="83" spans="17:19" x14ac:dyDescent="0.25">
      <c r="Q83" s="121"/>
      <c r="R83" s="121"/>
      <c r="S83" s="121"/>
    </row>
    <row r="84" spans="17:19" x14ac:dyDescent="0.25">
      <c r="Q84" s="121"/>
      <c r="R84" s="121"/>
      <c r="S84" s="121"/>
    </row>
    <row r="85" spans="17:19" x14ac:dyDescent="0.25">
      <c r="Q85" s="121"/>
      <c r="R85" s="121"/>
      <c r="S85" s="121"/>
    </row>
    <row r="86" spans="17:19" x14ac:dyDescent="0.25">
      <c r="Q86" s="121"/>
      <c r="R86" s="121"/>
      <c r="S86" s="121"/>
    </row>
    <row r="87" spans="17:19" x14ac:dyDescent="0.25">
      <c r="Q87" s="121"/>
      <c r="R87" s="121"/>
      <c r="S87" s="121"/>
    </row>
    <row r="88" spans="17:19" x14ac:dyDescent="0.25">
      <c r="Q88" s="121"/>
      <c r="R88" s="121"/>
      <c r="S88" s="121"/>
    </row>
    <row r="89" spans="17:19" x14ac:dyDescent="0.25">
      <c r="Q89" s="121"/>
      <c r="R89" s="121"/>
      <c r="S89" s="121"/>
    </row>
    <row r="90" spans="17:19" x14ac:dyDescent="0.25">
      <c r="Q90" s="121"/>
      <c r="R90" s="121"/>
      <c r="S90" s="121"/>
    </row>
    <row r="91" spans="17:19" x14ac:dyDescent="0.25">
      <c r="Q91" s="121"/>
      <c r="R91" s="121"/>
      <c r="S91" s="121"/>
    </row>
    <row r="92" spans="17:19" x14ac:dyDescent="0.25">
      <c r="Q92" s="121"/>
      <c r="R92" s="121"/>
      <c r="S92" s="121"/>
    </row>
    <row r="93" spans="17:19" x14ac:dyDescent="0.25">
      <c r="Q93" s="121"/>
      <c r="R93" s="121"/>
      <c r="S93" s="121"/>
    </row>
    <row r="94" spans="17:19" x14ac:dyDescent="0.25">
      <c r="Q94" s="121"/>
      <c r="R94" s="121"/>
      <c r="S94" s="121"/>
    </row>
    <row r="95" spans="17:19" x14ac:dyDescent="0.25">
      <c r="Q95" s="121"/>
      <c r="R95" s="121"/>
      <c r="S95" s="121"/>
    </row>
    <row r="96" spans="17:19" x14ac:dyDescent="0.25">
      <c r="Q96" s="121"/>
      <c r="R96" s="121"/>
      <c r="S96" s="121"/>
    </row>
    <row r="97" spans="17:19" x14ac:dyDescent="0.25">
      <c r="Q97" s="121"/>
      <c r="R97" s="121"/>
      <c r="S97" s="121"/>
    </row>
    <row r="98" spans="17:19" x14ac:dyDescent="0.25">
      <c r="Q98" s="121"/>
      <c r="R98" s="121"/>
      <c r="S98" s="121"/>
    </row>
    <row r="99" spans="17:19" x14ac:dyDescent="0.25">
      <c r="Q99" s="121"/>
      <c r="R99" s="121"/>
      <c r="S99" s="121"/>
    </row>
    <row r="100" spans="17:19" x14ac:dyDescent="0.25">
      <c r="Q100" s="121"/>
      <c r="R100" s="121"/>
      <c r="S100" s="121"/>
    </row>
    <row r="101" spans="17:19" x14ac:dyDescent="0.25">
      <c r="Q101" s="121"/>
      <c r="R101" s="121"/>
      <c r="S101" s="121"/>
    </row>
    <row r="102" spans="17:19" x14ac:dyDescent="0.25">
      <c r="Q102" s="121"/>
      <c r="R102" s="121"/>
      <c r="S102" s="121"/>
    </row>
    <row r="103" spans="17:19" x14ac:dyDescent="0.25">
      <c r="Q103" s="121"/>
      <c r="R103" s="121"/>
      <c r="S103" s="121"/>
    </row>
    <row r="104" spans="17:19" x14ac:dyDescent="0.25">
      <c r="Q104" s="121"/>
      <c r="R104" s="121"/>
      <c r="S104" s="121"/>
    </row>
    <row r="105" spans="17:19" x14ac:dyDescent="0.25">
      <c r="Q105" s="121"/>
      <c r="R105" s="121"/>
      <c r="S105" s="121"/>
    </row>
    <row r="106" spans="17:19" x14ac:dyDescent="0.25">
      <c r="Q106" s="121"/>
      <c r="R106" s="121"/>
      <c r="S106" s="121"/>
    </row>
    <row r="107" spans="17:19" x14ac:dyDescent="0.25">
      <c r="Q107" s="121"/>
      <c r="R107" s="121"/>
      <c r="S107" s="121"/>
    </row>
    <row r="108" spans="17:19" x14ac:dyDescent="0.25">
      <c r="Q108" s="121"/>
      <c r="R108" s="121"/>
      <c r="S108" s="121"/>
    </row>
    <row r="109" spans="17:19" x14ac:dyDescent="0.25">
      <c r="Q109" s="121"/>
      <c r="R109" s="121"/>
      <c r="S109" s="121"/>
    </row>
    <row r="110" spans="17:19" x14ac:dyDescent="0.25">
      <c r="Q110" s="121"/>
      <c r="R110" s="121"/>
      <c r="S110" s="121"/>
    </row>
    <row r="111" spans="17:19" x14ac:dyDescent="0.25">
      <c r="Q111" s="121"/>
      <c r="R111" s="121"/>
      <c r="S111" s="121"/>
    </row>
    <row r="112" spans="17:19" x14ac:dyDescent="0.25">
      <c r="Q112" s="121"/>
      <c r="R112" s="121"/>
      <c r="S112" s="121"/>
    </row>
    <row r="113" spans="17:19" x14ac:dyDescent="0.25">
      <c r="Q113" s="121"/>
      <c r="R113" s="121"/>
      <c r="S113" s="121"/>
    </row>
    <row r="114" spans="17:19" x14ac:dyDescent="0.25">
      <c r="Q114" s="121"/>
      <c r="R114" s="121"/>
      <c r="S114" s="121"/>
    </row>
    <row r="115" spans="17:19" x14ac:dyDescent="0.25">
      <c r="Q115" s="121"/>
      <c r="R115" s="121"/>
      <c r="S115" s="121"/>
    </row>
    <row r="116" spans="17:19" x14ac:dyDescent="0.25">
      <c r="Q116" s="121"/>
      <c r="R116" s="121"/>
      <c r="S116" s="121"/>
    </row>
    <row r="117" spans="17:19" x14ac:dyDescent="0.25">
      <c r="Q117" s="121"/>
      <c r="R117" s="121"/>
      <c r="S117" s="121"/>
    </row>
    <row r="118" spans="17:19" x14ac:dyDescent="0.25">
      <c r="Q118" s="121"/>
      <c r="R118" s="121"/>
      <c r="S118" s="121"/>
    </row>
    <row r="119" spans="17:19" x14ac:dyDescent="0.25">
      <c r="Q119" s="121"/>
      <c r="R119" s="121"/>
      <c r="S119" s="121"/>
    </row>
    <row r="120" spans="17:19" x14ac:dyDescent="0.25">
      <c r="Q120" s="121"/>
      <c r="R120" s="121"/>
      <c r="S120" s="121"/>
    </row>
    <row r="121" spans="17:19" x14ac:dyDescent="0.25">
      <c r="Q121" s="121"/>
      <c r="R121" s="121"/>
      <c r="S121" s="121"/>
    </row>
    <row r="122" spans="17:19" x14ac:dyDescent="0.25">
      <c r="Q122" s="121"/>
      <c r="R122" s="121"/>
      <c r="S122" s="121"/>
    </row>
    <row r="123" spans="17:19" x14ac:dyDescent="0.25">
      <c r="Q123" s="121"/>
      <c r="R123" s="121"/>
      <c r="S123" s="121"/>
    </row>
    <row r="124" spans="17:19" x14ac:dyDescent="0.25">
      <c r="Q124" s="121"/>
      <c r="R124" s="121"/>
      <c r="S124" s="121"/>
    </row>
    <row r="125" spans="17:19" x14ac:dyDescent="0.25">
      <c r="Q125" s="121"/>
      <c r="R125" s="121"/>
      <c r="S125" s="121"/>
    </row>
    <row r="126" spans="17:19" x14ac:dyDescent="0.25">
      <c r="Q126" s="121"/>
      <c r="R126" s="121"/>
      <c r="S126" s="121"/>
    </row>
    <row r="127" spans="17:19" x14ac:dyDescent="0.25">
      <c r="Q127" s="121"/>
      <c r="R127" s="121"/>
      <c r="S127" s="121"/>
    </row>
    <row r="128" spans="17:19" x14ac:dyDescent="0.25">
      <c r="Q128" s="121"/>
      <c r="R128" s="121"/>
      <c r="S128" s="121"/>
    </row>
    <row r="129" spans="17:19" x14ac:dyDescent="0.25">
      <c r="Q129" s="121"/>
      <c r="R129" s="121"/>
      <c r="S129" s="121"/>
    </row>
    <row r="130" spans="17:19" x14ac:dyDescent="0.25">
      <c r="Q130" s="121"/>
      <c r="R130" s="121"/>
      <c r="S130" s="121"/>
    </row>
    <row r="131" spans="17:19" x14ac:dyDescent="0.25">
      <c r="Q131" s="121"/>
      <c r="R131" s="121"/>
      <c r="S131" s="121"/>
    </row>
    <row r="132" spans="17:19" x14ac:dyDescent="0.25">
      <c r="Q132" s="121"/>
      <c r="R132" s="121"/>
      <c r="S132" s="121"/>
    </row>
    <row r="133" spans="17:19" x14ac:dyDescent="0.25">
      <c r="Q133" s="121"/>
      <c r="R133" s="121"/>
      <c r="S133" s="121"/>
    </row>
    <row r="134" spans="17:19" x14ac:dyDescent="0.25">
      <c r="Q134" s="121"/>
      <c r="R134" s="121"/>
      <c r="S134" s="121"/>
    </row>
    <row r="135" spans="17:19" x14ac:dyDescent="0.25">
      <c r="Q135" s="121"/>
      <c r="R135" s="121"/>
      <c r="S135" s="121"/>
    </row>
    <row r="136" spans="17:19" x14ac:dyDescent="0.25">
      <c r="Q136" s="121"/>
      <c r="R136" s="121"/>
      <c r="S136" s="121"/>
    </row>
    <row r="137" spans="17:19" x14ac:dyDescent="0.25">
      <c r="Q137" s="121"/>
      <c r="R137" s="121"/>
      <c r="S137" s="121"/>
    </row>
    <row r="138" spans="17:19" x14ac:dyDescent="0.25">
      <c r="Q138" s="121"/>
      <c r="R138" s="121"/>
      <c r="S138" s="121"/>
    </row>
    <row r="139" spans="17:19" x14ac:dyDescent="0.25">
      <c r="Q139" s="121"/>
      <c r="R139" s="121"/>
      <c r="S139" s="121"/>
    </row>
    <row r="140" spans="17:19" x14ac:dyDescent="0.25">
      <c r="Q140" s="121"/>
      <c r="R140" s="121"/>
      <c r="S140" s="121"/>
    </row>
    <row r="141" spans="17:19" x14ac:dyDescent="0.25">
      <c r="Q141" s="121"/>
      <c r="R141" s="121"/>
      <c r="S141" s="121"/>
    </row>
    <row r="142" spans="17:19" x14ac:dyDescent="0.25">
      <c r="Q142" s="121"/>
      <c r="R142" s="121"/>
      <c r="S142" s="121"/>
    </row>
    <row r="143" spans="17:19" x14ac:dyDescent="0.25">
      <c r="Q143" s="121"/>
      <c r="R143" s="121"/>
      <c r="S143" s="121"/>
    </row>
    <row r="144" spans="17:19" x14ac:dyDescent="0.25">
      <c r="Q144" s="121"/>
      <c r="R144" s="121"/>
      <c r="S144" s="121"/>
    </row>
    <row r="145" spans="17:19" x14ac:dyDescent="0.25">
      <c r="Q145" s="121"/>
      <c r="R145" s="121"/>
      <c r="S145" s="121"/>
    </row>
    <row r="146" spans="17:19" x14ac:dyDescent="0.25">
      <c r="Q146" s="121"/>
      <c r="R146" s="121"/>
      <c r="S146" s="121"/>
    </row>
    <row r="147" spans="17:19" x14ac:dyDescent="0.25">
      <c r="Q147" s="121"/>
      <c r="R147" s="121"/>
      <c r="S147" s="121"/>
    </row>
    <row r="148" spans="17:19" x14ac:dyDescent="0.25">
      <c r="Q148" s="121"/>
      <c r="R148" s="121"/>
      <c r="S148" s="121"/>
    </row>
    <row r="149" spans="17:19" x14ac:dyDescent="0.25">
      <c r="Q149" s="121"/>
      <c r="R149" s="121"/>
      <c r="S149" s="121"/>
    </row>
    <row r="150" spans="17:19" x14ac:dyDescent="0.25">
      <c r="Q150" s="121"/>
      <c r="R150" s="121"/>
      <c r="S150" s="121"/>
    </row>
    <row r="151" spans="17:19" x14ac:dyDescent="0.25">
      <c r="Q151" s="121"/>
      <c r="R151" s="121"/>
      <c r="S151" s="121"/>
    </row>
    <row r="152" spans="17:19" x14ac:dyDescent="0.25">
      <c r="Q152" s="121"/>
      <c r="R152" s="121"/>
      <c r="S152" s="121"/>
    </row>
    <row r="153" spans="17:19" x14ac:dyDescent="0.25">
      <c r="Q153" s="121"/>
      <c r="R153" s="121"/>
      <c r="S153" s="121"/>
    </row>
    <row r="154" spans="17:19" x14ac:dyDescent="0.25">
      <c r="Q154" s="121"/>
      <c r="R154" s="121"/>
      <c r="S154" s="121"/>
    </row>
    <row r="155" spans="17:19" x14ac:dyDescent="0.25">
      <c r="Q155" s="121"/>
      <c r="R155" s="121"/>
      <c r="S155" s="121"/>
    </row>
    <row r="156" spans="17:19" x14ac:dyDescent="0.25">
      <c r="Q156" s="121"/>
      <c r="R156" s="121"/>
      <c r="S156" s="121"/>
    </row>
    <row r="157" spans="17:19" x14ac:dyDescent="0.25">
      <c r="Q157" s="121"/>
      <c r="R157" s="121"/>
      <c r="S157" s="121"/>
    </row>
    <row r="158" spans="17:19" x14ac:dyDescent="0.25">
      <c r="Q158" s="121"/>
      <c r="R158" s="121"/>
      <c r="S158" s="121"/>
    </row>
    <row r="159" spans="17:19" x14ac:dyDescent="0.25">
      <c r="Q159" s="121"/>
      <c r="R159" s="121"/>
      <c r="S159" s="121"/>
    </row>
    <row r="160" spans="17:19" x14ac:dyDescent="0.25">
      <c r="Q160" s="121"/>
      <c r="R160" s="121"/>
      <c r="S160" s="121"/>
    </row>
    <row r="161" spans="17:19" x14ac:dyDescent="0.25">
      <c r="Q161" s="121"/>
      <c r="R161" s="121"/>
      <c r="S161" s="121"/>
    </row>
    <row r="162" spans="17:19" x14ac:dyDescent="0.25">
      <c r="Q162" s="121"/>
      <c r="R162" s="121"/>
      <c r="S162" s="121"/>
    </row>
    <row r="163" spans="17:19" x14ac:dyDescent="0.25">
      <c r="Q163" s="121"/>
      <c r="R163" s="121"/>
      <c r="S163" s="121"/>
    </row>
    <row r="164" spans="17:19" x14ac:dyDescent="0.25">
      <c r="Q164" s="121"/>
      <c r="R164" s="121"/>
      <c r="S164" s="121"/>
    </row>
    <row r="165" spans="17:19" x14ac:dyDescent="0.25">
      <c r="Q165" s="121"/>
      <c r="R165" s="121"/>
      <c r="S165" s="121"/>
    </row>
    <row r="166" spans="17:19" x14ac:dyDescent="0.25">
      <c r="Q166" s="121"/>
      <c r="R166" s="121"/>
      <c r="S166" s="121"/>
    </row>
    <row r="167" spans="17:19" x14ac:dyDescent="0.25">
      <c r="Q167" s="121"/>
      <c r="R167" s="121"/>
      <c r="S167" s="121"/>
    </row>
    <row r="168" spans="17:19" x14ac:dyDescent="0.25">
      <c r="Q168" s="121"/>
      <c r="R168" s="121"/>
      <c r="S168" s="121"/>
    </row>
    <row r="169" spans="17:19" x14ac:dyDescent="0.25">
      <c r="Q169" s="121"/>
      <c r="R169" s="121"/>
      <c r="S169" s="121"/>
    </row>
    <row r="170" spans="17:19" x14ac:dyDescent="0.25">
      <c r="Q170" s="121"/>
      <c r="R170" s="121"/>
      <c r="S170" s="121"/>
    </row>
    <row r="171" spans="17:19" x14ac:dyDescent="0.25">
      <c r="Q171" s="121"/>
      <c r="R171" s="121"/>
      <c r="S171" s="121"/>
    </row>
    <row r="172" spans="17:19" x14ac:dyDescent="0.25">
      <c r="Q172" s="121"/>
      <c r="R172" s="121"/>
      <c r="S172" s="121"/>
    </row>
    <row r="173" spans="17:19" x14ac:dyDescent="0.25">
      <c r="Q173" s="121"/>
      <c r="R173" s="121"/>
      <c r="S173" s="121"/>
    </row>
    <row r="174" spans="17:19" x14ac:dyDescent="0.25">
      <c r="Q174" s="121"/>
      <c r="R174" s="121"/>
      <c r="S174" s="121"/>
    </row>
    <row r="175" spans="17:19" x14ac:dyDescent="0.25">
      <c r="Q175" s="121"/>
      <c r="R175" s="121"/>
      <c r="S175" s="121"/>
    </row>
    <row r="176" spans="17:19" x14ac:dyDescent="0.25">
      <c r="Q176" s="121"/>
      <c r="R176" s="121"/>
      <c r="S176" s="121"/>
    </row>
    <row r="177" spans="17:19" x14ac:dyDescent="0.25">
      <c r="Q177" s="121"/>
      <c r="R177" s="121"/>
      <c r="S177" s="121"/>
    </row>
    <row r="178" spans="17:19" x14ac:dyDescent="0.25">
      <c r="Q178" s="121"/>
      <c r="R178" s="121"/>
      <c r="S178" s="121"/>
    </row>
    <row r="179" spans="17:19" x14ac:dyDescent="0.25">
      <c r="Q179" s="121"/>
      <c r="R179" s="121"/>
      <c r="S179" s="121"/>
    </row>
    <row r="180" spans="17:19" x14ac:dyDescent="0.25">
      <c r="Q180" s="121"/>
      <c r="R180" s="121"/>
      <c r="S180" s="121"/>
    </row>
    <row r="181" spans="17:19" x14ac:dyDescent="0.25">
      <c r="Q181" s="121"/>
      <c r="R181" s="121"/>
      <c r="S181" s="121"/>
    </row>
    <row r="182" spans="17:19" x14ac:dyDescent="0.25">
      <c r="Q182" s="121"/>
      <c r="R182" s="121"/>
      <c r="S182" s="121"/>
    </row>
    <row r="183" spans="17:19" x14ac:dyDescent="0.25">
      <c r="Q183" s="121"/>
      <c r="R183" s="121"/>
      <c r="S183" s="121"/>
    </row>
    <row r="184" spans="17:19" x14ac:dyDescent="0.25">
      <c r="Q184" s="121"/>
      <c r="R184" s="121"/>
      <c r="S184" s="121"/>
    </row>
    <row r="185" spans="17:19" x14ac:dyDescent="0.25">
      <c r="Q185" s="121"/>
      <c r="R185" s="121"/>
      <c r="S185" s="121"/>
    </row>
    <row r="186" spans="17:19" x14ac:dyDescent="0.25">
      <c r="Q186" s="121"/>
      <c r="R186" s="121"/>
      <c r="S186" s="121"/>
    </row>
    <row r="187" spans="17:19" x14ac:dyDescent="0.25">
      <c r="Q187" s="121"/>
      <c r="R187" s="121"/>
      <c r="S187" s="121"/>
    </row>
    <row r="188" spans="17:19" x14ac:dyDescent="0.25">
      <c r="Q188" s="121"/>
      <c r="R188" s="121"/>
      <c r="S188" s="121"/>
    </row>
    <row r="189" spans="17:19" x14ac:dyDescent="0.25">
      <c r="Q189" s="121"/>
      <c r="R189" s="121"/>
      <c r="S189" s="121"/>
    </row>
    <row r="190" spans="17:19" x14ac:dyDescent="0.25">
      <c r="Q190" s="121"/>
      <c r="R190" s="121"/>
      <c r="S190" s="121"/>
    </row>
    <row r="191" spans="17:19" x14ac:dyDescent="0.25">
      <c r="Q191" s="121"/>
      <c r="R191" s="121"/>
      <c r="S191" s="121"/>
    </row>
    <row r="192" spans="17:19" x14ac:dyDescent="0.25">
      <c r="Q192" s="121"/>
      <c r="R192" s="121"/>
      <c r="S192" s="121"/>
    </row>
    <row r="193" spans="3:19" x14ac:dyDescent="0.25">
      <c r="Q193" s="121"/>
      <c r="R193" s="121"/>
      <c r="S193" s="121"/>
    </row>
    <row r="194" spans="3:19" x14ac:dyDescent="0.25">
      <c r="Q194" s="121"/>
      <c r="R194" s="121"/>
      <c r="S194" s="121"/>
    </row>
    <row r="195" spans="3:19" x14ac:dyDescent="0.25">
      <c r="Q195" s="121"/>
      <c r="R195" s="121"/>
      <c r="S195" s="121"/>
    </row>
    <row r="196" spans="3:19" x14ac:dyDescent="0.25">
      <c r="Q196" s="121"/>
      <c r="R196" s="121"/>
      <c r="S196" s="121"/>
    </row>
    <row r="197" spans="3:19" x14ac:dyDescent="0.25">
      <c r="Q197" s="121"/>
      <c r="R197" s="121"/>
      <c r="S197" s="121"/>
    </row>
    <row r="198" spans="3:19" x14ac:dyDescent="0.25">
      <c r="Q198" s="121"/>
      <c r="R198" s="121"/>
      <c r="S198" s="121"/>
    </row>
    <row r="199" spans="3:19" x14ac:dyDescent="0.25">
      <c r="Q199" s="121"/>
      <c r="R199" s="121"/>
      <c r="S199" s="121"/>
    </row>
    <row r="200" spans="3:19" x14ac:dyDescent="0.25">
      <c r="Q200" s="121"/>
      <c r="R200" s="121"/>
      <c r="S200" s="121"/>
    </row>
    <row r="201" spans="3:19" x14ac:dyDescent="0.25">
      <c r="Q201" s="121"/>
      <c r="R201" s="121"/>
      <c r="S201" s="121"/>
    </row>
    <row r="202" spans="3:19" x14ac:dyDescent="0.25">
      <c r="Q202" s="121"/>
      <c r="R202" s="121"/>
      <c r="S202" s="121"/>
    </row>
    <row r="203" spans="3:19" x14ac:dyDescent="0.25">
      <c r="Q203" s="121"/>
      <c r="R203" s="121"/>
      <c r="S203" s="121"/>
    </row>
    <row r="204" spans="3:19" x14ac:dyDescent="0.25">
      <c r="C204" s="121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Q204" s="121"/>
      <c r="R204" s="121"/>
      <c r="S204" s="121"/>
    </row>
    <row r="205" spans="3:19" x14ac:dyDescent="0.25">
      <c r="C205" s="121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</row>
    <row r="206" spans="3:19" x14ac:dyDescent="0.25">
      <c r="C206" s="121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</row>
    <row r="207" spans="3:19" x14ac:dyDescent="0.25">
      <c r="C207" s="121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</row>
    <row r="208" spans="3:19" x14ac:dyDescent="0.25">
      <c r="C208" s="121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</row>
    <row r="209" spans="3:19" x14ac:dyDescent="0.25">
      <c r="C209" s="121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</row>
    <row r="210" spans="3:19" x14ac:dyDescent="0.25">
      <c r="C210" s="121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</row>
    <row r="211" spans="3:19" x14ac:dyDescent="0.25">
      <c r="C211" s="121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</row>
    <row r="212" spans="3:19" x14ac:dyDescent="0.25">
      <c r="C212" s="121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</row>
    <row r="213" spans="3:19" x14ac:dyDescent="0.25">
      <c r="C213" s="121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</row>
    <row r="214" spans="3:19" x14ac:dyDescent="0.25">
      <c r="C214" s="121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</row>
    <row r="215" spans="3:19" x14ac:dyDescent="0.25">
      <c r="C215" s="121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</row>
    <row r="216" spans="3:19" x14ac:dyDescent="0.25">
      <c r="C216" s="121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</row>
    <row r="217" spans="3:19" x14ac:dyDescent="0.25">
      <c r="C217" s="121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</row>
    <row r="218" spans="3:19" x14ac:dyDescent="0.25">
      <c r="C218" s="121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</row>
    <row r="219" spans="3:19" x14ac:dyDescent="0.25">
      <c r="C219" s="121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</row>
    <row r="220" spans="3:19" x14ac:dyDescent="0.25">
      <c r="C220" s="121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</row>
    <row r="221" spans="3:19" x14ac:dyDescent="0.25">
      <c r="C221" s="121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</row>
    <row r="222" spans="3:19" x14ac:dyDescent="0.25">
      <c r="C222" s="121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</row>
    <row r="223" spans="3:19" x14ac:dyDescent="0.25">
      <c r="C223" s="121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</row>
    <row r="224" spans="3:19" x14ac:dyDescent="0.25">
      <c r="C224" s="121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</row>
    <row r="225" spans="3:19" x14ac:dyDescent="0.25">
      <c r="C225" s="121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</row>
    <row r="226" spans="3:19" x14ac:dyDescent="0.25">
      <c r="C226" s="121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</row>
    <row r="227" spans="3:19" x14ac:dyDescent="0.25">
      <c r="C227" s="121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</row>
    <row r="228" spans="3:19" x14ac:dyDescent="0.25">
      <c r="C228" s="121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</row>
    <row r="229" spans="3:19" x14ac:dyDescent="0.25">
      <c r="C229" s="121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</row>
    <row r="230" spans="3:19" x14ac:dyDescent="0.25">
      <c r="C230" s="121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</row>
    <row r="231" spans="3:19" x14ac:dyDescent="0.25">
      <c r="C231" s="121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</row>
    <row r="232" spans="3:19" x14ac:dyDescent="0.25">
      <c r="C232" s="121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</row>
    <row r="233" spans="3:19" x14ac:dyDescent="0.25">
      <c r="C233" s="121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</row>
    <row r="234" spans="3:19" x14ac:dyDescent="0.25">
      <c r="C234" s="121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</row>
    <row r="235" spans="3:19" x14ac:dyDescent="0.25">
      <c r="C235" s="121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</row>
    <row r="236" spans="3:19" x14ac:dyDescent="0.25">
      <c r="C236" s="121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</row>
    <row r="237" spans="3:19" x14ac:dyDescent="0.25">
      <c r="C237" s="121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</row>
    <row r="238" spans="3:19" x14ac:dyDescent="0.25">
      <c r="C238" s="121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</row>
    <row r="239" spans="3:19" x14ac:dyDescent="0.25">
      <c r="C239" s="121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</row>
    <row r="240" spans="3:19" x14ac:dyDescent="0.25">
      <c r="C240" s="121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</row>
    <row r="241" spans="3:19" x14ac:dyDescent="0.25">
      <c r="C241" s="121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</row>
    <row r="242" spans="3:19" x14ac:dyDescent="0.25">
      <c r="C242" s="121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</row>
    <row r="243" spans="3:19" x14ac:dyDescent="0.25">
      <c r="C243" s="121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</row>
    <row r="244" spans="3:19" x14ac:dyDescent="0.25">
      <c r="C244" s="121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</row>
    <row r="245" spans="3:19" x14ac:dyDescent="0.25">
      <c r="C245" s="121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</row>
    <row r="246" spans="3:19" x14ac:dyDescent="0.25">
      <c r="C246" s="121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</row>
    <row r="247" spans="3:19" x14ac:dyDescent="0.25">
      <c r="C247" s="121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</row>
    <row r="248" spans="3:19" x14ac:dyDescent="0.25">
      <c r="C248" s="121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</row>
    <row r="249" spans="3:19" x14ac:dyDescent="0.25">
      <c r="C249" s="121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</row>
    <row r="250" spans="3:19" x14ac:dyDescent="0.25">
      <c r="C250" s="121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</row>
    <row r="251" spans="3:19" x14ac:dyDescent="0.25">
      <c r="C251" s="121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</row>
    <row r="252" spans="3:19" x14ac:dyDescent="0.25">
      <c r="C252" s="121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</row>
    <row r="253" spans="3:19" x14ac:dyDescent="0.25">
      <c r="C253" s="121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</row>
    <row r="254" spans="3:19" x14ac:dyDescent="0.25">
      <c r="C254" s="121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</row>
    <row r="255" spans="3:19" x14ac:dyDescent="0.25">
      <c r="C255" s="121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</row>
    <row r="256" spans="3:19" x14ac:dyDescent="0.25">
      <c r="C256" s="121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</row>
    <row r="257" spans="3:19" x14ac:dyDescent="0.25">
      <c r="C257" s="121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</row>
    <row r="258" spans="3:19" x14ac:dyDescent="0.25">
      <c r="C258" s="121"/>
      <c r="D258" s="121"/>
      <c r="E258" s="121"/>
      <c r="F258" s="121"/>
      <c r="G258" s="121"/>
      <c r="H258" s="121"/>
      <c r="I258" s="121"/>
      <c r="J258" s="121"/>
      <c r="K258" s="121"/>
      <c r="L258" s="121"/>
      <c r="M258" s="121"/>
      <c r="N258" s="121"/>
      <c r="O258" s="121"/>
      <c r="P258" s="121"/>
      <c r="Q258" s="121"/>
      <c r="R258" s="121"/>
      <c r="S258" s="121"/>
    </row>
    <row r="259" spans="3:19" x14ac:dyDescent="0.25">
      <c r="C259" s="121"/>
      <c r="D259" s="121"/>
      <c r="E259" s="121"/>
      <c r="F259" s="121"/>
      <c r="G259" s="121"/>
      <c r="H259" s="121"/>
      <c r="I259" s="121"/>
      <c r="J259" s="121"/>
      <c r="K259" s="121"/>
      <c r="L259" s="121"/>
      <c r="M259" s="121"/>
      <c r="N259" s="121"/>
      <c r="O259" s="121"/>
      <c r="P259" s="121"/>
      <c r="Q259" s="121"/>
      <c r="R259" s="121"/>
      <c r="S259" s="121"/>
    </row>
    <row r="260" spans="3:19" x14ac:dyDescent="0.25">
      <c r="P260" s="121"/>
      <c r="Q260" s="121"/>
      <c r="R260" s="121"/>
      <c r="S260" s="121"/>
    </row>
  </sheetData>
  <printOptions horizontalCentered="1"/>
  <pageMargins left="0.75" right="0.75" top="0.53" bottom="0.5" header="0.5" footer="0.5"/>
  <pageSetup scale="48" orientation="landscape" r:id="rId1"/>
  <headerFooter alignWithMargins="0"/>
  <colBreaks count="1" manualBreakCount="1">
    <brk id="13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AX606"/>
  <sheetViews>
    <sheetView workbookViewId="0"/>
  </sheetViews>
  <sheetFormatPr defaultColWidth="9.33203125" defaultRowHeight="15.75" x14ac:dyDescent="0.25"/>
  <cols>
    <col min="1" max="1" width="9" style="82" customWidth="1"/>
    <col min="2" max="2" width="2.1640625" style="82" customWidth="1"/>
    <col min="3" max="3" width="40.1640625" style="82" customWidth="1"/>
    <col min="4" max="4" width="31.1640625" style="82" customWidth="1"/>
    <col min="5" max="5" width="23" style="82" customWidth="1"/>
    <col min="6" max="6" width="15" style="82" customWidth="1"/>
    <col min="7" max="7" width="20.6640625" style="82" customWidth="1"/>
    <col min="8" max="8" width="18.5" style="82" customWidth="1"/>
    <col min="9" max="9" width="8.6640625" style="82" customWidth="1"/>
    <col min="10" max="10" width="23" style="82" customWidth="1"/>
    <col min="11" max="11" width="9.33203125" style="82" customWidth="1"/>
    <col min="12" max="12" width="11.6640625" style="82" customWidth="1"/>
    <col min="13" max="13" width="2.83203125" style="82" customWidth="1"/>
    <col min="14" max="14" width="41" style="82" customWidth="1"/>
    <col min="15" max="15" width="48.83203125" style="82" customWidth="1"/>
    <col min="16" max="16" width="23.5" style="82" customWidth="1"/>
    <col min="17" max="17" width="20.5" style="82" customWidth="1"/>
    <col min="18" max="18" width="20.83203125" style="82" customWidth="1"/>
    <col min="19" max="19" width="23.6640625" style="82" bestFit="1" customWidth="1"/>
    <col min="20" max="20" width="22.1640625" style="82" bestFit="1" customWidth="1"/>
    <col min="21" max="21" width="23" style="82" bestFit="1" customWidth="1"/>
    <col min="22" max="22" width="19.83203125" style="82" customWidth="1"/>
    <col min="23" max="23" width="20.33203125" style="82" customWidth="1"/>
    <col min="24" max="24" width="23.5" style="82" bestFit="1" customWidth="1"/>
    <col min="25" max="25" width="21.6640625" style="82" bestFit="1" customWidth="1"/>
    <col min="26" max="26" width="16.1640625" style="82" customWidth="1"/>
    <col min="27" max="28" width="23.5" style="82" bestFit="1" customWidth="1"/>
    <col min="29" max="29" width="21.33203125" style="82" bestFit="1" customWidth="1"/>
    <col min="30" max="30" width="23.5" style="82" bestFit="1" customWidth="1"/>
    <col min="31" max="31" width="21.33203125" style="82" bestFit="1" customWidth="1"/>
    <col min="32" max="32" width="20.6640625" style="82" bestFit="1" customWidth="1"/>
    <col min="33" max="16384" width="9.33203125" style="82"/>
  </cols>
  <sheetData>
    <row r="1" spans="1:33" x14ac:dyDescent="0.25">
      <c r="A1" s="190" t="s">
        <v>185</v>
      </c>
      <c r="B1" s="191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80"/>
      <c r="N1" s="87"/>
      <c r="O1" s="87"/>
      <c r="P1" s="88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</row>
    <row r="2" spans="1:33" x14ac:dyDescent="0.25">
      <c r="A2" s="190" t="s">
        <v>427</v>
      </c>
      <c r="B2" s="191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86"/>
      <c r="N2" s="87"/>
      <c r="O2" s="87"/>
      <c r="P2" s="87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</row>
    <row r="3" spans="1:33" x14ac:dyDescent="0.25">
      <c r="A3" s="190" t="s">
        <v>249</v>
      </c>
      <c r="B3" s="191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88"/>
      <c r="N3" s="87"/>
      <c r="O3" s="87"/>
      <c r="P3" s="87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</row>
    <row r="4" spans="1:33" x14ac:dyDescent="0.25">
      <c r="A4" s="1"/>
      <c r="B4" s="1"/>
      <c r="C4" s="6"/>
      <c r="D4" s="2"/>
      <c r="E4" s="3"/>
      <c r="F4" s="2"/>
      <c r="G4" s="2"/>
      <c r="H4" s="2"/>
      <c r="I4" s="4"/>
      <c r="J4" s="4"/>
      <c r="K4" s="4"/>
      <c r="L4" s="4"/>
      <c r="M4" s="189"/>
      <c r="N4" s="87"/>
      <c r="O4" s="87"/>
      <c r="P4" s="87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</row>
    <row r="5" spans="1:33" x14ac:dyDescent="0.25">
      <c r="A5" s="1" t="s">
        <v>186</v>
      </c>
      <c r="B5" s="1"/>
      <c r="C5" s="2"/>
      <c r="D5" s="2"/>
      <c r="E5" s="7"/>
      <c r="F5" s="2"/>
      <c r="G5" s="2"/>
      <c r="H5" s="2"/>
      <c r="I5" s="4"/>
      <c r="J5" s="1"/>
      <c r="K5" s="4"/>
      <c r="L5" s="206" t="str">
        <f>"For the 12 months ended "&amp;TEXT('OATT Input Data'!B4,"MM/DD/YYYY")</f>
        <v>For the 12 months ended 12/31/2015</v>
      </c>
      <c r="M5" s="87"/>
      <c r="N5" s="87"/>
      <c r="O5" s="87"/>
      <c r="P5" s="87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</row>
    <row r="6" spans="1:33" x14ac:dyDescent="0.25">
      <c r="A6" s="207" t="s">
        <v>187</v>
      </c>
      <c r="B6" s="1"/>
      <c r="C6" s="2"/>
      <c r="D6" s="8"/>
      <c r="E6" s="1"/>
      <c r="F6" s="8"/>
      <c r="G6" s="8"/>
      <c r="H6" s="8"/>
      <c r="I6" s="2"/>
      <c r="J6" s="2"/>
      <c r="K6" s="2"/>
      <c r="L6" s="180" t="s">
        <v>381</v>
      </c>
      <c r="M6" s="87"/>
      <c r="N6" s="87"/>
      <c r="O6" s="87"/>
      <c r="P6" s="87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</row>
    <row r="7" spans="1:33" x14ac:dyDescent="0.25">
      <c r="A7" s="1"/>
      <c r="B7" s="1"/>
      <c r="C7" s="4"/>
      <c r="D7" s="4"/>
      <c r="E7" s="4"/>
      <c r="F7" s="4"/>
      <c r="G7" s="4"/>
      <c r="H7" s="4"/>
      <c r="I7" s="4"/>
      <c r="J7" s="4"/>
      <c r="K7" s="4"/>
      <c r="L7" s="4"/>
      <c r="M7" s="83"/>
      <c r="N7" s="85"/>
      <c r="O7" s="87"/>
      <c r="P7" s="87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</row>
    <row r="8" spans="1:33" x14ac:dyDescent="0.25">
      <c r="A8" s="209" t="s">
        <v>130</v>
      </c>
      <c r="B8" s="191"/>
      <c r="C8" s="192"/>
      <c r="D8" s="192"/>
      <c r="E8" s="191"/>
      <c r="F8" s="192"/>
      <c r="G8" s="192"/>
      <c r="H8" s="192"/>
      <c r="I8" s="192"/>
      <c r="J8" s="192"/>
      <c r="K8" s="192"/>
      <c r="L8" s="192"/>
      <c r="M8" s="83"/>
      <c r="N8" s="85"/>
      <c r="O8" s="87"/>
      <c r="P8" s="87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</row>
    <row r="9" spans="1:33" x14ac:dyDescent="0.25">
      <c r="A9" s="85"/>
      <c r="B9" s="83"/>
      <c r="C9" s="91"/>
      <c r="D9" s="85"/>
      <c r="E9" s="90"/>
      <c r="F9" s="90"/>
      <c r="G9" s="90"/>
      <c r="H9" s="90"/>
      <c r="I9" s="83"/>
      <c r="J9" s="92"/>
      <c r="K9" s="1"/>
      <c r="L9" s="8"/>
      <c r="M9" s="83"/>
      <c r="N9" s="85"/>
      <c r="O9" s="87"/>
      <c r="P9" s="87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</row>
    <row r="10" spans="1:33" ht="18.75" x14ac:dyDescent="0.3">
      <c r="A10" s="93"/>
      <c r="B10" s="94"/>
      <c r="C10" s="234" t="s">
        <v>426</v>
      </c>
      <c r="D10" s="93"/>
      <c r="E10" s="96"/>
      <c r="F10" s="96"/>
      <c r="G10" s="96"/>
      <c r="H10" s="96"/>
      <c r="I10" s="94"/>
      <c r="J10" s="96"/>
      <c r="K10" s="96"/>
      <c r="L10" s="96"/>
      <c r="M10" s="96"/>
      <c r="N10" s="96"/>
      <c r="O10" s="96"/>
      <c r="P10" s="87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</row>
    <row r="11" spans="1:33" ht="18.75" x14ac:dyDescent="0.3">
      <c r="A11" s="93"/>
      <c r="B11" s="94"/>
      <c r="C11" s="95" t="s">
        <v>87</v>
      </c>
      <c r="D11" s="93"/>
      <c r="E11" s="96"/>
      <c r="F11" s="96"/>
      <c r="G11" s="96"/>
      <c r="H11" s="96"/>
      <c r="I11" s="94"/>
      <c r="J11" s="96"/>
      <c r="K11" s="96"/>
      <c r="L11" s="96"/>
      <c r="M11" s="96"/>
      <c r="N11" s="96"/>
      <c r="O11" s="96"/>
      <c r="P11" s="87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</row>
    <row r="12" spans="1:33" ht="18.75" x14ac:dyDescent="0.3">
      <c r="A12" s="93" t="s">
        <v>88</v>
      </c>
      <c r="B12" s="94"/>
      <c r="C12" s="95"/>
      <c r="D12" s="94"/>
      <c r="E12" s="96"/>
      <c r="F12" s="96"/>
      <c r="G12" s="96"/>
      <c r="H12" s="96"/>
      <c r="I12" s="94"/>
      <c r="J12" s="96"/>
      <c r="K12" s="96"/>
      <c r="L12" s="96"/>
      <c r="M12" s="96"/>
      <c r="N12" s="96"/>
      <c r="O12" s="96"/>
      <c r="P12" s="87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</row>
    <row r="13" spans="1:33" ht="21.75" thickBot="1" x14ac:dyDescent="0.4">
      <c r="A13" s="99" t="s">
        <v>89</v>
      </c>
      <c r="B13" s="94"/>
      <c r="C13" s="95"/>
      <c r="D13" s="94"/>
      <c r="E13" s="96"/>
      <c r="F13" s="96"/>
      <c r="G13" s="96"/>
      <c r="H13" s="96"/>
      <c r="I13" s="94"/>
      <c r="J13" s="96"/>
      <c r="K13" s="97"/>
      <c r="L13" s="98"/>
      <c r="M13" s="97"/>
      <c r="N13" s="93"/>
      <c r="O13" s="87"/>
      <c r="P13" s="87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</row>
    <row r="14" spans="1:33" ht="21" x14ac:dyDescent="0.35">
      <c r="A14" s="93" t="s">
        <v>90</v>
      </c>
      <c r="B14" s="94"/>
      <c r="C14" s="100" t="s">
        <v>385</v>
      </c>
      <c r="D14" s="101"/>
      <c r="E14" s="102"/>
      <c r="F14" s="102"/>
      <c r="G14" s="102"/>
      <c r="H14" s="102"/>
      <c r="I14" s="101"/>
      <c r="J14" s="102"/>
      <c r="K14" s="103"/>
      <c r="L14" s="104"/>
      <c r="M14" s="103"/>
      <c r="N14" s="105"/>
      <c r="O14" s="106"/>
      <c r="P14" s="87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</row>
    <row r="15" spans="1:33" ht="21" x14ac:dyDescent="0.35">
      <c r="A15" s="93" t="s">
        <v>91</v>
      </c>
      <c r="B15" s="94"/>
      <c r="C15" s="100" t="s">
        <v>420</v>
      </c>
      <c r="D15" s="101"/>
      <c r="E15" s="102"/>
      <c r="F15" s="102"/>
      <c r="G15" s="102"/>
      <c r="H15" s="102"/>
      <c r="I15" s="101"/>
      <c r="J15" s="102"/>
      <c r="K15" s="103"/>
      <c r="L15" s="104"/>
      <c r="M15" s="103"/>
      <c r="N15" s="105"/>
      <c r="O15" s="106"/>
      <c r="P15" s="87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</row>
    <row r="16" spans="1:33" ht="21" x14ac:dyDescent="0.35">
      <c r="A16" s="93" t="s">
        <v>92</v>
      </c>
      <c r="B16" s="94"/>
      <c r="C16" s="100" t="s">
        <v>386</v>
      </c>
      <c r="D16" s="101"/>
      <c r="E16" s="101"/>
      <c r="F16" s="101"/>
      <c r="G16" s="101"/>
      <c r="H16" s="101"/>
      <c r="I16" s="101"/>
      <c r="J16" s="102"/>
      <c r="K16" s="103"/>
      <c r="L16" s="103"/>
      <c r="M16" s="103"/>
      <c r="N16" s="107"/>
      <c r="O16" s="106"/>
      <c r="P16" s="87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</row>
    <row r="17" spans="1:33" ht="21" x14ac:dyDescent="0.35">
      <c r="A17" s="93" t="s">
        <v>93</v>
      </c>
      <c r="B17" s="94"/>
      <c r="C17" s="100" t="s">
        <v>250</v>
      </c>
      <c r="D17" s="101"/>
      <c r="E17" s="101"/>
      <c r="F17" s="101"/>
      <c r="G17" s="101"/>
      <c r="H17" s="101"/>
      <c r="I17" s="101"/>
      <c r="J17" s="102"/>
      <c r="K17" s="103"/>
      <c r="L17" s="103"/>
      <c r="M17" s="103"/>
      <c r="N17" s="107"/>
      <c r="O17" s="106"/>
      <c r="P17" s="87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</row>
    <row r="18" spans="1:33" ht="21" x14ac:dyDescent="0.35">
      <c r="A18" s="93" t="s">
        <v>94</v>
      </c>
      <c r="B18" s="94"/>
      <c r="C18" s="101" t="s">
        <v>95</v>
      </c>
      <c r="D18" s="101"/>
      <c r="E18" s="101"/>
      <c r="F18" s="101"/>
      <c r="G18" s="101"/>
      <c r="H18" s="101"/>
      <c r="I18" s="101"/>
      <c r="J18" s="101"/>
      <c r="K18" s="103"/>
      <c r="L18" s="103"/>
      <c r="M18" s="103"/>
      <c r="N18" s="105"/>
      <c r="O18" s="106"/>
      <c r="P18" s="87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</row>
    <row r="19" spans="1:33" ht="21" x14ac:dyDescent="0.35">
      <c r="A19" s="93" t="s">
        <v>96</v>
      </c>
      <c r="B19" s="94"/>
      <c r="C19" s="101" t="s">
        <v>351</v>
      </c>
      <c r="D19" s="101"/>
      <c r="E19" s="101"/>
      <c r="F19" s="101"/>
      <c r="G19" s="101"/>
      <c r="H19" s="101"/>
      <c r="I19" s="101"/>
      <c r="J19" s="101"/>
      <c r="K19" s="103"/>
      <c r="L19" s="103"/>
      <c r="M19" s="103"/>
      <c r="N19" s="105"/>
      <c r="O19" s="106"/>
      <c r="P19" s="87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</row>
    <row r="20" spans="1:33" ht="21" x14ac:dyDescent="0.35">
      <c r="A20" s="93"/>
      <c r="B20" s="94"/>
      <c r="C20" s="100" t="s">
        <v>417</v>
      </c>
      <c r="D20" s="101"/>
      <c r="E20" s="101"/>
      <c r="F20" s="101"/>
      <c r="G20" s="101"/>
      <c r="H20" s="101"/>
      <c r="I20" s="101"/>
      <c r="J20" s="101"/>
      <c r="K20" s="103"/>
      <c r="L20" s="103"/>
      <c r="M20" s="103"/>
      <c r="N20" s="105"/>
      <c r="O20" s="106"/>
      <c r="P20" s="87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</row>
    <row r="21" spans="1:33" ht="21" x14ac:dyDescent="0.35">
      <c r="A21" s="93"/>
      <c r="B21" s="94"/>
      <c r="C21" s="100" t="s">
        <v>418</v>
      </c>
      <c r="D21" s="101"/>
      <c r="E21" s="101"/>
      <c r="F21" s="101"/>
      <c r="G21" s="101"/>
      <c r="H21" s="101"/>
      <c r="I21" s="101"/>
      <c r="J21" s="101"/>
      <c r="K21" s="103"/>
      <c r="L21" s="103"/>
      <c r="M21" s="103"/>
      <c r="N21" s="105"/>
      <c r="O21" s="106"/>
      <c r="P21" s="87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</row>
    <row r="22" spans="1:33" ht="21" x14ac:dyDescent="0.35">
      <c r="A22" s="93" t="s">
        <v>97</v>
      </c>
      <c r="B22" s="94"/>
      <c r="C22" s="101" t="s">
        <v>98</v>
      </c>
      <c r="D22" s="101"/>
      <c r="E22" s="101"/>
      <c r="F22" s="101"/>
      <c r="G22" s="101"/>
      <c r="H22" s="101"/>
      <c r="I22" s="101"/>
      <c r="J22" s="101"/>
      <c r="K22" s="103"/>
      <c r="L22" s="103"/>
      <c r="M22" s="103"/>
      <c r="N22" s="105"/>
      <c r="O22" s="106"/>
      <c r="P22" s="87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</row>
    <row r="23" spans="1:33" ht="21" x14ac:dyDescent="0.35">
      <c r="A23" s="93" t="s">
        <v>99</v>
      </c>
      <c r="B23" s="94"/>
      <c r="C23" s="100" t="s">
        <v>352</v>
      </c>
      <c r="D23" s="101"/>
      <c r="E23" s="101"/>
      <c r="F23" s="101"/>
      <c r="G23" s="101"/>
      <c r="H23" s="101"/>
      <c r="I23" s="101"/>
      <c r="J23" s="101"/>
      <c r="K23" s="103"/>
      <c r="L23" s="103"/>
      <c r="M23" s="103"/>
      <c r="N23" s="105"/>
      <c r="O23" s="106"/>
      <c r="P23" s="87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</row>
    <row r="24" spans="1:33" ht="21" x14ac:dyDescent="0.35">
      <c r="A24" s="93"/>
      <c r="B24" s="94"/>
      <c r="C24" s="100" t="s">
        <v>353</v>
      </c>
      <c r="D24" s="101"/>
      <c r="E24" s="101"/>
      <c r="F24" s="101"/>
      <c r="G24" s="101"/>
      <c r="H24" s="101"/>
      <c r="I24" s="101"/>
      <c r="J24" s="101"/>
      <c r="K24" s="103"/>
      <c r="L24" s="103"/>
      <c r="M24" s="103"/>
      <c r="N24" s="105"/>
      <c r="O24" s="106"/>
      <c r="P24" s="87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</row>
    <row r="25" spans="1:33" ht="21" x14ac:dyDescent="0.35">
      <c r="A25" s="93" t="s">
        <v>100</v>
      </c>
      <c r="B25" s="94"/>
      <c r="C25" s="100" t="s">
        <v>354</v>
      </c>
      <c r="D25" s="101"/>
      <c r="E25" s="101"/>
      <c r="F25" s="101"/>
      <c r="G25" s="101"/>
      <c r="H25" s="101"/>
      <c r="I25" s="101"/>
      <c r="J25" s="101"/>
      <c r="K25" s="103"/>
      <c r="L25" s="103"/>
      <c r="M25" s="103"/>
      <c r="N25" s="105"/>
      <c r="O25" s="106"/>
      <c r="P25" s="87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</row>
    <row r="26" spans="1:33" ht="21" x14ac:dyDescent="0.35">
      <c r="A26" s="93"/>
      <c r="B26" s="94"/>
      <c r="C26" s="141" t="s">
        <v>387</v>
      </c>
      <c r="D26" s="101"/>
      <c r="E26" s="101"/>
      <c r="F26" s="101"/>
      <c r="G26" s="101"/>
      <c r="H26" s="101"/>
      <c r="I26" s="101"/>
      <c r="J26" s="101"/>
      <c r="K26" s="103"/>
      <c r="L26" s="103"/>
      <c r="M26" s="103"/>
      <c r="N26" s="105"/>
      <c r="P26" s="87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</row>
    <row r="27" spans="1:33" ht="21" x14ac:dyDescent="0.35">
      <c r="A27" s="93"/>
      <c r="B27" s="94"/>
      <c r="C27" s="100" t="s">
        <v>355</v>
      </c>
      <c r="D27" s="101"/>
      <c r="E27" s="101"/>
      <c r="F27" s="101"/>
      <c r="G27" s="101"/>
      <c r="H27" s="101"/>
      <c r="I27" s="101"/>
      <c r="J27" s="101"/>
      <c r="K27" s="103"/>
      <c r="L27" s="103"/>
      <c r="M27" s="103"/>
      <c r="N27" s="105"/>
      <c r="O27" s="106"/>
      <c r="P27" s="106"/>
      <c r="Q27" s="87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</row>
    <row r="28" spans="1:33" ht="21" x14ac:dyDescent="0.35">
      <c r="A28" s="93" t="s">
        <v>101</v>
      </c>
      <c r="B28" s="94"/>
      <c r="C28" s="100" t="s">
        <v>356</v>
      </c>
      <c r="D28" s="101"/>
      <c r="E28" s="101"/>
      <c r="F28" s="101"/>
      <c r="G28" s="101"/>
      <c r="H28" s="101"/>
      <c r="I28" s="101"/>
      <c r="J28" s="101"/>
      <c r="K28" s="103"/>
      <c r="L28" s="103"/>
      <c r="M28" s="103"/>
      <c r="N28" s="105"/>
      <c r="O28" s="106"/>
      <c r="P28" s="87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</row>
    <row r="29" spans="1:33" ht="21" x14ac:dyDescent="0.35">
      <c r="A29" s="93" t="s">
        <v>102</v>
      </c>
      <c r="B29" s="94"/>
      <c r="C29" s="101" t="s">
        <v>357</v>
      </c>
      <c r="D29" s="101"/>
      <c r="E29" s="101"/>
      <c r="F29" s="101"/>
      <c r="G29" s="101"/>
      <c r="H29" s="101"/>
      <c r="I29" s="101"/>
      <c r="J29" s="101"/>
      <c r="K29" s="103"/>
      <c r="L29" s="103"/>
      <c r="M29" s="103"/>
      <c r="N29" s="105"/>
      <c r="O29" s="106"/>
      <c r="P29" s="87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</row>
    <row r="30" spans="1:33" ht="21" x14ac:dyDescent="0.35">
      <c r="A30" s="93"/>
      <c r="B30" s="94"/>
      <c r="C30" s="100" t="s">
        <v>358</v>
      </c>
      <c r="D30" s="101"/>
      <c r="E30" s="101"/>
      <c r="F30" s="101"/>
      <c r="G30" s="101"/>
      <c r="H30" s="101"/>
      <c r="I30" s="101"/>
      <c r="J30" s="101"/>
      <c r="K30" s="103"/>
      <c r="L30" s="103"/>
      <c r="M30" s="103"/>
      <c r="N30" s="105"/>
      <c r="O30" s="106"/>
      <c r="P30" s="87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</row>
    <row r="31" spans="1:33" ht="21" x14ac:dyDescent="0.35">
      <c r="A31" s="93"/>
      <c r="B31" s="94"/>
      <c r="C31" s="100" t="s">
        <v>359</v>
      </c>
      <c r="D31" s="101"/>
      <c r="E31" s="101"/>
      <c r="F31" s="101"/>
      <c r="G31" s="101"/>
      <c r="H31" s="101"/>
      <c r="I31" s="101"/>
      <c r="J31" s="101"/>
      <c r="K31" s="103"/>
      <c r="L31" s="103"/>
      <c r="M31" s="103"/>
      <c r="N31" s="105"/>
      <c r="O31" s="106"/>
      <c r="P31" s="87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</row>
    <row r="32" spans="1:33" ht="21" x14ac:dyDescent="0.35">
      <c r="A32" s="93"/>
      <c r="B32" s="94"/>
      <c r="C32" s="101" t="s">
        <v>360</v>
      </c>
      <c r="D32" s="101"/>
      <c r="E32" s="101"/>
      <c r="F32" s="101"/>
      <c r="G32" s="101"/>
      <c r="H32" s="101"/>
      <c r="I32" s="101"/>
      <c r="J32" s="101"/>
      <c r="K32" s="103"/>
      <c r="L32" s="103"/>
      <c r="M32" s="103"/>
      <c r="N32" s="105"/>
      <c r="O32" s="106"/>
      <c r="P32" s="87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</row>
    <row r="33" spans="1:33" ht="21" x14ac:dyDescent="0.35">
      <c r="A33" s="93"/>
      <c r="B33" s="94"/>
      <c r="C33" s="100" t="s">
        <v>361</v>
      </c>
      <c r="D33" s="101"/>
      <c r="E33" s="101"/>
      <c r="F33" s="101"/>
      <c r="G33" s="101"/>
      <c r="H33" s="101"/>
      <c r="I33" s="101"/>
      <c r="J33" s="101"/>
      <c r="K33" s="103"/>
      <c r="L33" s="103"/>
      <c r="M33" s="103"/>
      <c r="N33" s="105"/>
      <c r="O33" s="106"/>
      <c r="P33" s="87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</row>
    <row r="34" spans="1:33" ht="21" x14ac:dyDescent="0.35">
      <c r="A34" s="93"/>
      <c r="B34" s="94"/>
      <c r="C34" s="100" t="s">
        <v>362</v>
      </c>
      <c r="D34" s="101"/>
      <c r="E34" s="101"/>
      <c r="F34" s="101"/>
      <c r="G34" s="101"/>
      <c r="H34" s="101"/>
      <c r="I34" s="101"/>
      <c r="J34" s="101"/>
      <c r="K34" s="103"/>
      <c r="L34" s="103"/>
      <c r="M34" s="103"/>
      <c r="N34" s="105"/>
      <c r="O34" s="106"/>
      <c r="P34" s="87"/>
      <c r="V34" s="89"/>
      <c r="W34" s="89"/>
      <c r="X34" s="89"/>
      <c r="Y34" s="89"/>
      <c r="AB34" s="89"/>
      <c r="AD34" s="89"/>
      <c r="AE34" s="89"/>
    </row>
    <row r="35" spans="1:33" ht="21" x14ac:dyDescent="0.35">
      <c r="A35" s="93"/>
      <c r="B35" s="94"/>
      <c r="C35" s="100" t="s">
        <v>428</v>
      </c>
      <c r="D35" s="101"/>
      <c r="E35" s="101"/>
      <c r="F35" s="101"/>
      <c r="G35" s="101"/>
      <c r="H35" s="101"/>
      <c r="I35" s="101"/>
      <c r="J35" s="101"/>
      <c r="K35" s="103"/>
      <c r="L35" s="103"/>
      <c r="M35" s="103"/>
      <c r="N35" s="105"/>
      <c r="O35" s="106"/>
      <c r="P35" s="87"/>
      <c r="V35" s="89"/>
      <c r="W35" s="89"/>
      <c r="X35" s="89"/>
      <c r="Y35" s="89"/>
      <c r="AB35" s="89"/>
      <c r="AD35" s="89"/>
      <c r="AE35" s="89"/>
    </row>
    <row r="36" spans="1:33" ht="21" x14ac:dyDescent="0.35">
      <c r="A36" s="93" t="s">
        <v>0</v>
      </c>
      <c r="B36" s="94"/>
      <c r="C36" s="101" t="s">
        <v>103</v>
      </c>
      <c r="D36" s="101" t="s">
        <v>104</v>
      </c>
      <c r="E36" s="109">
        <v>0.35</v>
      </c>
      <c r="F36" s="101"/>
      <c r="G36" s="101"/>
      <c r="H36" s="101"/>
      <c r="I36" s="101"/>
      <c r="J36" s="101"/>
      <c r="K36" s="103"/>
      <c r="L36" s="103"/>
      <c r="M36" s="103"/>
      <c r="N36" s="105"/>
      <c r="O36" s="106"/>
      <c r="P36" s="87"/>
      <c r="W36" s="89"/>
      <c r="X36" s="89"/>
      <c r="Y36" s="89"/>
    </row>
    <row r="37" spans="1:33" ht="21" x14ac:dyDescent="0.35">
      <c r="A37" s="93"/>
      <c r="B37" s="94"/>
      <c r="C37" s="101"/>
      <c r="D37" s="101" t="s">
        <v>105</v>
      </c>
      <c r="E37" s="109">
        <v>0.06</v>
      </c>
      <c r="F37" s="101" t="s">
        <v>106</v>
      </c>
      <c r="G37" s="101"/>
      <c r="H37" s="101"/>
      <c r="I37" s="101"/>
      <c r="J37" s="101"/>
      <c r="K37" s="103"/>
      <c r="L37" s="103"/>
      <c r="M37" s="103"/>
      <c r="N37" s="105"/>
      <c r="O37" s="106"/>
      <c r="P37" s="87"/>
      <c r="W37" s="89"/>
      <c r="Y37" s="89"/>
    </row>
    <row r="38" spans="1:33" ht="21" x14ac:dyDescent="0.35">
      <c r="A38" s="93"/>
      <c r="B38" s="94"/>
      <c r="C38" s="101"/>
      <c r="D38" s="101" t="s">
        <v>107</v>
      </c>
      <c r="E38" s="109">
        <v>0</v>
      </c>
      <c r="F38" s="101" t="s">
        <v>108</v>
      </c>
      <c r="G38" s="101"/>
      <c r="H38" s="101"/>
      <c r="I38" s="101"/>
      <c r="J38" s="101"/>
      <c r="K38" s="103"/>
      <c r="L38" s="103"/>
      <c r="M38" s="103"/>
      <c r="N38" s="105"/>
      <c r="O38" s="106"/>
      <c r="P38" s="196"/>
      <c r="Y38" s="89"/>
    </row>
    <row r="39" spans="1:33" ht="21" x14ac:dyDescent="0.35">
      <c r="A39" s="93" t="s">
        <v>109</v>
      </c>
      <c r="B39" s="94"/>
      <c r="C39" s="101" t="s">
        <v>110</v>
      </c>
      <c r="D39" s="101"/>
      <c r="E39" s="101"/>
      <c r="F39" s="101"/>
      <c r="G39" s="101"/>
      <c r="H39" s="101"/>
      <c r="I39" s="101"/>
      <c r="J39" s="101"/>
      <c r="K39" s="103"/>
      <c r="L39" s="103"/>
      <c r="M39" s="103"/>
      <c r="N39" s="105"/>
      <c r="O39" s="106"/>
      <c r="P39" s="87"/>
    </row>
    <row r="40" spans="1:33" ht="21" x14ac:dyDescent="0.35">
      <c r="A40" s="93" t="s">
        <v>111</v>
      </c>
      <c r="B40" s="94"/>
      <c r="C40" s="101" t="s">
        <v>363</v>
      </c>
      <c r="D40" s="101"/>
      <c r="E40" s="101"/>
      <c r="F40" s="101"/>
      <c r="G40" s="101"/>
      <c r="H40" s="101"/>
      <c r="I40" s="101"/>
      <c r="J40" s="101"/>
      <c r="K40" s="103"/>
      <c r="L40" s="103"/>
      <c r="M40" s="103"/>
      <c r="N40" s="105"/>
      <c r="O40" s="106"/>
      <c r="P40" s="87"/>
    </row>
    <row r="41" spans="1:33" ht="21" x14ac:dyDescent="0.35">
      <c r="A41" s="93"/>
      <c r="B41" s="94"/>
      <c r="C41" s="101" t="s">
        <v>364</v>
      </c>
      <c r="D41" s="101"/>
      <c r="E41" s="101"/>
      <c r="F41" s="101"/>
      <c r="G41" s="101"/>
      <c r="H41" s="101"/>
      <c r="I41" s="101"/>
      <c r="J41" s="101"/>
      <c r="K41" s="103"/>
      <c r="L41" s="103"/>
      <c r="M41" s="103"/>
      <c r="N41" s="105"/>
      <c r="O41" s="106"/>
      <c r="P41" s="87"/>
    </row>
    <row r="42" spans="1:33" ht="21" x14ac:dyDescent="0.35">
      <c r="A42" s="93" t="s">
        <v>112</v>
      </c>
      <c r="B42" s="94"/>
      <c r="C42" s="101" t="s">
        <v>365</v>
      </c>
      <c r="D42" s="101"/>
      <c r="E42" s="101"/>
      <c r="F42" s="101"/>
      <c r="G42" s="101"/>
      <c r="H42" s="101"/>
      <c r="I42" s="101"/>
      <c r="J42" s="101"/>
      <c r="K42" s="103"/>
      <c r="L42" s="103"/>
      <c r="M42" s="103"/>
      <c r="N42" s="105"/>
      <c r="O42" s="106"/>
      <c r="P42" s="87"/>
    </row>
    <row r="43" spans="1:33" ht="21" x14ac:dyDescent="0.35">
      <c r="A43" s="93"/>
      <c r="B43" s="94"/>
      <c r="C43" s="100" t="s">
        <v>366</v>
      </c>
      <c r="D43" s="101"/>
      <c r="E43" s="101"/>
      <c r="F43" s="101"/>
      <c r="G43" s="101"/>
      <c r="H43" s="101"/>
      <c r="I43" s="101"/>
      <c r="J43" s="101"/>
      <c r="K43" s="103"/>
      <c r="L43" s="103"/>
      <c r="M43" s="103"/>
      <c r="N43" s="105"/>
      <c r="O43" s="106"/>
      <c r="P43" s="87"/>
    </row>
    <row r="44" spans="1:33" ht="21" x14ac:dyDescent="0.35">
      <c r="A44" s="93"/>
      <c r="B44" s="94"/>
      <c r="C44" s="101" t="s">
        <v>367</v>
      </c>
      <c r="D44" s="101"/>
      <c r="E44" s="101"/>
      <c r="F44" s="101"/>
      <c r="G44" s="101"/>
      <c r="H44" s="101"/>
      <c r="I44" s="101"/>
      <c r="J44" s="101"/>
      <c r="K44" s="103"/>
      <c r="L44" s="103"/>
      <c r="M44" s="103"/>
      <c r="N44" s="105"/>
      <c r="O44" s="106"/>
      <c r="P44" s="87"/>
    </row>
    <row r="45" spans="1:33" ht="21" x14ac:dyDescent="0.35">
      <c r="A45" s="93"/>
      <c r="B45" s="94"/>
      <c r="C45" s="101" t="s">
        <v>368</v>
      </c>
      <c r="D45" s="101"/>
      <c r="E45" s="101"/>
      <c r="F45" s="101"/>
      <c r="G45" s="101"/>
      <c r="H45" s="101"/>
      <c r="I45" s="101"/>
      <c r="J45" s="101"/>
      <c r="K45" s="103"/>
      <c r="L45" s="103"/>
      <c r="M45" s="103"/>
      <c r="N45" s="105"/>
      <c r="O45" s="106"/>
      <c r="P45" s="87"/>
    </row>
    <row r="46" spans="1:33" ht="21" x14ac:dyDescent="0.35">
      <c r="A46" s="93" t="s">
        <v>113</v>
      </c>
      <c r="B46" s="94"/>
      <c r="C46" s="100" t="s">
        <v>395</v>
      </c>
      <c r="D46" s="101"/>
      <c r="E46" s="101"/>
      <c r="F46" s="101"/>
      <c r="G46" s="101"/>
      <c r="H46" s="101"/>
      <c r="I46" s="101"/>
      <c r="J46" s="101"/>
      <c r="K46" s="103"/>
      <c r="L46" s="103"/>
      <c r="M46" s="103"/>
      <c r="N46" s="105"/>
      <c r="O46" s="106"/>
      <c r="P46" s="87"/>
    </row>
    <row r="47" spans="1:33" ht="21" x14ac:dyDescent="0.35">
      <c r="A47" s="93" t="s">
        <v>114</v>
      </c>
      <c r="B47" s="94"/>
      <c r="C47" s="100" t="s">
        <v>396</v>
      </c>
      <c r="D47" s="101"/>
      <c r="E47" s="101"/>
      <c r="F47" s="101"/>
      <c r="G47" s="101"/>
      <c r="H47" s="101"/>
      <c r="I47" s="101"/>
      <c r="J47" s="101"/>
      <c r="K47" s="103"/>
      <c r="L47" s="103"/>
      <c r="M47" s="103"/>
      <c r="N47" s="105"/>
      <c r="O47" s="106"/>
      <c r="P47" s="87"/>
    </row>
    <row r="48" spans="1:33" ht="21" x14ac:dyDescent="0.35">
      <c r="A48" s="93"/>
      <c r="B48" s="94"/>
      <c r="C48" s="101" t="s">
        <v>369</v>
      </c>
      <c r="D48" s="101"/>
      <c r="E48" s="101"/>
      <c r="F48" s="101"/>
      <c r="G48" s="101"/>
      <c r="H48" s="101"/>
      <c r="I48" s="101"/>
      <c r="J48" s="101"/>
      <c r="K48" s="103"/>
      <c r="L48" s="103"/>
      <c r="M48" s="103"/>
      <c r="N48" s="105"/>
      <c r="O48" s="106"/>
      <c r="P48" s="87"/>
    </row>
    <row r="49" spans="1:19" ht="21" x14ac:dyDescent="0.35">
      <c r="A49" s="93" t="s">
        <v>115</v>
      </c>
      <c r="B49" s="94"/>
      <c r="C49" s="100" t="s">
        <v>370</v>
      </c>
      <c r="D49" s="101"/>
      <c r="E49" s="101"/>
      <c r="F49" s="101"/>
      <c r="G49" s="101"/>
      <c r="H49" s="101"/>
      <c r="I49" s="101"/>
      <c r="J49" s="101"/>
      <c r="K49" s="103"/>
      <c r="L49" s="103"/>
      <c r="M49" s="103"/>
      <c r="N49" s="105"/>
      <c r="O49" s="106"/>
      <c r="P49" s="87"/>
    </row>
    <row r="50" spans="1:19" ht="21" x14ac:dyDescent="0.35">
      <c r="A50" s="93"/>
      <c r="B50" s="94"/>
      <c r="C50" s="101" t="s">
        <v>371</v>
      </c>
      <c r="D50" s="101"/>
      <c r="E50" s="101"/>
      <c r="F50" s="101"/>
      <c r="G50" s="101"/>
      <c r="H50" s="101"/>
      <c r="I50" s="101"/>
      <c r="J50" s="101"/>
      <c r="K50" s="103"/>
      <c r="L50" s="103"/>
      <c r="M50" s="103"/>
      <c r="N50" s="105"/>
      <c r="O50" s="106"/>
      <c r="P50" s="87"/>
    </row>
    <row r="51" spans="1:19" ht="21" x14ac:dyDescent="0.35">
      <c r="A51" s="93" t="s">
        <v>116</v>
      </c>
      <c r="B51" s="94"/>
      <c r="C51" s="101" t="s">
        <v>117</v>
      </c>
      <c r="D51" s="101"/>
      <c r="E51" s="101"/>
      <c r="F51" s="101"/>
      <c r="G51" s="101"/>
      <c r="H51" s="101"/>
      <c r="I51" s="101"/>
      <c r="J51" s="101"/>
      <c r="K51" s="103"/>
      <c r="L51" s="103"/>
      <c r="M51" s="103"/>
      <c r="N51" s="105"/>
      <c r="O51" s="106"/>
      <c r="P51" s="87"/>
    </row>
    <row r="52" spans="1:19" ht="18.75" x14ac:dyDescent="0.3">
      <c r="A52" s="93" t="s">
        <v>118</v>
      </c>
      <c r="B52" s="83"/>
      <c r="C52" s="101" t="s">
        <v>254</v>
      </c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84"/>
      <c r="O52" s="106"/>
      <c r="P52" s="87"/>
    </row>
    <row r="53" spans="1:19" ht="18.75" x14ac:dyDescent="0.3">
      <c r="A53" s="111" t="s">
        <v>119</v>
      </c>
      <c r="B53" s="112"/>
      <c r="C53" s="113" t="s">
        <v>372</v>
      </c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87"/>
    </row>
    <row r="54" spans="1:19" ht="18.75" x14ac:dyDescent="0.3">
      <c r="A54" s="112"/>
      <c r="B54" s="112"/>
      <c r="C54" s="113" t="s">
        <v>373</v>
      </c>
      <c r="D54" s="114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87"/>
    </row>
    <row r="55" spans="1:19" ht="18.75" x14ac:dyDescent="0.3">
      <c r="A55" s="112"/>
      <c r="B55" s="112"/>
      <c r="C55" s="113" t="s">
        <v>374</v>
      </c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87"/>
    </row>
    <row r="56" spans="1:19" ht="18.75" x14ac:dyDescent="0.3">
      <c r="A56" s="112"/>
      <c r="B56" s="112"/>
      <c r="C56" s="113" t="s">
        <v>375</v>
      </c>
      <c r="D56" s="116"/>
      <c r="E56" s="117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8"/>
      <c r="Q56" s="119"/>
      <c r="R56" s="119"/>
      <c r="S56" s="119"/>
    </row>
    <row r="57" spans="1:19" ht="18.75" x14ac:dyDescent="0.3">
      <c r="A57" s="111" t="s">
        <v>120</v>
      </c>
      <c r="B57" s="112"/>
      <c r="C57" s="115" t="s">
        <v>121</v>
      </c>
      <c r="D57" s="118"/>
      <c r="E57" s="118"/>
      <c r="F57" s="118"/>
      <c r="G57" s="118"/>
      <c r="H57" s="118"/>
      <c r="I57" s="118"/>
      <c r="J57" s="116"/>
      <c r="K57" s="116"/>
      <c r="L57" s="116"/>
      <c r="M57" s="116"/>
      <c r="P57" s="118"/>
      <c r="Q57" s="119"/>
      <c r="R57" s="119"/>
      <c r="S57" s="119"/>
    </row>
    <row r="58" spans="1:19" ht="18.75" x14ac:dyDescent="0.3">
      <c r="A58" s="120" t="s">
        <v>122</v>
      </c>
      <c r="B58" s="108"/>
      <c r="C58" s="197" t="s">
        <v>376</v>
      </c>
      <c r="D58" s="116"/>
      <c r="E58" s="116"/>
      <c r="F58" s="116"/>
      <c r="G58" s="116"/>
      <c r="H58" s="116"/>
      <c r="I58" s="116"/>
      <c r="J58" s="116"/>
      <c r="K58" s="116"/>
      <c r="L58" s="116"/>
      <c r="M58" s="118"/>
      <c r="N58" s="118"/>
      <c r="O58" s="118"/>
    </row>
    <row r="59" spans="1:19" ht="18.75" x14ac:dyDescent="0.3">
      <c r="A59" s="120"/>
      <c r="B59" s="108"/>
      <c r="C59" s="197" t="s">
        <v>377</v>
      </c>
      <c r="D59" s="116"/>
      <c r="E59" s="116"/>
      <c r="F59" s="116"/>
      <c r="G59" s="116"/>
      <c r="H59" s="116"/>
      <c r="I59" s="116"/>
      <c r="J59" s="116"/>
      <c r="K59" s="116"/>
      <c r="L59" s="116"/>
      <c r="M59" s="118"/>
      <c r="N59" s="118"/>
      <c r="O59" s="118"/>
    </row>
    <row r="60" spans="1:19" ht="18.75" x14ac:dyDescent="0.3">
      <c r="A60" s="111" t="s">
        <v>286</v>
      </c>
      <c r="B60" s="108"/>
      <c r="C60" s="197" t="s">
        <v>407</v>
      </c>
      <c r="D60" s="116"/>
      <c r="E60" s="116"/>
      <c r="F60" s="116"/>
      <c r="G60" s="116"/>
      <c r="H60" s="116"/>
      <c r="I60" s="116"/>
      <c r="J60" s="116"/>
      <c r="K60" s="116"/>
      <c r="L60" s="116"/>
      <c r="M60" s="118"/>
      <c r="N60" s="118"/>
      <c r="O60" s="118"/>
      <c r="P60" s="118"/>
      <c r="Q60" s="119"/>
      <c r="R60" s="119"/>
      <c r="S60" s="119"/>
    </row>
    <row r="61" spans="1:19" ht="18.75" x14ac:dyDescent="0.3">
      <c r="A61" s="111"/>
      <c r="B61" s="108"/>
      <c r="C61" s="197" t="s">
        <v>397</v>
      </c>
      <c r="D61" s="116"/>
      <c r="E61" s="116"/>
      <c r="F61" s="116"/>
      <c r="G61" s="116"/>
      <c r="H61" s="116"/>
      <c r="I61" s="116"/>
      <c r="J61" s="116"/>
      <c r="K61" s="116"/>
      <c r="L61" s="116"/>
      <c r="M61" s="118"/>
      <c r="N61" s="118"/>
      <c r="O61" s="118"/>
      <c r="P61" s="118"/>
      <c r="Q61" s="119"/>
      <c r="R61" s="119"/>
      <c r="S61" s="119"/>
    </row>
    <row r="62" spans="1:19" ht="18.75" x14ac:dyDescent="0.3">
      <c r="A62" s="111" t="s">
        <v>132</v>
      </c>
      <c r="B62" s="112"/>
      <c r="C62" s="197" t="s">
        <v>421</v>
      </c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9"/>
      <c r="R62" s="119"/>
      <c r="S62" s="119"/>
    </row>
    <row r="63" spans="1:19" ht="18.75" x14ac:dyDescent="0.3">
      <c r="A63" s="111"/>
      <c r="B63" s="112"/>
      <c r="C63" s="197" t="s">
        <v>422</v>
      </c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9"/>
      <c r="R63" s="119"/>
      <c r="S63" s="119"/>
    </row>
    <row r="64" spans="1:19" ht="18.75" x14ac:dyDescent="0.3">
      <c r="A64" s="111" t="s">
        <v>251</v>
      </c>
      <c r="B64" s="112"/>
      <c r="C64" s="197" t="s">
        <v>350</v>
      </c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9"/>
      <c r="R64" s="119"/>
      <c r="S64" s="119"/>
    </row>
    <row r="65" spans="1:50" ht="18.75" x14ac:dyDescent="0.3">
      <c r="A65" s="111" t="s">
        <v>304</v>
      </c>
      <c r="B65" s="112"/>
      <c r="C65" s="197" t="s">
        <v>394</v>
      </c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8"/>
      <c r="Q65" s="119"/>
      <c r="R65" s="119"/>
      <c r="S65" s="119"/>
      <c r="Z65" s="89"/>
      <c r="AA65" s="89"/>
      <c r="AC65" s="89"/>
      <c r="AF65" s="89"/>
      <c r="AG65" s="89"/>
      <c r="AH65" s="89"/>
      <c r="AI65" s="89"/>
      <c r="AJ65" s="89"/>
      <c r="AK65" s="89"/>
      <c r="AL65" s="89"/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</row>
    <row r="66" spans="1:50" ht="18.75" x14ac:dyDescent="0.3">
      <c r="A66" s="112"/>
      <c r="B66" s="112"/>
      <c r="C66" s="211" t="s">
        <v>398</v>
      </c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V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89"/>
      <c r="AN66" s="89"/>
      <c r="AO66" s="89"/>
      <c r="AP66" s="89"/>
      <c r="AQ66" s="89"/>
      <c r="AR66" s="89"/>
      <c r="AS66" s="89"/>
      <c r="AT66" s="89"/>
      <c r="AU66" s="89"/>
      <c r="AV66" s="89"/>
      <c r="AW66" s="89"/>
      <c r="AX66" s="89"/>
    </row>
    <row r="67" spans="1:50" ht="18.75" x14ac:dyDescent="0.3">
      <c r="A67" s="112"/>
      <c r="B67" s="112"/>
      <c r="C67" s="112"/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V67" s="89"/>
      <c r="X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  <c r="AU67" s="89"/>
      <c r="AV67" s="89"/>
      <c r="AW67" s="89"/>
      <c r="AX67" s="89"/>
    </row>
    <row r="68" spans="1:50" ht="18.75" x14ac:dyDescent="0.3">
      <c r="A68" s="112"/>
      <c r="B68" s="112"/>
      <c r="C68" s="112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V68" s="89"/>
      <c r="W68" s="89"/>
      <c r="X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89"/>
      <c r="AK68" s="89"/>
      <c r="AL68" s="89"/>
      <c r="AM68" s="89"/>
      <c r="AN68" s="89"/>
      <c r="AO68" s="89"/>
      <c r="AP68" s="89"/>
      <c r="AQ68" s="89"/>
      <c r="AR68" s="89"/>
      <c r="AS68" s="89"/>
      <c r="AT68" s="89"/>
      <c r="AU68" s="89"/>
      <c r="AV68" s="89"/>
      <c r="AW68" s="89"/>
      <c r="AX68" s="89"/>
    </row>
    <row r="69" spans="1:50" ht="18.75" x14ac:dyDescent="0.3">
      <c r="A69" s="112"/>
      <c r="B69" s="112"/>
      <c r="C69" s="112"/>
      <c r="D69" s="119"/>
      <c r="E69" s="119"/>
      <c r="F69" s="119"/>
      <c r="G69" s="119"/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1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  <c r="AM69" s="89"/>
      <c r="AN69" s="89"/>
      <c r="AO69" s="89"/>
      <c r="AP69" s="89"/>
      <c r="AQ69" s="89"/>
      <c r="AR69" s="89"/>
      <c r="AS69" s="89"/>
      <c r="AT69" s="89"/>
      <c r="AU69" s="89"/>
      <c r="AV69" s="89"/>
      <c r="AW69" s="89"/>
      <c r="AX69" s="89"/>
    </row>
    <row r="70" spans="1:50" ht="18.75" x14ac:dyDescent="0.3">
      <c r="A70" s="112"/>
      <c r="B70" s="112"/>
      <c r="C70" s="112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V70" s="89"/>
      <c r="W70" s="89"/>
      <c r="X70" s="89"/>
      <c r="Y70" s="89"/>
      <c r="Z70" s="89"/>
      <c r="AA70" s="89"/>
      <c r="AB70" s="89"/>
      <c r="AC70" s="89"/>
      <c r="AD70" s="89"/>
      <c r="AE70" s="89"/>
      <c r="AF70" s="89"/>
      <c r="AG70" s="89"/>
      <c r="AH70" s="89"/>
      <c r="AI70" s="89"/>
      <c r="AJ70" s="89"/>
      <c r="AK70" s="89"/>
      <c r="AL70" s="89"/>
      <c r="AM70" s="89"/>
      <c r="AN70" s="89"/>
      <c r="AO70" s="89"/>
      <c r="AP70" s="89"/>
      <c r="AQ70" s="89"/>
      <c r="AR70" s="89"/>
      <c r="AS70" s="89"/>
      <c r="AT70" s="89"/>
      <c r="AU70" s="89"/>
      <c r="AV70" s="89"/>
      <c r="AW70" s="89"/>
      <c r="AX70" s="89"/>
    </row>
    <row r="71" spans="1:50" ht="18.75" x14ac:dyDescent="0.3">
      <c r="A71" s="112"/>
      <c r="B71" s="112"/>
      <c r="P71" s="119"/>
      <c r="Q71" s="119"/>
      <c r="R71" s="119"/>
      <c r="S71" s="119"/>
      <c r="V71" s="89"/>
      <c r="W71" s="89"/>
      <c r="X71" s="89"/>
      <c r="Y71" s="89"/>
      <c r="Z71" s="89"/>
      <c r="AA71" s="89"/>
      <c r="AB71" s="89"/>
      <c r="AC71" s="89"/>
      <c r="AD71" s="89"/>
      <c r="AE71" s="89"/>
      <c r="AF71" s="89"/>
      <c r="AG71" s="89"/>
      <c r="AH71" s="89"/>
      <c r="AI71" s="89"/>
      <c r="AJ71" s="89"/>
      <c r="AK71" s="89"/>
      <c r="AL71" s="89"/>
      <c r="AM71" s="89"/>
      <c r="AN71" s="89"/>
      <c r="AO71" s="89"/>
      <c r="AP71" s="89"/>
      <c r="AQ71" s="89"/>
      <c r="AR71" s="89"/>
      <c r="AS71" s="89"/>
      <c r="AT71" s="89"/>
      <c r="AU71" s="89"/>
      <c r="AV71" s="89"/>
      <c r="AW71" s="89"/>
      <c r="AX71" s="89"/>
    </row>
    <row r="72" spans="1:50" x14ac:dyDescent="0.25">
      <c r="Q72" s="119"/>
      <c r="R72" s="119"/>
      <c r="S72" s="119"/>
      <c r="V72" s="89"/>
      <c r="W72" s="89"/>
      <c r="X72" s="89"/>
      <c r="Y72" s="89"/>
      <c r="Z72" s="89"/>
      <c r="AA72" s="89"/>
      <c r="AB72" s="89"/>
      <c r="AC72" s="89"/>
      <c r="AD72" s="89"/>
      <c r="AE72" s="89"/>
      <c r="AF72" s="89"/>
      <c r="AG72" s="89"/>
      <c r="AH72" s="89"/>
      <c r="AI72" s="89"/>
      <c r="AJ72" s="89"/>
      <c r="AK72" s="89"/>
      <c r="AL72" s="89"/>
      <c r="AM72" s="89"/>
      <c r="AN72" s="89"/>
      <c r="AO72" s="89"/>
      <c r="AP72" s="89"/>
      <c r="AQ72" s="89"/>
      <c r="AR72" s="89"/>
      <c r="AS72" s="89"/>
      <c r="AT72" s="89"/>
      <c r="AU72" s="89"/>
      <c r="AV72" s="89"/>
      <c r="AW72" s="89"/>
      <c r="AX72" s="89"/>
    </row>
    <row r="73" spans="1:50" ht="149.25" customHeight="1" x14ac:dyDescent="0.25">
      <c r="Q73" s="119"/>
      <c r="R73" s="119"/>
      <c r="S73" s="119"/>
      <c r="V73" s="89"/>
      <c r="W73" s="89"/>
      <c r="X73" s="89"/>
      <c r="Y73" s="89"/>
      <c r="Z73" s="89"/>
      <c r="AA73" s="89"/>
      <c r="AB73" s="89"/>
      <c r="AC73" s="89"/>
      <c r="AD73" s="89"/>
      <c r="AE73" s="89"/>
      <c r="AF73" s="89"/>
      <c r="AG73" s="89"/>
      <c r="AH73" s="89"/>
      <c r="AI73" s="89"/>
      <c r="AJ73" s="89"/>
      <c r="AK73" s="89"/>
      <c r="AL73" s="89"/>
      <c r="AM73" s="89"/>
      <c r="AN73" s="89"/>
      <c r="AO73" s="89"/>
      <c r="AP73" s="89"/>
      <c r="AQ73" s="89"/>
      <c r="AR73" s="89"/>
      <c r="AS73" s="89"/>
      <c r="AT73" s="89"/>
      <c r="AU73" s="89"/>
      <c r="AV73" s="89"/>
      <c r="AW73" s="89"/>
      <c r="AX73" s="89"/>
    </row>
    <row r="74" spans="1:50" x14ac:dyDescent="0.25">
      <c r="Q74" s="119"/>
      <c r="R74" s="119"/>
      <c r="S74" s="119"/>
      <c r="V74" s="89"/>
      <c r="W74" s="89"/>
      <c r="X74" s="89"/>
      <c r="Y74" s="89"/>
      <c r="Z74" s="89"/>
      <c r="AA74" s="89"/>
      <c r="AB74" s="89"/>
      <c r="AC74" s="89"/>
      <c r="AD74" s="89"/>
      <c r="AE74" s="89"/>
      <c r="AF74" s="89"/>
      <c r="AG74" s="89"/>
      <c r="AH74" s="89"/>
      <c r="AI74" s="89"/>
      <c r="AJ74" s="89"/>
      <c r="AK74" s="89"/>
      <c r="AL74" s="89"/>
      <c r="AM74" s="89"/>
      <c r="AN74" s="89"/>
      <c r="AO74" s="89"/>
      <c r="AP74" s="89"/>
      <c r="AQ74" s="89"/>
      <c r="AR74" s="89"/>
      <c r="AS74" s="89"/>
      <c r="AT74" s="89"/>
      <c r="AU74" s="89"/>
      <c r="AV74" s="89"/>
      <c r="AW74" s="89"/>
      <c r="AX74" s="89"/>
    </row>
    <row r="75" spans="1:50" x14ac:dyDescent="0.25">
      <c r="Q75" s="119"/>
      <c r="R75" s="119"/>
      <c r="S75" s="119"/>
      <c r="V75" s="89"/>
      <c r="W75" s="89"/>
      <c r="X75" s="89"/>
      <c r="Y75" s="89"/>
      <c r="Z75" s="89"/>
      <c r="AA75" s="89"/>
      <c r="AB75" s="89"/>
      <c r="AC75" s="89"/>
      <c r="AD75" s="89"/>
      <c r="AE75" s="89"/>
      <c r="AF75" s="89"/>
      <c r="AG75" s="89"/>
      <c r="AH75" s="89"/>
      <c r="AI75" s="89"/>
      <c r="AJ75" s="89"/>
      <c r="AK75" s="89"/>
      <c r="AL75" s="89"/>
      <c r="AM75" s="89"/>
      <c r="AN75" s="89"/>
      <c r="AO75" s="89"/>
      <c r="AP75" s="89"/>
      <c r="AQ75" s="89"/>
      <c r="AR75" s="89"/>
      <c r="AS75" s="89"/>
      <c r="AT75" s="89"/>
      <c r="AU75" s="89"/>
      <c r="AV75" s="89"/>
      <c r="AW75" s="89"/>
      <c r="AX75" s="89"/>
    </row>
    <row r="76" spans="1:50" x14ac:dyDescent="0.25">
      <c r="Q76" s="119"/>
      <c r="R76" s="119"/>
      <c r="S76" s="119"/>
      <c r="V76" s="89"/>
      <c r="W76" s="89"/>
      <c r="X76" s="89"/>
      <c r="Y76" s="89"/>
      <c r="Z76" s="89"/>
      <c r="AA76" s="89"/>
      <c r="AB76" s="89"/>
      <c r="AC76" s="89"/>
      <c r="AD76" s="89"/>
      <c r="AE76" s="89"/>
      <c r="AF76" s="89"/>
      <c r="AG76" s="89"/>
      <c r="AH76" s="89"/>
      <c r="AI76" s="89"/>
      <c r="AJ76" s="89"/>
      <c r="AK76" s="89"/>
      <c r="AL76" s="89"/>
      <c r="AM76" s="89"/>
      <c r="AN76" s="89"/>
      <c r="AO76" s="89"/>
      <c r="AP76" s="89"/>
      <c r="AQ76" s="89"/>
      <c r="AR76" s="89"/>
      <c r="AS76" s="89"/>
      <c r="AT76" s="89"/>
      <c r="AU76" s="89"/>
      <c r="AV76" s="89"/>
      <c r="AW76" s="89"/>
      <c r="AX76" s="89"/>
    </row>
    <row r="77" spans="1:50" x14ac:dyDescent="0.25">
      <c r="Q77" s="119"/>
      <c r="R77" s="119"/>
      <c r="S77" s="119"/>
      <c r="V77" s="89"/>
      <c r="W77" s="89"/>
      <c r="X77" s="89"/>
      <c r="Y77" s="89"/>
      <c r="Z77" s="89"/>
      <c r="AA77" s="89"/>
      <c r="AB77" s="89"/>
      <c r="AC77" s="89"/>
      <c r="AD77" s="89"/>
      <c r="AE77" s="89"/>
      <c r="AF77" s="89"/>
      <c r="AG77" s="89"/>
      <c r="AH77" s="89"/>
      <c r="AI77" s="89"/>
      <c r="AJ77" s="89"/>
      <c r="AK77" s="89"/>
      <c r="AL77" s="89"/>
      <c r="AM77" s="89"/>
      <c r="AN77" s="89"/>
      <c r="AO77" s="89"/>
      <c r="AP77" s="89"/>
      <c r="AQ77" s="89"/>
      <c r="AR77" s="89"/>
      <c r="AS77" s="89"/>
      <c r="AT77" s="89"/>
      <c r="AU77" s="89"/>
      <c r="AV77" s="89"/>
      <c r="AW77" s="89"/>
      <c r="AX77" s="89"/>
    </row>
    <row r="78" spans="1:50" x14ac:dyDescent="0.25">
      <c r="Q78" s="119"/>
      <c r="R78" s="119"/>
      <c r="S78" s="119"/>
      <c r="V78" s="89"/>
      <c r="W78" s="89"/>
      <c r="X78" s="89"/>
      <c r="Y78" s="89"/>
      <c r="Z78" s="89"/>
      <c r="AA78" s="89"/>
      <c r="AB78" s="89"/>
      <c r="AC78" s="89"/>
      <c r="AD78" s="89"/>
      <c r="AE78" s="89"/>
      <c r="AF78" s="89"/>
      <c r="AG78" s="89"/>
      <c r="AH78" s="89"/>
      <c r="AI78" s="89"/>
      <c r="AJ78" s="89"/>
      <c r="AK78" s="89"/>
      <c r="AL78" s="89"/>
      <c r="AM78" s="89"/>
      <c r="AN78" s="89"/>
      <c r="AO78" s="89"/>
      <c r="AP78" s="89"/>
      <c r="AQ78" s="89"/>
      <c r="AR78" s="89"/>
      <c r="AS78" s="89"/>
      <c r="AT78" s="89"/>
      <c r="AU78" s="89"/>
      <c r="AV78" s="89"/>
      <c r="AW78" s="89"/>
      <c r="AX78" s="89"/>
    </row>
    <row r="79" spans="1:50" x14ac:dyDescent="0.25">
      <c r="Q79" s="119"/>
      <c r="R79" s="119"/>
      <c r="S79" s="119"/>
      <c r="V79" s="89"/>
      <c r="W79" s="89"/>
      <c r="X79" s="89"/>
      <c r="Y79" s="89"/>
      <c r="Z79" s="89"/>
      <c r="AA79" s="89"/>
      <c r="AB79" s="89"/>
      <c r="AC79" s="89"/>
      <c r="AD79" s="89"/>
      <c r="AE79" s="89"/>
      <c r="AF79" s="89"/>
      <c r="AG79" s="89"/>
      <c r="AH79" s="89"/>
      <c r="AI79" s="89"/>
      <c r="AJ79" s="89"/>
      <c r="AK79" s="89"/>
      <c r="AL79" s="89"/>
      <c r="AM79" s="89"/>
      <c r="AN79" s="89"/>
      <c r="AO79" s="89"/>
      <c r="AP79" s="89"/>
      <c r="AQ79" s="89"/>
      <c r="AR79" s="89"/>
      <c r="AS79" s="89"/>
      <c r="AT79" s="89"/>
      <c r="AU79" s="89"/>
      <c r="AV79" s="89"/>
      <c r="AW79" s="89"/>
      <c r="AX79" s="89"/>
    </row>
    <row r="80" spans="1:50" x14ac:dyDescent="0.25">
      <c r="Q80" s="119"/>
      <c r="R80" s="119"/>
      <c r="S80" s="119"/>
      <c r="V80" s="89"/>
      <c r="W80" s="89"/>
      <c r="X80" s="89"/>
      <c r="Y80" s="89"/>
      <c r="Z80" s="89"/>
      <c r="AA80" s="89"/>
      <c r="AB80" s="89"/>
      <c r="AC80" s="89"/>
      <c r="AD80" s="89"/>
      <c r="AE80" s="89"/>
      <c r="AF80" s="89"/>
      <c r="AG80" s="89"/>
      <c r="AH80" s="89"/>
      <c r="AI80" s="89"/>
      <c r="AJ80" s="89"/>
      <c r="AK80" s="89"/>
      <c r="AL80" s="89"/>
      <c r="AM80" s="89"/>
      <c r="AN80" s="89"/>
      <c r="AO80" s="89"/>
      <c r="AP80" s="89"/>
      <c r="AQ80" s="89"/>
      <c r="AR80" s="89"/>
      <c r="AS80" s="89"/>
      <c r="AT80" s="89"/>
      <c r="AU80" s="89"/>
      <c r="AV80" s="89"/>
      <c r="AW80" s="89"/>
      <c r="AX80" s="89"/>
    </row>
    <row r="81" spans="17:50" x14ac:dyDescent="0.25">
      <c r="Q81" s="119"/>
      <c r="R81" s="119"/>
      <c r="S81" s="119"/>
      <c r="V81" s="89"/>
      <c r="W81" s="89"/>
      <c r="X81" s="89"/>
      <c r="Y81" s="89"/>
      <c r="Z81" s="89"/>
      <c r="AA81" s="89"/>
      <c r="AB81" s="89"/>
      <c r="AC81" s="89"/>
      <c r="AD81" s="89"/>
      <c r="AE81" s="89"/>
      <c r="AF81" s="89"/>
      <c r="AG81" s="89"/>
      <c r="AH81" s="89"/>
      <c r="AI81" s="89"/>
      <c r="AJ81" s="89"/>
      <c r="AK81" s="89"/>
      <c r="AL81" s="89"/>
      <c r="AM81" s="89"/>
      <c r="AN81" s="89"/>
      <c r="AO81" s="89"/>
      <c r="AP81" s="89"/>
      <c r="AQ81" s="89"/>
      <c r="AR81" s="89"/>
      <c r="AS81" s="89"/>
      <c r="AT81" s="89"/>
      <c r="AU81" s="89"/>
      <c r="AV81" s="89"/>
      <c r="AW81" s="89"/>
      <c r="AX81" s="89"/>
    </row>
    <row r="82" spans="17:50" x14ac:dyDescent="0.25">
      <c r="Q82" s="119"/>
      <c r="R82" s="119"/>
      <c r="S82" s="119"/>
      <c r="V82" s="89"/>
      <c r="W82" s="89"/>
      <c r="X82" s="89"/>
      <c r="Y82" s="89"/>
      <c r="Z82" s="89"/>
      <c r="AA82" s="89"/>
      <c r="AB82" s="89"/>
      <c r="AC82" s="89"/>
      <c r="AD82" s="89"/>
      <c r="AE82" s="89"/>
      <c r="AF82" s="89"/>
      <c r="AG82" s="89"/>
      <c r="AH82" s="89"/>
      <c r="AI82" s="89"/>
      <c r="AJ82" s="89"/>
      <c r="AK82" s="89"/>
      <c r="AL82" s="89"/>
      <c r="AM82" s="89"/>
      <c r="AN82" s="89"/>
      <c r="AO82" s="89"/>
      <c r="AP82" s="89"/>
      <c r="AQ82" s="89"/>
      <c r="AR82" s="89"/>
      <c r="AS82" s="89"/>
      <c r="AT82" s="89"/>
      <c r="AU82" s="89"/>
      <c r="AV82" s="89"/>
      <c r="AW82" s="89"/>
      <c r="AX82" s="89"/>
    </row>
    <row r="83" spans="17:50" x14ac:dyDescent="0.25">
      <c r="Q83" s="119"/>
      <c r="R83" s="119"/>
      <c r="S83" s="119"/>
      <c r="V83" s="89"/>
      <c r="W83" s="89"/>
      <c r="X83" s="89"/>
      <c r="Y83" s="89"/>
      <c r="Z83" s="89"/>
      <c r="AA83" s="89"/>
      <c r="AB83" s="89"/>
      <c r="AC83" s="89"/>
      <c r="AD83" s="89"/>
      <c r="AE83" s="89"/>
      <c r="AF83" s="89"/>
      <c r="AG83" s="89"/>
      <c r="AH83" s="89"/>
      <c r="AI83" s="89"/>
      <c r="AJ83" s="89"/>
      <c r="AK83" s="89"/>
      <c r="AL83" s="89"/>
      <c r="AM83" s="89"/>
      <c r="AN83" s="89"/>
      <c r="AO83" s="89"/>
      <c r="AP83" s="89"/>
      <c r="AQ83" s="89"/>
      <c r="AR83" s="89"/>
      <c r="AS83" s="89"/>
      <c r="AT83" s="89"/>
      <c r="AU83" s="89"/>
      <c r="AV83" s="89"/>
      <c r="AW83" s="89"/>
      <c r="AX83" s="89"/>
    </row>
    <row r="84" spans="17:50" x14ac:dyDescent="0.25">
      <c r="Q84" s="119"/>
      <c r="R84" s="119"/>
      <c r="S84" s="119"/>
      <c r="V84" s="89"/>
      <c r="W84" s="89"/>
      <c r="X84" s="89"/>
      <c r="Y84" s="89"/>
      <c r="Z84" s="89"/>
      <c r="AA84" s="89"/>
      <c r="AB84" s="89"/>
      <c r="AC84" s="89"/>
      <c r="AD84" s="89"/>
      <c r="AE84" s="89"/>
      <c r="AF84" s="89"/>
      <c r="AG84" s="89"/>
      <c r="AH84" s="89"/>
      <c r="AI84" s="89"/>
      <c r="AJ84" s="89"/>
      <c r="AK84" s="89"/>
      <c r="AL84" s="89"/>
      <c r="AM84" s="89"/>
      <c r="AN84" s="89"/>
      <c r="AO84" s="89"/>
      <c r="AP84" s="89"/>
      <c r="AQ84" s="89"/>
      <c r="AR84" s="89"/>
      <c r="AS84" s="89"/>
      <c r="AT84" s="89"/>
      <c r="AU84" s="89"/>
      <c r="AV84" s="89"/>
      <c r="AW84" s="89"/>
      <c r="AX84" s="89"/>
    </row>
    <row r="85" spans="17:50" x14ac:dyDescent="0.25">
      <c r="Q85" s="119"/>
      <c r="R85" s="119"/>
      <c r="S85" s="119"/>
      <c r="V85" s="89"/>
      <c r="W85" s="89"/>
      <c r="X85" s="89"/>
      <c r="Y85" s="89"/>
      <c r="Z85" s="89"/>
      <c r="AA85" s="89"/>
      <c r="AB85" s="89"/>
      <c r="AC85" s="89"/>
      <c r="AD85" s="89"/>
      <c r="AE85" s="89"/>
      <c r="AF85" s="89"/>
      <c r="AG85" s="89"/>
      <c r="AH85" s="89"/>
      <c r="AI85" s="89"/>
      <c r="AJ85" s="89"/>
      <c r="AK85" s="89"/>
      <c r="AL85" s="89"/>
      <c r="AM85" s="89"/>
      <c r="AN85" s="89"/>
      <c r="AO85" s="89"/>
      <c r="AP85" s="89"/>
      <c r="AQ85" s="89"/>
      <c r="AR85" s="89"/>
      <c r="AS85" s="89"/>
      <c r="AT85" s="89"/>
      <c r="AU85" s="89"/>
      <c r="AV85" s="89"/>
      <c r="AW85" s="89"/>
      <c r="AX85" s="89"/>
    </row>
    <row r="86" spans="17:50" x14ac:dyDescent="0.25">
      <c r="Q86" s="119"/>
      <c r="R86" s="119"/>
      <c r="S86" s="119"/>
      <c r="V86" s="89"/>
      <c r="W86" s="89"/>
      <c r="X86" s="89"/>
      <c r="Y86" s="89"/>
      <c r="Z86" s="89"/>
      <c r="AA86" s="89"/>
      <c r="AB86" s="89"/>
      <c r="AC86" s="89"/>
      <c r="AD86" s="89"/>
      <c r="AE86" s="89"/>
      <c r="AF86" s="89"/>
      <c r="AG86" s="89"/>
      <c r="AH86" s="89"/>
      <c r="AI86" s="89"/>
      <c r="AJ86" s="89"/>
      <c r="AK86" s="89"/>
      <c r="AL86" s="89"/>
      <c r="AM86" s="89"/>
      <c r="AN86" s="89"/>
      <c r="AO86" s="89"/>
      <c r="AP86" s="89"/>
      <c r="AQ86" s="89"/>
      <c r="AR86" s="89"/>
      <c r="AS86" s="89"/>
      <c r="AT86" s="89"/>
      <c r="AU86" s="89"/>
      <c r="AV86" s="89"/>
      <c r="AW86" s="89"/>
      <c r="AX86" s="89"/>
    </row>
    <row r="87" spans="17:50" x14ac:dyDescent="0.25">
      <c r="Q87" s="119"/>
      <c r="R87" s="119"/>
      <c r="S87" s="119"/>
      <c r="V87" s="89"/>
      <c r="W87" s="89"/>
      <c r="X87" s="89"/>
      <c r="Y87" s="89"/>
      <c r="Z87" s="89"/>
      <c r="AA87" s="89"/>
      <c r="AB87" s="89"/>
      <c r="AC87" s="89"/>
      <c r="AD87" s="89"/>
      <c r="AE87" s="89"/>
      <c r="AF87" s="89"/>
      <c r="AG87" s="89"/>
      <c r="AH87" s="89"/>
      <c r="AI87" s="89"/>
      <c r="AJ87" s="89"/>
      <c r="AK87" s="89"/>
      <c r="AL87" s="89"/>
      <c r="AM87" s="89"/>
      <c r="AN87" s="89"/>
      <c r="AO87" s="89"/>
      <c r="AP87" s="89"/>
      <c r="AQ87" s="89"/>
      <c r="AR87" s="89"/>
      <c r="AS87" s="89"/>
      <c r="AT87" s="89"/>
      <c r="AU87" s="89"/>
      <c r="AV87" s="89"/>
      <c r="AW87" s="89"/>
      <c r="AX87" s="89"/>
    </row>
    <row r="88" spans="17:50" x14ac:dyDescent="0.25">
      <c r="Q88" s="119"/>
      <c r="R88" s="119"/>
      <c r="S88" s="119"/>
      <c r="V88" s="89"/>
      <c r="W88" s="89"/>
      <c r="X88" s="89"/>
      <c r="Y88" s="89"/>
      <c r="Z88" s="89"/>
      <c r="AA88" s="89"/>
      <c r="AB88" s="89"/>
      <c r="AC88" s="89"/>
      <c r="AD88" s="89"/>
      <c r="AE88" s="89"/>
      <c r="AF88" s="89"/>
      <c r="AG88" s="89"/>
      <c r="AH88" s="89"/>
      <c r="AI88" s="89"/>
      <c r="AJ88" s="89"/>
      <c r="AK88" s="89"/>
      <c r="AL88" s="89"/>
      <c r="AM88" s="89"/>
      <c r="AN88" s="89"/>
      <c r="AO88" s="89"/>
      <c r="AP88" s="89"/>
      <c r="AQ88" s="89"/>
      <c r="AR88" s="89"/>
      <c r="AS88" s="89"/>
      <c r="AT88" s="89"/>
      <c r="AU88" s="89"/>
      <c r="AV88" s="89"/>
      <c r="AW88" s="89"/>
      <c r="AX88" s="89"/>
    </row>
    <row r="89" spans="17:50" x14ac:dyDescent="0.25">
      <c r="Q89" s="119"/>
      <c r="R89" s="119"/>
      <c r="S89" s="119"/>
      <c r="V89" s="89"/>
      <c r="W89" s="89"/>
      <c r="X89" s="89"/>
      <c r="Y89" s="89"/>
      <c r="Z89" s="89"/>
      <c r="AA89" s="89"/>
      <c r="AB89" s="89"/>
      <c r="AC89" s="89"/>
      <c r="AD89" s="89"/>
      <c r="AE89" s="89"/>
      <c r="AF89" s="89"/>
      <c r="AG89" s="89"/>
      <c r="AH89" s="89"/>
      <c r="AI89" s="89"/>
      <c r="AJ89" s="89"/>
      <c r="AK89" s="89"/>
      <c r="AL89" s="89"/>
      <c r="AM89" s="89"/>
      <c r="AN89" s="89"/>
      <c r="AO89" s="89"/>
      <c r="AP89" s="89"/>
      <c r="AQ89" s="89"/>
      <c r="AR89" s="89"/>
      <c r="AS89" s="89"/>
      <c r="AT89" s="89"/>
      <c r="AU89" s="89"/>
      <c r="AV89" s="89"/>
      <c r="AW89" s="89"/>
      <c r="AX89" s="89"/>
    </row>
    <row r="90" spans="17:50" x14ac:dyDescent="0.25">
      <c r="Q90" s="119"/>
      <c r="R90" s="119"/>
      <c r="S90" s="119"/>
      <c r="V90" s="89"/>
      <c r="W90" s="89"/>
      <c r="X90" s="89"/>
      <c r="Y90" s="89"/>
      <c r="Z90" s="89"/>
      <c r="AA90" s="89"/>
      <c r="AB90" s="89"/>
      <c r="AC90" s="89"/>
      <c r="AD90" s="89"/>
      <c r="AE90" s="89"/>
      <c r="AF90" s="89"/>
      <c r="AG90" s="89"/>
      <c r="AH90" s="89"/>
      <c r="AI90" s="89"/>
      <c r="AJ90" s="89"/>
      <c r="AK90" s="89"/>
      <c r="AL90" s="89"/>
      <c r="AM90" s="89"/>
      <c r="AN90" s="89"/>
      <c r="AO90" s="89"/>
      <c r="AP90" s="89"/>
      <c r="AQ90" s="89"/>
      <c r="AR90" s="89"/>
      <c r="AS90" s="89"/>
      <c r="AT90" s="89"/>
      <c r="AU90" s="89"/>
      <c r="AV90" s="89"/>
      <c r="AW90" s="89"/>
      <c r="AX90" s="89"/>
    </row>
    <row r="91" spans="17:50" x14ac:dyDescent="0.25">
      <c r="Q91" s="119"/>
      <c r="R91" s="119"/>
      <c r="S91" s="119"/>
      <c r="V91" s="89"/>
      <c r="W91" s="89"/>
      <c r="X91" s="89"/>
      <c r="Y91" s="89"/>
      <c r="Z91" s="89"/>
      <c r="AA91" s="89"/>
      <c r="AB91" s="89"/>
      <c r="AC91" s="89"/>
      <c r="AD91" s="89"/>
      <c r="AE91" s="89"/>
      <c r="AF91" s="89"/>
      <c r="AG91" s="89"/>
      <c r="AH91" s="89"/>
      <c r="AI91" s="89"/>
      <c r="AJ91" s="89"/>
      <c r="AK91" s="89"/>
      <c r="AL91" s="89"/>
      <c r="AM91" s="89"/>
      <c r="AN91" s="89"/>
      <c r="AO91" s="89"/>
      <c r="AP91" s="89"/>
      <c r="AQ91" s="89"/>
      <c r="AR91" s="89"/>
      <c r="AS91" s="89"/>
      <c r="AT91" s="89"/>
      <c r="AU91" s="89"/>
      <c r="AV91" s="89"/>
      <c r="AW91" s="89"/>
      <c r="AX91" s="89"/>
    </row>
    <row r="92" spans="17:50" x14ac:dyDescent="0.25">
      <c r="Q92" s="119"/>
      <c r="R92" s="119"/>
      <c r="S92" s="119"/>
      <c r="V92" s="89"/>
      <c r="W92" s="89"/>
      <c r="X92" s="89"/>
      <c r="Y92" s="89"/>
      <c r="Z92" s="89"/>
      <c r="AA92" s="89"/>
      <c r="AB92" s="89"/>
      <c r="AC92" s="89"/>
      <c r="AD92" s="89"/>
      <c r="AE92" s="89"/>
      <c r="AF92" s="89"/>
      <c r="AG92" s="89"/>
      <c r="AH92" s="89"/>
      <c r="AI92" s="89"/>
      <c r="AJ92" s="89"/>
      <c r="AK92" s="89"/>
      <c r="AL92" s="89"/>
      <c r="AM92" s="89"/>
      <c r="AN92" s="89"/>
      <c r="AO92" s="89"/>
      <c r="AP92" s="89"/>
      <c r="AQ92" s="89"/>
      <c r="AR92" s="89"/>
      <c r="AS92" s="89"/>
      <c r="AT92" s="89"/>
      <c r="AU92" s="89"/>
      <c r="AV92" s="89"/>
      <c r="AW92" s="89"/>
      <c r="AX92" s="89"/>
    </row>
    <row r="93" spans="17:50" x14ac:dyDescent="0.25">
      <c r="Q93" s="119"/>
      <c r="R93" s="119"/>
      <c r="S93" s="119"/>
      <c r="V93" s="89"/>
      <c r="W93" s="89"/>
      <c r="X93" s="89"/>
      <c r="Y93" s="89"/>
      <c r="Z93" s="89"/>
      <c r="AA93" s="89"/>
      <c r="AB93" s="89"/>
      <c r="AC93" s="89"/>
      <c r="AD93" s="89"/>
      <c r="AE93" s="89"/>
      <c r="AF93" s="89"/>
      <c r="AG93" s="89"/>
      <c r="AH93" s="89"/>
      <c r="AI93" s="89"/>
      <c r="AJ93" s="89"/>
      <c r="AK93" s="89"/>
      <c r="AL93" s="89"/>
      <c r="AM93" s="89"/>
      <c r="AN93" s="89"/>
      <c r="AO93" s="89"/>
      <c r="AP93" s="89"/>
      <c r="AQ93" s="89"/>
      <c r="AR93" s="89"/>
      <c r="AS93" s="89"/>
      <c r="AT93" s="89"/>
      <c r="AU93" s="89"/>
      <c r="AV93" s="89"/>
      <c r="AW93" s="89"/>
      <c r="AX93" s="89"/>
    </row>
    <row r="94" spans="17:50" x14ac:dyDescent="0.25">
      <c r="Q94" s="119"/>
      <c r="R94" s="119"/>
      <c r="S94" s="119"/>
      <c r="V94" s="89"/>
      <c r="W94" s="89"/>
      <c r="X94" s="89"/>
      <c r="Y94" s="89"/>
      <c r="Z94" s="89"/>
      <c r="AA94" s="89"/>
      <c r="AB94" s="89"/>
      <c r="AC94" s="89"/>
      <c r="AD94" s="89"/>
      <c r="AE94" s="89"/>
      <c r="AF94" s="89"/>
      <c r="AG94" s="89"/>
      <c r="AH94" s="89"/>
      <c r="AI94" s="89"/>
      <c r="AJ94" s="89"/>
      <c r="AK94" s="89"/>
      <c r="AL94" s="89"/>
      <c r="AM94" s="89"/>
      <c r="AN94" s="89"/>
      <c r="AO94" s="89"/>
      <c r="AP94" s="89"/>
      <c r="AQ94" s="89"/>
      <c r="AR94" s="89"/>
      <c r="AS94" s="89"/>
      <c r="AT94" s="89"/>
      <c r="AU94" s="89"/>
      <c r="AV94" s="89"/>
      <c r="AW94" s="89"/>
      <c r="AX94" s="89"/>
    </row>
    <row r="95" spans="17:50" x14ac:dyDescent="0.25">
      <c r="Q95" s="119"/>
      <c r="R95" s="119"/>
      <c r="S95" s="119"/>
      <c r="V95" s="89"/>
      <c r="W95" s="89"/>
      <c r="X95" s="89"/>
      <c r="Y95" s="89"/>
      <c r="Z95" s="89"/>
      <c r="AA95" s="89"/>
      <c r="AB95" s="89"/>
      <c r="AC95" s="89"/>
      <c r="AD95" s="89"/>
      <c r="AE95" s="89"/>
      <c r="AF95" s="89"/>
      <c r="AG95" s="89"/>
      <c r="AH95" s="89"/>
      <c r="AI95" s="89"/>
      <c r="AJ95" s="89"/>
      <c r="AK95" s="89"/>
      <c r="AL95" s="89"/>
      <c r="AM95" s="89"/>
      <c r="AN95" s="89"/>
      <c r="AO95" s="89"/>
      <c r="AP95" s="89"/>
      <c r="AQ95" s="89"/>
      <c r="AR95" s="89"/>
      <c r="AS95" s="89"/>
      <c r="AT95" s="89"/>
      <c r="AU95" s="89"/>
      <c r="AV95" s="89"/>
      <c r="AW95" s="89"/>
      <c r="AX95" s="89"/>
    </row>
    <row r="96" spans="17:50" x14ac:dyDescent="0.25">
      <c r="Q96" s="119"/>
      <c r="R96" s="119"/>
      <c r="S96" s="119"/>
      <c r="V96" s="89"/>
      <c r="W96" s="89"/>
      <c r="X96" s="89"/>
      <c r="Y96" s="89"/>
      <c r="Z96" s="89"/>
      <c r="AA96" s="89"/>
      <c r="AB96" s="89"/>
      <c r="AC96" s="89"/>
      <c r="AD96" s="89"/>
      <c r="AE96" s="89"/>
      <c r="AF96" s="89"/>
      <c r="AG96" s="89"/>
      <c r="AH96" s="89"/>
      <c r="AI96" s="89"/>
      <c r="AJ96" s="89"/>
      <c r="AK96" s="89"/>
      <c r="AL96" s="89"/>
      <c r="AM96" s="89"/>
      <c r="AN96" s="89"/>
      <c r="AO96" s="89"/>
      <c r="AP96" s="89"/>
      <c r="AQ96" s="89"/>
      <c r="AR96" s="89"/>
      <c r="AS96" s="89"/>
      <c r="AT96" s="89"/>
      <c r="AU96" s="89"/>
      <c r="AV96" s="89"/>
      <c r="AW96" s="89"/>
      <c r="AX96" s="89"/>
    </row>
    <row r="97" spans="17:50" x14ac:dyDescent="0.25">
      <c r="Q97" s="119"/>
      <c r="R97" s="119"/>
      <c r="S97" s="119"/>
      <c r="V97" s="89"/>
      <c r="W97" s="89"/>
      <c r="X97" s="89"/>
      <c r="Y97" s="89"/>
      <c r="Z97" s="89"/>
      <c r="AA97" s="89"/>
      <c r="AB97" s="89"/>
      <c r="AC97" s="89"/>
      <c r="AD97" s="89"/>
      <c r="AE97" s="89"/>
      <c r="AF97" s="89"/>
      <c r="AG97" s="89"/>
      <c r="AH97" s="89"/>
      <c r="AI97" s="89"/>
      <c r="AJ97" s="89"/>
      <c r="AK97" s="89"/>
      <c r="AL97" s="89"/>
      <c r="AM97" s="89"/>
      <c r="AN97" s="89"/>
      <c r="AO97" s="89"/>
      <c r="AP97" s="89"/>
      <c r="AQ97" s="89"/>
      <c r="AR97" s="89"/>
      <c r="AS97" s="89"/>
      <c r="AT97" s="89"/>
      <c r="AU97" s="89"/>
      <c r="AV97" s="89"/>
      <c r="AW97" s="89"/>
      <c r="AX97" s="89"/>
    </row>
    <row r="98" spans="17:50" x14ac:dyDescent="0.25">
      <c r="Q98" s="119"/>
      <c r="R98" s="119"/>
      <c r="S98" s="119"/>
      <c r="V98" s="89"/>
      <c r="W98" s="89"/>
      <c r="X98" s="89"/>
      <c r="Y98" s="89"/>
      <c r="Z98" s="89"/>
      <c r="AA98" s="89"/>
      <c r="AB98" s="89"/>
      <c r="AC98" s="89"/>
      <c r="AD98" s="89"/>
      <c r="AE98" s="89"/>
      <c r="AF98" s="89"/>
      <c r="AG98" s="89"/>
      <c r="AH98" s="89"/>
      <c r="AI98" s="89"/>
      <c r="AJ98" s="89"/>
      <c r="AK98" s="89"/>
      <c r="AL98" s="89"/>
      <c r="AM98" s="89"/>
      <c r="AN98" s="89"/>
      <c r="AO98" s="89"/>
      <c r="AP98" s="89"/>
      <c r="AQ98" s="89"/>
      <c r="AR98" s="89"/>
      <c r="AS98" s="89"/>
      <c r="AT98" s="89"/>
      <c r="AU98" s="89"/>
      <c r="AV98" s="89"/>
      <c r="AW98" s="89"/>
      <c r="AX98" s="89"/>
    </row>
    <row r="99" spans="17:50" x14ac:dyDescent="0.25">
      <c r="Q99" s="119"/>
      <c r="R99" s="119"/>
      <c r="S99" s="119"/>
      <c r="V99" s="89"/>
      <c r="W99" s="89"/>
      <c r="X99" s="89"/>
      <c r="Y99" s="89"/>
      <c r="Z99" s="89"/>
      <c r="AA99" s="89"/>
      <c r="AB99" s="89"/>
      <c r="AC99" s="89"/>
      <c r="AD99" s="89"/>
      <c r="AE99" s="89"/>
      <c r="AF99" s="89"/>
      <c r="AG99" s="89"/>
      <c r="AH99" s="89"/>
      <c r="AI99" s="89"/>
      <c r="AJ99" s="89"/>
      <c r="AK99" s="89"/>
      <c r="AL99" s="89"/>
      <c r="AM99" s="89"/>
      <c r="AN99" s="89"/>
      <c r="AO99" s="89"/>
      <c r="AP99" s="89"/>
      <c r="AQ99" s="89"/>
      <c r="AR99" s="89"/>
      <c r="AS99" s="89"/>
      <c r="AT99" s="89"/>
      <c r="AU99" s="89"/>
      <c r="AV99" s="89"/>
      <c r="AW99" s="89"/>
      <c r="AX99" s="89"/>
    </row>
    <row r="100" spans="17:50" x14ac:dyDescent="0.25">
      <c r="Q100" s="119"/>
      <c r="R100" s="119"/>
      <c r="S100" s="119"/>
      <c r="V100" s="89"/>
      <c r="W100" s="89"/>
      <c r="X100" s="89"/>
      <c r="Y100" s="89"/>
      <c r="Z100" s="89"/>
      <c r="AA100" s="89"/>
      <c r="AB100" s="89"/>
      <c r="AC100" s="89"/>
      <c r="AD100" s="89"/>
      <c r="AE100" s="89"/>
      <c r="AF100" s="89"/>
      <c r="AG100" s="89"/>
      <c r="AH100" s="89"/>
      <c r="AI100" s="89"/>
      <c r="AJ100" s="89"/>
      <c r="AK100" s="89"/>
      <c r="AL100" s="89"/>
      <c r="AM100" s="89"/>
      <c r="AN100" s="89"/>
      <c r="AO100" s="89"/>
      <c r="AP100" s="89"/>
      <c r="AQ100" s="89"/>
      <c r="AR100" s="89"/>
      <c r="AS100" s="89"/>
      <c r="AT100" s="89"/>
      <c r="AU100" s="89"/>
      <c r="AV100" s="89"/>
      <c r="AW100" s="89"/>
      <c r="AX100" s="89"/>
    </row>
    <row r="101" spans="17:50" x14ac:dyDescent="0.25">
      <c r="Q101" s="119"/>
      <c r="R101" s="119"/>
      <c r="S101" s="119"/>
      <c r="V101" s="89"/>
      <c r="W101" s="89"/>
      <c r="X101" s="89"/>
      <c r="Y101" s="89"/>
      <c r="Z101" s="89"/>
      <c r="AA101" s="89"/>
      <c r="AB101" s="89"/>
      <c r="AC101" s="89"/>
      <c r="AD101" s="89"/>
      <c r="AE101" s="89"/>
      <c r="AF101" s="89"/>
      <c r="AG101" s="89"/>
      <c r="AH101" s="89"/>
      <c r="AI101" s="89"/>
      <c r="AJ101" s="89"/>
      <c r="AK101" s="89"/>
      <c r="AL101" s="89"/>
      <c r="AM101" s="89"/>
      <c r="AN101" s="89"/>
      <c r="AO101" s="89"/>
      <c r="AP101" s="89"/>
      <c r="AQ101" s="89"/>
      <c r="AR101" s="89"/>
      <c r="AS101" s="89"/>
      <c r="AT101" s="89"/>
      <c r="AU101" s="89"/>
      <c r="AV101" s="89"/>
      <c r="AW101" s="89"/>
      <c r="AX101" s="89"/>
    </row>
    <row r="102" spans="17:50" x14ac:dyDescent="0.25">
      <c r="Q102" s="119"/>
      <c r="R102" s="119"/>
      <c r="S102" s="119"/>
      <c r="V102" s="89"/>
      <c r="W102" s="89"/>
      <c r="X102" s="89"/>
      <c r="Y102" s="89"/>
      <c r="Z102" s="89"/>
      <c r="AA102" s="89"/>
      <c r="AB102" s="89"/>
      <c r="AC102" s="89"/>
      <c r="AD102" s="89"/>
      <c r="AE102" s="89"/>
      <c r="AF102" s="89"/>
      <c r="AG102" s="89"/>
      <c r="AH102" s="89"/>
      <c r="AI102" s="89"/>
      <c r="AJ102" s="89"/>
      <c r="AK102" s="89"/>
      <c r="AL102" s="89"/>
      <c r="AM102" s="89"/>
      <c r="AN102" s="89"/>
      <c r="AO102" s="89"/>
      <c r="AP102" s="89"/>
      <c r="AQ102" s="89"/>
      <c r="AR102" s="89"/>
      <c r="AS102" s="89"/>
      <c r="AT102" s="89"/>
      <c r="AU102" s="89"/>
      <c r="AV102" s="89"/>
      <c r="AW102" s="89"/>
      <c r="AX102" s="89"/>
    </row>
    <row r="103" spans="17:50" x14ac:dyDescent="0.25">
      <c r="Q103" s="119"/>
      <c r="R103" s="119"/>
      <c r="S103" s="119"/>
      <c r="V103" s="89"/>
      <c r="W103" s="89"/>
      <c r="X103" s="89"/>
      <c r="Y103" s="89"/>
      <c r="Z103" s="89"/>
      <c r="AA103" s="89"/>
      <c r="AB103" s="89"/>
      <c r="AC103" s="89"/>
      <c r="AD103" s="89"/>
      <c r="AE103" s="89"/>
      <c r="AF103" s="89"/>
      <c r="AG103" s="89"/>
      <c r="AH103" s="89"/>
      <c r="AI103" s="89"/>
      <c r="AJ103" s="89"/>
      <c r="AK103" s="89"/>
      <c r="AL103" s="89"/>
      <c r="AM103" s="89"/>
      <c r="AN103" s="89"/>
      <c r="AO103" s="89"/>
      <c r="AP103" s="89"/>
      <c r="AQ103" s="89"/>
      <c r="AR103" s="89"/>
      <c r="AS103" s="89"/>
      <c r="AT103" s="89"/>
      <c r="AU103" s="89"/>
      <c r="AV103" s="89"/>
      <c r="AW103" s="89"/>
      <c r="AX103" s="89"/>
    </row>
    <row r="104" spans="17:50" x14ac:dyDescent="0.25">
      <c r="Q104" s="119"/>
      <c r="R104" s="119"/>
      <c r="S104" s="119"/>
      <c r="V104" s="89"/>
      <c r="W104" s="89"/>
      <c r="X104" s="89"/>
      <c r="Y104" s="89"/>
      <c r="Z104" s="89"/>
      <c r="AA104" s="89"/>
      <c r="AB104" s="89"/>
      <c r="AC104" s="89"/>
      <c r="AD104" s="89"/>
      <c r="AE104" s="89"/>
      <c r="AF104" s="89"/>
      <c r="AG104" s="89"/>
      <c r="AH104" s="89"/>
      <c r="AI104" s="89"/>
      <c r="AJ104" s="89"/>
      <c r="AK104" s="89"/>
      <c r="AL104" s="89"/>
      <c r="AM104" s="89"/>
      <c r="AN104" s="89"/>
      <c r="AO104" s="89"/>
      <c r="AP104" s="89"/>
      <c r="AQ104" s="89"/>
      <c r="AR104" s="89"/>
      <c r="AS104" s="89"/>
      <c r="AT104" s="89"/>
      <c r="AU104" s="89"/>
      <c r="AV104" s="89"/>
      <c r="AW104" s="89"/>
      <c r="AX104" s="89"/>
    </row>
    <row r="105" spans="17:50" x14ac:dyDescent="0.25">
      <c r="Q105" s="119"/>
      <c r="R105" s="119"/>
      <c r="S105" s="119"/>
      <c r="V105" s="89"/>
      <c r="W105" s="89"/>
      <c r="X105" s="89"/>
      <c r="Y105" s="89"/>
      <c r="Z105" s="89"/>
      <c r="AA105" s="89"/>
      <c r="AB105" s="89"/>
      <c r="AC105" s="89"/>
      <c r="AD105" s="89"/>
      <c r="AE105" s="89"/>
      <c r="AF105" s="89"/>
      <c r="AG105" s="89"/>
      <c r="AH105" s="89"/>
      <c r="AI105" s="89"/>
      <c r="AJ105" s="89"/>
      <c r="AK105" s="89"/>
      <c r="AL105" s="89"/>
      <c r="AM105" s="89"/>
      <c r="AN105" s="89"/>
      <c r="AO105" s="89"/>
      <c r="AP105" s="89"/>
      <c r="AQ105" s="89"/>
      <c r="AR105" s="89"/>
      <c r="AS105" s="89"/>
      <c r="AT105" s="89"/>
      <c r="AU105" s="89"/>
      <c r="AV105" s="89"/>
      <c r="AW105" s="89"/>
      <c r="AX105" s="89"/>
    </row>
    <row r="106" spans="17:50" x14ac:dyDescent="0.25">
      <c r="Q106" s="119"/>
      <c r="R106" s="119"/>
      <c r="S106" s="119"/>
      <c r="V106" s="89"/>
      <c r="W106" s="89"/>
      <c r="X106" s="89"/>
      <c r="Y106" s="89"/>
      <c r="Z106" s="89"/>
      <c r="AA106" s="89"/>
      <c r="AB106" s="89"/>
      <c r="AC106" s="89"/>
      <c r="AD106" s="89"/>
      <c r="AE106" s="89"/>
      <c r="AF106" s="89"/>
      <c r="AG106" s="89"/>
      <c r="AH106" s="89"/>
      <c r="AI106" s="89"/>
      <c r="AJ106" s="89"/>
      <c r="AK106" s="89"/>
      <c r="AL106" s="89"/>
      <c r="AM106" s="89"/>
      <c r="AN106" s="89"/>
      <c r="AO106" s="89"/>
      <c r="AP106" s="89"/>
      <c r="AQ106" s="89"/>
      <c r="AR106" s="89"/>
      <c r="AS106" s="89"/>
      <c r="AT106" s="89"/>
      <c r="AU106" s="89"/>
      <c r="AV106" s="89"/>
      <c r="AW106" s="89"/>
      <c r="AX106" s="89"/>
    </row>
    <row r="107" spans="17:50" x14ac:dyDescent="0.25">
      <c r="Q107" s="119"/>
      <c r="R107" s="119"/>
      <c r="S107" s="119"/>
      <c r="V107" s="89"/>
      <c r="W107" s="89"/>
      <c r="X107" s="89"/>
      <c r="Y107" s="89"/>
      <c r="Z107" s="89"/>
      <c r="AA107" s="89"/>
      <c r="AB107" s="89"/>
      <c r="AC107" s="89"/>
      <c r="AD107" s="89"/>
      <c r="AE107" s="89"/>
      <c r="AF107" s="89"/>
      <c r="AG107" s="89"/>
      <c r="AH107" s="89"/>
      <c r="AI107" s="89"/>
      <c r="AJ107" s="89"/>
      <c r="AK107" s="89"/>
      <c r="AL107" s="89"/>
      <c r="AM107" s="89"/>
      <c r="AN107" s="89"/>
      <c r="AO107" s="89"/>
      <c r="AP107" s="89"/>
      <c r="AQ107" s="89"/>
      <c r="AR107" s="89"/>
      <c r="AS107" s="89"/>
      <c r="AT107" s="89"/>
      <c r="AU107" s="89"/>
      <c r="AV107" s="89"/>
      <c r="AW107" s="89"/>
      <c r="AX107" s="89"/>
    </row>
    <row r="108" spans="17:50" x14ac:dyDescent="0.25">
      <c r="Q108" s="119"/>
      <c r="R108" s="119"/>
      <c r="S108" s="119"/>
      <c r="V108" s="89"/>
      <c r="W108" s="89"/>
      <c r="X108" s="89"/>
      <c r="Y108" s="89"/>
      <c r="Z108" s="89"/>
      <c r="AA108" s="89"/>
      <c r="AB108" s="89"/>
      <c r="AC108" s="89"/>
      <c r="AD108" s="89"/>
      <c r="AE108" s="89"/>
      <c r="AF108" s="89"/>
      <c r="AG108" s="89"/>
      <c r="AH108" s="89"/>
      <c r="AI108" s="89"/>
      <c r="AJ108" s="89"/>
      <c r="AK108" s="89"/>
      <c r="AL108" s="89"/>
      <c r="AM108" s="89"/>
      <c r="AN108" s="89"/>
      <c r="AO108" s="89"/>
      <c r="AP108" s="89"/>
      <c r="AQ108" s="89"/>
      <c r="AR108" s="89"/>
      <c r="AS108" s="89"/>
      <c r="AT108" s="89"/>
      <c r="AU108" s="89"/>
      <c r="AV108" s="89"/>
      <c r="AW108" s="89"/>
      <c r="AX108" s="89"/>
    </row>
    <row r="109" spans="17:50" x14ac:dyDescent="0.25">
      <c r="Q109" s="119"/>
      <c r="R109" s="119"/>
      <c r="S109" s="119"/>
      <c r="V109" s="89"/>
      <c r="W109" s="89"/>
      <c r="X109" s="89"/>
      <c r="Y109" s="89"/>
      <c r="Z109" s="89"/>
      <c r="AA109" s="89"/>
      <c r="AB109" s="89"/>
      <c r="AC109" s="89"/>
      <c r="AD109" s="89"/>
      <c r="AE109" s="89"/>
      <c r="AF109" s="89"/>
      <c r="AG109" s="89"/>
      <c r="AH109" s="89"/>
      <c r="AI109" s="89"/>
      <c r="AJ109" s="89"/>
      <c r="AK109" s="89"/>
      <c r="AL109" s="89"/>
      <c r="AM109" s="89"/>
      <c r="AN109" s="89"/>
      <c r="AO109" s="89"/>
      <c r="AP109" s="89"/>
      <c r="AQ109" s="89"/>
      <c r="AR109" s="89"/>
      <c r="AS109" s="89"/>
      <c r="AT109" s="89"/>
      <c r="AU109" s="89"/>
      <c r="AV109" s="89"/>
      <c r="AW109" s="89"/>
      <c r="AX109" s="89"/>
    </row>
    <row r="110" spans="17:50" x14ac:dyDescent="0.25">
      <c r="Q110" s="119"/>
      <c r="R110" s="119"/>
      <c r="S110" s="119"/>
      <c r="V110" s="89"/>
      <c r="W110" s="89"/>
      <c r="X110" s="89"/>
      <c r="Y110" s="89"/>
      <c r="Z110" s="89"/>
      <c r="AA110" s="89"/>
      <c r="AB110" s="89"/>
      <c r="AC110" s="89"/>
      <c r="AD110" s="89"/>
      <c r="AE110" s="89"/>
      <c r="AF110" s="89"/>
      <c r="AG110" s="89"/>
      <c r="AH110" s="89"/>
      <c r="AI110" s="89"/>
      <c r="AJ110" s="89"/>
      <c r="AK110" s="89"/>
      <c r="AL110" s="89"/>
      <c r="AM110" s="89"/>
      <c r="AN110" s="89"/>
      <c r="AO110" s="89"/>
      <c r="AP110" s="89"/>
      <c r="AQ110" s="89"/>
      <c r="AR110" s="89"/>
      <c r="AS110" s="89"/>
      <c r="AT110" s="89"/>
      <c r="AU110" s="89"/>
      <c r="AV110" s="89"/>
      <c r="AW110" s="89"/>
      <c r="AX110" s="89"/>
    </row>
    <row r="111" spans="17:50" x14ac:dyDescent="0.25">
      <c r="Q111" s="119"/>
      <c r="R111" s="119"/>
      <c r="S111" s="119"/>
      <c r="V111" s="89"/>
      <c r="W111" s="89"/>
      <c r="X111" s="89"/>
      <c r="Y111" s="89"/>
      <c r="Z111" s="89"/>
      <c r="AA111" s="89"/>
      <c r="AB111" s="89"/>
      <c r="AC111" s="89"/>
      <c r="AD111" s="89"/>
      <c r="AE111" s="89"/>
      <c r="AF111" s="89"/>
      <c r="AG111" s="89"/>
      <c r="AH111" s="89"/>
      <c r="AI111" s="89"/>
      <c r="AJ111" s="89"/>
      <c r="AK111" s="89"/>
      <c r="AL111" s="89"/>
      <c r="AM111" s="89"/>
      <c r="AN111" s="89"/>
      <c r="AO111" s="89"/>
      <c r="AP111" s="89"/>
      <c r="AQ111" s="89"/>
      <c r="AR111" s="89"/>
      <c r="AS111" s="89"/>
      <c r="AT111" s="89"/>
      <c r="AU111" s="89"/>
      <c r="AV111" s="89"/>
      <c r="AW111" s="89"/>
      <c r="AX111" s="89"/>
    </row>
    <row r="112" spans="17:50" x14ac:dyDescent="0.25">
      <c r="Q112" s="119"/>
      <c r="R112" s="119"/>
      <c r="S112" s="119"/>
      <c r="V112" s="89"/>
      <c r="W112" s="89"/>
      <c r="X112" s="89"/>
      <c r="Y112" s="89"/>
      <c r="Z112" s="89"/>
      <c r="AA112" s="89"/>
      <c r="AB112" s="89"/>
      <c r="AC112" s="89"/>
      <c r="AD112" s="89"/>
      <c r="AE112" s="89"/>
      <c r="AF112" s="89"/>
      <c r="AG112" s="89"/>
      <c r="AH112" s="89"/>
      <c r="AI112" s="89"/>
      <c r="AJ112" s="89"/>
      <c r="AK112" s="89"/>
      <c r="AL112" s="89"/>
      <c r="AM112" s="89"/>
      <c r="AN112" s="89"/>
      <c r="AO112" s="89"/>
      <c r="AP112" s="89"/>
      <c r="AQ112" s="89"/>
      <c r="AR112" s="89"/>
      <c r="AS112" s="89"/>
      <c r="AT112" s="89"/>
      <c r="AU112" s="89"/>
      <c r="AV112" s="89"/>
      <c r="AW112" s="89"/>
      <c r="AX112" s="89"/>
    </row>
    <row r="113" spans="17:50" x14ac:dyDescent="0.25">
      <c r="Q113" s="119"/>
      <c r="R113" s="119"/>
      <c r="S113" s="119"/>
      <c r="V113" s="89"/>
      <c r="W113" s="89"/>
      <c r="X113" s="89"/>
      <c r="Y113" s="89"/>
      <c r="Z113" s="89"/>
      <c r="AA113" s="89"/>
      <c r="AB113" s="89"/>
      <c r="AC113" s="89"/>
      <c r="AD113" s="89"/>
      <c r="AE113" s="89"/>
      <c r="AF113" s="89"/>
      <c r="AG113" s="89"/>
      <c r="AH113" s="89"/>
      <c r="AI113" s="89"/>
      <c r="AJ113" s="89"/>
      <c r="AK113" s="89"/>
      <c r="AL113" s="89"/>
      <c r="AM113" s="89"/>
      <c r="AN113" s="89"/>
      <c r="AO113" s="89"/>
      <c r="AP113" s="89"/>
      <c r="AQ113" s="89"/>
      <c r="AR113" s="89"/>
      <c r="AS113" s="89"/>
      <c r="AT113" s="89"/>
      <c r="AU113" s="89"/>
      <c r="AV113" s="89"/>
      <c r="AW113" s="89"/>
      <c r="AX113" s="89"/>
    </row>
    <row r="114" spans="17:50" x14ac:dyDescent="0.25">
      <c r="Q114" s="119"/>
      <c r="R114" s="119"/>
      <c r="S114" s="119"/>
      <c r="V114" s="89"/>
      <c r="W114" s="89"/>
      <c r="X114" s="89"/>
      <c r="Y114" s="89"/>
      <c r="Z114" s="89"/>
      <c r="AA114" s="89"/>
      <c r="AB114" s="89"/>
      <c r="AC114" s="89"/>
      <c r="AD114" s="89"/>
      <c r="AE114" s="89"/>
      <c r="AF114" s="89"/>
      <c r="AG114" s="89"/>
      <c r="AH114" s="89"/>
      <c r="AI114" s="89"/>
      <c r="AJ114" s="89"/>
      <c r="AK114" s="89"/>
      <c r="AL114" s="89"/>
      <c r="AM114" s="89"/>
      <c r="AN114" s="89"/>
      <c r="AO114" s="89"/>
      <c r="AP114" s="89"/>
      <c r="AQ114" s="89"/>
      <c r="AR114" s="89"/>
      <c r="AS114" s="89"/>
      <c r="AT114" s="89"/>
      <c r="AU114" s="89"/>
      <c r="AV114" s="89"/>
      <c r="AW114" s="89"/>
      <c r="AX114" s="89"/>
    </row>
    <row r="115" spans="17:50" x14ac:dyDescent="0.25">
      <c r="Q115" s="119"/>
      <c r="R115" s="119"/>
      <c r="S115" s="119"/>
      <c r="V115" s="89"/>
      <c r="W115" s="89"/>
      <c r="X115" s="89"/>
      <c r="Y115" s="89"/>
      <c r="Z115" s="89"/>
      <c r="AA115" s="89"/>
      <c r="AB115" s="89"/>
      <c r="AC115" s="89"/>
      <c r="AD115" s="89"/>
      <c r="AE115" s="89"/>
      <c r="AF115" s="89"/>
      <c r="AG115" s="89"/>
      <c r="AH115" s="89"/>
      <c r="AI115" s="89"/>
      <c r="AJ115" s="89"/>
      <c r="AK115" s="89"/>
      <c r="AL115" s="89"/>
      <c r="AM115" s="89"/>
      <c r="AN115" s="89"/>
      <c r="AO115" s="89"/>
      <c r="AP115" s="89"/>
      <c r="AQ115" s="89"/>
      <c r="AR115" s="89"/>
      <c r="AS115" s="89"/>
      <c r="AT115" s="89"/>
      <c r="AU115" s="89"/>
      <c r="AV115" s="89"/>
      <c r="AW115" s="89"/>
      <c r="AX115" s="89"/>
    </row>
    <row r="116" spans="17:50" x14ac:dyDescent="0.25">
      <c r="Q116" s="119"/>
      <c r="R116" s="119"/>
      <c r="S116" s="119"/>
      <c r="V116" s="89"/>
      <c r="W116" s="89"/>
      <c r="X116" s="89"/>
      <c r="Y116" s="89"/>
      <c r="Z116" s="89"/>
      <c r="AA116" s="89"/>
      <c r="AB116" s="89"/>
      <c r="AC116" s="89"/>
      <c r="AD116" s="89"/>
      <c r="AE116" s="89"/>
      <c r="AF116" s="89"/>
      <c r="AG116" s="89"/>
      <c r="AH116" s="89"/>
      <c r="AI116" s="89"/>
      <c r="AJ116" s="89"/>
      <c r="AK116" s="89"/>
      <c r="AL116" s="89"/>
      <c r="AM116" s="89"/>
      <c r="AN116" s="89"/>
      <c r="AO116" s="89"/>
      <c r="AP116" s="89"/>
      <c r="AQ116" s="89"/>
      <c r="AR116" s="89"/>
      <c r="AS116" s="89"/>
      <c r="AT116" s="89"/>
      <c r="AU116" s="89"/>
      <c r="AV116" s="89"/>
      <c r="AW116" s="89"/>
      <c r="AX116" s="89"/>
    </row>
    <row r="117" spans="17:50" x14ac:dyDescent="0.25">
      <c r="Q117" s="119"/>
      <c r="R117" s="119"/>
      <c r="S117" s="119"/>
      <c r="V117" s="89"/>
      <c r="W117" s="89"/>
      <c r="X117" s="89"/>
      <c r="Y117" s="89"/>
      <c r="Z117" s="89"/>
      <c r="AA117" s="89"/>
      <c r="AB117" s="89"/>
      <c r="AC117" s="89"/>
      <c r="AD117" s="89"/>
      <c r="AE117" s="89"/>
      <c r="AF117" s="89"/>
      <c r="AG117" s="89"/>
      <c r="AH117" s="89"/>
      <c r="AI117" s="89"/>
      <c r="AJ117" s="89"/>
      <c r="AK117" s="89"/>
      <c r="AL117" s="89"/>
      <c r="AM117" s="89"/>
      <c r="AN117" s="89"/>
      <c r="AO117" s="89"/>
      <c r="AP117" s="89"/>
      <c r="AQ117" s="89"/>
      <c r="AR117" s="89"/>
      <c r="AS117" s="89"/>
      <c r="AT117" s="89"/>
      <c r="AU117" s="89"/>
      <c r="AV117" s="89"/>
      <c r="AW117" s="89"/>
      <c r="AX117" s="89"/>
    </row>
    <row r="118" spans="17:50" x14ac:dyDescent="0.25">
      <c r="Q118" s="119"/>
      <c r="R118" s="119"/>
      <c r="S118" s="119"/>
      <c r="V118" s="89"/>
      <c r="W118" s="89"/>
      <c r="X118" s="89"/>
      <c r="Y118" s="89"/>
      <c r="Z118" s="89"/>
      <c r="AA118" s="89"/>
      <c r="AB118" s="89"/>
      <c r="AC118" s="89"/>
      <c r="AD118" s="89"/>
      <c r="AE118" s="89"/>
      <c r="AF118" s="89"/>
      <c r="AG118" s="89"/>
      <c r="AH118" s="89"/>
      <c r="AI118" s="89"/>
      <c r="AJ118" s="89"/>
      <c r="AK118" s="89"/>
      <c r="AL118" s="89"/>
      <c r="AM118" s="89"/>
      <c r="AN118" s="89"/>
      <c r="AO118" s="89"/>
      <c r="AP118" s="89"/>
      <c r="AQ118" s="89"/>
      <c r="AR118" s="89"/>
      <c r="AS118" s="89"/>
      <c r="AT118" s="89"/>
      <c r="AU118" s="89"/>
      <c r="AV118" s="89"/>
      <c r="AW118" s="89"/>
      <c r="AX118" s="89"/>
    </row>
    <row r="119" spans="17:50" x14ac:dyDescent="0.25">
      <c r="Q119" s="119"/>
      <c r="R119" s="119"/>
      <c r="S119" s="119"/>
      <c r="V119" s="89"/>
      <c r="W119" s="89"/>
      <c r="X119" s="89"/>
      <c r="Y119" s="89"/>
      <c r="Z119" s="89"/>
      <c r="AA119" s="89"/>
      <c r="AB119" s="89"/>
      <c r="AC119" s="89"/>
      <c r="AD119" s="89"/>
      <c r="AE119" s="89"/>
      <c r="AF119" s="89"/>
      <c r="AG119" s="89"/>
      <c r="AH119" s="89"/>
      <c r="AI119" s="89"/>
      <c r="AJ119" s="89"/>
      <c r="AK119" s="89"/>
      <c r="AL119" s="89"/>
      <c r="AM119" s="89"/>
      <c r="AN119" s="89"/>
      <c r="AO119" s="89"/>
      <c r="AP119" s="89"/>
      <c r="AQ119" s="89"/>
      <c r="AR119" s="89"/>
      <c r="AS119" s="89"/>
      <c r="AT119" s="89"/>
      <c r="AU119" s="89"/>
      <c r="AV119" s="89"/>
      <c r="AW119" s="89"/>
      <c r="AX119" s="89"/>
    </row>
    <row r="120" spans="17:50" x14ac:dyDescent="0.25">
      <c r="Q120" s="119"/>
      <c r="R120" s="119"/>
      <c r="S120" s="119"/>
      <c r="V120" s="89"/>
      <c r="W120" s="89"/>
      <c r="X120" s="89"/>
      <c r="Y120" s="89"/>
      <c r="Z120" s="89"/>
      <c r="AA120" s="89"/>
      <c r="AB120" s="89"/>
      <c r="AC120" s="89"/>
      <c r="AD120" s="89"/>
      <c r="AE120" s="89"/>
      <c r="AF120" s="89"/>
      <c r="AG120" s="89"/>
      <c r="AH120" s="89"/>
      <c r="AI120" s="89"/>
      <c r="AJ120" s="89"/>
      <c r="AK120" s="89"/>
      <c r="AL120" s="89"/>
      <c r="AM120" s="89"/>
      <c r="AN120" s="89"/>
      <c r="AO120" s="89"/>
      <c r="AP120" s="89"/>
      <c r="AQ120" s="89"/>
      <c r="AR120" s="89"/>
      <c r="AS120" s="89"/>
      <c r="AT120" s="89"/>
      <c r="AU120" s="89"/>
      <c r="AV120" s="89"/>
      <c r="AW120" s="89"/>
      <c r="AX120" s="89"/>
    </row>
    <row r="121" spans="17:50" x14ac:dyDescent="0.25">
      <c r="Q121" s="119"/>
      <c r="R121" s="119"/>
      <c r="S121" s="119"/>
      <c r="V121" s="89"/>
      <c r="W121" s="89"/>
      <c r="X121" s="89"/>
      <c r="Y121" s="89"/>
      <c r="Z121" s="89"/>
      <c r="AA121" s="89"/>
      <c r="AB121" s="89"/>
      <c r="AC121" s="89"/>
      <c r="AD121" s="89"/>
      <c r="AE121" s="89"/>
      <c r="AF121" s="89"/>
      <c r="AG121" s="89"/>
      <c r="AH121" s="89"/>
      <c r="AI121" s="89"/>
      <c r="AJ121" s="89"/>
      <c r="AK121" s="89"/>
      <c r="AL121" s="89"/>
      <c r="AM121" s="89"/>
      <c r="AN121" s="89"/>
      <c r="AO121" s="89"/>
      <c r="AP121" s="89"/>
      <c r="AQ121" s="89"/>
      <c r="AR121" s="89"/>
      <c r="AS121" s="89"/>
      <c r="AT121" s="89"/>
      <c r="AU121" s="89"/>
      <c r="AV121" s="89"/>
      <c r="AW121" s="89"/>
      <c r="AX121" s="89"/>
    </row>
    <row r="122" spans="17:50" x14ac:dyDescent="0.25">
      <c r="Q122" s="119"/>
      <c r="R122" s="119"/>
      <c r="S122" s="119"/>
      <c r="V122" s="89"/>
      <c r="W122" s="89"/>
      <c r="X122" s="89"/>
      <c r="Y122" s="89"/>
      <c r="Z122" s="89"/>
      <c r="AA122" s="89"/>
      <c r="AB122" s="89"/>
      <c r="AC122" s="89"/>
      <c r="AD122" s="89"/>
      <c r="AE122" s="89"/>
      <c r="AF122" s="89"/>
      <c r="AG122" s="89"/>
      <c r="AH122" s="89"/>
      <c r="AI122" s="89"/>
      <c r="AJ122" s="89"/>
      <c r="AK122" s="89"/>
      <c r="AL122" s="89"/>
      <c r="AM122" s="89"/>
      <c r="AN122" s="89"/>
      <c r="AO122" s="89"/>
      <c r="AP122" s="89"/>
      <c r="AQ122" s="89"/>
      <c r="AR122" s="89"/>
      <c r="AS122" s="89"/>
      <c r="AT122" s="89"/>
      <c r="AU122" s="89"/>
      <c r="AV122" s="89"/>
      <c r="AW122" s="89"/>
      <c r="AX122" s="89"/>
    </row>
    <row r="123" spans="17:50" x14ac:dyDescent="0.25">
      <c r="Q123" s="119"/>
      <c r="R123" s="119"/>
      <c r="S123" s="119"/>
      <c r="V123" s="89"/>
      <c r="W123" s="89"/>
      <c r="X123" s="89"/>
      <c r="Y123" s="89"/>
      <c r="Z123" s="89"/>
      <c r="AA123" s="89"/>
      <c r="AB123" s="89"/>
      <c r="AC123" s="89"/>
      <c r="AD123" s="89"/>
      <c r="AE123" s="89"/>
      <c r="AF123" s="89"/>
      <c r="AG123" s="89"/>
      <c r="AH123" s="89"/>
      <c r="AI123" s="89"/>
      <c r="AJ123" s="89"/>
      <c r="AK123" s="89"/>
      <c r="AL123" s="89"/>
      <c r="AM123" s="89"/>
      <c r="AN123" s="89"/>
      <c r="AO123" s="89"/>
      <c r="AP123" s="89"/>
      <c r="AQ123" s="89"/>
      <c r="AR123" s="89"/>
      <c r="AS123" s="89"/>
      <c r="AT123" s="89"/>
      <c r="AU123" s="89"/>
      <c r="AV123" s="89"/>
      <c r="AW123" s="89"/>
      <c r="AX123" s="89"/>
    </row>
    <row r="124" spans="17:50" x14ac:dyDescent="0.25">
      <c r="Q124" s="119"/>
      <c r="R124" s="119"/>
      <c r="S124" s="119"/>
      <c r="V124" s="89"/>
      <c r="W124" s="89"/>
      <c r="X124" s="89"/>
      <c r="Y124" s="89"/>
      <c r="Z124" s="89"/>
      <c r="AA124" s="89"/>
      <c r="AB124" s="89"/>
      <c r="AC124" s="89"/>
      <c r="AD124" s="89"/>
      <c r="AE124" s="89"/>
      <c r="AF124" s="89"/>
      <c r="AG124" s="89"/>
      <c r="AH124" s="89"/>
      <c r="AI124" s="89"/>
      <c r="AJ124" s="89"/>
      <c r="AK124" s="89"/>
      <c r="AL124" s="89"/>
      <c r="AM124" s="89"/>
      <c r="AN124" s="89"/>
      <c r="AO124" s="89"/>
      <c r="AP124" s="89"/>
      <c r="AQ124" s="89"/>
      <c r="AR124" s="89"/>
      <c r="AS124" s="89"/>
      <c r="AT124" s="89"/>
      <c r="AU124" s="89"/>
      <c r="AV124" s="89"/>
      <c r="AW124" s="89"/>
      <c r="AX124" s="89"/>
    </row>
    <row r="125" spans="17:50" x14ac:dyDescent="0.25">
      <c r="Q125" s="119"/>
      <c r="R125" s="119"/>
      <c r="S125" s="119"/>
      <c r="V125" s="89"/>
      <c r="W125" s="89"/>
      <c r="X125" s="89"/>
      <c r="Y125" s="89"/>
      <c r="Z125" s="89"/>
      <c r="AA125" s="89"/>
      <c r="AB125" s="89"/>
      <c r="AC125" s="89"/>
      <c r="AD125" s="89"/>
      <c r="AE125" s="89"/>
      <c r="AF125" s="89"/>
      <c r="AG125" s="89"/>
      <c r="AH125" s="89"/>
      <c r="AI125" s="89"/>
      <c r="AJ125" s="89"/>
      <c r="AK125" s="89"/>
      <c r="AL125" s="89"/>
      <c r="AM125" s="89"/>
      <c r="AN125" s="89"/>
      <c r="AO125" s="89"/>
      <c r="AP125" s="89"/>
      <c r="AQ125" s="89"/>
      <c r="AR125" s="89"/>
      <c r="AS125" s="89"/>
      <c r="AT125" s="89"/>
      <c r="AU125" s="89"/>
      <c r="AV125" s="89"/>
      <c r="AW125" s="89"/>
      <c r="AX125" s="89"/>
    </row>
    <row r="126" spans="17:50" x14ac:dyDescent="0.25">
      <c r="Q126" s="119"/>
      <c r="R126" s="119"/>
      <c r="S126" s="119"/>
      <c r="V126" s="89"/>
      <c r="W126" s="89"/>
      <c r="X126" s="89"/>
      <c r="Y126" s="89"/>
      <c r="Z126" s="89"/>
      <c r="AA126" s="89"/>
      <c r="AB126" s="89"/>
      <c r="AC126" s="89"/>
      <c r="AD126" s="89"/>
      <c r="AE126" s="89"/>
      <c r="AF126" s="89"/>
      <c r="AG126" s="89"/>
      <c r="AH126" s="89"/>
      <c r="AI126" s="89"/>
      <c r="AJ126" s="89"/>
      <c r="AK126" s="89"/>
      <c r="AL126" s="89"/>
      <c r="AM126" s="89"/>
      <c r="AN126" s="89"/>
      <c r="AO126" s="89"/>
      <c r="AP126" s="89"/>
      <c r="AQ126" s="89"/>
      <c r="AR126" s="89"/>
      <c r="AS126" s="89"/>
      <c r="AT126" s="89"/>
      <c r="AU126" s="89"/>
      <c r="AV126" s="89"/>
      <c r="AW126" s="89"/>
      <c r="AX126" s="89"/>
    </row>
    <row r="127" spans="17:50" x14ac:dyDescent="0.25">
      <c r="Q127" s="119"/>
      <c r="R127" s="119"/>
      <c r="S127" s="119"/>
      <c r="V127" s="89"/>
      <c r="W127" s="89"/>
      <c r="X127" s="89"/>
      <c r="Y127" s="89"/>
      <c r="Z127" s="89"/>
      <c r="AA127" s="89"/>
      <c r="AB127" s="89"/>
      <c r="AC127" s="89"/>
      <c r="AD127" s="89"/>
      <c r="AE127" s="89"/>
      <c r="AF127" s="89"/>
      <c r="AG127" s="89"/>
      <c r="AH127" s="89"/>
      <c r="AI127" s="89"/>
      <c r="AJ127" s="89"/>
      <c r="AK127" s="89"/>
      <c r="AL127" s="89"/>
      <c r="AM127" s="89"/>
      <c r="AN127" s="89"/>
      <c r="AO127" s="89"/>
      <c r="AP127" s="89"/>
      <c r="AQ127" s="89"/>
      <c r="AR127" s="89"/>
      <c r="AS127" s="89"/>
      <c r="AT127" s="89"/>
      <c r="AU127" s="89"/>
      <c r="AV127" s="89"/>
      <c r="AW127" s="89"/>
      <c r="AX127" s="89"/>
    </row>
    <row r="128" spans="17:50" x14ac:dyDescent="0.25">
      <c r="Q128" s="119"/>
      <c r="R128" s="119"/>
      <c r="S128" s="119"/>
      <c r="V128" s="89"/>
      <c r="W128" s="89"/>
      <c r="X128" s="89"/>
      <c r="Y128" s="89"/>
      <c r="Z128" s="89"/>
      <c r="AA128" s="89"/>
      <c r="AB128" s="89"/>
      <c r="AC128" s="89"/>
      <c r="AD128" s="89"/>
      <c r="AE128" s="89"/>
      <c r="AF128" s="89"/>
      <c r="AG128" s="89"/>
      <c r="AH128" s="89"/>
      <c r="AI128" s="89"/>
      <c r="AJ128" s="89"/>
      <c r="AK128" s="89"/>
      <c r="AL128" s="89"/>
      <c r="AM128" s="89"/>
      <c r="AN128" s="89"/>
      <c r="AO128" s="89"/>
      <c r="AP128" s="89"/>
      <c r="AQ128" s="89"/>
      <c r="AR128" s="89"/>
      <c r="AS128" s="89"/>
      <c r="AT128" s="89"/>
      <c r="AU128" s="89"/>
      <c r="AV128" s="89"/>
      <c r="AW128" s="89"/>
      <c r="AX128" s="89"/>
    </row>
    <row r="129" spans="17:50" x14ac:dyDescent="0.25">
      <c r="Q129" s="119"/>
      <c r="R129" s="119"/>
      <c r="S129" s="119"/>
      <c r="V129" s="89"/>
      <c r="W129" s="89"/>
      <c r="X129" s="89"/>
      <c r="Y129" s="89"/>
      <c r="Z129" s="89"/>
      <c r="AA129" s="89"/>
      <c r="AB129" s="89"/>
      <c r="AC129" s="89"/>
      <c r="AD129" s="89"/>
      <c r="AE129" s="89"/>
      <c r="AF129" s="89"/>
      <c r="AG129" s="89"/>
      <c r="AH129" s="89"/>
      <c r="AI129" s="89"/>
      <c r="AJ129" s="89"/>
      <c r="AK129" s="89"/>
      <c r="AL129" s="89"/>
      <c r="AM129" s="89"/>
      <c r="AN129" s="89"/>
      <c r="AO129" s="89"/>
      <c r="AP129" s="89"/>
      <c r="AQ129" s="89"/>
      <c r="AR129" s="89"/>
      <c r="AS129" s="89"/>
      <c r="AT129" s="89"/>
      <c r="AU129" s="89"/>
      <c r="AV129" s="89"/>
      <c r="AW129" s="89"/>
      <c r="AX129" s="89"/>
    </row>
    <row r="130" spans="17:50" x14ac:dyDescent="0.25">
      <c r="Q130" s="119"/>
      <c r="R130" s="119"/>
      <c r="S130" s="119"/>
      <c r="V130" s="89"/>
      <c r="W130" s="89"/>
      <c r="X130" s="89"/>
      <c r="Y130" s="89"/>
      <c r="Z130" s="89"/>
      <c r="AA130" s="89"/>
      <c r="AB130" s="89"/>
      <c r="AC130" s="89"/>
      <c r="AD130" s="89"/>
      <c r="AE130" s="89"/>
      <c r="AF130" s="89"/>
      <c r="AG130" s="89"/>
      <c r="AH130" s="89"/>
      <c r="AI130" s="89"/>
      <c r="AJ130" s="89"/>
      <c r="AK130" s="89"/>
      <c r="AL130" s="89"/>
      <c r="AM130" s="89"/>
      <c r="AN130" s="89"/>
      <c r="AO130" s="89"/>
      <c r="AP130" s="89"/>
      <c r="AQ130" s="89"/>
      <c r="AR130" s="89"/>
      <c r="AS130" s="89"/>
      <c r="AT130" s="89"/>
      <c r="AU130" s="89"/>
      <c r="AV130" s="89"/>
      <c r="AW130" s="89"/>
      <c r="AX130" s="89"/>
    </row>
    <row r="131" spans="17:50" x14ac:dyDescent="0.25">
      <c r="Q131" s="119"/>
      <c r="R131" s="119"/>
      <c r="S131" s="119"/>
      <c r="V131" s="89"/>
      <c r="W131" s="89"/>
      <c r="X131" s="89"/>
      <c r="Y131" s="89"/>
      <c r="Z131" s="89"/>
      <c r="AA131" s="89"/>
      <c r="AB131" s="89"/>
      <c r="AC131" s="89"/>
      <c r="AD131" s="89"/>
      <c r="AE131" s="89"/>
      <c r="AF131" s="89"/>
      <c r="AG131" s="89"/>
      <c r="AH131" s="89"/>
      <c r="AI131" s="89"/>
      <c r="AJ131" s="89"/>
      <c r="AK131" s="89"/>
      <c r="AL131" s="89"/>
      <c r="AM131" s="89"/>
      <c r="AN131" s="89"/>
      <c r="AO131" s="89"/>
      <c r="AP131" s="89"/>
      <c r="AQ131" s="89"/>
      <c r="AR131" s="89"/>
      <c r="AS131" s="89"/>
      <c r="AT131" s="89"/>
      <c r="AU131" s="89"/>
      <c r="AV131" s="89"/>
      <c r="AW131" s="89"/>
      <c r="AX131" s="89"/>
    </row>
    <row r="132" spans="17:50" x14ac:dyDescent="0.25">
      <c r="Q132" s="119"/>
      <c r="R132" s="119"/>
      <c r="S132" s="119"/>
      <c r="V132" s="89"/>
      <c r="W132" s="89"/>
      <c r="X132" s="89"/>
      <c r="Y132" s="89"/>
      <c r="Z132" s="89"/>
      <c r="AA132" s="89"/>
      <c r="AB132" s="89"/>
      <c r="AC132" s="89"/>
      <c r="AD132" s="89"/>
      <c r="AE132" s="89"/>
      <c r="AF132" s="89"/>
      <c r="AG132" s="89"/>
      <c r="AH132" s="89"/>
      <c r="AI132" s="89"/>
      <c r="AJ132" s="89"/>
      <c r="AK132" s="89"/>
      <c r="AL132" s="89"/>
      <c r="AM132" s="89"/>
      <c r="AN132" s="89"/>
      <c r="AO132" s="89"/>
      <c r="AP132" s="89"/>
      <c r="AQ132" s="89"/>
      <c r="AR132" s="89"/>
      <c r="AS132" s="89"/>
      <c r="AT132" s="89"/>
      <c r="AU132" s="89"/>
      <c r="AV132" s="89"/>
      <c r="AW132" s="89"/>
      <c r="AX132" s="89"/>
    </row>
    <row r="133" spans="17:50" x14ac:dyDescent="0.25">
      <c r="Q133" s="119"/>
      <c r="R133" s="119"/>
      <c r="S133" s="119"/>
      <c r="V133" s="89"/>
      <c r="W133" s="89"/>
      <c r="X133" s="89"/>
      <c r="Y133" s="89"/>
      <c r="Z133" s="89"/>
      <c r="AA133" s="89"/>
      <c r="AB133" s="89"/>
      <c r="AC133" s="89"/>
      <c r="AD133" s="89"/>
      <c r="AE133" s="89"/>
      <c r="AF133" s="89"/>
      <c r="AG133" s="89"/>
      <c r="AH133" s="89"/>
      <c r="AI133" s="89"/>
      <c r="AJ133" s="89"/>
      <c r="AK133" s="89"/>
      <c r="AL133" s="89"/>
      <c r="AM133" s="89"/>
      <c r="AN133" s="89"/>
      <c r="AO133" s="89"/>
      <c r="AP133" s="89"/>
      <c r="AQ133" s="89"/>
      <c r="AR133" s="89"/>
      <c r="AS133" s="89"/>
      <c r="AT133" s="89"/>
      <c r="AU133" s="89"/>
      <c r="AV133" s="89"/>
      <c r="AW133" s="89"/>
      <c r="AX133" s="89"/>
    </row>
    <row r="134" spans="17:50" x14ac:dyDescent="0.25">
      <c r="Q134" s="119"/>
      <c r="R134" s="119"/>
      <c r="S134" s="119"/>
      <c r="V134" s="89"/>
      <c r="W134" s="89"/>
      <c r="X134" s="89"/>
      <c r="Y134" s="89"/>
      <c r="Z134" s="89"/>
      <c r="AA134" s="89"/>
      <c r="AB134" s="89"/>
      <c r="AC134" s="89"/>
      <c r="AD134" s="89"/>
      <c r="AE134" s="89"/>
      <c r="AF134" s="89"/>
      <c r="AG134" s="89"/>
      <c r="AH134" s="89"/>
      <c r="AI134" s="89"/>
      <c r="AJ134" s="89"/>
      <c r="AK134" s="89"/>
      <c r="AL134" s="89"/>
      <c r="AM134" s="89"/>
      <c r="AN134" s="89"/>
      <c r="AO134" s="89"/>
      <c r="AP134" s="89"/>
      <c r="AQ134" s="89"/>
      <c r="AR134" s="89"/>
      <c r="AS134" s="89"/>
      <c r="AT134" s="89"/>
      <c r="AU134" s="89"/>
      <c r="AV134" s="89"/>
      <c r="AW134" s="89"/>
      <c r="AX134" s="89"/>
    </row>
    <row r="135" spans="17:50" x14ac:dyDescent="0.25">
      <c r="Q135" s="119"/>
      <c r="R135" s="119"/>
      <c r="S135" s="119"/>
      <c r="V135" s="89"/>
      <c r="W135" s="89"/>
      <c r="X135" s="89"/>
      <c r="Y135" s="89"/>
      <c r="Z135" s="89"/>
      <c r="AA135" s="89"/>
      <c r="AB135" s="89"/>
      <c r="AC135" s="89"/>
      <c r="AD135" s="89"/>
      <c r="AE135" s="89"/>
      <c r="AF135" s="89"/>
      <c r="AG135" s="89"/>
      <c r="AH135" s="89"/>
      <c r="AI135" s="89"/>
      <c r="AJ135" s="89"/>
      <c r="AK135" s="89"/>
      <c r="AL135" s="89"/>
      <c r="AM135" s="89"/>
      <c r="AN135" s="89"/>
      <c r="AO135" s="89"/>
      <c r="AP135" s="89"/>
      <c r="AQ135" s="89"/>
      <c r="AR135" s="89"/>
      <c r="AS135" s="89"/>
      <c r="AT135" s="89"/>
      <c r="AU135" s="89"/>
      <c r="AV135" s="89"/>
      <c r="AW135" s="89"/>
      <c r="AX135" s="89"/>
    </row>
    <row r="136" spans="17:50" x14ac:dyDescent="0.25">
      <c r="Q136" s="119"/>
      <c r="R136" s="119"/>
      <c r="S136" s="119"/>
      <c r="V136" s="89"/>
      <c r="W136" s="89"/>
      <c r="X136" s="89"/>
      <c r="Y136" s="89"/>
      <c r="Z136" s="89"/>
      <c r="AA136" s="89"/>
      <c r="AB136" s="89"/>
      <c r="AC136" s="89"/>
      <c r="AD136" s="89"/>
      <c r="AE136" s="89"/>
      <c r="AF136" s="89"/>
      <c r="AG136" s="89"/>
      <c r="AH136" s="89"/>
      <c r="AI136" s="89"/>
      <c r="AJ136" s="89"/>
      <c r="AK136" s="89"/>
      <c r="AL136" s="89"/>
      <c r="AM136" s="89"/>
      <c r="AN136" s="89"/>
      <c r="AO136" s="89"/>
      <c r="AP136" s="89"/>
      <c r="AQ136" s="89"/>
      <c r="AR136" s="89"/>
      <c r="AS136" s="89"/>
      <c r="AT136" s="89"/>
      <c r="AU136" s="89"/>
      <c r="AV136" s="89"/>
      <c r="AW136" s="89"/>
      <c r="AX136" s="89"/>
    </row>
    <row r="137" spans="17:50" x14ac:dyDescent="0.25">
      <c r="Q137" s="119"/>
      <c r="R137" s="119"/>
      <c r="S137" s="119"/>
      <c r="V137" s="89"/>
      <c r="W137" s="89"/>
      <c r="X137" s="89"/>
      <c r="Y137" s="89"/>
      <c r="Z137" s="89"/>
      <c r="AA137" s="89"/>
      <c r="AB137" s="89"/>
      <c r="AC137" s="89"/>
      <c r="AD137" s="89"/>
      <c r="AE137" s="89"/>
      <c r="AF137" s="89"/>
      <c r="AG137" s="89"/>
      <c r="AH137" s="89"/>
      <c r="AI137" s="89"/>
      <c r="AJ137" s="89"/>
      <c r="AK137" s="89"/>
      <c r="AL137" s="89"/>
      <c r="AM137" s="89"/>
      <c r="AN137" s="89"/>
      <c r="AO137" s="89"/>
      <c r="AP137" s="89"/>
      <c r="AQ137" s="89"/>
      <c r="AR137" s="89"/>
      <c r="AS137" s="89"/>
      <c r="AT137" s="89"/>
      <c r="AU137" s="89"/>
      <c r="AV137" s="89"/>
      <c r="AW137" s="89"/>
      <c r="AX137" s="89"/>
    </row>
    <row r="138" spans="17:50" x14ac:dyDescent="0.25">
      <c r="Q138" s="119"/>
      <c r="R138" s="119"/>
      <c r="S138" s="119"/>
      <c r="V138" s="89"/>
      <c r="W138" s="89"/>
      <c r="X138" s="89"/>
      <c r="Y138" s="89"/>
      <c r="Z138" s="89"/>
      <c r="AA138" s="89"/>
      <c r="AB138" s="89"/>
      <c r="AC138" s="89"/>
      <c r="AD138" s="89"/>
      <c r="AE138" s="89"/>
      <c r="AF138" s="89"/>
      <c r="AG138" s="89"/>
      <c r="AH138" s="89"/>
      <c r="AI138" s="89"/>
      <c r="AJ138" s="89"/>
      <c r="AK138" s="89"/>
      <c r="AL138" s="89"/>
      <c r="AM138" s="89"/>
      <c r="AN138" s="89"/>
      <c r="AO138" s="89"/>
      <c r="AP138" s="89"/>
      <c r="AQ138" s="89"/>
      <c r="AR138" s="89"/>
      <c r="AS138" s="89"/>
      <c r="AT138" s="89"/>
      <c r="AU138" s="89"/>
      <c r="AV138" s="89"/>
      <c r="AW138" s="89"/>
      <c r="AX138" s="89"/>
    </row>
    <row r="139" spans="17:50" x14ac:dyDescent="0.25">
      <c r="Q139" s="119"/>
      <c r="R139" s="119"/>
      <c r="S139" s="119"/>
      <c r="V139" s="89"/>
      <c r="W139" s="89"/>
      <c r="X139" s="89"/>
      <c r="Y139" s="89"/>
      <c r="Z139" s="89"/>
      <c r="AA139" s="89"/>
      <c r="AB139" s="89"/>
      <c r="AC139" s="89"/>
      <c r="AD139" s="89"/>
      <c r="AE139" s="89"/>
      <c r="AF139" s="89"/>
      <c r="AG139" s="89"/>
      <c r="AH139" s="89"/>
      <c r="AI139" s="89"/>
      <c r="AJ139" s="89"/>
      <c r="AK139" s="89"/>
      <c r="AL139" s="89"/>
      <c r="AM139" s="89"/>
      <c r="AN139" s="89"/>
      <c r="AO139" s="89"/>
      <c r="AP139" s="89"/>
      <c r="AQ139" s="89"/>
      <c r="AR139" s="89"/>
      <c r="AS139" s="89"/>
      <c r="AT139" s="89"/>
      <c r="AU139" s="89"/>
      <c r="AV139" s="89"/>
      <c r="AW139" s="89"/>
      <c r="AX139" s="89"/>
    </row>
    <row r="140" spans="17:50" x14ac:dyDescent="0.25">
      <c r="Q140" s="119"/>
      <c r="R140" s="119"/>
      <c r="S140" s="119"/>
      <c r="V140" s="89"/>
      <c r="W140" s="89"/>
      <c r="X140" s="89"/>
      <c r="Y140" s="89"/>
      <c r="Z140" s="89"/>
      <c r="AA140" s="89"/>
      <c r="AB140" s="89"/>
      <c r="AC140" s="89"/>
      <c r="AD140" s="89"/>
      <c r="AE140" s="89"/>
      <c r="AF140" s="89"/>
      <c r="AG140" s="89"/>
      <c r="AH140" s="89"/>
      <c r="AI140" s="89"/>
      <c r="AJ140" s="89"/>
      <c r="AK140" s="89"/>
      <c r="AL140" s="89"/>
      <c r="AM140" s="89"/>
      <c r="AN140" s="89"/>
      <c r="AO140" s="89"/>
      <c r="AP140" s="89"/>
      <c r="AQ140" s="89"/>
      <c r="AR140" s="89"/>
      <c r="AS140" s="89"/>
      <c r="AT140" s="89"/>
      <c r="AU140" s="89"/>
      <c r="AV140" s="89"/>
      <c r="AW140" s="89"/>
      <c r="AX140" s="89"/>
    </row>
    <row r="141" spans="17:50" x14ac:dyDescent="0.25">
      <c r="Q141" s="119"/>
      <c r="R141" s="119"/>
      <c r="S141" s="119"/>
      <c r="V141" s="89"/>
      <c r="W141" s="89"/>
      <c r="X141" s="89"/>
      <c r="Y141" s="89"/>
      <c r="Z141" s="89"/>
      <c r="AA141" s="89"/>
      <c r="AB141" s="89"/>
      <c r="AC141" s="89"/>
      <c r="AD141" s="89"/>
      <c r="AE141" s="89"/>
      <c r="AF141" s="89"/>
      <c r="AG141" s="89"/>
      <c r="AH141" s="89"/>
      <c r="AI141" s="89"/>
      <c r="AJ141" s="89"/>
      <c r="AK141" s="89"/>
      <c r="AL141" s="89"/>
      <c r="AM141" s="89"/>
      <c r="AN141" s="89"/>
      <c r="AO141" s="89"/>
      <c r="AP141" s="89"/>
      <c r="AQ141" s="89"/>
      <c r="AR141" s="89"/>
      <c r="AS141" s="89"/>
      <c r="AT141" s="89"/>
      <c r="AU141" s="89"/>
      <c r="AV141" s="89"/>
      <c r="AW141" s="89"/>
      <c r="AX141" s="89"/>
    </row>
    <row r="142" spans="17:50" x14ac:dyDescent="0.25">
      <c r="Q142" s="119"/>
      <c r="R142" s="119"/>
      <c r="S142" s="119"/>
      <c r="V142" s="89"/>
      <c r="W142" s="89"/>
      <c r="X142" s="89"/>
      <c r="Y142" s="89"/>
      <c r="Z142" s="89"/>
      <c r="AA142" s="89"/>
      <c r="AB142" s="89"/>
      <c r="AC142" s="89"/>
      <c r="AD142" s="89"/>
      <c r="AE142" s="89"/>
      <c r="AF142" s="89"/>
      <c r="AG142" s="89"/>
      <c r="AH142" s="89"/>
      <c r="AI142" s="89"/>
      <c r="AJ142" s="89"/>
      <c r="AK142" s="89"/>
      <c r="AL142" s="89"/>
      <c r="AM142" s="89"/>
      <c r="AN142" s="89"/>
      <c r="AO142" s="89"/>
      <c r="AP142" s="89"/>
      <c r="AQ142" s="89"/>
      <c r="AR142" s="89"/>
      <c r="AS142" s="89"/>
      <c r="AT142" s="89"/>
      <c r="AU142" s="89"/>
      <c r="AV142" s="89"/>
      <c r="AW142" s="89"/>
      <c r="AX142" s="89"/>
    </row>
    <row r="143" spans="17:50" x14ac:dyDescent="0.25">
      <c r="Q143" s="119"/>
      <c r="R143" s="119"/>
      <c r="S143" s="119"/>
      <c r="V143" s="89"/>
      <c r="W143" s="89"/>
      <c r="X143" s="89"/>
      <c r="Y143" s="89"/>
      <c r="Z143" s="89"/>
      <c r="AA143" s="89"/>
      <c r="AB143" s="89"/>
      <c r="AC143" s="89"/>
      <c r="AD143" s="89"/>
      <c r="AE143" s="89"/>
      <c r="AF143" s="89"/>
      <c r="AG143" s="89"/>
      <c r="AH143" s="89"/>
      <c r="AI143" s="89"/>
      <c r="AJ143" s="89"/>
      <c r="AK143" s="89"/>
      <c r="AL143" s="89"/>
      <c r="AM143" s="89"/>
      <c r="AN143" s="89"/>
      <c r="AO143" s="89"/>
      <c r="AP143" s="89"/>
      <c r="AQ143" s="89"/>
      <c r="AR143" s="89"/>
      <c r="AS143" s="89"/>
      <c r="AT143" s="89"/>
      <c r="AU143" s="89"/>
      <c r="AV143" s="89"/>
      <c r="AW143" s="89"/>
      <c r="AX143" s="89"/>
    </row>
    <row r="144" spans="17:50" x14ac:dyDescent="0.25">
      <c r="Q144" s="119"/>
      <c r="R144" s="119"/>
      <c r="S144" s="119"/>
      <c r="V144" s="89"/>
      <c r="W144" s="89"/>
      <c r="X144" s="89"/>
      <c r="Y144" s="89"/>
      <c r="Z144" s="89"/>
      <c r="AA144" s="89"/>
      <c r="AB144" s="89"/>
      <c r="AC144" s="89"/>
      <c r="AD144" s="89"/>
      <c r="AE144" s="89"/>
      <c r="AF144" s="89"/>
      <c r="AG144" s="89"/>
      <c r="AH144" s="89"/>
      <c r="AI144" s="89"/>
      <c r="AJ144" s="89"/>
      <c r="AK144" s="89"/>
      <c r="AL144" s="89"/>
      <c r="AM144" s="89"/>
      <c r="AN144" s="89"/>
      <c r="AO144" s="89"/>
      <c r="AP144" s="89"/>
      <c r="AQ144" s="89"/>
      <c r="AR144" s="89"/>
      <c r="AS144" s="89"/>
      <c r="AT144" s="89"/>
      <c r="AU144" s="89"/>
      <c r="AV144" s="89"/>
      <c r="AW144" s="89"/>
      <c r="AX144" s="89"/>
    </row>
    <row r="145" spans="17:50" x14ac:dyDescent="0.25">
      <c r="Q145" s="119"/>
      <c r="R145" s="119"/>
      <c r="S145" s="119"/>
      <c r="V145" s="89"/>
      <c r="W145" s="89"/>
      <c r="X145" s="89"/>
      <c r="Y145" s="89"/>
      <c r="Z145" s="89"/>
      <c r="AA145" s="89"/>
      <c r="AB145" s="89"/>
      <c r="AC145" s="89"/>
      <c r="AD145" s="89"/>
      <c r="AE145" s="89"/>
      <c r="AF145" s="89"/>
      <c r="AG145" s="89"/>
      <c r="AH145" s="89"/>
      <c r="AI145" s="89"/>
      <c r="AJ145" s="89"/>
      <c r="AK145" s="89"/>
      <c r="AL145" s="89"/>
      <c r="AM145" s="89"/>
      <c r="AN145" s="89"/>
      <c r="AO145" s="89"/>
      <c r="AP145" s="89"/>
      <c r="AQ145" s="89"/>
      <c r="AR145" s="89"/>
      <c r="AS145" s="89"/>
      <c r="AT145" s="89"/>
      <c r="AU145" s="89"/>
      <c r="AV145" s="89"/>
      <c r="AW145" s="89"/>
      <c r="AX145" s="89"/>
    </row>
    <row r="146" spans="17:50" x14ac:dyDescent="0.25">
      <c r="Q146" s="119"/>
      <c r="R146" s="119"/>
      <c r="S146" s="119"/>
      <c r="V146" s="89"/>
      <c r="W146" s="89"/>
      <c r="X146" s="89"/>
      <c r="Y146" s="89"/>
      <c r="Z146" s="89"/>
      <c r="AA146" s="89"/>
      <c r="AB146" s="89"/>
      <c r="AC146" s="89"/>
      <c r="AD146" s="89"/>
      <c r="AE146" s="89"/>
      <c r="AF146" s="89"/>
      <c r="AG146" s="89"/>
      <c r="AH146" s="89"/>
      <c r="AI146" s="89"/>
      <c r="AJ146" s="89"/>
      <c r="AK146" s="89"/>
      <c r="AL146" s="89"/>
      <c r="AM146" s="89"/>
      <c r="AN146" s="89"/>
      <c r="AO146" s="89"/>
      <c r="AP146" s="89"/>
      <c r="AQ146" s="89"/>
      <c r="AR146" s="89"/>
      <c r="AS146" s="89"/>
      <c r="AT146" s="89"/>
      <c r="AU146" s="89"/>
      <c r="AV146" s="89"/>
      <c r="AW146" s="89"/>
      <c r="AX146" s="89"/>
    </row>
    <row r="147" spans="17:50" x14ac:dyDescent="0.25">
      <c r="Q147" s="119"/>
      <c r="R147" s="119"/>
      <c r="S147" s="119"/>
      <c r="V147" s="89"/>
      <c r="W147" s="89"/>
      <c r="X147" s="89"/>
      <c r="Y147" s="89"/>
      <c r="Z147" s="89"/>
      <c r="AA147" s="89"/>
      <c r="AB147" s="89"/>
      <c r="AC147" s="89"/>
      <c r="AD147" s="89"/>
      <c r="AE147" s="89"/>
      <c r="AF147" s="89"/>
      <c r="AG147" s="89"/>
      <c r="AH147" s="89"/>
      <c r="AI147" s="89"/>
      <c r="AJ147" s="89"/>
      <c r="AK147" s="89"/>
      <c r="AL147" s="89"/>
      <c r="AM147" s="89"/>
      <c r="AN147" s="89"/>
      <c r="AO147" s="89"/>
      <c r="AP147" s="89"/>
      <c r="AQ147" s="89"/>
      <c r="AR147" s="89"/>
      <c r="AS147" s="89"/>
      <c r="AT147" s="89"/>
      <c r="AU147" s="89"/>
      <c r="AV147" s="89"/>
      <c r="AW147" s="89"/>
      <c r="AX147" s="89"/>
    </row>
    <row r="148" spans="17:50" x14ac:dyDescent="0.25">
      <c r="Q148" s="119"/>
      <c r="R148" s="119"/>
      <c r="S148" s="119"/>
      <c r="V148" s="89"/>
      <c r="W148" s="89"/>
      <c r="X148" s="89"/>
      <c r="Y148" s="89"/>
      <c r="Z148" s="89"/>
      <c r="AA148" s="89"/>
      <c r="AB148" s="89"/>
      <c r="AC148" s="89"/>
      <c r="AD148" s="89"/>
      <c r="AE148" s="89"/>
      <c r="AF148" s="89"/>
      <c r="AG148" s="89"/>
      <c r="AH148" s="89"/>
      <c r="AI148" s="89"/>
      <c r="AJ148" s="89"/>
      <c r="AK148" s="89"/>
      <c r="AL148" s="89"/>
      <c r="AM148" s="89"/>
      <c r="AN148" s="89"/>
      <c r="AO148" s="89"/>
      <c r="AP148" s="89"/>
      <c r="AQ148" s="89"/>
      <c r="AR148" s="89"/>
      <c r="AS148" s="89"/>
      <c r="AT148" s="89"/>
      <c r="AU148" s="89"/>
      <c r="AV148" s="89"/>
      <c r="AW148" s="89"/>
      <c r="AX148" s="89"/>
    </row>
    <row r="149" spans="17:50" x14ac:dyDescent="0.25">
      <c r="Q149" s="119"/>
      <c r="R149" s="119"/>
      <c r="S149" s="119"/>
      <c r="V149" s="89"/>
      <c r="W149" s="89"/>
      <c r="X149" s="89"/>
      <c r="Y149" s="89"/>
      <c r="Z149" s="89"/>
      <c r="AA149" s="89"/>
      <c r="AB149" s="89"/>
      <c r="AC149" s="89"/>
      <c r="AD149" s="89"/>
      <c r="AE149" s="89"/>
      <c r="AF149" s="89"/>
      <c r="AG149" s="89"/>
      <c r="AH149" s="89"/>
      <c r="AI149" s="89"/>
      <c r="AJ149" s="89"/>
      <c r="AK149" s="89"/>
      <c r="AL149" s="89"/>
      <c r="AM149" s="89"/>
      <c r="AN149" s="89"/>
      <c r="AO149" s="89"/>
      <c r="AP149" s="89"/>
      <c r="AQ149" s="89"/>
      <c r="AR149" s="89"/>
      <c r="AS149" s="89"/>
      <c r="AT149" s="89"/>
      <c r="AU149" s="89"/>
      <c r="AV149" s="89"/>
      <c r="AW149" s="89"/>
      <c r="AX149" s="89"/>
    </row>
    <row r="150" spans="17:50" x14ac:dyDescent="0.25">
      <c r="Q150" s="119"/>
      <c r="R150" s="119"/>
      <c r="S150" s="119"/>
      <c r="V150" s="89"/>
      <c r="W150" s="89"/>
      <c r="X150" s="89"/>
      <c r="Y150" s="89"/>
      <c r="Z150" s="89"/>
      <c r="AA150" s="89"/>
      <c r="AB150" s="89"/>
      <c r="AC150" s="89"/>
      <c r="AD150" s="89"/>
      <c r="AE150" s="89"/>
      <c r="AF150" s="89"/>
      <c r="AG150" s="89"/>
      <c r="AH150" s="89"/>
      <c r="AI150" s="89"/>
      <c r="AJ150" s="89"/>
      <c r="AK150" s="89"/>
      <c r="AL150" s="89"/>
      <c r="AM150" s="89"/>
      <c r="AN150" s="89"/>
      <c r="AO150" s="89"/>
      <c r="AP150" s="89"/>
      <c r="AQ150" s="89"/>
      <c r="AR150" s="89"/>
      <c r="AS150" s="89"/>
      <c r="AT150" s="89"/>
      <c r="AU150" s="89"/>
      <c r="AV150" s="89"/>
      <c r="AW150" s="89"/>
      <c r="AX150" s="89"/>
    </row>
    <row r="151" spans="17:50" x14ac:dyDescent="0.25">
      <c r="Q151" s="119"/>
      <c r="R151" s="119"/>
      <c r="S151" s="119"/>
      <c r="V151" s="89"/>
      <c r="W151" s="89"/>
      <c r="X151" s="89"/>
      <c r="Y151" s="89"/>
      <c r="Z151" s="89"/>
      <c r="AA151" s="89"/>
      <c r="AB151" s="89"/>
      <c r="AC151" s="89"/>
      <c r="AD151" s="89"/>
      <c r="AE151" s="89"/>
      <c r="AF151" s="89"/>
      <c r="AG151" s="89"/>
      <c r="AH151" s="89"/>
      <c r="AI151" s="89"/>
      <c r="AJ151" s="89"/>
      <c r="AK151" s="89"/>
      <c r="AL151" s="89"/>
      <c r="AM151" s="89"/>
      <c r="AN151" s="89"/>
      <c r="AO151" s="89"/>
      <c r="AP151" s="89"/>
      <c r="AQ151" s="89"/>
      <c r="AR151" s="89"/>
      <c r="AS151" s="89"/>
      <c r="AT151" s="89"/>
      <c r="AU151" s="89"/>
      <c r="AV151" s="89"/>
      <c r="AW151" s="89"/>
      <c r="AX151" s="89"/>
    </row>
    <row r="152" spans="17:50" x14ac:dyDescent="0.25">
      <c r="Q152" s="119"/>
      <c r="R152" s="119"/>
      <c r="S152" s="119"/>
      <c r="V152" s="89"/>
      <c r="W152" s="89"/>
      <c r="X152" s="89"/>
      <c r="Y152" s="89"/>
      <c r="Z152" s="89"/>
      <c r="AA152" s="89"/>
      <c r="AB152" s="89"/>
      <c r="AC152" s="89"/>
      <c r="AD152" s="89"/>
      <c r="AE152" s="89"/>
      <c r="AF152" s="89"/>
      <c r="AG152" s="89"/>
      <c r="AH152" s="89"/>
      <c r="AI152" s="89"/>
      <c r="AJ152" s="89"/>
      <c r="AK152" s="89"/>
      <c r="AL152" s="89"/>
      <c r="AM152" s="89"/>
      <c r="AN152" s="89"/>
      <c r="AO152" s="89"/>
      <c r="AP152" s="89"/>
      <c r="AQ152" s="89"/>
      <c r="AR152" s="89"/>
      <c r="AS152" s="89"/>
      <c r="AT152" s="89"/>
      <c r="AU152" s="89"/>
      <c r="AV152" s="89"/>
      <c r="AW152" s="89"/>
      <c r="AX152" s="89"/>
    </row>
    <row r="153" spans="17:50" x14ac:dyDescent="0.25">
      <c r="Q153" s="119"/>
      <c r="R153" s="119"/>
      <c r="S153" s="119"/>
      <c r="V153" s="89"/>
      <c r="W153" s="89"/>
      <c r="X153" s="89"/>
      <c r="Y153" s="89"/>
      <c r="Z153" s="89"/>
      <c r="AA153" s="89"/>
      <c r="AB153" s="89"/>
      <c r="AC153" s="89"/>
      <c r="AD153" s="89"/>
      <c r="AE153" s="89"/>
      <c r="AF153" s="89"/>
      <c r="AG153" s="89"/>
      <c r="AH153" s="89"/>
      <c r="AI153" s="89"/>
      <c r="AJ153" s="89"/>
      <c r="AK153" s="89"/>
      <c r="AL153" s="89"/>
      <c r="AM153" s="89"/>
      <c r="AN153" s="89"/>
      <c r="AO153" s="89"/>
      <c r="AP153" s="89"/>
      <c r="AQ153" s="89"/>
      <c r="AR153" s="89"/>
      <c r="AS153" s="89"/>
      <c r="AT153" s="89"/>
      <c r="AU153" s="89"/>
      <c r="AV153" s="89"/>
      <c r="AW153" s="89"/>
      <c r="AX153" s="89"/>
    </row>
    <row r="154" spans="17:50" x14ac:dyDescent="0.25">
      <c r="Q154" s="119"/>
      <c r="R154" s="119"/>
      <c r="S154" s="119"/>
      <c r="V154" s="89"/>
      <c r="W154" s="89"/>
      <c r="X154" s="89"/>
      <c r="Y154" s="89"/>
      <c r="Z154" s="89"/>
      <c r="AA154" s="89"/>
      <c r="AB154" s="89"/>
      <c r="AC154" s="89"/>
      <c r="AD154" s="89"/>
      <c r="AE154" s="89"/>
      <c r="AF154" s="89"/>
      <c r="AG154" s="89"/>
      <c r="AH154" s="89"/>
      <c r="AI154" s="89"/>
      <c r="AJ154" s="89"/>
      <c r="AK154" s="89"/>
      <c r="AL154" s="89"/>
      <c r="AM154" s="89"/>
      <c r="AN154" s="89"/>
      <c r="AO154" s="89"/>
      <c r="AP154" s="89"/>
      <c r="AQ154" s="89"/>
      <c r="AR154" s="89"/>
      <c r="AS154" s="89"/>
      <c r="AT154" s="89"/>
      <c r="AU154" s="89"/>
      <c r="AV154" s="89"/>
      <c r="AW154" s="89"/>
      <c r="AX154" s="89"/>
    </row>
    <row r="155" spans="17:50" x14ac:dyDescent="0.25">
      <c r="Q155" s="119"/>
      <c r="R155" s="119"/>
      <c r="S155" s="119"/>
      <c r="V155" s="89"/>
      <c r="W155" s="89"/>
      <c r="X155" s="89"/>
      <c r="Y155" s="89"/>
      <c r="Z155" s="89"/>
      <c r="AA155" s="89"/>
      <c r="AB155" s="89"/>
      <c r="AC155" s="89"/>
      <c r="AD155" s="89"/>
      <c r="AE155" s="89"/>
      <c r="AF155" s="89"/>
      <c r="AG155" s="89"/>
      <c r="AH155" s="89"/>
      <c r="AI155" s="89"/>
      <c r="AJ155" s="89"/>
      <c r="AK155" s="89"/>
      <c r="AL155" s="89"/>
      <c r="AM155" s="89"/>
      <c r="AN155" s="89"/>
      <c r="AO155" s="89"/>
      <c r="AP155" s="89"/>
      <c r="AQ155" s="89"/>
      <c r="AR155" s="89"/>
      <c r="AS155" s="89"/>
      <c r="AT155" s="89"/>
      <c r="AU155" s="89"/>
      <c r="AV155" s="89"/>
      <c r="AW155" s="89"/>
      <c r="AX155" s="89"/>
    </row>
    <row r="156" spans="17:50" x14ac:dyDescent="0.25">
      <c r="Q156" s="119"/>
      <c r="R156" s="119"/>
      <c r="S156" s="119"/>
      <c r="V156" s="89"/>
      <c r="W156" s="89"/>
      <c r="X156" s="89"/>
      <c r="Y156" s="89"/>
      <c r="Z156" s="89"/>
      <c r="AA156" s="89"/>
      <c r="AB156" s="89"/>
      <c r="AC156" s="89"/>
      <c r="AD156" s="89"/>
      <c r="AE156" s="89"/>
      <c r="AF156" s="89"/>
      <c r="AG156" s="89"/>
      <c r="AH156" s="89"/>
      <c r="AI156" s="89"/>
      <c r="AJ156" s="89"/>
      <c r="AK156" s="89"/>
      <c r="AL156" s="89"/>
      <c r="AM156" s="89"/>
      <c r="AN156" s="89"/>
      <c r="AO156" s="89"/>
      <c r="AP156" s="89"/>
      <c r="AQ156" s="89"/>
      <c r="AR156" s="89"/>
      <c r="AS156" s="89"/>
      <c r="AT156" s="89"/>
      <c r="AU156" s="89"/>
      <c r="AV156" s="89"/>
      <c r="AW156" s="89"/>
      <c r="AX156" s="89"/>
    </row>
    <row r="157" spans="17:50" x14ac:dyDescent="0.25">
      <c r="Q157" s="119"/>
      <c r="R157" s="119"/>
      <c r="S157" s="119"/>
      <c r="V157" s="89"/>
      <c r="W157" s="89"/>
      <c r="X157" s="89"/>
      <c r="Y157" s="89"/>
      <c r="Z157" s="89"/>
      <c r="AA157" s="89"/>
      <c r="AB157" s="89"/>
      <c r="AC157" s="89"/>
      <c r="AD157" s="89"/>
      <c r="AE157" s="89"/>
      <c r="AF157" s="89"/>
      <c r="AG157" s="89"/>
      <c r="AH157" s="89"/>
      <c r="AI157" s="89"/>
      <c r="AJ157" s="89"/>
      <c r="AK157" s="89"/>
      <c r="AL157" s="89"/>
      <c r="AM157" s="89"/>
      <c r="AN157" s="89"/>
      <c r="AO157" s="89"/>
      <c r="AP157" s="89"/>
      <c r="AQ157" s="89"/>
      <c r="AR157" s="89"/>
      <c r="AS157" s="89"/>
      <c r="AT157" s="89"/>
      <c r="AU157" s="89"/>
      <c r="AV157" s="89"/>
      <c r="AW157" s="89"/>
      <c r="AX157" s="89"/>
    </row>
    <row r="158" spans="17:50" x14ac:dyDescent="0.25">
      <c r="Q158" s="119"/>
      <c r="R158" s="119"/>
      <c r="S158" s="119"/>
      <c r="V158" s="89"/>
      <c r="W158" s="89"/>
      <c r="X158" s="89"/>
      <c r="Y158" s="89"/>
      <c r="Z158" s="89"/>
      <c r="AA158" s="89"/>
      <c r="AB158" s="89"/>
      <c r="AC158" s="89"/>
      <c r="AD158" s="89"/>
      <c r="AE158" s="89"/>
      <c r="AF158" s="89"/>
      <c r="AG158" s="89"/>
      <c r="AH158" s="89"/>
      <c r="AI158" s="89"/>
      <c r="AJ158" s="89"/>
      <c r="AK158" s="89"/>
      <c r="AL158" s="89"/>
      <c r="AM158" s="89"/>
      <c r="AN158" s="89"/>
      <c r="AO158" s="89"/>
      <c r="AP158" s="89"/>
      <c r="AQ158" s="89"/>
      <c r="AR158" s="89"/>
      <c r="AS158" s="89"/>
      <c r="AT158" s="89"/>
      <c r="AU158" s="89"/>
      <c r="AV158" s="89"/>
      <c r="AW158" s="89"/>
      <c r="AX158" s="89"/>
    </row>
    <row r="159" spans="17:50" x14ac:dyDescent="0.25">
      <c r="Q159" s="119"/>
      <c r="R159" s="119"/>
      <c r="S159" s="119"/>
      <c r="V159" s="89"/>
      <c r="W159" s="89"/>
      <c r="X159" s="89"/>
      <c r="Y159" s="89"/>
      <c r="Z159" s="89"/>
      <c r="AA159" s="89"/>
      <c r="AB159" s="89"/>
      <c r="AC159" s="89"/>
      <c r="AD159" s="89"/>
      <c r="AE159" s="89"/>
      <c r="AF159" s="89"/>
      <c r="AG159" s="89"/>
      <c r="AH159" s="89"/>
      <c r="AI159" s="89"/>
      <c r="AJ159" s="89"/>
      <c r="AK159" s="89"/>
      <c r="AL159" s="89"/>
      <c r="AM159" s="89"/>
      <c r="AN159" s="89"/>
      <c r="AO159" s="89"/>
      <c r="AP159" s="89"/>
      <c r="AQ159" s="89"/>
      <c r="AR159" s="89"/>
      <c r="AS159" s="89"/>
      <c r="AT159" s="89"/>
      <c r="AU159" s="89"/>
      <c r="AV159" s="89"/>
      <c r="AW159" s="89"/>
      <c r="AX159" s="89"/>
    </row>
    <row r="160" spans="17:50" x14ac:dyDescent="0.25">
      <c r="Q160" s="119"/>
      <c r="R160" s="119"/>
      <c r="S160" s="119"/>
      <c r="V160" s="89"/>
      <c r="W160" s="89"/>
      <c r="X160" s="89"/>
      <c r="Y160" s="89"/>
      <c r="Z160" s="89"/>
      <c r="AA160" s="89"/>
      <c r="AB160" s="89"/>
      <c r="AC160" s="89"/>
      <c r="AD160" s="89"/>
      <c r="AE160" s="89"/>
      <c r="AF160" s="89"/>
      <c r="AG160" s="89"/>
      <c r="AH160" s="89"/>
      <c r="AI160" s="89"/>
      <c r="AJ160" s="89"/>
      <c r="AK160" s="89"/>
      <c r="AL160" s="89"/>
      <c r="AM160" s="89"/>
      <c r="AN160" s="89"/>
      <c r="AO160" s="89"/>
      <c r="AP160" s="89"/>
      <c r="AQ160" s="89"/>
      <c r="AR160" s="89"/>
      <c r="AS160" s="89"/>
      <c r="AT160" s="89"/>
      <c r="AU160" s="89"/>
      <c r="AV160" s="89"/>
      <c r="AW160" s="89"/>
      <c r="AX160" s="89"/>
    </row>
    <row r="161" spans="17:50" x14ac:dyDescent="0.25">
      <c r="Q161" s="119"/>
      <c r="R161" s="119"/>
      <c r="S161" s="119"/>
      <c r="V161" s="89"/>
      <c r="W161" s="89"/>
      <c r="X161" s="89"/>
      <c r="Y161" s="89"/>
      <c r="Z161" s="89"/>
      <c r="AA161" s="89"/>
      <c r="AB161" s="89"/>
      <c r="AC161" s="89"/>
      <c r="AD161" s="89"/>
      <c r="AE161" s="89"/>
      <c r="AF161" s="89"/>
      <c r="AG161" s="89"/>
      <c r="AH161" s="89"/>
      <c r="AI161" s="89"/>
      <c r="AJ161" s="89"/>
      <c r="AK161" s="89"/>
      <c r="AL161" s="89"/>
      <c r="AM161" s="89"/>
      <c r="AN161" s="89"/>
      <c r="AO161" s="89"/>
      <c r="AP161" s="89"/>
      <c r="AQ161" s="89"/>
      <c r="AR161" s="89"/>
      <c r="AS161" s="89"/>
      <c r="AT161" s="89"/>
      <c r="AU161" s="89"/>
      <c r="AV161" s="89"/>
      <c r="AW161" s="89"/>
      <c r="AX161" s="89"/>
    </row>
    <row r="162" spans="17:50" x14ac:dyDescent="0.25">
      <c r="Q162" s="119"/>
      <c r="R162" s="119"/>
      <c r="S162" s="119"/>
      <c r="V162" s="89"/>
      <c r="W162" s="89"/>
      <c r="X162" s="89"/>
      <c r="Y162" s="89"/>
      <c r="Z162" s="89"/>
      <c r="AA162" s="89"/>
      <c r="AB162" s="89"/>
      <c r="AC162" s="89"/>
      <c r="AD162" s="89"/>
      <c r="AE162" s="89"/>
      <c r="AF162" s="89"/>
      <c r="AG162" s="89"/>
      <c r="AH162" s="89"/>
      <c r="AI162" s="89"/>
      <c r="AJ162" s="89"/>
      <c r="AK162" s="89"/>
      <c r="AL162" s="89"/>
      <c r="AM162" s="89"/>
      <c r="AN162" s="89"/>
      <c r="AO162" s="89"/>
      <c r="AP162" s="89"/>
      <c r="AQ162" s="89"/>
      <c r="AR162" s="89"/>
      <c r="AS162" s="89"/>
      <c r="AT162" s="89"/>
      <c r="AU162" s="89"/>
      <c r="AV162" s="89"/>
      <c r="AW162" s="89"/>
      <c r="AX162" s="89"/>
    </row>
    <row r="163" spans="17:50" x14ac:dyDescent="0.25">
      <c r="Q163" s="119"/>
      <c r="R163" s="119"/>
      <c r="S163" s="119"/>
      <c r="V163" s="89"/>
      <c r="W163" s="89"/>
      <c r="X163" s="89"/>
      <c r="Y163" s="89"/>
      <c r="Z163" s="89"/>
      <c r="AA163" s="89"/>
      <c r="AB163" s="89"/>
      <c r="AC163" s="89"/>
      <c r="AD163" s="89"/>
      <c r="AE163" s="89"/>
      <c r="AF163" s="89"/>
      <c r="AG163" s="89"/>
      <c r="AH163" s="89"/>
      <c r="AI163" s="89"/>
      <c r="AJ163" s="89"/>
      <c r="AK163" s="89"/>
      <c r="AL163" s="89"/>
      <c r="AM163" s="89"/>
      <c r="AN163" s="89"/>
      <c r="AO163" s="89"/>
      <c r="AP163" s="89"/>
      <c r="AQ163" s="89"/>
      <c r="AR163" s="89"/>
      <c r="AS163" s="89"/>
      <c r="AT163" s="89"/>
      <c r="AU163" s="89"/>
      <c r="AV163" s="89"/>
      <c r="AW163" s="89"/>
      <c r="AX163" s="89"/>
    </row>
    <row r="164" spans="17:50" x14ac:dyDescent="0.25">
      <c r="Q164" s="119"/>
      <c r="R164" s="119"/>
      <c r="S164" s="119"/>
      <c r="V164" s="89"/>
      <c r="W164" s="89"/>
      <c r="X164" s="89"/>
      <c r="Y164" s="89"/>
      <c r="Z164" s="89"/>
      <c r="AA164" s="89"/>
      <c r="AB164" s="89"/>
      <c r="AC164" s="89"/>
      <c r="AD164" s="89"/>
      <c r="AE164" s="89"/>
      <c r="AF164" s="89"/>
      <c r="AG164" s="89"/>
      <c r="AH164" s="89"/>
      <c r="AI164" s="89"/>
      <c r="AJ164" s="89"/>
      <c r="AK164" s="89"/>
      <c r="AL164" s="89"/>
      <c r="AM164" s="89"/>
      <c r="AN164" s="89"/>
      <c r="AO164" s="89"/>
      <c r="AP164" s="89"/>
      <c r="AQ164" s="89"/>
      <c r="AR164" s="89"/>
      <c r="AS164" s="89"/>
      <c r="AT164" s="89"/>
      <c r="AU164" s="89"/>
      <c r="AV164" s="89"/>
      <c r="AW164" s="89"/>
      <c r="AX164" s="89"/>
    </row>
    <row r="165" spans="17:50" x14ac:dyDescent="0.25">
      <c r="Q165" s="119"/>
      <c r="R165" s="119"/>
      <c r="S165" s="119"/>
      <c r="V165" s="89"/>
      <c r="W165" s="89"/>
      <c r="X165" s="89"/>
      <c r="Y165" s="89"/>
      <c r="Z165" s="89"/>
      <c r="AA165" s="89"/>
      <c r="AB165" s="89"/>
      <c r="AC165" s="89"/>
      <c r="AD165" s="89"/>
      <c r="AE165" s="89"/>
      <c r="AF165" s="89"/>
      <c r="AG165" s="89"/>
      <c r="AH165" s="89"/>
      <c r="AI165" s="89"/>
      <c r="AJ165" s="89"/>
      <c r="AK165" s="89"/>
      <c r="AL165" s="89"/>
      <c r="AM165" s="89"/>
      <c r="AN165" s="89"/>
      <c r="AO165" s="89"/>
      <c r="AP165" s="89"/>
      <c r="AQ165" s="89"/>
      <c r="AR165" s="89"/>
      <c r="AS165" s="89"/>
      <c r="AT165" s="89"/>
      <c r="AU165" s="89"/>
      <c r="AV165" s="89"/>
      <c r="AW165" s="89"/>
      <c r="AX165" s="89"/>
    </row>
    <row r="166" spans="17:50" x14ac:dyDescent="0.25">
      <c r="Q166" s="119"/>
      <c r="R166" s="119"/>
      <c r="S166" s="119"/>
      <c r="V166" s="89"/>
      <c r="W166" s="89"/>
      <c r="X166" s="89"/>
      <c r="Y166" s="89"/>
      <c r="Z166" s="89"/>
      <c r="AA166" s="89"/>
      <c r="AB166" s="89"/>
      <c r="AC166" s="89"/>
      <c r="AD166" s="89"/>
      <c r="AE166" s="89"/>
      <c r="AF166" s="89"/>
      <c r="AG166" s="89"/>
      <c r="AH166" s="89"/>
      <c r="AI166" s="89"/>
      <c r="AJ166" s="89"/>
      <c r="AK166" s="89"/>
      <c r="AL166" s="89"/>
      <c r="AM166" s="89"/>
      <c r="AN166" s="89"/>
      <c r="AO166" s="89"/>
      <c r="AP166" s="89"/>
      <c r="AQ166" s="89"/>
      <c r="AR166" s="89"/>
      <c r="AS166" s="89"/>
      <c r="AT166" s="89"/>
      <c r="AU166" s="89"/>
      <c r="AV166" s="89"/>
      <c r="AW166" s="89"/>
      <c r="AX166" s="89"/>
    </row>
    <row r="167" spans="17:50" x14ac:dyDescent="0.25">
      <c r="Q167" s="119"/>
      <c r="R167" s="119"/>
      <c r="S167" s="119"/>
      <c r="V167" s="89"/>
      <c r="W167" s="89"/>
      <c r="X167" s="89"/>
      <c r="Y167" s="89"/>
      <c r="Z167" s="89"/>
      <c r="AA167" s="89"/>
      <c r="AB167" s="89"/>
      <c r="AC167" s="89"/>
      <c r="AD167" s="89"/>
      <c r="AE167" s="89"/>
      <c r="AF167" s="89"/>
      <c r="AG167" s="89"/>
      <c r="AH167" s="89"/>
      <c r="AI167" s="89"/>
      <c r="AJ167" s="89"/>
      <c r="AK167" s="89"/>
      <c r="AL167" s="89"/>
      <c r="AM167" s="89"/>
      <c r="AN167" s="89"/>
      <c r="AO167" s="89"/>
      <c r="AP167" s="89"/>
      <c r="AQ167" s="89"/>
      <c r="AR167" s="89"/>
      <c r="AS167" s="89"/>
      <c r="AT167" s="89"/>
      <c r="AU167" s="89"/>
      <c r="AV167" s="89"/>
      <c r="AW167" s="89"/>
      <c r="AX167" s="89"/>
    </row>
    <row r="168" spans="17:50" x14ac:dyDescent="0.25">
      <c r="Q168" s="119"/>
      <c r="R168" s="119"/>
      <c r="S168" s="119"/>
      <c r="V168" s="89"/>
      <c r="W168" s="89"/>
      <c r="X168" s="89"/>
      <c r="Y168" s="89"/>
      <c r="Z168" s="89"/>
      <c r="AA168" s="89"/>
      <c r="AB168" s="89"/>
      <c r="AC168" s="89"/>
      <c r="AD168" s="89"/>
      <c r="AE168" s="89"/>
      <c r="AF168" s="89"/>
      <c r="AG168" s="89"/>
      <c r="AH168" s="89"/>
      <c r="AI168" s="89"/>
      <c r="AJ168" s="89"/>
      <c r="AK168" s="89"/>
      <c r="AL168" s="89"/>
      <c r="AM168" s="89"/>
      <c r="AN168" s="89"/>
      <c r="AO168" s="89"/>
      <c r="AP168" s="89"/>
      <c r="AQ168" s="89"/>
      <c r="AR168" s="89"/>
      <c r="AS168" s="89"/>
      <c r="AT168" s="89"/>
      <c r="AU168" s="89"/>
      <c r="AV168" s="89"/>
      <c r="AW168" s="89"/>
      <c r="AX168" s="89"/>
    </row>
    <row r="169" spans="17:50" x14ac:dyDescent="0.25">
      <c r="Q169" s="119"/>
      <c r="R169" s="119"/>
      <c r="S169" s="119"/>
      <c r="V169" s="89"/>
      <c r="W169" s="89"/>
      <c r="X169" s="89"/>
      <c r="Y169" s="89"/>
      <c r="Z169" s="89"/>
      <c r="AA169" s="89"/>
      <c r="AB169" s="89"/>
      <c r="AC169" s="89"/>
      <c r="AD169" s="89"/>
      <c r="AE169" s="89"/>
      <c r="AF169" s="89"/>
      <c r="AG169" s="89"/>
      <c r="AH169" s="89"/>
      <c r="AI169" s="89"/>
      <c r="AJ169" s="89"/>
      <c r="AK169" s="89"/>
      <c r="AL169" s="89"/>
      <c r="AM169" s="89"/>
      <c r="AN169" s="89"/>
      <c r="AO169" s="89"/>
      <c r="AP169" s="89"/>
      <c r="AQ169" s="89"/>
      <c r="AR169" s="89"/>
      <c r="AS169" s="89"/>
      <c r="AT169" s="89"/>
      <c r="AU169" s="89"/>
      <c r="AV169" s="89"/>
      <c r="AW169" s="89"/>
      <c r="AX169" s="89"/>
    </row>
    <row r="170" spans="17:50" x14ac:dyDescent="0.25">
      <c r="Q170" s="119"/>
      <c r="R170" s="119"/>
      <c r="S170" s="119"/>
      <c r="V170" s="89"/>
      <c r="W170" s="89"/>
      <c r="X170" s="89"/>
      <c r="Y170" s="89"/>
      <c r="Z170" s="89"/>
      <c r="AA170" s="89"/>
      <c r="AB170" s="89"/>
      <c r="AC170" s="89"/>
      <c r="AD170" s="89"/>
      <c r="AE170" s="89"/>
      <c r="AF170" s="89"/>
      <c r="AG170" s="89"/>
      <c r="AH170" s="89"/>
      <c r="AI170" s="89"/>
      <c r="AJ170" s="89"/>
      <c r="AK170" s="89"/>
      <c r="AL170" s="89"/>
      <c r="AM170" s="89"/>
      <c r="AN170" s="89"/>
      <c r="AO170" s="89"/>
      <c r="AP170" s="89"/>
      <c r="AQ170" s="89"/>
      <c r="AR170" s="89"/>
      <c r="AS170" s="89"/>
      <c r="AT170" s="89"/>
      <c r="AU170" s="89"/>
      <c r="AV170" s="89"/>
      <c r="AW170" s="89"/>
      <c r="AX170" s="89"/>
    </row>
    <row r="171" spans="17:50" x14ac:dyDescent="0.25">
      <c r="Q171" s="119"/>
      <c r="R171" s="119"/>
      <c r="S171" s="119"/>
      <c r="V171" s="89"/>
      <c r="W171" s="89"/>
      <c r="X171" s="89"/>
      <c r="Y171" s="89"/>
      <c r="Z171" s="89"/>
      <c r="AA171" s="89"/>
      <c r="AB171" s="89"/>
      <c r="AC171" s="89"/>
      <c r="AD171" s="89"/>
      <c r="AE171" s="89"/>
      <c r="AF171" s="89"/>
      <c r="AG171" s="89"/>
      <c r="AH171" s="89"/>
      <c r="AI171" s="89"/>
      <c r="AJ171" s="89"/>
      <c r="AK171" s="89"/>
      <c r="AL171" s="89"/>
      <c r="AM171" s="89"/>
      <c r="AN171" s="89"/>
      <c r="AO171" s="89"/>
      <c r="AP171" s="89"/>
      <c r="AQ171" s="89"/>
      <c r="AR171" s="89"/>
      <c r="AS171" s="89"/>
      <c r="AT171" s="89"/>
      <c r="AU171" s="89"/>
      <c r="AV171" s="89"/>
      <c r="AW171" s="89"/>
      <c r="AX171" s="89"/>
    </row>
    <row r="172" spans="17:50" x14ac:dyDescent="0.25">
      <c r="Q172" s="119"/>
      <c r="R172" s="119"/>
      <c r="S172" s="119"/>
      <c r="V172" s="89"/>
      <c r="W172" s="89"/>
      <c r="X172" s="89"/>
      <c r="Y172" s="89"/>
      <c r="Z172" s="89"/>
      <c r="AA172" s="89"/>
      <c r="AB172" s="89"/>
      <c r="AC172" s="89"/>
      <c r="AD172" s="89"/>
      <c r="AE172" s="89"/>
      <c r="AF172" s="89"/>
      <c r="AG172" s="89"/>
      <c r="AH172" s="89"/>
      <c r="AI172" s="89"/>
      <c r="AJ172" s="89"/>
      <c r="AK172" s="89"/>
      <c r="AL172" s="89"/>
      <c r="AM172" s="89"/>
      <c r="AN172" s="89"/>
      <c r="AO172" s="89"/>
      <c r="AP172" s="89"/>
      <c r="AQ172" s="89"/>
      <c r="AR172" s="89"/>
      <c r="AS172" s="89"/>
      <c r="AT172" s="89"/>
      <c r="AU172" s="89"/>
      <c r="AV172" s="89"/>
      <c r="AW172" s="89"/>
      <c r="AX172" s="89"/>
    </row>
    <row r="173" spans="17:50" x14ac:dyDescent="0.25">
      <c r="Q173" s="119"/>
      <c r="R173" s="119"/>
      <c r="S173" s="119"/>
      <c r="V173" s="89"/>
      <c r="W173" s="89"/>
      <c r="X173" s="89"/>
      <c r="Y173" s="89"/>
      <c r="Z173" s="89"/>
      <c r="AA173" s="89"/>
      <c r="AB173" s="89"/>
      <c r="AC173" s="89"/>
      <c r="AD173" s="89"/>
      <c r="AE173" s="89"/>
      <c r="AF173" s="89"/>
      <c r="AG173" s="89"/>
      <c r="AH173" s="89"/>
      <c r="AI173" s="89"/>
      <c r="AJ173" s="89"/>
      <c r="AK173" s="89"/>
      <c r="AL173" s="89"/>
      <c r="AM173" s="89"/>
      <c r="AN173" s="89"/>
      <c r="AO173" s="89"/>
      <c r="AP173" s="89"/>
      <c r="AQ173" s="89"/>
      <c r="AR173" s="89"/>
      <c r="AS173" s="89"/>
      <c r="AT173" s="89"/>
      <c r="AU173" s="89"/>
      <c r="AV173" s="89"/>
      <c r="AW173" s="89"/>
      <c r="AX173" s="89"/>
    </row>
    <row r="174" spans="17:50" x14ac:dyDescent="0.25">
      <c r="Q174" s="119"/>
      <c r="R174" s="119"/>
      <c r="S174" s="119"/>
      <c r="V174" s="89"/>
      <c r="W174" s="89"/>
      <c r="X174" s="89"/>
      <c r="Y174" s="89"/>
      <c r="Z174" s="89"/>
      <c r="AA174" s="89"/>
      <c r="AB174" s="89"/>
      <c r="AC174" s="89"/>
      <c r="AD174" s="89"/>
      <c r="AE174" s="89"/>
      <c r="AF174" s="89"/>
      <c r="AG174" s="89"/>
      <c r="AH174" s="89"/>
      <c r="AI174" s="89"/>
      <c r="AJ174" s="89"/>
      <c r="AK174" s="89"/>
      <c r="AL174" s="89"/>
      <c r="AM174" s="89"/>
      <c r="AN174" s="89"/>
      <c r="AO174" s="89"/>
      <c r="AP174" s="89"/>
      <c r="AQ174" s="89"/>
      <c r="AR174" s="89"/>
      <c r="AS174" s="89"/>
      <c r="AT174" s="89"/>
      <c r="AU174" s="89"/>
      <c r="AV174" s="89"/>
      <c r="AW174" s="89"/>
      <c r="AX174" s="89"/>
    </row>
    <row r="175" spans="17:50" x14ac:dyDescent="0.25">
      <c r="Q175" s="119"/>
      <c r="R175" s="119"/>
      <c r="S175" s="119"/>
      <c r="V175" s="89"/>
      <c r="W175" s="89"/>
      <c r="X175" s="89"/>
      <c r="Y175" s="89"/>
      <c r="Z175" s="89"/>
      <c r="AA175" s="89"/>
      <c r="AB175" s="89"/>
      <c r="AC175" s="89"/>
      <c r="AD175" s="89"/>
      <c r="AE175" s="89"/>
      <c r="AF175" s="89"/>
      <c r="AG175" s="89"/>
      <c r="AH175" s="89"/>
      <c r="AI175" s="89"/>
      <c r="AJ175" s="89"/>
      <c r="AK175" s="89"/>
      <c r="AL175" s="89"/>
      <c r="AM175" s="89"/>
      <c r="AN175" s="89"/>
      <c r="AO175" s="89"/>
      <c r="AP175" s="89"/>
      <c r="AQ175" s="89"/>
      <c r="AR175" s="89"/>
      <c r="AS175" s="89"/>
      <c r="AT175" s="89"/>
      <c r="AU175" s="89"/>
      <c r="AV175" s="89"/>
      <c r="AW175" s="89"/>
      <c r="AX175" s="89"/>
    </row>
    <row r="176" spans="17:50" x14ac:dyDescent="0.25">
      <c r="Q176" s="119"/>
      <c r="R176" s="119"/>
      <c r="S176" s="119"/>
      <c r="V176" s="89"/>
      <c r="W176" s="89"/>
      <c r="X176" s="89"/>
      <c r="Y176" s="89"/>
      <c r="Z176" s="89"/>
      <c r="AA176" s="89"/>
      <c r="AB176" s="89"/>
      <c r="AC176" s="89"/>
      <c r="AD176" s="89"/>
      <c r="AE176" s="89"/>
      <c r="AF176" s="89"/>
      <c r="AG176" s="89"/>
      <c r="AH176" s="89"/>
      <c r="AI176" s="89"/>
      <c r="AJ176" s="89"/>
      <c r="AK176" s="89"/>
      <c r="AL176" s="89"/>
      <c r="AM176" s="89"/>
      <c r="AN176" s="89"/>
      <c r="AO176" s="89"/>
      <c r="AP176" s="89"/>
      <c r="AQ176" s="89"/>
      <c r="AR176" s="89"/>
      <c r="AS176" s="89"/>
      <c r="AT176" s="89"/>
      <c r="AU176" s="89"/>
      <c r="AV176" s="89"/>
      <c r="AW176" s="89"/>
      <c r="AX176" s="89"/>
    </row>
    <row r="177" spans="17:50" x14ac:dyDescent="0.25">
      <c r="Q177" s="119"/>
      <c r="R177" s="119"/>
      <c r="S177" s="119"/>
      <c r="V177" s="89"/>
      <c r="W177" s="89"/>
      <c r="X177" s="89"/>
      <c r="Y177" s="89"/>
      <c r="Z177" s="89"/>
      <c r="AA177" s="89"/>
      <c r="AB177" s="89"/>
      <c r="AC177" s="89"/>
      <c r="AD177" s="89"/>
      <c r="AE177" s="89"/>
      <c r="AF177" s="89"/>
      <c r="AG177" s="89"/>
      <c r="AH177" s="89"/>
      <c r="AI177" s="89"/>
      <c r="AJ177" s="89"/>
      <c r="AK177" s="89"/>
      <c r="AL177" s="89"/>
      <c r="AM177" s="89"/>
      <c r="AN177" s="89"/>
      <c r="AO177" s="89"/>
      <c r="AP177" s="89"/>
      <c r="AQ177" s="89"/>
      <c r="AR177" s="89"/>
      <c r="AS177" s="89"/>
      <c r="AT177" s="89"/>
      <c r="AU177" s="89"/>
      <c r="AV177" s="89"/>
      <c r="AW177" s="89"/>
      <c r="AX177" s="89"/>
    </row>
    <row r="178" spans="17:50" x14ac:dyDescent="0.25">
      <c r="Q178" s="119"/>
      <c r="R178" s="119"/>
      <c r="S178" s="119"/>
      <c r="V178" s="89"/>
      <c r="W178" s="89"/>
      <c r="X178" s="89"/>
      <c r="Y178" s="89"/>
      <c r="Z178" s="89"/>
      <c r="AA178" s="89"/>
      <c r="AB178" s="89"/>
      <c r="AC178" s="89"/>
      <c r="AD178" s="89"/>
      <c r="AE178" s="89"/>
      <c r="AF178" s="89"/>
      <c r="AG178" s="89"/>
      <c r="AH178" s="89"/>
      <c r="AI178" s="89"/>
      <c r="AJ178" s="89"/>
      <c r="AK178" s="89"/>
      <c r="AL178" s="89"/>
      <c r="AM178" s="89"/>
      <c r="AN178" s="89"/>
      <c r="AO178" s="89"/>
      <c r="AP178" s="89"/>
      <c r="AQ178" s="89"/>
      <c r="AR178" s="89"/>
      <c r="AS178" s="89"/>
      <c r="AT178" s="89"/>
      <c r="AU178" s="89"/>
      <c r="AV178" s="89"/>
      <c r="AW178" s="89"/>
      <c r="AX178" s="89"/>
    </row>
    <row r="179" spans="17:50" x14ac:dyDescent="0.25">
      <c r="Q179" s="119"/>
      <c r="R179" s="119"/>
      <c r="S179" s="119"/>
      <c r="V179" s="89"/>
      <c r="W179" s="89"/>
      <c r="X179" s="89"/>
      <c r="Y179" s="89"/>
      <c r="Z179" s="89"/>
      <c r="AA179" s="89"/>
      <c r="AB179" s="89"/>
      <c r="AC179" s="89"/>
      <c r="AD179" s="89"/>
      <c r="AE179" s="89"/>
      <c r="AF179" s="89"/>
      <c r="AG179" s="89"/>
      <c r="AH179" s="89"/>
      <c r="AI179" s="89"/>
      <c r="AJ179" s="89"/>
      <c r="AK179" s="89"/>
      <c r="AL179" s="89"/>
      <c r="AM179" s="89"/>
      <c r="AN179" s="89"/>
      <c r="AO179" s="89"/>
      <c r="AP179" s="89"/>
      <c r="AQ179" s="89"/>
      <c r="AR179" s="89"/>
      <c r="AS179" s="89"/>
      <c r="AT179" s="89"/>
      <c r="AU179" s="89"/>
      <c r="AV179" s="89"/>
      <c r="AW179" s="89"/>
      <c r="AX179" s="89"/>
    </row>
    <row r="180" spans="17:50" x14ac:dyDescent="0.25">
      <c r="Q180" s="119"/>
      <c r="R180" s="119"/>
      <c r="S180" s="119"/>
      <c r="V180" s="89"/>
      <c r="W180" s="89"/>
      <c r="X180" s="89"/>
      <c r="Y180" s="89"/>
      <c r="Z180" s="89"/>
      <c r="AA180" s="89"/>
      <c r="AB180" s="89"/>
      <c r="AC180" s="89"/>
      <c r="AD180" s="89"/>
      <c r="AE180" s="89"/>
      <c r="AF180" s="89"/>
      <c r="AG180" s="89"/>
      <c r="AH180" s="89"/>
      <c r="AI180" s="89"/>
      <c r="AJ180" s="89"/>
      <c r="AK180" s="89"/>
      <c r="AL180" s="89"/>
      <c r="AM180" s="89"/>
      <c r="AN180" s="89"/>
      <c r="AO180" s="89"/>
      <c r="AP180" s="89"/>
      <c r="AQ180" s="89"/>
      <c r="AR180" s="89"/>
      <c r="AS180" s="89"/>
      <c r="AT180" s="89"/>
      <c r="AU180" s="89"/>
      <c r="AV180" s="89"/>
      <c r="AW180" s="89"/>
      <c r="AX180" s="89"/>
    </row>
    <row r="181" spans="17:50" x14ac:dyDescent="0.25">
      <c r="Q181" s="119"/>
      <c r="R181" s="119"/>
      <c r="S181" s="119"/>
      <c r="V181" s="89"/>
      <c r="W181" s="89"/>
      <c r="X181" s="89"/>
      <c r="Y181" s="89"/>
      <c r="Z181" s="89"/>
      <c r="AA181" s="89"/>
      <c r="AB181" s="89"/>
      <c r="AC181" s="89"/>
      <c r="AD181" s="89"/>
      <c r="AE181" s="89"/>
      <c r="AF181" s="89"/>
      <c r="AG181" s="89"/>
      <c r="AH181" s="89"/>
      <c r="AI181" s="89"/>
      <c r="AJ181" s="89"/>
      <c r="AK181" s="89"/>
      <c r="AL181" s="89"/>
      <c r="AM181" s="89"/>
      <c r="AN181" s="89"/>
      <c r="AO181" s="89"/>
      <c r="AP181" s="89"/>
      <c r="AQ181" s="89"/>
      <c r="AR181" s="89"/>
      <c r="AS181" s="89"/>
      <c r="AT181" s="89"/>
      <c r="AU181" s="89"/>
      <c r="AV181" s="89"/>
      <c r="AW181" s="89"/>
      <c r="AX181" s="89"/>
    </row>
    <row r="182" spans="17:50" x14ac:dyDescent="0.25">
      <c r="Q182" s="119"/>
      <c r="R182" s="119"/>
      <c r="S182" s="119"/>
      <c r="V182" s="89"/>
      <c r="W182" s="89"/>
      <c r="X182" s="89"/>
      <c r="Y182" s="89"/>
      <c r="Z182" s="89"/>
      <c r="AA182" s="89"/>
      <c r="AB182" s="89"/>
      <c r="AC182" s="89"/>
      <c r="AD182" s="89"/>
      <c r="AE182" s="89"/>
      <c r="AF182" s="89"/>
      <c r="AG182" s="89"/>
      <c r="AH182" s="89"/>
      <c r="AI182" s="89"/>
      <c r="AJ182" s="89"/>
      <c r="AK182" s="89"/>
      <c r="AL182" s="89"/>
      <c r="AM182" s="89"/>
      <c r="AN182" s="89"/>
      <c r="AO182" s="89"/>
      <c r="AP182" s="89"/>
      <c r="AQ182" s="89"/>
      <c r="AR182" s="89"/>
      <c r="AS182" s="89"/>
      <c r="AT182" s="89"/>
      <c r="AU182" s="89"/>
      <c r="AV182" s="89"/>
      <c r="AW182" s="89"/>
      <c r="AX182" s="89"/>
    </row>
    <row r="183" spans="17:50" x14ac:dyDescent="0.25">
      <c r="Q183" s="119"/>
      <c r="R183" s="119"/>
      <c r="S183" s="119"/>
      <c r="V183" s="89"/>
      <c r="W183" s="89"/>
      <c r="X183" s="89"/>
      <c r="Y183" s="89"/>
      <c r="Z183" s="89"/>
      <c r="AA183" s="89"/>
      <c r="AB183" s="89"/>
      <c r="AC183" s="89"/>
      <c r="AD183" s="89"/>
      <c r="AE183" s="89"/>
      <c r="AF183" s="89"/>
      <c r="AG183" s="89"/>
      <c r="AH183" s="89"/>
      <c r="AI183" s="89"/>
      <c r="AJ183" s="89"/>
      <c r="AK183" s="89"/>
      <c r="AL183" s="89"/>
      <c r="AM183" s="89"/>
      <c r="AN183" s="89"/>
      <c r="AO183" s="89"/>
      <c r="AP183" s="89"/>
      <c r="AQ183" s="89"/>
      <c r="AR183" s="89"/>
      <c r="AS183" s="89"/>
      <c r="AT183" s="89"/>
      <c r="AU183" s="89"/>
      <c r="AV183" s="89"/>
      <c r="AW183" s="89"/>
      <c r="AX183" s="89"/>
    </row>
    <row r="184" spans="17:50" x14ac:dyDescent="0.25">
      <c r="Q184" s="119"/>
      <c r="R184" s="119"/>
      <c r="S184" s="119"/>
      <c r="V184" s="89"/>
      <c r="W184" s="89"/>
      <c r="X184" s="89"/>
      <c r="Y184" s="89"/>
      <c r="Z184" s="89"/>
      <c r="AA184" s="89"/>
      <c r="AB184" s="89"/>
      <c r="AC184" s="89"/>
      <c r="AD184" s="89"/>
      <c r="AE184" s="89"/>
      <c r="AF184" s="89"/>
      <c r="AG184" s="89"/>
      <c r="AH184" s="89"/>
      <c r="AI184" s="89"/>
      <c r="AJ184" s="89"/>
      <c r="AK184" s="89"/>
      <c r="AL184" s="89"/>
      <c r="AM184" s="89"/>
      <c r="AN184" s="89"/>
      <c r="AO184" s="89"/>
      <c r="AP184" s="89"/>
      <c r="AQ184" s="89"/>
      <c r="AR184" s="89"/>
      <c r="AS184" s="89"/>
      <c r="AT184" s="89"/>
      <c r="AU184" s="89"/>
      <c r="AV184" s="89"/>
      <c r="AW184" s="89"/>
      <c r="AX184" s="89"/>
    </row>
    <row r="185" spans="17:50" x14ac:dyDescent="0.25">
      <c r="Q185" s="119"/>
      <c r="R185" s="119"/>
      <c r="S185" s="119"/>
      <c r="V185" s="89"/>
      <c r="W185" s="89"/>
      <c r="X185" s="89"/>
      <c r="Y185" s="89"/>
      <c r="Z185" s="89"/>
      <c r="AA185" s="89"/>
      <c r="AB185" s="89"/>
      <c r="AC185" s="89"/>
      <c r="AD185" s="89"/>
      <c r="AE185" s="89"/>
      <c r="AF185" s="89"/>
      <c r="AG185" s="89"/>
      <c r="AH185" s="89"/>
      <c r="AI185" s="89"/>
      <c r="AJ185" s="89"/>
      <c r="AK185" s="89"/>
      <c r="AL185" s="89"/>
      <c r="AM185" s="89"/>
      <c r="AN185" s="89"/>
      <c r="AO185" s="89"/>
      <c r="AP185" s="89"/>
      <c r="AQ185" s="89"/>
      <c r="AR185" s="89"/>
      <c r="AS185" s="89"/>
      <c r="AT185" s="89"/>
      <c r="AU185" s="89"/>
      <c r="AV185" s="89"/>
      <c r="AW185" s="89"/>
      <c r="AX185" s="89"/>
    </row>
    <row r="186" spans="17:50" x14ac:dyDescent="0.25">
      <c r="Q186" s="119"/>
      <c r="R186" s="119"/>
      <c r="S186" s="119"/>
      <c r="V186" s="89"/>
      <c r="W186" s="89"/>
      <c r="X186" s="89"/>
      <c r="Y186" s="89"/>
      <c r="Z186" s="89"/>
      <c r="AA186" s="89"/>
      <c r="AB186" s="89"/>
      <c r="AC186" s="89"/>
      <c r="AD186" s="89"/>
      <c r="AE186" s="89"/>
      <c r="AF186" s="89"/>
      <c r="AG186" s="89"/>
      <c r="AH186" s="89"/>
      <c r="AI186" s="89"/>
      <c r="AJ186" s="89"/>
      <c r="AK186" s="89"/>
      <c r="AL186" s="89"/>
      <c r="AM186" s="89"/>
      <c r="AN186" s="89"/>
      <c r="AO186" s="89"/>
      <c r="AP186" s="89"/>
      <c r="AQ186" s="89"/>
      <c r="AR186" s="89"/>
      <c r="AS186" s="89"/>
      <c r="AT186" s="89"/>
      <c r="AU186" s="89"/>
      <c r="AV186" s="89"/>
      <c r="AW186" s="89"/>
      <c r="AX186" s="89"/>
    </row>
    <row r="187" spans="17:50" x14ac:dyDescent="0.25">
      <c r="Q187" s="119"/>
      <c r="R187" s="119"/>
      <c r="S187" s="119"/>
      <c r="V187" s="89"/>
      <c r="W187" s="89"/>
      <c r="X187" s="89"/>
      <c r="Y187" s="89"/>
      <c r="Z187" s="89"/>
      <c r="AA187" s="89"/>
      <c r="AB187" s="89"/>
      <c r="AC187" s="89"/>
      <c r="AD187" s="89"/>
      <c r="AE187" s="89"/>
      <c r="AF187" s="89"/>
      <c r="AG187" s="89"/>
      <c r="AH187" s="89"/>
      <c r="AI187" s="89"/>
      <c r="AJ187" s="89"/>
      <c r="AK187" s="89"/>
      <c r="AL187" s="89"/>
      <c r="AM187" s="89"/>
      <c r="AN187" s="89"/>
      <c r="AO187" s="89"/>
      <c r="AP187" s="89"/>
      <c r="AQ187" s="89"/>
      <c r="AR187" s="89"/>
      <c r="AS187" s="89"/>
      <c r="AT187" s="89"/>
      <c r="AU187" s="89"/>
      <c r="AV187" s="89"/>
      <c r="AW187" s="89"/>
      <c r="AX187" s="89"/>
    </row>
    <row r="188" spans="17:50" x14ac:dyDescent="0.25">
      <c r="Q188" s="119"/>
      <c r="R188" s="119"/>
      <c r="S188" s="119"/>
      <c r="V188" s="89"/>
      <c r="W188" s="89"/>
      <c r="X188" s="89"/>
      <c r="Y188" s="89"/>
      <c r="Z188" s="89"/>
      <c r="AA188" s="89"/>
      <c r="AB188" s="89"/>
      <c r="AC188" s="89"/>
      <c r="AD188" s="89"/>
      <c r="AE188" s="89"/>
      <c r="AF188" s="89"/>
      <c r="AG188" s="89"/>
      <c r="AH188" s="89"/>
      <c r="AI188" s="89"/>
      <c r="AJ188" s="89"/>
      <c r="AK188" s="89"/>
      <c r="AL188" s="89"/>
      <c r="AM188" s="89"/>
      <c r="AN188" s="89"/>
      <c r="AO188" s="89"/>
      <c r="AP188" s="89"/>
      <c r="AQ188" s="89"/>
      <c r="AR188" s="89"/>
      <c r="AS188" s="89"/>
      <c r="AT188" s="89"/>
      <c r="AU188" s="89"/>
      <c r="AV188" s="89"/>
      <c r="AW188" s="89"/>
      <c r="AX188" s="89"/>
    </row>
    <row r="189" spans="17:50" x14ac:dyDescent="0.25">
      <c r="Q189" s="119"/>
      <c r="R189" s="119"/>
      <c r="S189" s="119"/>
      <c r="V189" s="89"/>
      <c r="W189" s="89"/>
      <c r="X189" s="89"/>
      <c r="Y189" s="89"/>
      <c r="Z189" s="89"/>
      <c r="AA189" s="89"/>
      <c r="AB189" s="89"/>
      <c r="AC189" s="89"/>
      <c r="AD189" s="89"/>
      <c r="AE189" s="89"/>
      <c r="AF189" s="89"/>
      <c r="AG189" s="89"/>
      <c r="AH189" s="89"/>
      <c r="AI189" s="89"/>
      <c r="AJ189" s="89"/>
      <c r="AK189" s="89"/>
      <c r="AL189" s="89"/>
      <c r="AM189" s="89"/>
      <c r="AN189" s="89"/>
      <c r="AO189" s="89"/>
      <c r="AP189" s="89"/>
      <c r="AQ189" s="89"/>
      <c r="AR189" s="89"/>
      <c r="AS189" s="89"/>
      <c r="AT189" s="89"/>
      <c r="AU189" s="89"/>
      <c r="AV189" s="89"/>
      <c r="AW189" s="89"/>
      <c r="AX189" s="89"/>
    </row>
    <row r="190" spans="17:50" x14ac:dyDescent="0.25">
      <c r="Q190" s="119"/>
      <c r="R190" s="119"/>
      <c r="S190" s="119"/>
      <c r="V190" s="89"/>
      <c r="W190" s="89"/>
      <c r="X190" s="89"/>
      <c r="Y190" s="89"/>
      <c r="Z190" s="89"/>
      <c r="AA190" s="89"/>
      <c r="AB190" s="89"/>
      <c r="AC190" s="89"/>
      <c r="AD190" s="89"/>
      <c r="AE190" s="89"/>
      <c r="AF190" s="89"/>
      <c r="AG190" s="89"/>
      <c r="AH190" s="89"/>
      <c r="AI190" s="89"/>
      <c r="AJ190" s="89"/>
      <c r="AK190" s="89"/>
      <c r="AL190" s="89"/>
      <c r="AM190" s="89"/>
      <c r="AN190" s="89"/>
      <c r="AO190" s="89"/>
      <c r="AP190" s="89"/>
      <c r="AQ190" s="89"/>
      <c r="AR190" s="89"/>
      <c r="AS190" s="89"/>
      <c r="AT190" s="89"/>
      <c r="AU190" s="89"/>
      <c r="AV190" s="89"/>
      <c r="AW190" s="89"/>
      <c r="AX190" s="89"/>
    </row>
    <row r="191" spans="17:50" x14ac:dyDescent="0.25">
      <c r="Q191" s="119"/>
      <c r="R191" s="119"/>
      <c r="S191" s="119"/>
      <c r="V191" s="89"/>
      <c r="W191" s="89"/>
      <c r="X191" s="89"/>
      <c r="Y191" s="89"/>
      <c r="Z191" s="89"/>
      <c r="AA191" s="89"/>
      <c r="AB191" s="89"/>
      <c r="AC191" s="89"/>
      <c r="AD191" s="89"/>
      <c r="AE191" s="89"/>
      <c r="AF191" s="89"/>
      <c r="AG191" s="89"/>
      <c r="AH191" s="89"/>
      <c r="AI191" s="89"/>
      <c r="AJ191" s="89"/>
      <c r="AK191" s="89"/>
      <c r="AL191" s="89"/>
      <c r="AM191" s="89"/>
      <c r="AN191" s="89"/>
      <c r="AO191" s="89"/>
      <c r="AP191" s="89"/>
      <c r="AQ191" s="89"/>
      <c r="AR191" s="89"/>
      <c r="AS191" s="89"/>
      <c r="AT191" s="89"/>
      <c r="AU191" s="89"/>
      <c r="AV191" s="89"/>
      <c r="AW191" s="89"/>
      <c r="AX191" s="89"/>
    </row>
    <row r="192" spans="17:50" x14ac:dyDescent="0.25">
      <c r="Q192" s="119"/>
      <c r="R192" s="119"/>
      <c r="S192" s="119"/>
      <c r="V192" s="89"/>
      <c r="W192" s="89"/>
      <c r="X192" s="89"/>
      <c r="Y192" s="89"/>
      <c r="Z192" s="89"/>
      <c r="AA192" s="89"/>
      <c r="AB192" s="89"/>
      <c r="AC192" s="89"/>
      <c r="AD192" s="89"/>
      <c r="AE192" s="89"/>
      <c r="AF192" s="89"/>
      <c r="AG192" s="89"/>
      <c r="AH192" s="89"/>
      <c r="AI192" s="89"/>
      <c r="AJ192" s="89"/>
      <c r="AK192" s="89"/>
      <c r="AL192" s="89"/>
      <c r="AM192" s="89"/>
      <c r="AN192" s="89"/>
      <c r="AO192" s="89"/>
      <c r="AP192" s="89"/>
      <c r="AQ192" s="89"/>
      <c r="AR192" s="89"/>
      <c r="AS192" s="89"/>
      <c r="AT192" s="89"/>
      <c r="AU192" s="89"/>
      <c r="AV192" s="89"/>
      <c r="AW192" s="89"/>
      <c r="AX192" s="89"/>
    </row>
    <row r="193" spans="17:50" x14ac:dyDescent="0.25">
      <c r="Q193" s="119"/>
      <c r="R193" s="119"/>
      <c r="S193" s="119"/>
      <c r="V193" s="89"/>
      <c r="W193" s="89"/>
      <c r="X193" s="89"/>
      <c r="Y193" s="89"/>
      <c r="Z193" s="89"/>
      <c r="AA193" s="89"/>
      <c r="AB193" s="89"/>
      <c r="AC193" s="89"/>
      <c r="AD193" s="89"/>
      <c r="AE193" s="89"/>
      <c r="AF193" s="89"/>
      <c r="AG193" s="89"/>
      <c r="AH193" s="89"/>
      <c r="AI193" s="89"/>
      <c r="AJ193" s="89"/>
      <c r="AK193" s="89"/>
      <c r="AL193" s="89"/>
      <c r="AM193" s="89"/>
      <c r="AN193" s="89"/>
      <c r="AO193" s="89"/>
      <c r="AP193" s="89"/>
      <c r="AQ193" s="89"/>
      <c r="AR193" s="89"/>
      <c r="AS193" s="89"/>
      <c r="AT193" s="89"/>
      <c r="AU193" s="89"/>
      <c r="AV193" s="89"/>
      <c r="AW193" s="89"/>
      <c r="AX193" s="89"/>
    </row>
    <row r="194" spans="17:50" x14ac:dyDescent="0.25">
      <c r="Q194" s="119"/>
      <c r="R194" s="119"/>
      <c r="S194" s="119"/>
      <c r="V194" s="89"/>
      <c r="W194" s="89"/>
      <c r="X194" s="89"/>
      <c r="Y194" s="89"/>
      <c r="Z194" s="89"/>
      <c r="AA194" s="89"/>
      <c r="AB194" s="89"/>
      <c r="AC194" s="89"/>
      <c r="AD194" s="89"/>
      <c r="AE194" s="89"/>
      <c r="AF194" s="89"/>
      <c r="AG194" s="89"/>
      <c r="AH194" s="89"/>
      <c r="AI194" s="89"/>
      <c r="AJ194" s="89"/>
      <c r="AK194" s="89"/>
      <c r="AL194" s="89"/>
      <c r="AM194" s="89"/>
      <c r="AN194" s="89"/>
      <c r="AO194" s="89"/>
      <c r="AP194" s="89"/>
      <c r="AQ194" s="89"/>
      <c r="AR194" s="89"/>
      <c r="AS194" s="89"/>
      <c r="AT194" s="89"/>
      <c r="AU194" s="89"/>
      <c r="AV194" s="89"/>
      <c r="AW194" s="89"/>
      <c r="AX194" s="89"/>
    </row>
    <row r="195" spans="17:50" x14ac:dyDescent="0.25">
      <c r="Q195" s="119"/>
      <c r="R195" s="119"/>
      <c r="S195" s="119"/>
      <c r="V195" s="89"/>
      <c r="W195" s="89"/>
      <c r="X195" s="89"/>
      <c r="Y195" s="89"/>
      <c r="Z195" s="89"/>
      <c r="AA195" s="89"/>
      <c r="AB195" s="89"/>
      <c r="AC195" s="89"/>
      <c r="AD195" s="89"/>
      <c r="AE195" s="89"/>
      <c r="AF195" s="89"/>
      <c r="AG195" s="89"/>
      <c r="AH195" s="89"/>
      <c r="AI195" s="89"/>
      <c r="AJ195" s="89"/>
      <c r="AK195" s="89"/>
      <c r="AL195" s="89"/>
      <c r="AM195" s="89"/>
      <c r="AN195" s="89"/>
      <c r="AO195" s="89"/>
      <c r="AP195" s="89"/>
      <c r="AQ195" s="89"/>
      <c r="AR195" s="89"/>
      <c r="AS195" s="89"/>
      <c r="AT195" s="89"/>
      <c r="AU195" s="89"/>
      <c r="AV195" s="89"/>
      <c r="AW195" s="89"/>
      <c r="AX195" s="89"/>
    </row>
    <row r="196" spans="17:50" x14ac:dyDescent="0.25">
      <c r="Q196" s="119"/>
      <c r="R196" s="119"/>
      <c r="S196" s="119"/>
      <c r="V196" s="89"/>
      <c r="W196" s="89"/>
      <c r="X196" s="89"/>
      <c r="Y196" s="89"/>
      <c r="Z196" s="89"/>
      <c r="AA196" s="89"/>
      <c r="AB196" s="89"/>
      <c r="AC196" s="89"/>
      <c r="AD196" s="89"/>
      <c r="AE196" s="89"/>
      <c r="AF196" s="89"/>
      <c r="AG196" s="89"/>
      <c r="AH196" s="89"/>
      <c r="AI196" s="89"/>
      <c r="AJ196" s="89"/>
      <c r="AK196" s="89"/>
      <c r="AL196" s="89"/>
      <c r="AM196" s="89"/>
      <c r="AN196" s="89"/>
      <c r="AO196" s="89"/>
      <c r="AP196" s="89"/>
      <c r="AQ196" s="89"/>
      <c r="AR196" s="89"/>
      <c r="AS196" s="89"/>
      <c r="AT196" s="89"/>
      <c r="AU196" s="89"/>
      <c r="AV196" s="89"/>
      <c r="AW196" s="89"/>
      <c r="AX196" s="89"/>
    </row>
    <row r="197" spans="17:50" x14ac:dyDescent="0.25">
      <c r="Q197" s="119"/>
      <c r="R197" s="119"/>
      <c r="S197" s="119"/>
      <c r="V197" s="89"/>
      <c r="W197" s="89"/>
      <c r="X197" s="89"/>
      <c r="Y197" s="89"/>
      <c r="Z197" s="89"/>
      <c r="AA197" s="89"/>
      <c r="AB197" s="89"/>
      <c r="AC197" s="89"/>
      <c r="AD197" s="89"/>
      <c r="AE197" s="89"/>
      <c r="AF197" s="89"/>
      <c r="AG197" s="89"/>
      <c r="AH197" s="89"/>
      <c r="AI197" s="89"/>
      <c r="AJ197" s="89"/>
      <c r="AK197" s="89"/>
      <c r="AL197" s="89"/>
      <c r="AM197" s="89"/>
      <c r="AN197" s="89"/>
      <c r="AO197" s="89"/>
      <c r="AP197" s="89"/>
      <c r="AQ197" s="89"/>
      <c r="AR197" s="89"/>
      <c r="AS197" s="89"/>
      <c r="AT197" s="89"/>
      <c r="AU197" s="89"/>
      <c r="AV197" s="89"/>
      <c r="AW197" s="89"/>
      <c r="AX197" s="89"/>
    </row>
    <row r="198" spans="17:50" x14ac:dyDescent="0.25">
      <c r="Q198" s="119"/>
      <c r="R198" s="119"/>
      <c r="S198" s="119"/>
      <c r="V198" s="89"/>
      <c r="W198" s="89"/>
      <c r="X198" s="89"/>
      <c r="Y198" s="89"/>
      <c r="Z198" s="89"/>
      <c r="AA198" s="89"/>
      <c r="AB198" s="89"/>
      <c r="AC198" s="89"/>
      <c r="AD198" s="89"/>
      <c r="AE198" s="89"/>
      <c r="AF198" s="89"/>
      <c r="AG198" s="89"/>
      <c r="AH198" s="89"/>
      <c r="AI198" s="89"/>
      <c r="AJ198" s="89"/>
      <c r="AK198" s="89"/>
      <c r="AL198" s="89"/>
      <c r="AM198" s="89"/>
      <c r="AN198" s="89"/>
      <c r="AO198" s="89"/>
      <c r="AP198" s="89"/>
      <c r="AQ198" s="89"/>
      <c r="AR198" s="89"/>
      <c r="AS198" s="89"/>
      <c r="AT198" s="89"/>
      <c r="AU198" s="89"/>
      <c r="AV198" s="89"/>
      <c r="AW198" s="89"/>
      <c r="AX198" s="89"/>
    </row>
    <row r="199" spans="17:50" x14ac:dyDescent="0.25">
      <c r="Q199" s="119"/>
      <c r="R199" s="119"/>
      <c r="S199" s="119"/>
      <c r="V199" s="89"/>
      <c r="W199" s="89"/>
      <c r="X199" s="89"/>
      <c r="Y199" s="89"/>
      <c r="Z199" s="89"/>
      <c r="AA199" s="89"/>
      <c r="AB199" s="89"/>
      <c r="AC199" s="89"/>
      <c r="AD199" s="89"/>
      <c r="AE199" s="89"/>
      <c r="AF199" s="89"/>
      <c r="AG199" s="89"/>
      <c r="AH199" s="89"/>
      <c r="AI199" s="89"/>
      <c r="AJ199" s="89"/>
      <c r="AK199" s="89"/>
      <c r="AL199" s="89"/>
      <c r="AM199" s="89"/>
      <c r="AN199" s="89"/>
      <c r="AO199" s="89"/>
      <c r="AP199" s="89"/>
      <c r="AQ199" s="89"/>
      <c r="AR199" s="89"/>
      <c r="AS199" s="89"/>
      <c r="AT199" s="89"/>
      <c r="AU199" s="89"/>
      <c r="AV199" s="89"/>
      <c r="AW199" s="89"/>
      <c r="AX199" s="89"/>
    </row>
    <row r="200" spans="17:50" x14ac:dyDescent="0.25">
      <c r="Q200" s="119"/>
      <c r="R200" s="119"/>
      <c r="S200" s="119"/>
      <c r="V200" s="89"/>
      <c r="W200" s="89"/>
      <c r="X200" s="89"/>
      <c r="Y200" s="89"/>
      <c r="Z200" s="89"/>
      <c r="AA200" s="89"/>
      <c r="AB200" s="89"/>
      <c r="AC200" s="89"/>
      <c r="AD200" s="89"/>
      <c r="AE200" s="89"/>
      <c r="AF200" s="89"/>
      <c r="AG200" s="89"/>
      <c r="AH200" s="89"/>
      <c r="AI200" s="89"/>
      <c r="AJ200" s="89"/>
      <c r="AK200" s="89"/>
      <c r="AL200" s="89"/>
      <c r="AM200" s="89"/>
      <c r="AN200" s="89"/>
      <c r="AO200" s="89"/>
      <c r="AP200" s="89"/>
      <c r="AQ200" s="89"/>
      <c r="AR200" s="89"/>
      <c r="AS200" s="89"/>
      <c r="AT200" s="89"/>
      <c r="AU200" s="89"/>
      <c r="AV200" s="89"/>
      <c r="AW200" s="89"/>
      <c r="AX200" s="89"/>
    </row>
    <row r="201" spans="17:50" x14ac:dyDescent="0.25">
      <c r="Q201" s="119"/>
      <c r="R201" s="119"/>
      <c r="S201" s="119"/>
      <c r="V201" s="89"/>
      <c r="W201" s="89"/>
      <c r="X201" s="89"/>
      <c r="Y201" s="89"/>
      <c r="Z201" s="89"/>
      <c r="AA201" s="89"/>
      <c r="AB201" s="89"/>
      <c r="AC201" s="89"/>
      <c r="AD201" s="89"/>
      <c r="AE201" s="89"/>
      <c r="AF201" s="89"/>
      <c r="AG201" s="89"/>
      <c r="AH201" s="89"/>
      <c r="AI201" s="89"/>
      <c r="AJ201" s="89"/>
      <c r="AK201" s="89"/>
      <c r="AL201" s="89"/>
      <c r="AM201" s="89"/>
      <c r="AN201" s="89"/>
      <c r="AO201" s="89"/>
      <c r="AP201" s="89"/>
      <c r="AQ201" s="89"/>
      <c r="AR201" s="89"/>
      <c r="AS201" s="89"/>
      <c r="AT201" s="89"/>
      <c r="AU201" s="89"/>
      <c r="AV201" s="89"/>
      <c r="AW201" s="89"/>
      <c r="AX201" s="89"/>
    </row>
    <row r="202" spans="17:50" x14ac:dyDescent="0.25">
      <c r="Q202" s="119"/>
      <c r="R202" s="119"/>
      <c r="S202" s="119"/>
      <c r="V202" s="89"/>
      <c r="W202" s="89"/>
      <c r="X202" s="89"/>
      <c r="Y202" s="89"/>
      <c r="Z202" s="89"/>
      <c r="AA202" s="89"/>
      <c r="AB202" s="89"/>
      <c r="AC202" s="89"/>
      <c r="AD202" s="89"/>
      <c r="AE202" s="89"/>
      <c r="AF202" s="89"/>
      <c r="AG202" s="89"/>
      <c r="AH202" s="89"/>
      <c r="AI202" s="89"/>
      <c r="AJ202" s="89"/>
      <c r="AK202" s="89"/>
      <c r="AL202" s="89"/>
      <c r="AM202" s="89"/>
      <c r="AN202" s="89"/>
      <c r="AO202" s="89"/>
      <c r="AP202" s="89"/>
      <c r="AQ202" s="89"/>
      <c r="AR202" s="89"/>
      <c r="AS202" s="89"/>
      <c r="AT202" s="89"/>
      <c r="AU202" s="89"/>
      <c r="AV202" s="89"/>
      <c r="AW202" s="89"/>
      <c r="AX202" s="89"/>
    </row>
    <row r="203" spans="17:50" x14ac:dyDescent="0.25">
      <c r="Q203" s="119"/>
      <c r="R203" s="119"/>
      <c r="S203" s="119"/>
      <c r="V203" s="89"/>
      <c r="W203" s="89"/>
      <c r="X203" s="89"/>
      <c r="Y203" s="89"/>
      <c r="Z203" s="89"/>
      <c r="AA203" s="89"/>
      <c r="AB203" s="89"/>
      <c r="AC203" s="89"/>
      <c r="AD203" s="89"/>
      <c r="AE203" s="89"/>
      <c r="AF203" s="89"/>
      <c r="AG203" s="89"/>
      <c r="AH203" s="89"/>
      <c r="AI203" s="89"/>
      <c r="AJ203" s="89"/>
      <c r="AK203" s="89"/>
      <c r="AL203" s="89"/>
      <c r="AM203" s="89"/>
      <c r="AN203" s="89"/>
      <c r="AO203" s="89"/>
      <c r="AP203" s="89"/>
      <c r="AQ203" s="89"/>
      <c r="AR203" s="89"/>
      <c r="AS203" s="89"/>
      <c r="AT203" s="89"/>
      <c r="AU203" s="89"/>
      <c r="AV203" s="89"/>
      <c r="AW203" s="89"/>
      <c r="AX203" s="89"/>
    </row>
    <row r="204" spans="17:50" x14ac:dyDescent="0.25">
      <c r="Q204" s="119"/>
      <c r="R204" s="119"/>
      <c r="S204" s="119"/>
      <c r="V204" s="89"/>
      <c r="W204" s="89"/>
      <c r="X204" s="89"/>
      <c r="Y204" s="89"/>
      <c r="Z204" s="89"/>
      <c r="AA204" s="89"/>
      <c r="AB204" s="89"/>
      <c r="AC204" s="89"/>
      <c r="AD204" s="89"/>
      <c r="AE204" s="89"/>
      <c r="AF204" s="89"/>
      <c r="AG204" s="89"/>
      <c r="AH204" s="89"/>
      <c r="AI204" s="89"/>
      <c r="AJ204" s="89"/>
      <c r="AK204" s="89"/>
      <c r="AL204" s="89"/>
      <c r="AM204" s="89"/>
      <c r="AN204" s="89"/>
      <c r="AO204" s="89"/>
      <c r="AP204" s="89"/>
      <c r="AQ204" s="89"/>
      <c r="AR204" s="89"/>
      <c r="AS204" s="89"/>
      <c r="AT204" s="89"/>
      <c r="AU204" s="89"/>
      <c r="AV204" s="89"/>
      <c r="AW204" s="89"/>
      <c r="AX204" s="89"/>
    </row>
    <row r="205" spans="17:50" x14ac:dyDescent="0.25">
      <c r="Q205" s="119"/>
      <c r="R205" s="119"/>
      <c r="S205" s="119"/>
      <c r="V205" s="89"/>
      <c r="W205" s="89"/>
      <c r="X205" s="89"/>
      <c r="Y205" s="89"/>
      <c r="Z205" s="89"/>
      <c r="AA205" s="89"/>
      <c r="AB205" s="89"/>
      <c r="AC205" s="89"/>
      <c r="AD205" s="89"/>
      <c r="AE205" s="89"/>
      <c r="AF205" s="89"/>
      <c r="AG205" s="89"/>
      <c r="AH205" s="89"/>
      <c r="AI205" s="89"/>
      <c r="AJ205" s="89"/>
      <c r="AK205" s="89"/>
      <c r="AL205" s="89"/>
      <c r="AM205" s="89"/>
      <c r="AN205" s="89"/>
      <c r="AO205" s="89"/>
      <c r="AP205" s="89"/>
      <c r="AQ205" s="89"/>
      <c r="AR205" s="89"/>
      <c r="AS205" s="89"/>
      <c r="AT205" s="89"/>
      <c r="AU205" s="89"/>
      <c r="AV205" s="89"/>
      <c r="AW205" s="89"/>
      <c r="AX205" s="89"/>
    </row>
    <row r="206" spans="17:50" x14ac:dyDescent="0.25">
      <c r="Q206" s="119"/>
      <c r="R206" s="119"/>
      <c r="S206" s="119"/>
      <c r="V206" s="89"/>
      <c r="W206" s="89"/>
      <c r="X206" s="89"/>
      <c r="Y206" s="89"/>
      <c r="Z206" s="89"/>
      <c r="AA206" s="89"/>
      <c r="AB206" s="89"/>
      <c r="AC206" s="89"/>
      <c r="AD206" s="89"/>
      <c r="AE206" s="89"/>
      <c r="AF206" s="89"/>
      <c r="AG206" s="89"/>
      <c r="AH206" s="89"/>
      <c r="AI206" s="89"/>
      <c r="AJ206" s="89"/>
      <c r="AK206" s="89"/>
      <c r="AL206" s="89"/>
      <c r="AM206" s="89"/>
      <c r="AN206" s="89"/>
      <c r="AO206" s="89"/>
      <c r="AP206" s="89"/>
      <c r="AQ206" s="89"/>
      <c r="AR206" s="89"/>
      <c r="AS206" s="89"/>
      <c r="AT206" s="89"/>
      <c r="AU206" s="89"/>
      <c r="AV206" s="89"/>
      <c r="AW206" s="89"/>
      <c r="AX206" s="89"/>
    </row>
    <row r="207" spans="17:50" x14ac:dyDescent="0.25">
      <c r="Q207" s="119"/>
      <c r="R207" s="119"/>
      <c r="S207" s="119"/>
      <c r="V207" s="89"/>
      <c r="W207" s="89"/>
      <c r="X207" s="89"/>
      <c r="Y207" s="89"/>
      <c r="Z207" s="89"/>
      <c r="AA207" s="89"/>
      <c r="AB207" s="89"/>
      <c r="AC207" s="89"/>
      <c r="AD207" s="89"/>
      <c r="AE207" s="89"/>
      <c r="AF207" s="89"/>
      <c r="AG207" s="89"/>
      <c r="AH207" s="89"/>
      <c r="AI207" s="89"/>
      <c r="AJ207" s="89"/>
      <c r="AK207" s="89"/>
      <c r="AL207" s="89"/>
      <c r="AM207" s="89"/>
      <c r="AN207" s="89"/>
      <c r="AO207" s="89"/>
      <c r="AP207" s="89"/>
      <c r="AQ207" s="89"/>
      <c r="AR207" s="89"/>
      <c r="AS207" s="89"/>
      <c r="AT207" s="89"/>
      <c r="AU207" s="89"/>
      <c r="AV207" s="89"/>
      <c r="AW207" s="89"/>
      <c r="AX207" s="89"/>
    </row>
    <row r="208" spans="17:50" x14ac:dyDescent="0.25">
      <c r="Q208" s="119"/>
      <c r="R208" s="119"/>
      <c r="S208" s="119"/>
      <c r="V208" s="89"/>
      <c r="W208" s="89"/>
      <c r="X208" s="89"/>
      <c r="Y208" s="89"/>
      <c r="Z208" s="89"/>
      <c r="AA208" s="89"/>
      <c r="AB208" s="89"/>
      <c r="AC208" s="89"/>
      <c r="AD208" s="89"/>
      <c r="AE208" s="89"/>
      <c r="AF208" s="89"/>
      <c r="AG208" s="89"/>
      <c r="AH208" s="89"/>
      <c r="AI208" s="89"/>
      <c r="AJ208" s="89"/>
      <c r="AK208" s="89"/>
      <c r="AL208" s="89"/>
      <c r="AM208" s="89"/>
      <c r="AN208" s="89"/>
      <c r="AO208" s="89"/>
      <c r="AP208" s="89"/>
      <c r="AQ208" s="89"/>
      <c r="AR208" s="89"/>
      <c r="AS208" s="89"/>
      <c r="AT208" s="89"/>
      <c r="AU208" s="89"/>
      <c r="AV208" s="89"/>
      <c r="AW208" s="89"/>
      <c r="AX208" s="89"/>
    </row>
    <row r="209" spans="1:50" x14ac:dyDescent="0.25">
      <c r="Q209" s="119"/>
      <c r="R209" s="119"/>
      <c r="S209" s="119"/>
      <c r="V209" s="89"/>
      <c r="W209" s="89"/>
      <c r="X209" s="89"/>
      <c r="Y209" s="89"/>
      <c r="Z209" s="89"/>
      <c r="AA209" s="89"/>
      <c r="AB209" s="89"/>
      <c r="AC209" s="89"/>
      <c r="AD209" s="89"/>
      <c r="AE209" s="89"/>
      <c r="AF209" s="89"/>
      <c r="AG209" s="89"/>
      <c r="AH209" s="89"/>
      <c r="AI209" s="89"/>
      <c r="AJ209" s="89"/>
      <c r="AK209" s="89"/>
      <c r="AL209" s="89"/>
      <c r="AM209" s="89"/>
      <c r="AN209" s="89"/>
      <c r="AO209" s="89"/>
      <c r="AP209" s="89"/>
      <c r="AQ209" s="89"/>
      <c r="AR209" s="89"/>
      <c r="AS209" s="89"/>
      <c r="AT209" s="89"/>
      <c r="AU209" s="89"/>
      <c r="AV209" s="89"/>
      <c r="AW209" s="89"/>
      <c r="AX209" s="89"/>
    </row>
    <row r="210" spans="1:50" x14ac:dyDescent="0.25">
      <c r="Q210" s="119"/>
      <c r="R210" s="119"/>
      <c r="S210" s="119"/>
      <c r="V210" s="89"/>
      <c r="W210" s="89"/>
      <c r="X210" s="89"/>
      <c r="Y210" s="89"/>
      <c r="Z210" s="89"/>
      <c r="AA210" s="89"/>
      <c r="AB210" s="89"/>
      <c r="AC210" s="89"/>
      <c r="AD210" s="89"/>
      <c r="AE210" s="89"/>
      <c r="AF210" s="89"/>
      <c r="AG210" s="89"/>
      <c r="AH210" s="89"/>
      <c r="AI210" s="89"/>
      <c r="AJ210" s="89"/>
      <c r="AK210" s="89"/>
      <c r="AL210" s="89"/>
      <c r="AM210" s="89"/>
      <c r="AN210" s="89"/>
      <c r="AO210" s="89"/>
      <c r="AP210" s="89"/>
      <c r="AQ210" s="89"/>
      <c r="AR210" s="89"/>
      <c r="AS210" s="89"/>
      <c r="AT210" s="89"/>
      <c r="AU210" s="89"/>
      <c r="AV210" s="89"/>
      <c r="AW210" s="89"/>
      <c r="AX210" s="89"/>
    </row>
    <row r="211" spans="1:50" x14ac:dyDescent="0.25">
      <c r="Q211" s="119"/>
      <c r="R211" s="119"/>
      <c r="S211" s="119"/>
      <c r="V211" s="89"/>
      <c r="W211" s="89"/>
      <c r="X211" s="89"/>
      <c r="Y211" s="89"/>
      <c r="Z211" s="89"/>
      <c r="AA211" s="89"/>
      <c r="AB211" s="89"/>
      <c r="AC211" s="89"/>
      <c r="AD211" s="89"/>
      <c r="AE211" s="89"/>
      <c r="AF211" s="89"/>
      <c r="AG211" s="89"/>
      <c r="AH211" s="89"/>
      <c r="AI211" s="89"/>
      <c r="AJ211" s="89"/>
      <c r="AK211" s="89"/>
      <c r="AL211" s="89"/>
      <c r="AM211" s="89"/>
      <c r="AN211" s="89"/>
      <c r="AO211" s="89"/>
      <c r="AP211" s="89"/>
      <c r="AQ211" s="89"/>
      <c r="AR211" s="89"/>
      <c r="AS211" s="89"/>
      <c r="AT211" s="89"/>
      <c r="AU211" s="89"/>
      <c r="AV211" s="89"/>
      <c r="AW211" s="89"/>
      <c r="AX211" s="89"/>
    </row>
    <row r="212" spans="1:50" x14ac:dyDescent="0.25">
      <c r="Q212" s="119"/>
      <c r="R212" s="119"/>
      <c r="S212" s="119"/>
      <c r="V212" s="89"/>
      <c r="W212" s="89"/>
      <c r="X212" s="89"/>
      <c r="Y212" s="89"/>
      <c r="Z212" s="89"/>
      <c r="AA212" s="89"/>
      <c r="AB212" s="89"/>
      <c r="AC212" s="89"/>
      <c r="AD212" s="89"/>
      <c r="AE212" s="89"/>
      <c r="AF212" s="89"/>
      <c r="AG212" s="89"/>
      <c r="AH212" s="89"/>
      <c r="AI212" s="89"/>
      <c r="AJ212" s="89"/>
      <c r="AK212" s="89"/>
      <c r="AL212" s="89"/>
      <c r="AM212" s="89"/>
      <c r="AN212" s="89"/>
      <c r="AO212" s="89"/>
      <c r="AP212" s="89"/>
      <c r="AQ212" s="89"/>
      <c r="AR212" s="89"/>
      <c r="AS212" s="89"/>
      <c r="AT212" s="89"/>
      <c r="AU212" s="89"/>
      <c r="AV212" s="89"/>
      <c r="AW212" s="89"/>
      <c r="AX212" s="89"/>
    </row>
    <row r="213" spans="1:50" x14ac:dyDescent="0.25">
      <c r="A213" s="89"/>
      <c r="B213" s="89"/>
      <c r="Q213" s="119"/>
      <c r="R213" s="119"/>
      <c r="S213" s="119"/>
      <c r="V213" s="89"/>
      <c r="W213" s="89"/>
      <c r="X213" s="89"/>
      <c r="Y213" s="89"/>
      <c r="Z213" s="89"/>
      <c r="AA213" s="89"/>
      <c r="AB213" s="89"/>
      <c r="AC213" s="89"/>
      <c r="AD213" s="89"/>
      <c r="AE213" s="89"/>
      <c r="AF213" s="89"/>
      <c r="AG213" s="89"/>
      <c r="AH213" s="89"/>
      <c r="AI213" s="89"/>
      <c r="AJ213" s="89"/>
      <c r="AK213" s="89"/>
      <c r="AL213" s="89"/>
      <c r="AM213" s="89"/>
      <c r="AN213" s="89"/>
      <c r="AO213" s="89"/>
      <c r="AP213" s="89"/>
      <c r="AQ213" s="89"/>
      <c r="AR213" s="89"/>
      <c r="AS213" s="89"/>
      <c r="AT213" s="89"/>
      <c r="AU213" s="89"/>
      <c r="AV213" s="89"/>
      <c r="AW213" s="89"/>
      <c r="AX213" s="89"/>
    </row>
    <row r="214" spans="1:50" x14ac:dyDescent="0.25">
      <c r="A214" s="89"/>
      <c r="B214" s="89"/>
      <c r="C214" s="121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Q214" s="121"/>
      <c r="R214" s="121"/>
      <c r="S214" s="121"/>
      <c r="T214" s="89"/>
      <c r="U214" s="89"/>
      <c r="V214" s="89"/>
      <c r="W214" s="89"/>
      <c r="X214" s="89"/>
      <c r="Y214" s="89"/>
      <c r="Z214" s="89"/>
      <c r="AA214" s="89"/>
      <c r="AB214" s="89"/>
      <c r="AC214" s="89"/>
      <c r="AD214" s="89"/>
      <c r="AE214" s="89"/>
      <c r="AF214" s="89"/>
      <c r="AG214" s="89"/>
      <c r="AH214" s="89"/>
      <c r="AI214" s="89"/>
      <c r="AJ214" s="89"/>
      <c r="AK214" s="89"/>
      <c r="AL214" s="89"/>
      <c r="AM214" s="89"/>
      <c r="AN214" s="89"/>
      <c r="AO214" s="89"/>
      <c r="AP214" s="89"/>
      <c r="AQ214" s="89"/>
      <c r="AR214" s="89"/>
      <c r="AS214" s="89"/>
      <c r="AT214" s="89"/>
      <c r="AU214" s="89"/>
      <c r="AV214" s="89"/>
      <c r="AW214" s="89"/>
      <c r="AX214" s="89"/>
    </row>
    <row r="215" spans="1:50" x14ac:dyDescent="0.25">
      <c r="A215" s="89"/>
      <c r="B215" s="89"/>
      <c r="C215" s="121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89"/>
      <c r="U215" s="89"/>
      <c r="V215" s="89"/>
      <c r="W215" s="89"/>
      <c r="X215" s="89"/>
      <c r="Y215" s="89"/>
      <c r="Z215" s="89"/>
      <c r="AA215" s="89"/>
      <c r="AB215" s="89"/>
      <c r="AC215" s="89"/>
      <c r="AD215" s="89"/>
      <c r="AE215" s="89"/>
      <c r="AF215" s="89"/>
      <c r="AG215" s="89"/>
      <c r="AH215" s="89"/>
      <c r="AI215" s="89"/>
      <c r="AJ215" s="89"/>
      <c r="AK215" s="89"/>
      <c r="AL215" s="89"/>
      <c r="AM215" s="89"/>
      <c r="AN215" s="89"/>
      <c r="AO215" s="89"/>
      <c r="AP215" s="89"/>
      <c r="AQ215" s="89"/>
      <c r="AR215" s="89"/>
      <c r="AS215" s="89"/>
      <c r="AT215" s="89"/>
      <c r="AU215" s="89"/>
      <c r="AV215" s="89"/>
      <c r="AW215" s="89"/>
      <c r="AX215" s="89"/>
    </row>
    <row r="216" spans="1:50" x14ac:dyDescent="0.25">
      <c r="A216" s="89"/>
      <c r="B216" s="89"/>
      <c r="C216" s="121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89"/>
      <c r="U216" s="89"/>
      <c r="V216" s="89"/>
      <c r="W216" s="89"/>
      <c r="X216" s="89"/>
      <c r="Y216" s="89"/>
      <c r="Z216" s="89"/>
      <c r="AA216" s="89"/>
      <c r="AB216" s="89"/>
      <c r="AC216" s="89"/>
      <c r="AD216" s="89"/>
      <c r="AE216" s="89"/>
      <c r="AF216" s="89"/>
      <c r="AG216" s="89"/>
      <c r="AH216" s="89"/>
      <c r="AI216" s="89"/>
      <c r="AJ216" s="89"/>
      <c r="AK216" s="89"/>
      <c r="AL216" s="89"/>
      <c r="AM216" s="89"/>
      <c r="AN216" s="89"/>
      <c r="AO216" s="89"/>
      <c r="AP216" s="89"/>
      <c r="AQ216" s="89"/>
      <c r="AR216" s="89"/>
      <c r="AS216" s="89"/>
      <c r="AT216" s="89"/>
      <c r="AU216" s="89"/>
      <c r="AV216" s="89"/>
      <c r="AW216" s="89"/>
      <c r="AX216" s="89"/>
    </row>
    <row r="217" spans="1:50" x14ac:dyDescent="0.25">
      <c r="A217" s="89"/>
      <c r="B217" s="89"/>
      <c r="C217" s="121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89"/>
      <c r="U217" s="89"/>
      <c r="V217" s="89"/>
      <c r="W217" s="89"/>
      <c r="X217" s="89"/>
      <c r="Y217" s="89"/>
      <c r="Z217" s="89"/>
      <c r="AA217" s="89"/>
      <c r="AB217" s="89"/>
      <c r="AC217" s="89"/>
      <c r="AD217" s="89"/>
      <c r="AE217" s="89"/>
      <c r="AF217" s="89"/>
      <c r="AG217" s="89"/>
      <c r="AH217" s="89"/>
      <c r="AI217" s="89"/>
      <c r="AJ217" s="89"/>
      <c r="AK217" s="89"/>
      <c r="AL217" s="89"/>
      <c r="AM217" s="89"/>
      <c r="AN217" s="89"/>
      <c r="AO217" s="89"/>
      <c r="AP217" s="89"/>
      <c r="AQ217" s="89"/>
      <c r="AR217" s="89"/>
      <c r="AS217" s="89"/>
      <c r="AT217" s="89"/>
      <c r="AU217" s="89"/>
      <c r="AV217" s="89"/>
      <c r="AW217" s="89"/>
      <c r="AX217" s="89"/>
    </row>
    <row r="218" spans="1:50" x14ac:dyDescent="0.25">
      <c r="A218" s="89"/>
      <c r="B218" s="89"/>
      <c r="C218" s="121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89"/>
      <c r="U218" s="89"/>
      <c r="V218" s="89"/>
      <c r="W218" s="89"/>
      <c r="X218" s="89"/>
      <c r="Y218" s="89"/>
      <c r="Z218" s="89"/>
      <c r="AA218" s="89"/>
      <c r="AB218" s="89"/>
      <c r="AC218" s="89"/>
      <c r="AD218" s="89"/>
      <c r="AE218" s="89"/>
      <c r="AF218" s="89"/>
      <c r="AG218" s="89"/>
      <c r="AH218" s="89"/>
      <c r="AI218" s="89"/>
      <c r="AJ218" s="89"/>
      <c r="AK218" s="89"/>
      <c r="AL218" s="89"/>
      <c r="AM218" s="89"/>
      <c r="AN218" s="89"/>
      <c r="AO218" s="89"/>
      <c r="AP218" s="89"/>
      <c r="AQ218" s="89"/>
      <c r="AR218" s="89"/>
      <c r="AS218" s="89"/>
      <c r="AT218" s="89"/>
      <c r="AU218" s="89"/>
      <c r="AV218" s="89"/>
      <c r="AW218" s="89"/>
      <c r="AX218" s="89"/>
    </row>
    <row r="219" spans="1:50" x14ac:dyDescent="0.25">
      <c r="A219" s="89"/>
      <c r="B219" s="89"/>
      <c r="C219" s="121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89"/>
      <c r="U219" s="89"/>
      <c r="V219" s="89"/>
      <c r="W219" s="89"/>
      <c r="X219" s="89"/>
      <c r="Y219" s="89"/>
      <c r="Z219" s="89"/>
      <c r="AA219" s="89"/>
      <c r="AB219" s="89"/>
      <c r="AC219" s="89"/>
      <c r="AD219" s="89"/>
      <c r="AE219" s="89"/>
      <c r="AF219" s="89"/>
      <c r="AG219" s="89"/>
      <c r="AH219" s="89"/>
      <c r="AI219" s="89"/>
      <c r="AJ219" s="89"/>
      <c r="AK219" s="89"/>
      <c r="AL219" s="89"/>
      <c r="AM219" s="89"/>
      <c r="AN219" s="89"/>
      <c r="AO219" s="89"/>
      <c r="AP219" s="89"/>
      <c r="AQ219" s="89"/>
      <c r="AR219" s="89"/>
      <c r="AS219" s="89"/>
      <c r="AT219" s="89"/>
      <c r="AU219" s="89"/>
      <c r="AV219" s="89"/>
      <c r="AW219" s="89"/>
      <c r="AX219" s="89"/>
    </row>
    <row r="220" spans="1:50" x14ac:dyDescent="0.25">
      <c r="A220" s="89"/>
      <c r="B220" s="89"/>
      <c r="C220" s="121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89"/>
      <c r="U220" s="89"/>
      <c r="V220" s="89"/>
      <c r="W220" s="89"/>
      <c r="X220" s="89"/>
      <c r="Y220" s="89"/>
      <c r="Z220" s="89"/>
      <c r="AA220" s="89"/>
      <c r="AB220" s="89"/>
      <c r="AC220" s="89"/>
      <c r="AD220" s="89"/>
      <c r="AE220" s="89"/>
      <c r="AF220" s="89"/>
      <c r="AG220" s="89"/>
      <c r="AH220" s="89"/>
      <c r="AI220" s="89"/>
      <c r="AJ220" s="89"/>
      <c r="AK220" s="89"/>
      <c r="AL220" s="89"/>
      <c r="AM220" s="89"/>
      <c r="AN220" s="89"/>
      <c r="AO220" s="89"/>
      <c r="AP220" s="89"/>
      <c r="AQ220" s="89"/>
      <c r="AR220" s="89"/>
      <c r="AS220" s="89"/>
      <c r="AT220" s="89"/>
      <c r="AU220" s="89"/>
      <c r="AV220" s="89"/>
      <c r="AW220" s="89"/>
      <c r="AX220" s="89"/>
    </row>
    <row r="221" spans="1:50" x14ac:dyDescent="0.25">
      <c r="A221" s="89"/>
      <c r="B221" s="89"/>
      <c r="C221" s="121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89"/>
      <c r="U221" s="89"/>
      <c r="V221" s="89"/>
      <c r="W221" s="89"/>
      <c r="X221" s="89"/>
      <c r="Y221" s="89"/>
      <c r="Z221" s="89"/>
      <c r="AA221" s="89"/>
      <c r="AB221" s="89"/>
      <c r="AC221" s="89"/>
      <c r="AD221" s="89"/>
      <c r="AE221" s="89"/>
      <c r="AF221" s="89"/>
      <c r="AG221" s="89"/>
      <c r="AH221" s="89"/>
      <c r="AI221" s="89"/>
      <c r="AJ221" s="89"/>
      <c r="AK221" s="89"/>
      <c r="AL221" s="89"/>
      <c r="AM221" s="89"/>
      <c r="AN221" s="89"/>
      <c r="AO221" s="89"/>
      <c r="AP221" s="89"/>
      <c r="AQ221" s="89"/>
      <c r="AR221" s="89"/>
      <c r="AS221" s="89"/>
      <c r="AT221" s="89"/>
      <c r="AU221" s="89"/>
      <c r="AV221" s="89"/>
      <c r="AW221" s="89"/>
      <c r="AX221" s="89"/>
    </row>
    <row r="222" spans="1:50" x14ac:dyDescent="0.25">
      <c r="A222" s="89"/>
      <c r="B222" s="89"/>
      <c r="C222" s="121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89"/>
      <c r="U222" s="89"/>
      <c r="V222" s="89"/>
      <c r="W222" s="89"/>
      <c r="X222" s="89"/>
      <c r="Y222" s="89"/>
      <c r="Z222" s="89"/>
      <c r="AA222" s="89"/>
      <c r="AB222" s="89"/>
      <c r="AC222" s="89"/>
      <c r="AD222" s="89"/>
      <c r="AE222" s="89"/>
      <c r="AF222" s="89"/>
      <c r="AG222" s="89"/>
      <c r="AH222" s="89"/>
      <c r="AI222" s="89"/>
      <c r="AJ222" s="89"/>
      <c r="AK222" s="89"/>
      <c r="AL222" s="89"/>
      <c r="AM222" s="89"/>
      <c r="AN222" s="89"/>
      <c r="AO222" s="89"/>
      <c r="AP222" s="89"/>
      <c r="AQ222" s="89"/>
      <c r="AR222" s="89"/>
      <c r="AS222" s="89"/>
      <c r="AT222" s="89"/>
      <c r="AU222" s="89"/>
      <c r="AV222" s="89"/>
      <c r="AW222" s="89"/>
      <c r="AX222" s="89"/>
    </row>
    <row r="223" spans="1:50" x14ac:dyDescent="0.25">
      <c r="A223" s="89"/>
      <c r="B223" s="89"/>
      <c r="C223" s="121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89"/>
      <c r="U223" s="89"/>
      <c r="V223" s="89"/>
      <c r="W223" s="89"/>
      <c r="X223" s="89"/>
      <c r="Y223" s="89"/>
      <c r="Z223" s="89"/>
      <c r="AA223" s="89"/>
      <c r="AB223" s="89"/>
      <c r="AC223" s="89"/>
      <c r="AD223" s="89"/>
      <c r="AE223" s="89"/>
      <c r="AF223" s="89"/>
      <c r="AG223" s="89"/>
      <c r="AH223" s="89"/>
      <c r="AI223" s="89"/>
      <c r="AJ223" s="89"/>
      <c r="AK223" s="89"/>
      <c r="AL223" s="89"/>
      <c r="AM223" s="89"/>
      <c r="AN223" s="89"/>
      <c r="AO223" s="89"/>
      <c r="AP223" s="89"/>
      <c r="AQ223" s="89"/>
      <c r="AR223" s="89"/>
      <c r="AS223" s="89"/>
      <c r="AT223" s="89"/>
      <c r="AU223" s="89"/>
      <c r="AV223" s="89"/>
      <c r="AW223" s="89"/>
      <c r="AX223" s="89"/>
    </row>
    <row r="224" spans="1:50" x14ac:dyDescent="0.25">
      <c r="A224" s="89"/>
      <c r="B224" s="89"/>
      <c r="C224" s="121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89"/>
      <c r="U224" s="89"/>
      <c r="V224" s="89"/>
      <c r="W224" s="89"/>
      <c r="X224" s="89"/>
      <c r="Y224" s="89"/>
      <c r="Z224" s="89"/>
      <c r="AA224" s="89"/>
      <c r="AB224" s="89"/>
      <c r="AC224" s="89"/>
      <c r="AD224" s="89"/>
      <c r="AE224" s="89"/>
      <c r="AF224" s="89"/>
      <c r="AG224" s="89"/>
      <c r="AH224" s="89"/>
      <c r="AI224" s="89"/>
      <c r="AJ224" s="89"/>
      <c r="AK224" s="89"/>
      <c r="AL224" s="89"/>
      <c r="AM224" s="89"/>
      <c r="AN224" s="89"/>
      <c r="AO224" s="89"/>
      <c r="AP224" s="89"/>
      <c r="AQ224" s="89"/>
      <c r="AR224" s="89"/>
      <c r="AS224" s="89"/>
      <c r="AT224" s="89"/>
      <c r="AU224" s="89"/>
      <c r="AV224" s="89"/>
      <c r="AW224" s="89"/>
      <c r="AX224" s="89"/>
    </row>
    <row r="225" spans="1:50" x14ac:dyDescent="0.25">
      <c r="A225" s="89"/>
      <c r="B225" s="89"/>
      <c r="C225" s="121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89"/>
      <c r="U225" s="89"/>
      <c r="V225" s="89"/>
      <c r="W225" s="89"/>
      <c r="X225" s="89"/>
      <c r="Y225" s="89"/>
      <c r="Z225" s="89"/>
      <c r="AA225" s="89"/>
      <c r="AB225" s="89"/>
      <c r="AC225" s="89"/>
      <c r="AD225" s="89"/>
      <c r="AE225" s="89"/>
      <c r="AF225" s="89"/>
      <c r="AG225" s="89"/>
      <c r="AH225" s="89"/>
      <c r="AI225" s="89"/>
      <c r="AJ225" s="89"/>
      <c r="AK225" s="89"/>
      <c r="AL225" s="89"/>
      <c r="AM225" s="89"/>
      <c r="AN225" s="89"/>
      <c r="AO225" s="89"/>
      <c r="AP225" s="89"/>
      <c r="AQ225" s="89"/>
      <c r="AR225" s="89"/>
      <c r="AS225" s="89"/>
      <c r="AT225" s="89"/>
      <c r="AU225" s="89"/>
      <c r="AV225" s="89"/>
      <c r="AW225" s="89"/>
      <c r="AX225" s="89"/>
    </row>
    <row r="226" spans="1:50" x14ac:dyDescent="0.25">
      <c r="A226" s="89"/>
      <c r="B226" s="89"/>
      <c r="C226" s="121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89"/>
      <c r="U226" s="89"/>
      <c r="V226" s="89"/>
      <c r="W226" s="89"/>
      <c r="X226" s="89"/>
      <c r="Y226" s="89"/>
      <c r="Z226" s="89"/>
      <c r="AA226" s="89"/>
      <c r="AB226" s="89"/>
      <c r="AC226" s="89"/>
      <c r="AD226" s="89"/>
      <c r="AE226" s="89"/>
      <c r="AF226" s="89"/>
      <c r="AG226" s="89"/>
      <c r="AH226" s="89"/>
      <c r="AI226" s="89"/>
      <c r="AJ226" s="89"/>
      <c r="AK226" s="89"/>
      <c r="AL226" s="89"/>
      <c r="AM226" s="89"/>
      <c r="AN226" s="89"/>
      <c r="AO226" s="89"/>
      <c r="AP226" s="89"/>
      <c r="AQ226" s="89"/>
      <c r="AR226" s="89"/>
      <c r="AS226" s="89"/>
      <c r="AT226" s="89"/>
      <c r="AU226" s="89"/>
      <c r="AV226" s="89"/>
      <c r="AW226" s="89"/>
      <c r="AX226" s="89"/>
    </row>
    <row r="227" spans="1:50" x14ac:dyDescent="0.25">
      <c r="A227" s="89"/>
      <c r="B227" s="89"/>
      <c r="C227" s="121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89"/>
      <c r="U227" s="89"/>
      <c r="V227" s="89"/>
      <c r="W227" s="89"/>
      <c r="X227" s="89"/>
      <c r="Y227" s="89"/>
      <c r="Z227" s="89"/>
      <c r="AA227" s="89"/>
      <c r="AB227" s="89"/>
      <c r="AC227" s="89"/>
      <c r="AD227" s="89"/>
      <c r="AE227" s="89"/>
      <c r="AF227" s="89"/>
      <c r="AG227" s="89"/>
      <c r="AH227" s="89"/>
      <c r="AI227" s="89"/>
      <c r="AJ227" s="89"/>
      <c r="AK227" s="89"/>
      <c r="AL227" s="89"/>
      <c r="AM227" s="89"/>
      <c r="AN227" s="89"/>
      <c r="AO227" s="89"/>
      <c r="AP227" s="89"/>
      <c r="AQ227" s="89"/>
      <c r="AR227" s="89"/>
      <c r="AS227" s="89"/>
      <c r="AT227" s="89"/>
      <c r="AU227" s="89"/>
      <c r="AV227" s="89"/>
      <c r="AW227" s="89"/>
      <c r="AX227" s="89"/>
    </row>
    <row r="228" spans="1:50" x14ac:dyDescent="0.25">
      <c r="A228" s="89"/>
      <c r="B228" s="89"/>
      <c r="C228" s="121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89"/>
      <c r="U228" s="89"/>
      <c r="V228" s="89"/>
      <c r="W228" s="89"/>
      <c r="X228" s="89"/>
      <c r="Y228" s="89"/>
      <c r="Z228" s="89"/>
      <c r="AA228" s="89"/>
      <c r="AB228" s="89"/>
      <c r="AC228" s="89"/>
      <c r="AD228" s="89"/>
      <c r="AE228" s="89"/>
      <c r="AF228" s="89"/>
      <c r="AG228" s="89"/>
      <c r="AH228" s="89"/>
      <c r="AI228" s="89"/>
      <c r="AJ228" s="89"/>
      <c r="AK228" s="89"/>
      <c r="AL228" s="89"/>
      <c r="AM228" s="89"/>
      <c r="AN228" s="89"/>
      <c r="AO228" s="89"/>
      <c r="AP228" s="89"/>
      <c r="AQ228" s="89"/>
      <c r="AR228" s="89"/>
      <c r="AS228" s="89"/>
      <c r="AT228" s="89"/>
      <c r="AU228" s="89"/>
      <c r="AV228" s="89"/>
      <c r="AW228" s="89"/>
      <c r="AX228" s="89"/>
    </row>
    <row r="229" spans="1:50" x14ac:dyDescent="0.25">
      <c r="A229" s="89"/>
      <c r="B229" s="89"/>
      <c r="C229" s="121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89"/>
      <c r="U229" s="89"/>
      <c r="V229" s="89"/>
      <c r="W229" s="89"/>
      <c r="X229" s="89"/>
      <c r="Y229" s="89"/>
      <c r="Z229" s="89"/>
      <c r="AA229" s="89"/>
      <c r="AB229" s="89"/>
      <c r="AC229" s="89"/>
      <c r="AD229" s="89"/>
      <c r="AE229" s="89"/>
      <c r="AF229" s="89"/>
      <c r="AG229" s="89"/>
      <c r="AH229" s="89"/>
      <c r="AI229" s="89"/>
      <c r="AJ229" s="89"/>
      <c r="AK229" s="89"/>
      <c r="AL229" s="89"/>
      <c r="AM229" s="89"/>
      <c r="AN229" s="89"/>
      <c r="AO229" s="89"/>
      <c r="AP229" s="89"/>
      <c r="AQ229" s="89"/>
      <c r="AR229" s="89"/>
      <c r="AS229" s="89"/>
      <c r="AT229" s="89"/>
      <c r="AU229" s="89"/>
      <c r="AV229" s="89"/>
      <c r="AW229" s="89"/>
      <c r="AX229" s="89"/>
    </row>
    <row r="230" spans="1:50" x14ac:dyDescent="0.25">
      <c r="A230" s="89"/>
      <c r="B230" s="89"/>
      <c r="C230" s="121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89"/>
      <c r="U230" s="89"/>
      <c r="V230" s="89"/>
      <c r="W230" s="89"/>
      <c r="X230" s="89"/>
      <c r="Y230" s="89"/>
      <c r="Z230" s="89"/>
      <c r="AA230" s="89"/>
      <c r="AB230" s="89"/>
      <c r="AC230" s="89"/>
      <c r="AD230" s="89"/>
      <c r="AE230" s="89"/>
      <c r="AF230" s="89"/>
      <c r="AG230" s="89"/>
      <c r="AH230" s="89"/>
      <c r="AI230" s="89"/>
      <c r="AJ230" s="89"/>
      <c r="AK230" s="89"/>
      <c r="AL230" s="89"/>
      <c r="AM230" s="89"/>
      <c r="AN230" s="89"/>
      <c r="AO230" s="89"/>
      <c r="AP230" s="89"/>
      <c r="AQ230" s="89"/>
      <c r="AR230" s="89"/>
      <c r="AS230" s="89"/>
      <c r="AT230" s="89"/>
      <c r="AU230" s="89"/>
      <c r="AV230" s="89"/>
      <c r="AW230" s="89"/>
      <c r="AX230" s="89"/>
    </row>
    <row r="231" spans="1:50" x14ac:dyDescent="0.25">
      <c r="A231" s="89"/>
      <c r="B231" s="89"/>
      <c r="C231" s="121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89"/>
      <c r="U231" s="89"/>
      <c r="V231" s="89"/>
      <c r="W231" s="89"/>
      <c r="X231" s="89"/>
      <c r="Y231" s="89"/>
      <c r="Z231" s="89"/>
      <c r="AA231" s="89"/>
      <c r="AB231" s="89"/>
      <c r="AC231" s="89"/>
      <c r="AD231" s="89"/>
      <c r="AE231" s="89"/>
      <c r="AF231" s="89"/>
      <c r="AG231" s="89"/>
      <c r="AH231" s="89"/>
      <c r="AI231" s="89"/>
      <c r="AJ231" s="89"/>
      <c r="AK231" s="89"/>
      <c r="AL231" s="89"/>
      <c r="AM231" s="89"/>
      <c r="AN231" s="89"/>
      <c r="AO231" s="89"/>
      <c r="AP231" s="89"/>
      <c r="AQ231" s="89"/>
      <c r="AR231" s="89"/>
      <c r="AS231" s="89"/>
      <c r="AT231" s="89"/>
      <c r="AU231" s="89"/>
      <c r="AV231" s="89"/>
      <c r="AW231" s="89"/>
      <c r="AX231" s="89"/>
    </row>
    <row r="232" spans="1:50" x14ac:dyDescent="0.25">
      <c r="A232" s="89"/>
      <c r="B232" s="89"/>
      <c r="C232" s="121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89"/>
      <c r="U232" s="89"/>
      <c r="V232" s="89"/>
      <c r="W232" s="89"/>
      <c r="X232" s="89"/>
      <c r="Y232" s="89"/>
      <c r="Z232" s="89"/>
      <c r="AA232" s="89"/>
      <c r="AB232" s="89"/>
      <c r="AC232" s="89"/>
      <c r="AD232" s="89"/>
      <c r="AE232" s="89"/>
      <c r="AF232" s="89"/>
      <c r="AG232" s="89"/>
      <c r="AH232" s="89"/>
      <c r="AI232" s="89"/>
      <c r="AJ232" s="89"/>
      <c r="AK232" s="89"/>
      <c r="AL232" s="89"/>
      <c r="AM232" s="89"/>
      <c r="AN232" s="89"/>
      <c r="AO232" s="89"/>
      <c r="AP232" s="89"/>
      <c r="AQ232" s="89"/>
      <c r="AR232" s="89"/>
      <c r="AS232" s="89"/>
      <c r="AT232" s="89"/>
      <c r="AU232" s="89"/>
      <c r="AV232" s="89"/>
      <c r="AW232" s="89"/>
      <c r="AX232" s="89"/>
    </row>
    <row r="233" spans="1:50" x14ac:dyDescent="0.25">
      <c r="A233" s="89"/>
      <c r="B233" s="89"/>
      <c r="C233" s="121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89"/>
      <c r="U233" s="89"/>
      <c r="V233" s="89"/>
      <c r="W233" s="89"/>
      <c r="X233" s="89"/>
      <c r="Y233" s="89"/>
      <c r="Z233" s="89"/>
      <c r="AA233" s="89"/>
      <c r="AB233" s="89"/>
      <c r="AC233" s="89"/>
      <c r="AD233" s="89"/>
      <c r="AE233" s="89"/>
      <c r="AF233" s="89"/>
      <c r="AG233" s="89"/>
      <c r="AH233" s="89"/>
      <c r="AI233" s="89"/>
      <c r="AJ233" s="89"/>
      <c r="AK233" s="89"/>
      <c r="AL233" s="89"/>
      <c r="AM233" s="89"/>
      <c r="AN233" s="89"/>
      <c r="AO233" s="89"/>
      <c r="AP233" s="89"/>
      <c r="AQ233" s="89"/>
      <c r="AR233" s="89"/>
      <c r="AS233" s="89"/>
      <c r="AT233" s="89"/>
      <c r="AU233" s="89"/>
      <c r="AV233" s="89"/>
      <c r="AW233" s="89"/>
      <c r="AX233" s="89"/>
    </row>
    <row r="234" spans="1:50" x14ac:dyDescent="0.25">
      <c r="A234" s="89"/>
      <c r="B234" s="89"/>
      <c r="C234" s="121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89"/>
      <c r="U234" s="89"/>
      <c r="V234" s="89"/>
      <c r="W234" s="89"/>
      <c r="X234" s="89"/>
      <c r="Y234" s="89"/>
      <c r="Z234" s="89"/>
      <c r="AA234" s="89"/>
      <c r="AB234" s="89"/>
      <c r="AC234" s="89"/>
      <c r="AD234" s="89"/>
      <c r="AE234" s="89"/>
      <c r="AF234" s="89"/>
      <c r="AG234" s="89"/>
      <c r="AH234" s="89"/>
      <c r="AI234" s="89"/>
      <c r="AJ234" s="89"/>
      <c r="AK234" s="89"/>
      <c r="AL234" s="89"/>
      <c r="AM234" s="89"/>
      <c r="AN234" s="89"/>
      <c r="AO234" s="89"/>
      <c r="AP234" s="89"/>
      <c r="AQ234" s="89"/>
      <c r="AR234" s="89"/>
      <c r="AS234" s="89"/>
      <c r="AT234" s="89"/>
      <c r="AU234" s="89"/>
      <c r="AV234" s="89"/>
      <c r="AW234" s="89"/>
      <c r="AX234" s="89"/>
    </row>
    <row r="235" spans="1:50" x14ac:dyDescent="0.25">
      <c r="A235" s="89"/>
      <c r="B235" s="89"/>
      <c r="C235" s="121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89"/>
      <c r="U235" s="89"/>
      <c r="V235" s="89"/>
      <c r="W235" s="89"/>
      <c r="X235" s="89"/>
      <c r="Y235" s="89"/>
      <c r="Z235" s="89"/>
      <c r="AA235" s="89"/>
      <c r="AB235" s="89"/>
      <c r="AC235" s="89"/>
      <c r="AD235" s="89"/>
      <c r="AE235" s="89"/>
      <c r="AF235" s="89"/>
      <c r="AG235" s="89"/>
      <c r="AH235" s="89"/>
      <c r="AI235" s="89"/>
      <c r="AJ235" s="89"/>
      <c r="AK235" s="89"/>
      <c r="AL235" s="89"/>
      <c r="AM235" s="89"/>
      <c r="AN235" s="89"/>
      <c r="AO235" s="89"/>
      <c r="AP235" s="89"/>
      <c r="AQ235" s="89"/>
      <c r="AR235" s="89"/>
      <c r="AS235" s="89"/>
      <c r="AT235" s="89"/>
      <c r="AU235" s="89"/>
      <c r="AV235" s="89"/>
      <c r="AW235" s="89"/>
      <c r="AX235" s="89"/>
    </row>
    <row r="236" spans="1:50" x14ac:dyDescent="0.25">
      <c r="A236" s="89"/>
      <c r="B236" s="89"/>
      <c r="C236" s="121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89"/>
      <c r="U236" s="89"/>
      <c r="V236" s="89"/>
      <c r="W236" s="89"/>
      <c r="X236" s="89"/>
      <c r="Y236" s="89"/>
      <c r="Z236" s="89"/>
      <c r="AA236" s="89"/>
      <c r="AB236" s="89"/>
      <c r="AC236" s="89"/>
      <c r="AD236" s="89"/>
      <c r="AE236" s="89"/>
      <c r="AF236" s="89"/>
      <c r="AG236" s="89"/>
      <c r="AH236" s="89"/>
      <c r="AI236" s="89"/>
      <c r="AJ236" s="89"/>
      <c r="AK236" s="89"/>
      <c r="AL236" s="89"/>
      <c r="AM236" s="89"/>
      <c r="AN236" s="89"/>
      <c r="AO236" s="89"/>
      <c r="AP236" s="89"/>
      <c r="AQ236" s="89"/>
      <c r="AR236" s="89"/>
      <c r="AS236" s="89"/>
      <c r="AT236" s="89"/>
      <c r="AU236" s="89"/>
      <c r="AV236" s="89"/>
      <c r="AW236" s="89"/>
      <c r="AX236" s="89"/>
    </row>
    <row r="237" spans="1:50" x14ac:dyDescent="0.25">
      <c r="A237" s="89"/>
      <c r="B237" s="89"/>
      <c r="C237" s="121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89"/>
      <c r="U237" s="89"/>
      <c r="V237" s="89"/>
      <c r="W237" s="89"/>
      <c r="X237" s="89"/>
      <c r="Y237" s="89"/>
      <c r="Z237" s="89"/>
      <c r="AA237" s="89"/>
      <c r="AB237" s="89"/>
      <c r="AC237" s="89"/>
      <c r="AD237" s="89"/>
      <c r="AE237" s="89"/>
      <c r="AF237" s="89"/>
      <c r="AG237" s="89"/>
      <c r="AH237" s="89"/>
      <c r="AI237" s="89"/>
      <c r="AJ237" s="89"/>
      <c r="AK237" s="89"/>
      <c r="AL237" s="89"/>
      <c r="AM237" s="89"/>
      <c r="AN237" s="89"/>
      <c r="AO237" s="89"/>
      <c r="AP237" s="89"/>
      <c r="AQ237" s="89"/>
      <c r="AR237" s="89"/>
      <c r="AS237" s="89"/>
      <c r="AT237" s="89"/>
      <c r="AU237" s="89"/>
      <c r="AV237" s="89"/>
      <c r="AW237" s="89"/>
      <c r="AX237" s="89"/>
    </row>
    <row r="238" spans="1:50" x14ac:dyDescent="0.25">
      <c r="A238" s="89"/>
      <c r="B238" s="89"/>
      <c r="C238" s="121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89"/>
      <c r="U238" s="89"/>
      <c r="V238" s="89"/>
      <c r="W238" s="89"/>
      <c r="X238" s="89"/>
      <c r="Y238" s="89"/>
      <c r="Z238" s="89"/>
      <c r="AA238" s="89"/>
      <c r="AB238" s="89"/>
      <c r="AC238" s="89"/>
      <c r="AD238" s="89"/>
      <c r="AE238" s="89"/>
      <c r="AF238" s="89"/>
      <c r="AG238" s="89"/>
      <c r="AH238" s="89"/>
      <c r="AI238" s="89"/>
      <c r="AJ238" s="89"/>
      <c r="AK238" s="89"/>
      <c r="AL238" s="89"/>
      <c r="AM238" s="89"/>
      <c r="AN238" s="89"/>
      <c r="AO238" s="89"/>
      <c r="AP238" s="89"/>
      <c r="AQ238" s="89"/>
      <c r="AR238" s="89"/>
      <c r="AS238" s="89"/>
      <c r="AT238" s="89"/>
      <c r="AU238" s="89"/>
      <c r="AV238" s="89"/>
      <c r="AW238" s="89"/>
      <c r="AX238" s="89"/>
    </row>
    <row r="239" spans="1:50" x14ac:dyDescent="0.25">
      <c r="A239" s="89"/>
      <c r="B239" s="89"/>
      <c r="C239" s="121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89"/>
      <c r="U239" s="89"/>
      <c r="V239" s="89"/>
      <c r="W239" s="89"/>
      <c r="X239" s="89"/>
      <c r="Y239" s="89"/>
      <c r="Z239" s="89"/>
      <c r="AA239" s="89"/>
      <c r="AB239" s="89"/>
      <c r="AC239" s="89"/>
      <c r="AD239" s="89"/>
      <c r="AE239" s="89"/>
      <c r="AF239" s="89"/>
      <c r="AG239" s="89"/>
      <c r="AH239" s="89"/>
      <c r="AI239" s="89"/>
      <c r="AJ239" s="89"/>
      <c r="AK239" s="89"/>
      <c r="AL239" s="89"/>
      <c r="AM239" s="89"/>
      <c r="AN239" s="89"/>
      <c r="AO239" s="89"/>
      <c r="AP239" s="89"/>
      <c r="AQ239" s="89"/>
      <c r="AR239" s="89"/>
      <c r="AS239" s="89"/>
      <c r="AT239" s="89"/>
      <c r="AU239" s="89"/>
      <c r="AV239" s="89"/>
      <c r="AW239" s="89"/>
      <c r="AX239" s="89"/>
    </row>
    <row r="240" spans="1:50" x14ac:dyDescent="0.25">
      <c r="A240" s="89"/>
      <c r="B240" s="89"/>
      <c r="C240" s="121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89"/>
      <c r="U240" s="89"/>
      <c r="V240" s="89"/>
      <c r="W240" s="89"/>
      <c r="X240" s="89"/>
      <c r="Y240" s="89"/>
      <c r="Z240" s="89"/>
      <c r="AA240" s="89"/>
      <c r="AB240" s="89"/>
      <c r="AC240" s="89"/>
      <c r="AD240" s="89"/>
      <c r="AE240" s="89"/>
      <c r="AF240" s="89"/>
      <c r="AG240" s="89"/>
      <c r="AH240" s="89"/>
      <c r="AI240" s="89"/>
      <c r="AJ240" s="89"/>
      <c r="AK240" s="89"/>
      <c r="AL240" s="89"/>
      <c r="AM240" s="89"/>
      <c r="AN240" s="89"/>
      <c r="AO240" s="89"/>
      <c r="AP240" s="89"/>
      <c r="AQ240" s="89"/>
      <c r="AR240" s="89"/>
      <c r="AS240" s="89"/>
      <c r="AT240" s="89"/>
      <c r="AU240" s="89"/>
      <c r="AV240" s="89"/>
      <c r="AW240" s="89"/>
      <c r="AX240" s="89"/>
    </row>
    <row r="241" spans="1:50" x14ac:dyDescent="0.25">
      <c r="A241" s="89"/>
      <c r="B241" s="89"/>
      <c r="C241" s="121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89"/>
      <c r="U241" s="89"/>
      <c r="V241" s="89"/>
      <c r="W241" s="89"/>
      <c r="X241" s="89"/>
      <c r="Y241" s="89"/>
      <c r="Z241" s="89"/>
      <c r="AA241" s="89"/>
      <c r="AB241" s="89"/>
      <c r="AC241" s="89"/>
      <c r="AD241" s="89"/>
      <c r="AE241" s="89"/>
      <c r="AF241" s="89"/>
      <c r="AG241" s="89"/>
      <c r="AH241" s="89"/>
      <c r="AI241" s="89"/>
      <c r="AJ241" s="89"/>
      <c r="AK241" s="89"/>
      <c r="AL241" s="89"/>
      <c r="AM241" s="89"/>
      <c r="AN241" s="89"/>
      <c r="AO241" s="89"/>
      <c r="AP241" s="89"/>
      <c r="AQ241" s="89"/>
      <c r="AR241" s="89"/>
      <c r="AS241" s="89"/>
      <c r="AT241" s="89"/>
      <c r="AU241" s="89"/>
      <c r="AV241" s="89"/>
      <c r="AW241" s="89"/>
      <c r="AX241" s="89"/>
    </row>
    <row r="242" spans="1:50" x14ac:dyDescent="0.25">
      <c r="A242" s="89"/>
      <c r="B242" s="89"/>
      <c r="C242" s="121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89"/>
      <c r="U242" s="89"/>
      <c r="V242" s="89"/>
      <c r="W242" s="89"/>
      <c r="X242" s="89"/>
      <c r="Y242" s="89"/>
      <c r="Z242" s="89"/>
      <c r="AA242" s="89"/>
      <c r="AB242" s="89"/>
      <c r="AC242" s="89"/>
      <c r="AD242" s="89"/>
      <c r="AE242" s="89"/>
      <c r="AF242" s="89"/>
      <c r="AG242" s="89"/>
      <c r="AH242" s="89"/>
      <c r="AI242" s="89"/>
      <c r="AJ242" s="89"/>
      <c r="AK242" s="89"/>
      <c r="AL242" s="89"/>
      <c r="AM242" s="89"/>
      <c r="AN242" s="89"/>
      <c r="AO242" s="89"/>
      <c r="AP242" s="89"/>
      <c r="AQ242" s="89"/>
      <c r="AR242" s="89"/>
      <c r="AS242" s="89"/>
      <c r="AT242" s="89"/>
      <c r="AU242" s="89"/>
      <c r="AV242" s="89"/>
      <c r="AW242" s="89"/>
      <c r="AX242" s="89"/>
    </row>
    <row r="243" spans="1:50" x14ac:dyDescent="0.25">
      <c r="A243" s="89"/>
      <c r="B243" s="89"/>
      <c r="C243" s="121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89"/>
      <c r="U243" s="89"/>
      <c r="V243" s="89"/>
      <c r="W243" s="89"/>
      <c r="X243" s="89"/>
      <c r="Y243" s="89"/>
      <c r="Z243" s="89"/>
      <c r="AA243" s="89"/>
      <c r="AB243" s="89"/>
      <c r="AC243" s="89"/>
      <c r="AD243" s="89"/>
      <c r="AE243" s="89"/>
      <c r="AF243" s="89"/>
      <c r="AG243" s="89"/>
      <c r="AH243" s="89"/>
      <c r="AI243" s="89"/>
      <c r="AJ243" s="89"/>
      <c r="AK243" s="89"/>
      <c r="AL243" s="89"/>
      <c r="AM243" s="89"/>
      <c r="AN243" s="89"/>
      <c r="AO243" s="89"/>
      <c r="AP243" s="89"/>
      <c r="AQ243" s="89"/>
      <c r="AR243" s="89"/>
      <c r="AS243" s="89"/>
      <c r="AT243" s="89"/>
      <c r="AU243" s="89"/>
      <c r="AV243" s="89"/>
      <c r="AW243" s="89"/>
      <c r="AX243" s="89"/>
    </row>
    <row r="244" spans="1:50" x14ac:dyDescent="0.25">
      <c r="A244" s="89"/>
      <c r="B244" s="89"/>
      <c r="C244" s="121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89"/>
      <c r="U244" s="89"/>
      <c r="V244" s="89"/>
      <c r="W244" s="89"/>
      <c r="X244" s="89"/>
      <c r="Y244" s="89"/>
      <c r="Z244" s="89"/>
      <c r="AA244" s="89"/>
      <c r="AB244" s="89"/>
      <c r="AC244" s="89"/>
      <c r="AD244" s="89"/>
      <c r="AE244" s="89"/>
      <c r="AF244" s="89"/>
      <c r="AG244" s="89"/>
      <c r="AH244" s="89"/>
      <c r="AI244" s="89"/>
      <c r="AJ244" s="89"/>
      <c r="AK244" s="89"/>
      <c r="AL244" s="89"/>
      <c r="AM244" s="89"/>
      <c r="AN244" s="89"/>
      <c r="AO244" s="89"/>
      <c r="AP244" s="89"/>
      <c r="AQ244" s="89"/>
      <c r="AR244" s="89"/>
      <c r="AS244" s="89"/>
      <c r="AT244" s="89"/>
      <c r="AU244" s="89"/>
      <c r="AV244" s="89"/>
      <c r="AW244" s="89"/>
      <c r="AX244" s="89"/>
    </row>
    <row r="245" spans="1:50" x14ac:dyDescent="0.25">
      <c r="A245" s="89"/>
      <c r="B245" s="89"/>
      <c r="C245" s="121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89"/>
      <c r="U245" s="89"/>
      <c r="V245" s="89"/>
      <c r="W245" s="89"/>
      <c r="X245" s="89"/>
      <c r="Y245" s="89"/>
      <c r="Z245" s="89"/>
      <c r="AA245" s="89"/>
      <c r="AB245" s="89"/>
      <c r="AC245" s="89"/>
      <c r="AD245" s="89"/>
      <c r="AE245" s="89"/>
      <c r="AF245" s="89"/>
      <c r="AG245" s="89"/>
      <c r="AH245" s="89"/>
      <c r="AI245" s="89"/>
      <c r="AJ245" s="89"/>
      <c r="AK245" s="89"/>
      <c r="AL245" s="89"/>
      <c r="AM245" s="89"/>
      <c r="AN245" s="89"/>
      <c r="AO245" s="89"/>
      <c r="AP245" s="89"/>
      <c r="AQ245" s="89"/>
      <c r="AR245" s="89"/>
      <c r="AS245" s="89"/>
      <c r="AT245" s="89"/>
      <c r="AU245" s="89"/>
      <c r="AV245" s="89"/>
      <c r="AW245" s="89"/>
      <c r="AX245" s="89"/>
    </row>
    <row r="246" spans="1:50" x14ac:dyDescent="0.25">
      <c r="A246" s="89"/>
      <c r="B246" s="89"/>
      <c r="C246" s="121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89"/>
      <c r="U246" s="89"/>
      <c r="V246" s="89"/>
      <c r="W246" s="89"/>
      <c r="X246" s="89"/>
      <c r="Y246" s="89"/>
      <c r="Z246" s="89"/>
      <c r="AA246" s="89"/>
      <c r="AB246" s="89"/>
      <c r="AC246" s="89"/>
      <c r="AD246" s="89"/>
      <c r="AE246" s="89"/>
      <c r="AF246" s="89"/>
      <c r="AG246" s="89"/>
      <c r="AH246" s="89"/>
      <c r="AI246" s="89"/>
      <c r="AJ246" s="89"/>
      <c r="AK246" s="89"/>
      <c r="AL246" s="89"/>
      <c r="AM246" s="89"/>
      <c r="AN246" s="89"/>
      <c r="AO246" s="89"/>
      <c r="AP246" s="89"/>
      <c r="AQ246" s="89"/>
      <c r="AR246" s="89"/>
      <c r="AS246" s="89"/>
      <c r="AT246" s="89"/>
      <c r="AU246" s="89"/>
      <c r="AV246" s="89"/>
      <c r="AW246" s="89"/>
      <c r="AX246" s="89"/>
    </row>
    <row r="247" spans="1:50" x14ac:dyDescent="0.25">
      <c r="A247" s="89"/>
      <c r="B247" s="89"/>
      <c r="C247" s="121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89"/>
      <c r="U247" s="89"/>
      <c r="V247" s="89"/>
      <c r="W247" s="89"/>
      <c r="X247" s="89"/>
      <c r="Y247" s="89"/>
      <c r="Z247" s="89"/>
      <c r="AA247" s="89"/>
      <c r="AB247" s="89"/>
      <c r="AC247" s="89"/>
      <c r="AD247" s="89"/>
      <c r="AE247" s="89"/>
      <c r="AF247" s="89"/>
      <c r="AG247" s="89"/>
      <c r="AH247" s="89"/>
      <c r="AI247" s="89"/>
      <c r="AJ247" s="89"/>
      <c r="AK247" s="89"/>
      <c r="AL247" s="89"/>
      <c r="AM247" s="89"/>
      <c r="AN247" s="89"/>
      <c r="AO247" s="89"/>
      <c r="AP247" s="89"/>
      <c r="AQ247" s="89"/>
      <c r="AR247" s="89"/>
      <c r="AS247" s="89"/>
      <c r="AT247" s="89"/>
      <c r="AU247" s="89"/>
      <c r="AV247" s="89"/>
      <c r="AW247" s="89"/>
      <c r="AX247" s="89"/>
    </row>
    <row r="248" spans="1:50" x14ac:dyDescent="0.25">
      <c r="A248" s="89"/>
      <c r="B248" s="89"/>
      <c r="C248" s="121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89"/>
      <c r="U248" s="89"/>
      <c r="V248" s="89"/>
      <c r="W248" s="89"/>
      <c r="X248" s="89"/>
      <c r="Y248" s="89"/>
      <c r="Z248" s="89"/>
      <c r="AA248" s="89"/>
      <c r="AB248" s="89"/>
      <c r="AC248" s="89"/>
      <c r="AD248" s="89"/>
      <c r="AE248" s="89"/>
      <c r="AF248" s="89"/>
      <c r="AG248" s="89"/>
      <c r="AH248" s="89"/>
      <c r="AI248" s="89"/>
      <c r="AJ248" s="89"/>
      <c r="AK248" s="89"/>
      <c r="AL248" s="89"/>
      <c r="AM248" s="89"/>
      <c r="AN248" s="89"/>
      <c r="AO248" s="89"/>
      <c r="AP248" s="89"/>
      <c r="AQ248" s="89"/>
      <c r="AR248" s="89"/>
      <c r="AS248" s="89"/>
      <c r="AT248" s="89"/>
      <c r="AU248" s="89"/>
      <c r="AV248" s="89"/>
      <c r="AW248" s="89"/>
      <c r="AX248" s="89"/>
    </row>
    <row r="249" spans="1:50" x14ac:dyDescent="0.25">
      <c r="A249" s="89"/>
      <c r="B249" s="89"/>
      <c r="C249" s="121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89"/>
      <c r="U249" s="89"/>
      <c r="V249" s="89"/>
      <c r="W249" s="89"/>
      <c r="X249" s="89"/>
      <c r="Y249" s="89"/>
      <c r="Z249" s="89"/>
      <c r="AA249" s="89"/>
      <c r="AB249" s="89"/>
      <c r="AC249" s="89"/>
      <c r="AD249" s="89"/>
      <c r="AE249" s="89"/>
      <c r="AF249" s="89"/>
      <c r="AG249" s="89"/>
      <c r="AH249" s="89"/>
      <c r="AI249" s="89"/>
      <c r="AJ249" s="89"/>
      <c r="AK249" s="89"/>
      <c r="AL249" s="89"/>
      <c r="AM249" s="89"/>
      <c r="AN249" s="89"/>
      <c r="AO249" s="89"/>
      <c r="AP249" s="89"/>
      <c r="AQ249" s="89"/>
      <c r="AR249" s="89"/>
      <c r="AS249" s="89"/>
      <c r="AT249" s="89"/>
      <c r="AU249" s="89"/>
      <c r="AV249" s="89"/>
      <c r="AW249" s="89"/>
      <c r="AX249" s="89"/>
    </row>
    <row r="250" spans="1:50" x14ac:dyDescent="0.25">
      <c r="A250" s="89"/>
      <c r="B250" s="89"/>
      <c r="C250" s="121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89"/>
      <c r="U250" s="89"/>
      <c r="V250" s="89"/>
      <c r="W250" s="89"/>
      <c r="X250" s="89"/>
      <c r="Y250" s="89"/>
      <c r="Z250" s="89"/>
      <c r="AA250" s="89"/>
      <c r="AB250" s="89"/>
      <c r="AC250" s="89"/>
      <c r="AD250" s="89"/>
      <c r="AE250" s="89"/>
      <c r="AF250" s="89"/>
      <c r="AG250" s="89"/>
      <c r="AH250" s="89"/>
      <c r="AI250" s="89"/>
      <c r="AJ250" s="89"/>
      <c r="AK250" s="89"/>
      <c r="AL250" s="89"/>
      <c r="AM250" s="89"/>
      <c r="AN250" s="89"/>
      <c r="AO250" s="89"/>
      <c r="AP250" s="89"/>
      <c r="AQ250" s="89"/>
      <c r="AR250" s="89"/>
      <c r="AS250" s="89"/>
      <c r="AT250" s="89"/>
      <c r="AU250" s="89"/>
      <c r="AV250" s="89"/>
      <c r="AW250" s="89"/>
      <c r="AX250" s="89"/>
    </row>
    <row r="251" spans="1:50" x14ac:dyDescent="0.25">
      <c r="A251" s="89"/>
      <c r="B251" s="89"/>
      <c r="C251" s="121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89"/>
      <c r="U251" s="89"/>
      <c r="V251" s="89"/>
      <c r="W251" s="89"/>
      <c r="X251" s="89"/>
      <c r="Y251" s="89"/>
      <c r="Z251" s="89"/>
      <c r="AA251" s="89"/>
      <c r="AB251" s="89"/>
      <c r="AC251" s="89"/>
      <c r="AD251" s="89"/>
      <c r="AE251" s="89"/>
      <c r="AF251" s="89"/>
      <c r="AG251" s="89"/>
      <c r="AH251" s="89"/>
      <c r="AI251" s="89"/>
      <c r="AJ251" s="89"/>
      <c r="AK251" s="89"/>
      <c r="AL251" s="89"/>
      <c r="AM251" s="89"/>
      <c r="AN251" s="89"/>
      <c r="AO251" s="89"/>
      <c r="AP251" s="89"/>
      <c r="AQ251" s="89"/>
      <c r="AR251" s="89"/>
      <c r="AS251" s="89"/>
      <c r="AT251" s="89"/>
      <c r="AU251" s="89"/>
      <c r="AV251" s="89"/>
      <c r="AW251" s="89"/>
      <c r="AX251" s="89"/>
    </row>
    <row r="252" spans="1:50" x14ac:dyDescent="0.25">
      <c r="A252" s="89"/>
      <c r="B252" s="89"/>
      <c r="C252" s="121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89"/>
      <c r="U252" s="89"/>
      <c r="V252" s="89"/>
      <c r="W252" s="89"/>
      <c r="X252" s="89"/>
      <c r="Y252" s="89"/>
      <c r="Z252" s="89"/>
      <c r="AA252" s="89"/>
      <c r="AB252" s="89"/>
      <c r="AC252" s="89"/>
      <c r="AD252" s="89"/>
      <c r="AE252" s="89"/>
      <c r="AF252" s="89"/>
      <c r="AG252" s="89"/>
      <c r="AH252" s="89"/>
      <c r="AI252" s="89"/>
      <c r="AJ252" s="89"/>
      <c r="AK252" s="89"/>
      <c r="AL252" s="89"/>
      <c r="AM252" s="89"/>
      <c r="AN252" s="89"/>
      <c r="AO252" s="89"/>
      <c r="AP252" s="89"/>
      <c r="AQ252" s="89"/>
      <c r="AR252" s="89"/>
      <c r="AS252" s="89"/>
      <c r="AT252" s="89"/>
      <c r="AU252" s="89"/>
      <c r="AV252" s="89"/>
      <c r="AW252" s="89"/>
      <c r="AX252" s="89"/>
    </row>
    <row r="253" spans="1:50" x14ac:dyDescent="0.25">
      <c r="A253" s="89"/>
      <c r="B253" s="89"/>
      <c r="C253" s="121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89"/>
      <c r="U253" s="89"/>
      <c r="V253" s="89"/>
      <c r="W253" s="89"/>
      <c r="X253" s="89"/>
      <c r="Y253" s="89"/>
      <c r="Z253" s="89"/>
      <c r="AA253" s="89"/>
      <c r="AB253" s="89"/>
      <c r="AC253" s="89"/>
      <c r="AD253" s="89"/>
      <c r="AE253" s="89"/>
      <c r="AF253" s="89"/>
      <c r="AG253" s="89"/>
      <c r="AH253" s="89"/>
      <c r="AI253" s="89"/>
      <c r="AJ253" s="89"/>
      <c r="AK253" s="89"/>
      <c r="AL253" s="89"/>
      <c r="AM253" s="89"/>
      <c r="AN253" s="89"/>
      <c r="AO253" s="89"/>
      <c r="AP253" s="89"/>
      <c r="AQ253" s="89"/>
      <c r="AR253" s="89"/>
      <c r="AS253" s="89"/>
      <c r="AT253" s="89"/>
      <c r="AU253" s="89"/>
      <c r="AV253" s="89"/>
      <c r="AW253" s="89"/>
      <c r="AX253" s="89"/>
    </row>
    <row r="254" spans="1:50" x14ac:dyDescent="0.25">
      <c r="A254" s="89"/>
      <c r="B254" s="89"/>
      <c r="C254" s="121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89"/>
      <c r="U254" s="89"/>
      <c r="V254" s="89"/>
      <c r="W254" s="89"/>
      <c r="X254" s="89"/>
      <c r="Y254" s="89"/>
      <c r="Z254" s="89"/>
      <c r="AA254" s="89"/>
      <c r="AB254" s="89"/>
      <c r="AC254" s="89"/>
      <c r="AD254" s="89"/>
      <c r="AE254" s="89"/>
      <c r="AF254" s="89"/>
      <c r="AG254" s="89"/>
      <c r="AH254" s="89"/>
      <c r="AI254" s="89"/>
      <c r="AJ254" s="89"/>
      <c r="AK254" s="89"/>
      <c r="AL254" s="89"/>
      <c r="AM254" s="89"/>
      <c r="AN254" s="89"/>
      <c r="AO254" s="89"/>
      <c r="AP254" s="89"/>
      <c r="AQ254" s="89"/>
      <c r="AR254" s="89"/>
      <c r="AS254" s="89"/>
      <c r="AT254" s="89"/>
      <c r="AU254" s="89"/>
      <c r="AV254" s="89"/>
      <c r="AW254" s="89"/>
      <c r="AX254" s="89"/>
    </row>
    <row r="255" spans="1:50" x14ac:dyDescent="0.25">
      <c r="A255" s="89"/>
      <c r="B255" s="89"/>
      <c r="C255" s="121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89"/>
      <c r="U255" s="89"/>
      <c r="V255" s="89"/>
      <c r="W255" s="89"/>
      <c r="X255" s="89"/>
      <c r="Y255" s="89"/>
      <c r="Z255" s="89"/>
      <c r="AA255" s="89"/>
      <c r="AB255" s="89"/>
      <c r="AC255" s="89"/>
      <c r="AD255" s="89"/>
      <c r="AE255" s="89"/>
      <c r="AF255" s="89"/>
      <c r="AG255" s="89"/>
      <c r="AH255" s="89"/>
      <c r="AI255" s="89"/>
      <c r="AJ255" s="89"/>
      <c r="AK255" s="89"/>
      <c r="AL255" s="89"/>
      <c r="AM255" s="89"/>
      <c r="AN255" s="89"/>
      <c r="AO255" s="89"/>
      <c r="AP255" s="89"/>
      <c r="AQ255" s="89"/>
      <c r="AR255" s="89"/>
      <c r="AS255" s="89"/>
      <c r="AT255" s="89"/>
      <c r="AU255" s="89"/>
      <c r="AV255" s="89"/>
      <c r="AW255" s="89"/>
      <c r="AX255" s="89"/>
    </row>
    <row r="256" spans="1:50" x14ac:dyDescent="0.25">
      <c r="A256" s="89"/>
      <c r="B256" s="89"/>
      <c r="C256" s="121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89"/>
      <c r="U256" s="89"/>
      <c r="V256" s="89"/>
      <c r="W256" s="89"/>
      <c r="X256" s="89"/>
      <c r="Y256" s="89"/>
      <c r="Z256" s="89"/>
      <c r="AA256" s="89"/>
      <c r="AB256" s="89"/>
      <c r="AC256" s="89"/>
      <c r="AD256" s="89"/>
      <c r="AE256" s="89"/>
      <c r="AF256" s="89"/>
      <c r="AG256" s="89"/>
      <c r="AH256" s="89"/>
      <c r="AI256" s="89"/>
      <c r="AJ256" s="89"/>
      <c r="AK256" s="89"/>
      <c r="AL256" s="89"/>
      <c r="AM256" s="89"/>
      <c r="AN256" s="89"/>
      <c r="AO256" s="89"/>
      <c r="AP256" s="89"/>
      <c r="AQ256" s="89"/>
      <c r="AR256" s="89"/>
      <c r="AS256" s="89"/>
      <c r="AT256" s="89"/>
      <c r="AU256" s="89"/>
      <c r="AV256" s="89"/>
      <c r="AW256" s="89"/>
      <c r="AX256" s="89"/>
    </row>
    <row r="257" spans="1:50" x14ac:dyDescent="0.25">
      <c r="A257" s="89"/>
      <c r="B257" s="89"/>
      <c r="C257" s="121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89"/>
      <c r="U257" s="89"/>
      <c r="V257" s="89"/>
      <c r="W257" s="89"/>
      <c r="X257" s="89"/>
      <c r="Y257" s="89"/>
      <c r="Z257" s="89"/>
      <c r="AA257" s="89"/>
      <c r="AB257" s="89"/>
      <c r="AC257" s="89"/>
      <c r="AD257" s="89"/>
      <c r="AE257" s="89"/>
      <c r="AF257" s="89"/>
      <c r="AG257" s="89"/>
      <c r="AH257" s="89"/>
      <c r="AI257" s="89"/>
      <c r="AJ257" s="89"/>
      <c r="AK257" s="89"/>
      <c r="AL257" s="89"/>
      <c r="AM257" s="89"/>
      <c r="AN257" s="89"/>
      <c r="AO257" s="89"/>
      <c r="AP257" s="89"/>
      <c r="AQ257" s="89"/>
      <c r="AR257" s="89"/>
      <c r="AS257" s="89"/>
      <c r="AT257" s="89"/>
      <c r="AU257" s="89"/>
      <c r="AV257" s="89"/>
      <c r="AW257" s="89"/>
      <c r="AX257" s="89"/>
    </row>
    <row r="258" spans="1:50" x14ac:dyDescent="0.25">
      <c r="A258" s="89"/>
      <c r="B258" s="89"/>
      <c r="C258" s="121"/>
      <c r="D258" s="121"/>
      <c r="E258" s="121"/>
      <c r="F258" s="121"/>
      <c r="G258" s="121"/>
      <c r="H258" s="121"/>
      <c r="I258" s="121"/>
      <c r="J258" s="121"/>
      <c r="K258" s="121"/>
      <c r="L258" s="121"/>
      <c r="M258" s="121"/>
      <c r="N258" s="121"/>
      <c r="O258" s="121"/>
      <c r="P258" s="121"/>
      <c r="Q258" s="121"/>
      <c r="R258" s="121"/>
      <c r="S258" s="121"/>
      <c r="T258" s="89"/>
      <c r="U258" s="89"/>
      <c r="V258" s="89"/>
      <c r="W258" s="89"/>
      <c r="X258" s="89"/>
      <c r="Y258" s="89"/>
      <c r="Z258" s="89"/>
      <c r="AA258" s="89"/>
      <c r="AB258" s="89"/>
      <c r="AC258" s="89"/>
      <c r="AD258" s="89"/>
      <c r="AE258" s="89"/>
      <c r="AF258" s="89"/>
      <c r="AG258" s="89"/>
      <c r="AH258" s="89"/>
      <c r="AI258" s="89"/>
      <c r="AJ258" s="89"/>
      <c r="AK258" s="89"/>
      <c r="AL258" s="89"/>
      <c r="AM258" s="89"/>
      <c r="AN258" s="89"/>
      <c r="AO258" s="89"/>
      <c r="AP258" s="89"/>
      <c r="AQ258" s="89"/>
      <c r="AR258" s="89"/>
      <c r="AS258" s="89"/>
      <c r="AT258" s="89"/>
      <c r="AU258" s="89"/>
      <c r="AV258" s="89"/>
      <c r="AW258" s="89"/>
      <c r="AX258" s="89"/>
    </row>
    <row r="259" spans="1:50" x14ac:dyDescent="0.25">
      <c r="A259" s="89"/>
      <c r="B259" s="89"/>
      <c r="C259" s="121"/>
      <c r="D259" s="121"/>
      <c r="E259" s="121"/>
      <c r="F259" s="121"/>
      <c r="G259" s="121"/>
      <c r="H259" s="121"/>
      <c r="I259" s="121"/>
      <c r="J259" s="121"/>
      <c r="K259" s="121"/>
      <c r="L259" s="121"/>
      <c r="M259" s="121"/>
      <c r="N259" s="121"/>
      <c r="O259" s="121"/>
      <c r="P259" s="121"/>
      <c r="Q259" s="121"/>
      <c r="R259" s="121"/>
      <c r="S259" s="121"/>
      <c r="T259" s="89"/>
      <c r="U259" s="89"/>
      <c r="V259" s="89"/>
      <c r="W259" s="89"/>
      <c r="X259" s="89"/>
      <c r="Y259" s="89"/>
      <c r="Z259" s="89"/>
      <c r="AA259" s="89"/>
      <c r="AB259" s="89"/>
      <c r="AC259" s="89"/>
      <c r="AD259" s="89"/>
      <c r="AE259" s="89"/>
      <c r="AF259" s="89"/>
      <c r="AG259" s="89"/>
      <c r="AH259" s="89"/>
      <c r="AI259" s="89"/>
      <c r="AJ259" s="89"/>
      <c r="AK259" s="89"/>
      <c r="AL259" s="89"/>
      <c r="AM259" s="89"/>
      <c r="AN259" s="89"/>
      <c r="AO259" s="89"/>
      <c r="AP259" s="89"/>
      <c r="AQ259" s="89"/>
      <c r="AR259" s="89"/>
      <c r="AS259" s="89"/>
      <c r="AT259" s="89"/>
      <c r="AU259" s="89"/>
      <c r="AV259" s="89"/>
      <c r="AW259" s="89"/>
      <c r="AX259" s="89"/>
    </row>
    <row r="260" spans="1:50" x14ac:dyDescent="0.25">
      <c r="A260" s="89"/>
      <c r="B260" s="89"/>
      <c r="C260" s="121"/>
      <c r="D260" s="121"/>
      <c r="E260" s="121"/>
      <c r="F260" s="121"/>
      <c r="G260" s="121"/>
      <c r="H260" s="121"/>
      <c r="I260" s="121"/>
      <c r="J260" s="121"/>
      <c r="K260" s="121"/>
      <c r="L260" s="121"/>
      <c r="M260" s="121"/>
      <c r="N260" s="121"/>
      <c r="O260" s="121"/>
      <c r="P260" s="121"/>
      <c r="Q260" s="121"/>
      <c r="R260" s="121"/>
      <c r="S260" s="121"/>
      <c r="T260" s="89"/>
      <c r="U260" s="89"/>
      <c r="V260" s="89"/>
      <c r="W260" s="89"/>
      <c r="X260" s="89"/>
      <c r="Y260" s="89"/>
      <c r="Z260" s="89"/>
      <c r="AA260" s="89"/>
      <c r="AB260" s="89"/>
      <c r="AC260" s="89"/>
      <c r="AD260" s="89"/>
      <c r="AE260" s="89"/>
      <c r="AF260" s="89"/>
      <c r="AG260" s="89"/>
      <c r="AH260" s="89"/>
      <c r="AI260" s="89"/>
      <c r="AJ260" s="89"/>
      <c r="AK260" s="89"/>
      <c r="AL260" s="89"/>
      <c r="AM260" s="89"/>
      <c r="AN260" s="89"/>
      <c r="AO260" s="89"/>
      <c r="AP260" s="89"/>
      <c r="AQ260" s="89"/>
      <c r="AR260" s="89"/>
      <c r="AS260" s="89"/>
      <c r="AT260" s="89"/>
      <c r="AU260" s="89"/>
      <c r="AV260" s="89"/>
      <c r="AW260" s="89"/>
      <c r="AX260" s="89"/>
    </row>
    <row r="261" spans="1:50" x14ac:dyDescent="0.25">
      <c r="A261" s="89"/>
      <c r="B261" s="89"/>
      <c r="C261" s="121"/>
      <c r="D261" s="121"/>
      <c r="E261" s="121"/>
      <c r="F261" s="121"/>
      <c r="G261" s="121"/>
      <c r="H261" s="121"/>
      <c r="I261" s="121"/>
      <c r="J261" s="121"/>
      <c r="K261" s="121"/>
      <c r="L261" s="121"/>
      <c r="M261" s="121"/>
      <c r="N261" s="121"/>
      <c r="O261" s="121"/>
      <c r="P261" s="121"/>
      <c r="Q261" s="121"/>
      <c r="R261" s="121"/>
      <c r="S261" s="121"/>
      <c r="T261" s="89"/>
      <c r="U261" s="89"/>
      <c r="V261" s="89"/>
      <c r="W261" s="89"/>
      <c r="X261" s="89"/>
      <c r="Y261" s="89"/>
      <c r="Z261" s="89"/>
      <c r="AA261" s="89"/>
      <c r="AB261" s="89"/>
      <c r="AC261" s="89"/>
      <c r="AD261" s="89"/>
      <c r="AE261" s="89"/>
      <c r="AF261" s="89"/>
      <c r="AG261" s="89"/>
      <c r="AH261" s="89"/>
      <c r="AI261" s="89"/>
      <c r="AJ261" s="89"/>
      <c r="AK261" s="89"/>
      <c r="AL261" s="89"/>
      <c r="AM261" s="89"/>
      <c r="AN261" s="89"/>
      <c r="AO261" s="89"/>
      <c r="AP261" s="89"/>
      <c r="AQ261" s="89"/>
      <c r="AR261" s="89"/>
      <c r="AS261" s="89"/>
      <c r="AT261" s="89"/>
      <c r="AU261" s="89"/>
      <c r="AV261" s="89"/>
      <c r="AW261" s="89"/>
      <c r="AX261" s="89"/>
    </row>
    <row r="262" spans="1:50" x14ac:dyDescent="0.25">
      <c r="A262" s="89"/>
      <c r="B262" s="89"/>
      <c r="C262" s="121"/>
      <c r="D262" s="121"/>
      <c r="E262" s="121"/>
      <c r="F262" s="121"/>
      <c r="G262" s="121"/>
      <c r="H262" s="121"/>
      <c r="I262" s="121"/>
      <c r="J262" s="121"/>
      <c r="K262" s="121"/>
      <c r="L262" s="121"/>
      <c r="M262" s="121"/>
      <c r="N262" s="121"/>
      <c r="O262" s="121"/>
      <c r="P262" s="121"/>
      <c r="Q262" s="121"/>
      <c r="R262" s="121"/>
      <c r="S262" s="121"/>
      <c r="T262" s="89"/>
      <c r="U262" s="89"/>
      <c r="V262" s="89"/>
      <c r="W262" s="89"/>
      <c r="X262" s="89"/>
      <c r="Y262" s="89"/>
      <c r="Z262" s="89"/>
      <c r="AA262" s="89"/>
      <c r="AB262" s="89"/>
      <c r="AC262" s="89"/>
      <c r="AD262" s="89"/>
      <c r="AE262" s="89"/>
      <c r="AF262" s="89"/>
      <c r="AG262" s="89"/>
      <c r="AH262" s="89"/>
      <c r="AI262" s="89"/>
      <c r="AJ262" s="89"/>
      <c r="AK262" s="89"/>
      <c r="AL262" s="89"/>
      <c r="AM262" s="89"/>
      <c r="AN262" s="89"/>
      <c r="AO262" s="89"/>
      <c r="AP262" s="89"/>
      <c r="AQ262" s="89"/>
      <c r="AR262" s="89"/>
      <c r="AS262" s="89"/>
      <c r="AT262" s="89"/>
      <c r="AU262" s="89"/>
      <c r="AV262" s="89"/>
      <c r="AW262" s="89"/>
      <c r="AX262" s="89"/>
    </row>
    <row r="263" spans="1:50" x14ac:dyDescent="0.25">
      <c r="A263" s="89"/>
      <c r="B263" s="89"/>
      <c r="C263" s="121"/>
      <c r="D263" s="121"/>
      <c r="E263" s="121"/>
      <c r="F263" s="121"/>
      <c r="G263" s="121"/>
      <c r="H263" s="121"/>
      <c r="I263" s="121"/>
      <c r="J263" s="121"/>
      <c r="K263" s="121"/>
      <c r="L263" s="121"/>
      <c r="M263" s="121"/>
      <c r="N263" s="121"/>
      <c r="O263" s="121"/>
      <c r="P263" s="121"/>
      <c r="Q263" s="121"/>
      <c r="R263" s="121"/>
      <c r="S263" s="121"/>
      <c r="T263" s="89"/>
      <c r="U263" s="89"/>
      <c r="V263" s="89"/>
      <c r="W263" s="89"/>
      <c r="X263" s="89"/>
      <c r="Y263" s="89"/>
      <c r="Z263" s="89"/>
      <c r="AA263" s="89"/>
      <c r="AB263" s="89"/>
      <c r="AC263" s="89"/>
      <c r="AD263" s="89"/>
      <c r="AE263" s="89"/>
      <c r="AF263" s="89"/>
      <c r="AG263" s="89"/>
      <c r="AH263" s="89"/>
      <c r="AI263" s="89"/>
      <c r="AJ263" s="89"/>
      <c r="AK263" s="89"/>
      <c r="AL263" s="89"/>
      <c r="AM263" s="89"/>
      <c r="AN263" s="89"/>
      <c r="AO263" s="89"/>
      <c r="AP263" s="89"/>
      <c r="AQ263" s="89"/>
      <c r="AR263" s="89"/>
      <c r="AS263" s="89"/>
      <c r="AT263" s="89"/>
      <c r="AU263" s="89"/>
      <c r="AV263" s="89"/>
      <c r="AW263" s="89"/>
      <c r="AX263" s="89"/>
    </row>
    <row r="264" spans="1:50" x14ac:dyDescent="0.25">
      <c r="A264" s="89"/>
      <c r="B264" s="89"/>
      <c r="C264" s="121"/>
      <c r="D264" s="121"/>
      <c r="E264" s="121"/>
      <c r="F264" s="121"/>
      <c r="G264" s="121"/>
      <c r="H264" s="121"/>
      <c r="I264" s="121"/>
      <c r="J264" s="121"/>
      <c r="K264" s="121"/>
      <c r="L264" s="121"/>
      <c r="M264" s="121"/>
      <c r="N264" s="121"/>
      <c r="O264" s="121"/>
      <c r="P264" s="121"/>
      <c r="Q264" s="121"/>
      <c r="R264" s="121"/>
      <c r="S264" s="121"/>
      <c r="T264" s="89"/>
      <c r="U264" s="89"/>
      <c r="V264" s="89"/>
      <c r="W264" s="89"/>
      <c r="X264" s="89"/>
      <c r="Y264" s="89"/>
      <c r="Z264" s="89"/>
      <c r="AA264" s="89"/>
      <c r="AB264" s="89"/>
      <c r="AC264" s="89"/>
      <c r="AD264" s="89"/>
      <c r="AE264" s="89"/>
      <c r="AF264" s="89"/>
      <c r="AG264" s="89"/>
      <c r="AH264" s="89"/>
      <c r="AI264" s="89"/>
      <c r="AJ264" s="89"/>
      <c r="AK264" s="89"/>
      <c r="AL264" s="89"/>
      <c r="AM264" s="89"/>
      <c r="AN264" s="89"/>
      <c r="AO264" s="89"/>
      <c r="AP264" s="89"/>
      <c r="AQ264" s="89"/>
      <c r="AR264" s="89"/>
      <c r="AS264" s="89"/>
      <c r="AT264" s="89"/>
      <c r="AU264" s="89"/>
      <c r="AV264" s="89"/>
      <c r="AW264" s="89"/>
      <c r="AX264" s="89"/>
    </row>
    <row r="265" spans="1:50" x14ac:dyDescent="0.25">
      <c r="A265" s="89"/>
      <c r="B265" s="89"/>
      <c r="C265" s="121"/>
      <c r="D265" s="121"/>
      <c r="E265" s="121"/>
      <c r="F265" s="121"/>
      <c r="G265" s="121"/>
      <c r="H265" s="121"/>
      <c r="I265" s="121"/>
      <c r="J265" s="121"/>
      <c r="K265" s="121"/>
      <c r="L265" s="121"/>
      <c r="M265" s="121"/>
      <c r="N265" s="121"/>
      <c r="O265" s="121"/>
      <c r="P265" s="121"/>
      <c r="Q265" s="121"/>
      <c r="R265" s="121"/>
      <c r="S265" s="121"/>
      <c r="T265" s="89"/>
      <c r="U265" s="89"/>
      <c r="V265" s="89"/>
      <c r="W265" s="89"/>
      <c r="X265" s="89"/>
      <c r="Y265" s="89"/>
      <c r="Z265" s="89"/>
      <c r="AA265" s="89"/>
      <c r="AB265" s="89"/>
      <c r="AC265" s="89"/>
      <c r="AD265" s="89"/>
      <c r="AE265" s="89"/>
      <c r="AF265" s="89"/>
      <c r="AG265" s="89"/>
      <c r="AH265" s="89"/>
      <c r="AI265" s="89"/>
      <c r="AJ265" s="89"/>
      <c r="AK265" s="89"/>
      <c r="AL265" s="89"/>
      <c r="AM265" s="89"/>
      <c r="AN265" s="89"/>
      <c r="AO265" s="89"/>
      <c r="AP265" s="89"/>
      <c r="AQ265" s="89"/>
      <c r="AR265" s="89"/>
      <c r="AS265" s="89"/>
      <c r="AT265" s="89"/>
      <c r="AU265" s="89"/>
      <c r="AV265" s="89"/>
      <c r="AW265" s="89"/>
      <c r="AX265" s="89"/>
    </row>
    <row r="266" spans="1:50" x14ac:dyDescent="0.25">
      <c r="A266" s="89"/>
      <c r="B266" s="89"/>
      <c r="C266" s="121"/>
      <c r="D266" s="121"/>
      <c r="E266" s="121"/>
      <c r="F266" s="121"/>
      <c r="G266" s="121"/>
      <c r="H266" s="121"/>
      <c r="I266" s="121"/>
      <c r="J266" s="121"/>
      <c r="K266" s="121"/>
      <c r="L266" s="121"/>
      <c r="M266" s="121"/>
      <c r="N266" s="121"/>
      <c r="O266" s="121"/>
      <c r="P266" s="121"/>
      <c r="Q266" s="121"/>
      <c r="R266" s="121"/>
      <c r="S266" s="121"/>
      <c r="T266" s="89"/>
      <c r="U266" s="89"/>
      <c r="V266" s="89"/>
      <c r="W266" s="89"/>
      <c r="X266" s="89"/>
      <c r="Y266" s="89"/>
      <c r="Z266" s="89"/>
      <c r="AA266" s="89"/>
      <c r="AB266" s="89"/>
      <c r="AC266" s="89"/>
      <c r="AD266" s="89"/>
      <c r="AE266" s="89"/>
      <c r="AF266" s="89"/>
      <c r="AG266" s="89"/>
      <c r="AH266" s="89"/>
      <c r="AI266" s="89"/>
      <c r="AJ266" s="89"/>
      <c r="AK266" s="89"/>
      <c r="AL266" s="89"/>
      <c r="AM266" s="89"/>
      <c r="AN266" s="89"/>
      <c r="AO266" s="89"/>
      <c r="AP266" s="89"/>
      <c r="AQ266" s="89"/>
      <c r="AR266" s="89"/>
      <c r="AS266" s="89"/>
      <c r="AT266" s="89"/>
      <c r="AU266" s="89"/>
      <c r="AV266" s="89"/>
      <c r="AW266" s="89"/>
      <c r="AX266" s="89"/>
    </row>
    <row r="267" spans="1:50" x14ac:dyDescent="0.25">
      <c r="A267" s="89"/>
      <c r="B267" s="89"/>
      <c r="C267" s="121"/>
      <c r="D267" s="121"/>
      <c r="E267" s="121"/>
      <c r="F267" s="121"/>
      <c r="G267" s="121"/>
      <c r="H267" s="121"/>
      <c r="I267" s="121"/>
      <c r="J267" s="121"/>
      <c r="K267" s="121"/>
      <c r="L267" s="121"/>
      <c r="M267" s="121"/>
      <c r="N267" s="121"/>
      <c r="O267" s="121"/>
      <c r="P267" s="121"/>
      <c r="Q267" s="121"/>
      <c r="R267" s="121"/>
      <c r="S267" s="121"/>
      <c r="T267" s="89"/>
      <c r="U267" s="89"/>
      <c r="V267" s="89"/>
      <c r="W267" s="89"/>
      <c r="X267" s="89"/>
      <c r="Y267" s="89"/>
      <c r="Z267" s="89"/>
      <c r="AA267" s="89"/>
      <c r="AB267" s="89"/>
      <c r="AC267" s="89"/>
      <c r="AD267" s="89"/>
      <c r="AE267" s="89"/>
      <c r="AF267" s="89"/>
      <c r="AG267" s="89"/>
      <c r="AH267" s="89"/>
      <c r="AI267" s="89"/>
      <c r="AJ267" s="89"/>
      <c r="AK267" s="89"/>
      <c r="AL267" s="89"/>
      <c r="AM267" s="89"/>
      <c r="AN267" s="89"/>
      <c r="AO267" s="89"/>
      <c r="AP267" s="89"/>
      <c r="AQ267" s="89"/>
      <c r="AR267" s="89"/>
      <c r="AS267" s="89"/>
      <c r="AT267" s="89"/>
      <c r="AU267" s="89"/>
      <c r="AV267" s="89"/>
      <c r="AW267" s="89"/>
      <c r="AX267" s="89"/>
    </row>
    <row r="268" spans="1:50" x14ac:dyDescent="0.25">
      <c r="A268" s="89"/>
      <c r="B268" s="89"/>
      <c r="C268" s="121"/>
      <c r="D268" s="121"/>
      <c r="E268" s="121"/>
      <c r="F268" s="121"/>
      <c r="G268" s="121"/>
      <c r="H268" s="121"/>
      <c r="I268" s="121"/>
      <c r="J268" s="121"/>
      <c r="K268" s="121"/>
      <c r="L268" s="121"/>
      <c r="M268" s="121"/>
      <c r="N268" s="121"/>
      <c r="O268" s="121"/>
      <c r="P268" s="121"/>
      <c r="Q268" s="121"/>
      <c r="R268" s="121"/>
      <c r="S268" s="121"/>
      <c r="T268" s="89"/>
      <c r="U268" s="89"/>
      <c r="V268" s="89"/>
      <c r="W268" s="89"/>
      <c r="X268" s="89"/>
      <c r="Y268" s="89"/>
      <c r="Z268" s="89"/>
      <c r="AA268" s="89"/>
      <c r="AB268" s="89"/>
      <c r="AC268" s="89"/>
      <c r="AD268" s="89"/>
      <c r="AE268" s="89"/>
      <c r="AF268" s="89"/>
      <c r="AG268" s="89"/>
      <c r="AH268" s="89"/>
      <c r="AI268" s="89"/>
      <c r="AJ268" s="89"/>
      <c r="AK268" s="89"/>
      <c r="AL268" s="89"/>
      <c r="AM268" s="89"/>
      <c r="AN268" s="89"/>
      <c r="AO268" s="89"/>
      <c r="AP268" s="89"/>
      <c r="AQ268" s="89"/>
      <c r="AR268" s="89"/>
      <c r="AS268" s="89"/>
      <c r="AT268" s="89"/>
      <c r="AU268" s="89"/>
      <c r="AV268" s="89"/>
      <c r="AW268" s="89"/>
      <c r="AX268" s="89"/>
    </row>
    <row r="269" spans="1:50" x14ac:dyDescent="0.25">
      <c r="A269" s="89"/>
      <c r="B269" s="89"/>
      <c r="C269" s="121"/>
      <c r="D269" s="121"/>
      <c r="E269" s="121"/>
      <c r="F269" s="121"/>
      <c r="G269" s="121"/>
      <c r="H269" s="121"/>
      <c r="I269" s="121"/>
      <c r="J269" s="121"/>
      <c r="K269" s="121"/>
      <c r="L269" s="121"/>
      <c r="M269" s="121"/>
      <c r="N269" s="121"/>
      <c r="O269" s="121"/>
      <c r="P269" s="121"/>
      <c r="Q269" s="121"/>
      <c r="R269" s="121"/>
      <c r="S269" s="121"/>
      <c r="T269" s="89"/>
      <c r="U269" s="89"/>
      <c r="V269" s="89"/>
      <c r="W269" s="89"/>
      <c r="X269" s="89"/>
      <c r="Y269" s="89"/>
      <c r="Z269" s="89"/>
      <c r="AA269" s="89"/>
      <c r="AB269" s="89"/>
      <c r="AC269" s="89"/>
      <c r="AD269" s="89"/>
      <c r="AE269" s="89"/>
      <c r="AF269" s="89"/>
      <c r="AG269" s="89"/>
      <c r="AH269" s="89"/>
      <c r="AI269" s="89"/>
      <c r="AJ269" s="89"/>
      <c r="AK269" s="89"/>
      <c r="AL269" s="89"/>
      <c r="AM269" s="89"/>
      <c r="AN269" s="89"/>
      <c r="AO269" s="89"/>
      <c r="AP269" s="89"/>
      <c r="AQ269" s="89"/>
      <c r="AR269" s="89"/>
      <c r="AS269" s="89"/>
      <c r="AT269" s="89"/>
      <c r="AU269" s="89"/>
      <c r="AV269" s="89"/>
      <c r="AW269" s="89"/>
      <c r="AX269" s="89"/>
    </row>
    <row r="270" spans="1:50" x14ac:dyDescent="0.25">
      <c r="A270" s="89"/>
      <c r="B270" s="89"/>
      <c r="C270" s="89"/>
      <c r="D270" s="89"/>
      <c r="E270" s="89"/>
      <c r="F270" s="89"/>
      <c r="G270" s="89"/>
      <c r="H270" s="89"/>
      <c r="I270" s="89"/>
      <c r="J270" s="89"/>
      <c r="K270" s="89"/>
      <c r="L270" s="89"/>
      <c r="M270" s="89"/>
      <c r="N270" s="89"/>
      <c r="O270" s="89"/>
      <c r="P270" s="121"/>
      <c r="Q270" s="121"/>
      <c r="R270" s="121"/>
      <c r="S270" s="121"/>
      <c r="T270" s="89"/>
      <c r="U270" s="89"/>
      <c r="V270" s="89"/>
      <c r="W270" s="89"/>
      <c r="X270" s="89"/>
      <c r="Y270" s="89"/>
      <c r="Z270" s="89"/>
      <c r="AA270" s="89"/>
      <c r="AB270" s="89"/>
      <c r="AC270" s="89"/>
      <c r="AD270" s="89"/>
      <c r="AE270" s="89"/>
      <c r="AF270" s="89"/>
      <c r="AG270" s="89"/>
      <c r="AH270" s="89"/>
      <c r="AI270" s="89"/>
      <c r="AJ270" s="89"/>
      <c r="AK270" s="89"/>
      <c r="AL270" s="89"/>
      <c r="AM270" s="89"/>
      <c r="AN270" s="89"/>
      <c r="AO270" s="89"/>
      <c r="AP270" s="89"/>
      <c r="AQ270" s="89"/>
      <c r="AR270" s="89"/>
      <c r="AS270" s="89"/>
      <c r="AT270" s="89"/>
      <c r="AU270" s="89"/>
      <c r="AV270" s="89"/>
      <c r="AW270" s="89"/>
      <c r="AX270" s="89"/>
    </row>
    <row r="271" spans="1:50" x14ac:dyDescent="0.25">
      <c r="A271" s="89"/>
      <c r="B271" s="89"/>
      <c r="C271" s="89"/>
      <c r="D271" s="89"/>
      <c r="E271" s="89"/>
      <c r="F271" s="89"/>
      <c r="G271" s="89"/>
      <c r="H271" s="89"/>
      <c r="I271" s="89"/>
      <c r="J271" s="89"/>
      <c r="K271" s="89"/>
      <c r="L271" s="89"/>
      <c r="M271" s="89"/>
      <c r="N271" s="89"/>
      <c r="O271" s="89"/>
      <c r="P271" s="89"/>
      <c r="Q271" s="89"/>
      <c r="R271" s="89"/>
      <c r="S271" s="89"/>
      <c r="T271" s="89"/>
      <c r="U271" s="89"/>
      <c r="V271" s="89"/>
      <c r="W271" s="89"/>
      <c r="X271" s="89"/>
      <c r="Y271" s="89"/>
      <c r="Z271" s="89"/>
      <c r="AA271" s="89"/>
      <c r="AB271" s="89"/>
      <c r="AC271" s="89"/>
      <c r="AD271" s="89"/>
      <c r="AE271" s="89"/>
      <c r="AF271" s="89"/>
      <c r="AG271" s="89"/>
      <c r="AH271" s="89"/>
      <c r="AI271" s="89"/>
      <c r="AJ271" s="89"/>
      <c r="AK271" s="89"/>
      <c r="AL271" s="89"/>
      <c r="AM271" s="89"/>
      <c r="AN271" s="89"/>
      <c r="AO271" s="89"/>
      <c r="AP271" s="89"/>
      <c r="AQ271" s="89"/>
      <c r="AR271" s="89"/>
      <c r="AS271" s="89"/>
      <c r="AT271" s="89"/>
      <c r="AU271" s="89"/>
      <c r="AV271" s="89"/>
      <c r="AW271" s="89"/>
      <c r="AX271" s="89"/>
    </row>
    <row r="272" spans="1:50" x14ac:dyDescent="0.25">
      <c r="A272" s="89"/>
      <c r="B272" s="89"/>
      <c r="C272" s="89"/>
      <c r="D272" s="89"/>
      <c r="E272" s="89"/>
      <c r="F272" s="89"/>
      <c r="G272" s="89"/>
      <c r="H272" s="89"/>
      <c r="I272" s="89"/>
      <c r="J272" s="89"/>
      <c r="K272" s="89"/>
      <c r="L272" s="89"/>
      <c r="M272" s="89"/>
      <c r="N272" s="89"/>
      <c r="O272" s="89"/>
      <c r="P272" s="89"/>
      <c r="Q272" s="89"/>
      <c r="R272" s="89"/>
      <c r="S272" s="89"/>
      <c r="T272" s="89"/>
      <c r="U272" s="89"/>
      <c r="V272" s="89"/>
      <c r="W272" s="89"/>
      <c r="X272" s="89"/>
      <c r="Y272" s="89"/>
      <c r="Z272" s="89"/>
      <c r="AA272" s="89"/>
      <c r="AB272" s="89"/>
      <c r="AC272" s="89"/>
      <c r="AD272" s="89"/>
      <c r="AE272" s="89"/>
      <c r="AF272" s="89"/>
      <c r="AG272" s="89"/>
      <c r="AH272" s="89"/>
      <c r="AI272" s="89"/>
      <c r="AJ272" s="89"/>
      <c r="AK272" s="89"/>
      <c r="AL272" s="89"/>
      <c r="AM272" s="89"/>
      <c r="AN272" s="89"/>
      <c r="AO272" s="89"/>
      <c r="AP272" s="89"/>
      <c r="AQ272" s="89"/>
      <c r="AR272" s="89"/>
      <c r="AS272" s="89"/>
      <c r="AT272" s="89"/>
      <c r="AU272" s="89"/>
      <c r="AV272" s="89"/>
      <c r="AW272" s="89"/>
      <c r="AX272" s="89"/>
    </row>
    <row r="273" spans="1:50" x14ac:dyDescent="0.25">
      <c r="A273" s="89"/>
      <c r="B273" s="89"/>
      <c r="C273" s="89"/>
      <c r="D273" s="89"/>
      <c r="E273" s="89"/>
      <c r="F273" s="89"/>
      <c r="G273" s="89"/>
      <c r="H273" s="89"/>
      <c r="I273" s="89"/>
      <c r="J273" s="89"/>
      <c r="K273" s="89"/>
      <c r="L273" s="89"/>
      <c r="M273" s="89"/>
      <c r="N273" s="89"/>
      <c r="O273" s="89"/>
      <c r="P273" s="89"/>
      <c r="Q273" s="89"/>
      <c r="R273" s="89"/>
      <c r="S273" s="89"/>
      <c r="T273" s="89"/>
      <c r="U273" s="89"/>
      <c r="V273" s="89"/>
      <c r="W273" s="89"/>
      <c r="X273" s="89"/>
      <c r="Y273" s="89"/>
      <c r="Z273" s="89"/>
      <c r="AA273" s="89"/>
      <c r="AB273" s="89"/>
      <c r="AC273" s="89"/>
      <c r="AD273" s="89"/>
      <c r="AE273" s="89"/>
      <c r="AF273" s="89"/>
      <c r="AG273" s="89"/>
      <c r="AH273" s="89"/>
      <c r="AI273" s="89"/>
      <c r="AJ273" s="89"/>
      <c r="AK273" s="89"/>
      <c r="AL273" s="89"/>
      <c r="AM273" s="89"/>
      <c r="AN273" s="89"/>
      <c r="AO273" s="89"/>
      <c r="AP273" s="89"/>
      <c r="AQ273" s="89"/>
      <c r="AR273" s="89"/>
      <c r="AS273" s="89"/>
      <c r="AT273" s="89"/>
      <c r="AU273" s="89"/>
      <c r="AV273" s="89"/>
      <c r="AW273" s="89"/>
      <c r="AX273" s="89"/>
    </row>
    <row r="274" spans="1:50" x14ac:dyDescent="0.25">
      <c r="A274" s="89"/>
      <c r="B274" s="89"/>
      <c r="C274" s="89"/>
      <c r="D274" s="89"/>
      <c r="E274" s="89"/>
      <c r="F274" s="89"/>
      <c r="G274" s="89"/>
      <c r="H274" s="89"/>
      <c r="I274" s="89"/>
      <c r="J274" s="89"/>
      <c r="K274" s="89"/>
      <c r="L274" s="89"/>
      <c r="M274" s="89"/>
      <c r="N274" s="89"/>
      <c r="O274" s="89"/>
      <c r="P274" s="89"/>
      <c r="Q274" s="89"/>
      <c r="R274" s="89"/>
      <c r="S274" s="89"/>
      <c r="T274" s="89"/>
      <c r="U274" s="89"/>
      <c r="V274" s="89"/>
      <c r="W274" s="89"/>
      <c r="X274" s="89"/>
      <c r="Y274" s="89"/>
      <c r="Z274" s="89"/>
      <c r="AA274" s="89"/>
      <c r="AB274" s="89"/>
      <c r="AC274" s="89"/>
      <c r="AD274" s="89"/>
      <c r="AE274" s="89"/>
      <c r="AF274" s="89"/>
      <c r="AG274" s="89"/>
      <c r="AH274" s="89"/>
      <c r="AI274" s="89"/>
      <c r="AJ274" s="89"/>
      <c r="AK274" s="89"/>
      <c r="AL274" s="89"/>
      <c r="AM274" s="89"/>
      <c r="AN274" s="89"/>
      <c r="AO274" s="89"/>
      <c r="AP274" s="89"/>
      <c r="AQ274" s="89"/>
      <c r="AR274" s="89"/>
      <c r="AS274" s="89"/>
      <c r="AT274" s="89"/>
      <c r="AU274" s="89"/>
      <c r="AV274" s="89"/>
      <c r="AW274" s="89"/>
      <c r="AX274" s="89"/>
    </row>
    <row r="275" spans="1:50" x14ac:dyDescent="0.25">
      <c r="A275" s="89"/>
      <c r="B275" s="89"/>
      <c r="C275" s="89"/>
      <c r="D275" s="89"/>
      <c r="E275" s="89"/>
      <c r="F275" s="89"/>
      <c r="G275" s="89"/>
      <c r="H275" s="89"/>
      <c r="I275" s="89"/>
      <c r="J275" s="89"/>
      <c r="K275" s="89"/>
      <c r="L275" s="89"/>
      <c r="M275" s="89"/>
      <c r="N275" s="89"/>
      <c r="O275" s="89"/>
      <c r="P275" s="89"/>
      <c r="Q275" s="89"/>
      <c r="R275" s="89"/>
      <c r="S275" s="89"/>
      <c r="T275" s="89"/>
      <c r="U275" s="89"/>
      <c r="V275" s="89"/>
      <c r="W275" s="89"/>
      <c r="X275" s="89"/>
      <c r="Y275" s="89"/>
      <c r="Z275" s="89"/>
      <c r="AA275" s="89"/>
      <c r="AB275" s="89"/>
      <c r="AC275" s="89"/>
      <c r="AD275" s="89"/>
      <c r="AE275" s="89"/>
      <c r="AF275" s="89"/>
      <c r="AG275" s="89"/>
      <c r="AH275" s="89"/>
      <c r="AI275" s="89"/>
      <c r="AJ275" s="89"/>
      <c r="AK275" s="89"/>
      <c r="AL275" s="89"/>
      <c r="AM275" s="89"/>
      <c r="AN275" s="89"/>
      <c r="AO275" s="89"/>
      <c r="AP275" s="89"/>
      <c r="AQ275" s="89"/>
      <c r="AR275" s="89"/>
      <c r="AS275" s="89"/>
      <c r="AT275" s="89"/>
      <c r="AU275" s="89"/>
      <c r="AV275" s="89"/>
      <c r="AW275" s="89"/>
      <c r="AX275" s="89"/>
    </row>
    <row r="276" spans="1:50" x14ac:dyDescent="0.25">
      <c r="A276" s="89"/>
      <c r="B276" s="89"/>
      <c r="C276" s="89"/>
      <c r="D276" s="89"/>
      <c r="E276" s="89"/>
      <c r="F276" s="89"/>
      <c r="G276" s="89"/>
      <c r="H276" s="89"/>
      <c r="I276" s="89"/>
      <c r="J276" s="89"/>
      <c r="K276" s="89"/>
      <c r="L276" s="89"/>
      <c r="M276" s="89"/>
      <c r="N276" s="89"/>
      <c r="O276" s="89"/>
      <c r="P276" s="89"/>
      <c r="Q276" s="89"/>
      <c r="R276" s="89"/>
      <c r="S276" s="89"/>
      <c r="T276" s="89"/>
      <c r="U276" s="89"/>
      <c r="V276" s="89"/>
      <c r="W276" s="89"/>
      <c r="X276" s="89"/>
      <c r="Y276" s="89"/>
      <c r="Z276" s="89"/>
      <c r="AA276" s="89"/>
      <c r="AB276" s="89"/>
      <c r="AC276" s="89"/>
      <c r="AD276" s="89"/>
      <c r="AE276" s="89"/>
      <c r="AF276" s="89"/>
      <c r="AG276" s="89"/>
      <c r="AH276" s="89"/>
      <c r="AI276" s="89"/>
      <c r="AJ276" s="89"/>
      <c r="AK276" s="89"/>
      <c r="AL276" s="89"/>
      <c r="AM276" s="89"/>
      <c r="AN276" s="89"/>
      <c r="AO276" s="89"/>
      <c r="AP276" s="89"/>
      <c r="AQ276" s="89"/>
      <c r="AR276" s="89"/>
      <c r="AS276" s="89"/>
      <c r="AT276" s="89"/>
      <c r="AU276" s="89"/>
      <c r="AV276" s="89"/>
      <c r="AW276" s="89"/>
      <c r="AX276" s="89"/>
    </row>
    <row r="277" spans="1:50" x14ac:dyDescent="0.25">
      <c r="A277" s="89"/>
      <c r="B277" s="89"/>
      <c r="C277" s="89"/>
      <c r="D277" s="89"/>
      <c r="E277" s="89"/>
      <c r="F277" s="89"/>
      <c r="G277" s="89"/>
      <c r="H277" s="89"/>
      <c r="I277" s="89"/>
      <c r="J277" s="89"/>
      <c r="K277" s="89"/>
      <c r="L277" s="89"/>
      <c r="M277" s="89"/>
      <c r="N277" s="89"/>
      <c r="O277" s="89"/>
      <c r="P277" s="89"/>
      <c r="Q277" s="89"/>
      <c r="R277" s="89"/>
      <c r="S277" s="89"/>
      <c r="T277" s="89"/>
      <c r="U277" s="89"/>
      <c r="V277" s="89"/>
      <c r="W277" s="89"/>
      <c r="X277" s="89"/>
      <c r="Y277" s="89"/>
      <c r="Z277" s="89"/>
      <c r="AA277" s="89"/>
      <c r="AB277" s="89"/>
      <c r="AC277" s="89"/>
      <c r="AD277" s="89"/>
      <c r="AE277" s="89"/>
      <c r="AF277" s="89"/>
      <c r="AG277" s="89"/>
      <c r="AH277" s="89"/>
      <c r="AI277" s="89"/>
      <c r="AJ277" s="89"/>
      <c r="AK277" s="89"/>
      <c r="AL277" s="89"/>
      <c r="AM277" s="89"/>
      <c r="AN277" s="89"/>
      <c r="AO277" s="89"/>
      <c r="AP277" s="89"/>
      <c r="AQ277" s="89"/>
      <c r="AR277" s="89"/>
      <c r="AS277" s="89"/>
      <c r="AT277" s="89"/>
      <c r="AU277" s="89"/>
      <c r="AV277" s="89"/>
      <c r="AW277" s="89"/>
      <c r="AX277" s="89"/>
    </row>
    <row r="278" spans="1:50" x14ac:dyDescent="0.25">
      <c r="A278" s="89"/>
      <c r="B278" s="89"/>
      <c r="C278" s="89"/>
      <c r="D278" s="89"/>
      <c r="E278" s="89"/>
      <c r="F278" s="89"/>
      <c r="G278" s="89"/>
      <c r="H278" s="89"/>
      <c r="I278" s="89"/>
      <c r="J278" s="89"/>
      <c r="K278" s="89"/>
      <c r="L278" s="89"/>
      <c r="M278" s="89"/>
      <c r="N278" s="89"/>
      <c r="O278" s="89"/>
      <c r="P278" s="89"/>
      <c r="Q278" s="89"/>
      <c r="R278" s="89"/>
      <c r="S278" s="89"/>
      <c r="T278" s="89"/>
      <c r="U278" s="89"/>
      <c r="V278" s="89"/>
      <c r="W278" s="89"/>
      <c r="X278" s="89"/>
      <c r="Y278" s="89"/>
      <c r="Z278" s="89"/>
      <c r="AA278" s="89"/>
      <c r="AB278" s="89"/>
      <c r="AC278" s="89"/>
      <c r="AD278" s="89"/>
      <c r="AE278" s="89"/>
      <c r="AF278" s="89"/>
      <c r="AG278" s="89"/>
      <c r="AH278" s="89"/>
      <c r="AI278" s="89"/>
      <c r="AJ278" s="89"/>
      <c r="AK278" s="89"/>
      <c r="AL278" s="89"/>
      <c r="AM278" s="89"/>
      <c r="AN278" s="89"/>
      <c r="AO278" s="89"/>
      <c r="AP278" s="89"/>
      <c r="AQ278" s="89"/>
      <c r="AR278" s="89"/>
      <c r="AS278" s="89"/>
      <c r="AT278" s="89"/>
      <c r="AU278" s="89"/>
      <c r="AV278" s="89"/>
      <c r="AW278" s="89"/>
      <c r="AX278" s="89"/>
    </row>
    <row r="279" spans="1:50" x14ac:dyDescent="0.25">
      <c r="A279" s="89"/>
      <c r="B279" s="89"/>
      <c r="C279" s="89"/>
      <c r="D279" s="89"/>
      <c r="E279" s="89"/>
      <c r="F279" s="89"/>
      <c r="G279" s="89"/>
      <c r="H279" s="89"/>
      <c r="I279" s="89"/>
      <c r="J279" s="89"/>
      <c r="K279" s="89"/>
      <c r="L279" s="89"/>
      <c r="M279" s="89"/>
      <c r="N279" s="89"/>
      <c r="O279" s="89"/>
      <c r="P279" s="89"/>
      <c r="Q279" s="89"/>
      <c r="R279" s="89"/>
      <c r="S279" s="89"/>
      <c r="T279" s="89"/>
      <c r="U279" s="89"/>
      <c r="V279" s="89"/>
      <c r="W279" s="89"/>
      <c r="X279" s="89"/>
      <c r="Y279" s="89"/>
      <c r="Z279" s="89"/>
      <c r="AA279" s="89"/>
      <c r="AB279" s="89"/>
      <c r="AC279" s="89"/>
      <c r="AD279" s="89"/>
      <c r="AE279" s="89"/>
      <c r="AF279" s="89"/>
      <c r="AG279" s="89"/>
      <c r="AH279" s="89"/>
      <c r="AI279" s="89"/>
      <c r="AJ279" s="89"/>
      <c r="AK279" s="89"/>
      <c r="AL279" s="89"/>
      <c r="AM279" s="89"/>
      <c r="AN279" s="89"/>
      <c r="AO279" s="89"/>
      <c r="AP279" s="89"/>
      <c r="AQ279" s="89"/>
      <c r="AR279" s="89"/>
      <c r="AS279" s="89"/>
      <c r="AT279" s="89"/>
      <c r="AU279" s="89"/>
      <c r="AV279" s="89"/>
      <c r="AW279" s="89"/>
      <c r="AX279" s="89"/>
    </row>
    <row r="280" spans="1:50" x14ac:dyDescent="0.25">
      <c r="A280" s="89"/>
      <c r="B280" s="89"/>
      <c r="C280" s="89"/>
      <c r="D280" s="89"/>
      <c r="E280" s="89"/>
      <c r="F280" s="89"/>
      <c r="G280" s="89"/>
      <c r="H280" s="89"/>
      <c r="I280" s="89"/>
      <c r="J280" s="89"/>
      <c r="K280" s="89"/>
      <c r="L280" s="89"/>
      <c r="M280" s="89"/>
      <c r="N280" s="89"/>
      <c r="O280" s="89"/>
      <c r="P280" s="89"/>
      <c r="Q280" s="89"/>
      <c r="R280" s="89"/>
      <c r="S280" s="89"/>
      <c r="T280" s="89"/>
      <c r="U280" s="89"/>
      <c r="V280" s="89"/>
      <c r="W280" s="89"/>
      <c r="X280" s="89"/>
      <c r="Y280" s="89"/>
      <c r="Z280" s="89"/>
      <c r="AA280" s="89"/>
      <c r="AB280" s="89"/>
      <c r="AC280" s="89"/>
      <c r="AD280" s="89"/>
      <c r="AE280" s="89"/>
      <c r="AF280" s="89"/>
      <c r="AG280" s="89"/>
      <c r="AH280" s="89"/>
      <c r="AI280" s="89"/>
      <c r="AJ280" s="89"/>
      <c r="AK280" s="89"/>
      <c r="AL280" s="89"/>
      <c r="AM280" s="89"/>
      <c r="AN280" s="89"/>
      <c r="AO280" s="89"/>
      <c r="AP280" s="89"/>
      <c r="AQ280" s="89"/>
      <c r="AR280" s="89"/>
      <c r="AS280" s="89"/>
      <c r="AT280" s="89"/>
      <c r="AU280" s="89"/>
      <c r="AV280" s="89"/>
      <c r="AW280" s="89"/>
      <c r="AX280" s="89"/>
    </row>
    <row r="281" spans="1:50" x14ac:dyDescent="0.25">
      <c r="A281" s="89"/>
      <c r="B281" s="89"/>
      <c r="C281" s="89"/>
      <c r="D281" s="89"/>
      <c r="E281" s="89"/>
      <c r="F281" s="89"/>
      <c r="G281" s="89"/>
      <c r="H281" s="89"/>
      <c r="I281" s="89"/>
      <c r="J281" s="89"/>
      <c r="K281" s="89"/>
      <c r="L281" s="89"/>
      <c r="M281" s="89"/>
      <c r="N281" s="89"/>
      <c r="O281" s="89"/>
      <c r="P281" s="89"/>
      <c r="Q281" s="89"/>
      <c r="R281" s="89"/>
      <c r="S281" s="89"/>
      <c r="T281" s="89"/>
      <c r="U281" s="89"/>
      <c r="V281" s="89"/>
      <c r="W281" s="89"/>
      <c r="X281" s="89"/>
      <c r="Y281" s="89"/>
      <c r="Z281" s="89"/>
      <c r="AA281" s="89"/>
      <c r="AB281" s="89"/>
      <c r="AC281" s="89"/>
      <c r="AD281" s="89"/>
      <c r="AE281" s="89"/>
      <c r="AF281" s="89"/>
      <c r="AG281" s="89"/>
      <c r="AH281" s="89"/>
      <c r="AI281" s="89"/>
      <c r="AJ281" s="89"/>
      <c r="AK281" s="89"/>
      <c r="AL281" s="89"/>
      <c r="AM281" s="89"/>
      <c r="AN281" s="89"/>
      <c r="AO281" s="89"/>
      <c r="AP281" s="89"/>
      <c r="AQ281" s="89"/>
      <c r="AR281" s="89"/>
      <c r="AS281" s="89"/>
      <c r="AT281" s="89"/>
      <c r="AU281" s="89"/>
      <c r="AV281" s="89"/>
      <c r="AW281" s="89"/>
      <c r="AX281" s="89"/>
    </row>
    <row r="282" spans="1:50" x14ac:dyDescent="0.25">
      <c r="A282" s="89"/>
      <c r="B282" s="89"/>
      <c r="C282" s="89"/>
      <c r="D282" s="89"/>
      <c r="E282" s="89"/>
      <c r="F282" s="89"/>
      <c r="G282" s="89"/>
      <c r="H282" s="89"/>
      <c r="I282" s="89"/>
      <c r="J282" s="89"/>
      <c r="K282" s="89"/>
      <c r="L282" s="89"/>
      <c r="M282" s="89"/>
      <c r="N282" s="89"/>
      <c r="O282" s="89"/>
      <c r="P282" s="89"/>
      <c r="Q282" s="89"/>
      <c r="R282" s="89"/>
      <c r="S282" s="89"/>
      <c r="T282" s="89"/>
      <c r="U282" s="89"/>
      <c r="V282" s="89"/>
      <c r="W282" s="89"/>
      <c r="X282" s="89"/>
      <c r="Y282" s="89"/>
      <c r="Z282" s="89"/>
      <c r="AA282" s="89"/>
      <c r="AB282" s="89"/>
      <c r="AC282" s="89"/>
      <c r="AD282" s="89"/>
      <c r="AE282" s="89"/>
      <c r="AF282" s="89"/>
      <c r="AG282" s="89"/>
      <c r="AH282" s="89"/>
      <c r="AI282" s="89"/>
      <c r="AJ282" s="89"/>
      <c r="AK282" s="89"/>
      <c r="AL282" s="89"/>
      <c r="AM282" s="89"/>
      <c r="AN282" s="89"/>
      <c r="AO282" s="89"/>
      <c r="AP282" s="89"/>
      <c r="AQ282" s="89"/>
      <c r="AR282" s="89"/>
      <c r="AS282" s="89"/>
      <c r="AT282" s="89"/>
      <c r="AU282" s="89"/>
      <c r="AV282" s="89"/>
      <c r="AW282" s="89"/>
      <c r="AX282" s="89"/>
    </row>
    <row r="283" spans="1:50" x14ac:dyDescent="0.25">
      <c r="A283" s="89"/>
      <c r="B283" s="89"/>
      <c r="C283" s="89"/>
      <c r="D283" s="89"/>
      <c r="E283" s="89"/>
      <c r="F283" s="89"/>
      <c r="G283" s="89"/>
      <c r="H283" s="89"/>
      <c r="I283" s="89"/>
      <c r="J283" s="89"/>
      <c r="K283" s="89"/>
      <c r="L283" s="89"/>
      <c r="M283" s="89"/>
      <c r="N283" s="89"/>
      <c r="O283" s="89"/>
      <c r="P283" s="89"/>
      <c r="Q283" s="89"/>
      <c r="R283" s="89"/>
      <c r="S283" s="89"/>
      <c r="T283" s="89"/>
      <c r="U283" s="89"/>
      <c r="V283" s="89"/>
      <c r="W283" s="89"/>
      <c r="X283" s="89"/>
      <c r="Y283" s="89"/>
      <c r="Z283" s="89"/>
      <c r="AA283" s="89"/>
      <c r="AB283" s="89"/>
      <c r="AC283" s="89"/>
      <c r="AD283" s="89"/>
      <c r="AE283" s="89"/>
      <c r="AF283" s="89"/>
      <c r="AG283" s="89"/>
      <c r="AH283" s="89"/>
      <c r="AI283" s="89"/>
      <c r="AJ283" s="89"/>
      <c r="AK283" s="89"/>
      <c r="AL283" s="89"/>
      <c r="AM283" s="89"/>
      <c r="AN283" s="89"/>
      <c r="AO283" s="89"/>
      <c r="AP283" s="89"/>
      <c r="AQ283" s="89"/>
      <c r="AR283" s="89"/>
      <c r="AS283" s="89"/>
      <c r="AT283" s="89"/>
      <c r="AU283" s="89"/>
      <c r="AV283" s="89"/>
      <c r="AW283" s="89"/>
      <c r="AX283" s="89"/>
    </row>
    <row r="284" spans="1:50" x14ac:dyDescent="0.25">
      <c r="A284" s="89"/>
      <c r="B284" s="89"/>
      <c r="C284" s="89"/>
      <c r="D284" s="89"/>
      <c r="E284" s="89"/>
      <c r="F284" s="89"/>
      <c r="G284" s="89"/>
      <c r="H284" s="89"/>
      <c r="I284" s="89"/>
      <c r="J284" s="89"/>
      <c r="K284" s="89"/>
      <c r="L284" s="89"/>
      <c r="M284" s="89"/>
      <c r="N284" s="89"/>
      <c r="O284" s="89"/>
      <c r="P284" s="89"/>
      <c r="Q284" s="89"/>
      <c r="R284" s="89"/>
      <c r="S284" s="89"/>
      <c r="T284" s="89"/>
      <c r="U284" s="89"/>
      <c r="V284" s="89"/>
      <c r="W284" s="89"/>
      <c r="X284" s="89"/>
      <c r="Y284" s="89"/>
      <c r="Z284" s="89"/>
      <c r="AA284" s="89"/>
      <c r="AB284" s="89"/>
      <c r="AC284" s="89"/>
      <c r="AD284" s="89"/>
      <c r="AE284" s="89"/>
      <c r="AF284" s="89"/>
      <c r="AG284" s="89"/>
      <c r="AH284" s="89"/>
      <c r="AI284" s="89"/>
      <c r="AJ284" s="89"/>
      <c r="AK284" s="89"/>
      <c r="AL284" s="89"/>
      <c r="AM284" s="89"/>
      <c r="AN284" s="89"/>
      <c r="AO284" s="89"/>
      <c r="AP284" s="89"/>
      <c r="AQ284" s="89"/>
      <c r="AR284" s="89"/>
      <c r="AS284" s="89"/>
      <c r="AT284" s="89"/>
      <c r="AU284" s="89"/>
      <c r="AV284" s="89"/>
      <c r="AW284" s="89"/>
      <c r="AX284" s="89"/>
    </row>
    <row r="285" spans="1:50" x14ac:dyDescent="0.25">
      <c r="A285" s="89"/>
      <c r="B285" s="89"/>
      <c r="C285" s="89"/>
      <c r="D285" s="89"/>
      <c r="E285" s="89"/>
      <c r="F285" s="89"/>
      <c r="G285" s="89"/>
      <c r="H285" s="89"/>
      <c r="I285" s="89"/>
      <c r="J285" s="89"/>
      <c r="K285" s="89"/>
      <c r="L285" s="89"/>
      <c r="M285" s="89"/>
      <c r="N285" s="89"/>
      <c r="O285" s="89"/>
      <c r="P285" s="89"/>
      <c r="Q285" s="89"/>
      <c r="R285" s="89"/>
      <c r="S285" s="89"/>
      <c r="T285" s="89"/>
      <c r="U285" s="89"/>
      <c r="V285" s="89"/>
      <c r="W285" s="89"/>
      <c r="X285" s="89"/>
      <c r="Y285" s="89"/>
      <c r="Z285" s="89"/>
      <c r="AA285" s="89"/>
      <c r="AB285" s="89"/>
      <c r="AC285" s="89"/>
      <c r="AD285" s="89"/>
      <c r="AE285" s="89"/>
      <c r="AF285" s="89"/>
      <c r="AG285" s="89"/>
      <c r="AH285" s="89"/>
      <c r="AI285" s="89"/>
      <c r="AJ285" s="89"/>
      <c r="AK285" s="89"/>
      <c r="AL285" s="89"/>
      <c r="AM285" s="89"/>
      <c r="AN285" s="89"/>
      <c r="AO285" s="89"/>
      <c r="AP285" s="89"/>
      <c r="AQ285" s="89"/>
      <c r="AR285" s="89"/>
      <c r="AS285" s="89"/>
      <c r="AT285" s="89"/>
      <c r="AU285" s="89"/>
      <c r="AV285" s="89"/>
      <c r="AW285" s="89"/>
      <c r="AX285" s="89"/>
    </row>
    <row r="286" spans="1:50" x14ac:dyDescent="0.25">
      <c r="A286" s="89"/>
      <c r="B286" s="89"/>
      <c r="C286" s="89"/>
      <c r="D286" s="89"/>
      <c r="E286" s="89"/>
      <c r="F286" s="89"/>
      <c r="G286" s="89"/>
      <c r="H286" s="89"/>
      <c r="I286" s="89"/>
      <c r="J286" s="89"/>
      <c r="K286" s="89"/>
      <c r="L286" s="89"/>
      <c r="M286" s="89"/>
      <c r="N286" s="89"/>
      <c r="O286" s="89"/>
      <c r="P286" s="89"/>
      <c r="Q286" s="89"/>
      <c r="R286" s="89"/>
      <c r="S286" s="89"/>
      <c r="T286" s="89"/>
      <c r="U286" s="89"/>
      <c r="V286" s="89"/>
      <c r="W286" s="89"/>
      <c r="X286" s="89"/>
      <c r="Y286" s="89"/>
      <c r="Z286" s="89"/>
      <c r="AA286" s="89"/>
      <c r="AB286" s="89"/>
      <c r="AC286" s="89"/>
      <c r="AD286" s="89"/>
      <c r="AE286" s="89"/>
      <c r="AF286" s="89"/>
      <c r="AG286" s="89"/>
      <c r="AH286" s="89"/>
      <c r="AI286" s="89"/>
      <c r="AJ286" s="89"/>
      <c r="AK286" s="89"/>
      <c r="AL286" s="89"/>
      <c r="AM286" s="89"/>
      <c r="AN286" s="89"/>
      <c r="AO286" s="89"/>
      <c r="AP286" s="89"/>
      <c r="AQ286" s="89"/>
      <c r="AR286" s="89"/>
      <c r="AS286" s="89"/>
      <c r="AT286" s="89"/>
      <c r="AU286" s="89"/>
      <c r="AV286" s="89"/>
      <c r="AW286" s="89"/>
      <c r="AX286" s="89"/>
    </row>
    <row r="287" spans="1:50" x14ac:dyDescent="0.25">
      <c r="A287" s="89"/>
      <c r="B287" s="89"/>
      <c r="C287" s="89"/>
      <c r="D287" s="89"/>
      <c r="E287" s="89"/>
      <c r="F287" s="89"/>
      <c r="G287" s="89"/>
      <c r="H287" s="89"/>
      <c r="I287" s="89"/>
      <c r="J287" s="89"/>
      <c r="K287" s="89"/>
      <c r="L287" s="89"/>
      <c r="M287" s="89"/>
      <c r="N287" s="89"/>
      <c r="O287" s="89"/>
      <c r="P287" s="89"/>
      <c r="Q287" s="89"/>
      <c r="R287" s="89"/>
      <c r="S287" s="89"/>
      <c r="T287" s="89"/>
      <c r="U287" s="89"/>
      <c r="V287" s="89"/>
      <c r="W287" s="89"/>
      <c r="X287" s="89"/>
      <c r="Y287" s="89"/>
      <c r="Z287" s="89"/>
      <c r="AA287" s="89"/>
      <c r="AB287" s="89"/>
      <c r="AC287" s="89"/>
      <c r="AD287" s="89"/>
      <c r="AE287" s="89"/>
      <c r="AF287" s="89"/>
      <c r="AG287" s="89"/>
      <c r="AH287" s="89"/>
      <c r="AI287" s="89"/>
      <c r="AJ287" s="89"/>
      <c r="AK287" s="89"/>
      <c r="AL287" s="89"/>
      <c r="AM287" s="89"/>
      <c r="AN287" s="89"/>
      <c r="AO287" s="89"/>
      <c r="AP287" s="89"/>
      <c r="AQ287" s="89"/>
      <c r="AR287" s="89"/>
      <c r="AS287" s="89"/>
      <c r="AT287" s="89"/>
      <c r="AU287" s="89"/>
      <c r="AV287" s="89"/>
      <c r="AW287" s="89"/>
      <c r="AX287" s="89"/>
    </row>
    <row r="288" spans="1:50" x14ac:dyDescent="0.25">
      <c r="A288" s="89"/>
      <c r="B288" s="89"/>
      <c r="C288" s="89"/>
      <c r="D288" s="89"/>
      <c r="E288" s="89"/>
      <c r="F288" s="89"/>
      <c r="G288" s="89"/>
      <c r="H288" s="89"/>
      <c r="I288" s="89"/>
      <c r="J288" s="89"/>
      <c r="K288" s="89"/>
      <c r="L288" s="89"/>
      <c r="M288" s="89"/>
      <c r="N288" s="89"/>
      <c r="O288" s="89"/>
      <c r="P288" s="89"/>
      <c r="Q288" s="89"/>
      <c r="R288" s="89"/>
      <c r="S288" s="89"/>
      <c r="T288" s="89"/>
      <c r="U288" s="89"/>
      <c r="V288" s="89"/>
      <c r="W288" s="89"/>
      <c r="X288" s="89"/>
      <c r="Y288" s="89"/>
      <c r="Z288" s="89"/>
      <c r="AA288" s="89"/>
      <c r="AB288" s="89"/>
      <c r="AC288" s="89"/>
      <c r="AD288" s="89"/>
      <c r="AE288" s="89"/>
      <c r="AF288" s="89"/>
      <c r="AG288" s="89"/>
      <c r="AH288" s="89"/>
      <c r="AI288" s="89"/>
      <c r="AJ288" s="89"/>
      <c r="AK288" s="89"/>
      <c r="AL288" s="89"/>
      <c r="AM288" s="89"/>
      <c r="AN288" s="89"/>
      <c r="AO288" s="89"/>
      <c r="AP288" s="89"/>
      <c r="AQ288" s="89"/>
      <c r="AR288" s="89"/>
      <c r="AS288" s="89"/>
      <c r="AT288" s="89"/>
      <c r="AU288" s="89"/>
      <c r="AV288" s="89"/>
      <c r="AW288" s="89"/>
      <c r="AX288" s="89"/>
    </row>
    <row r="289" spans="1:50" x14ac:dyDescent="0.25">
      <c r="A289" s="89"/>
      <c r="B289" s="89"/>
      <c r="C289" s="89"/>
      <c r="D289" s="89"/>
      <c r="E289" s="89"/>
      <c r="F289" s="89"/>
      <c r="G289" s="89"/>
      <c r="H289" s="89"/>
      <c r="I289" s="89"/>
      <c r="J289" s="89"/>
      <c r="K289" s="89"/>
      <c r="L289" s="89"/>
      <c r="M289" s="89"/>
      <c r="N289" s="89"/>
      <c r="O289" s="89"/>
      <c r="P289" s="89"/>
      <c r="Q289" s="89"/>
      <c r="R289" s="89"/>
      <c r="S289" s="89"/>
      <c r="T289" s="89"/>
      <c r="U289" s="89"/>
      <c r="V289" s="89"/>
      <c r="W289" s="89"/>
      <c r="X289" s="89"/>
      <c r="Y289" s="89"/>
      <c r="Z289" s="89"/>
      <c r="AA289" s="89"/>
      <c r="AB289" s="89"/>
      <c r="AC289" s="89"/>
      <c r="AD289" s="89"/>
      <c r="AE289" s="89"/>
      <c r="AF289" s="89"/>
      <c r="AG289" s="89"/>
      <c r="AH289" s="89"/>
      <c r="AI289" s="89"/>
      <c r="AJ289" s="89"/>
      <c r="AK289" s="89"/>
      <c r="AL289" s="89"/>
      <c r="AM289" s="89"/>
      <c r="AN289" s="89"/>
      <c r="AO289" s="89"/>
      <c r="AP289" s="89"/>
      <c r="AQ289" s="89"/>
      <c r="AR289" s="89"/>
      <c r="AS289" s="89"/>
      <c r="AT289" s="89"/>
      <c r="AU289" s="89"/>
      <c r="AV289" s="89"/>
      <c r="AW289" s="89"/>
      <c r="AX289" s="89"/>
    </row>
    <row r="290" spans="1:50" x14ac:dyDescent="0.25">
      <c r="A290" s="89"/>
      <c r="B290" s="89"/>
      <c r="C290" s="89"/>
      <c r="D290" s="89"/>
      <c r="E290" s="89"/>
      <c r="F290" s="89"/>
      <c r="G290" s="89"/>
      <c r="H290" s="89"/>
      <c r="I290" s="89"/>
      <c r="J290" s="89"/>
      <c r="K290" s="89"/>
      <c r="L290" s="89"/>
      <c r="M290" s="89"/>
      <c r="N290" s="89"/>
      <c r="O290" s="89"/>
      <c r="P290" s="89"/>
      <c r="Q290" s="89"/>
      <c r="R290" s="89"/>
      <c r="S290" s="89"/>
      <c r="T290" s="89"/>
      <c r="U290" s="89"/>
      <c r="V290" s="89"/>
      <c r="W290" s="89"/>
      <c r="X290" s="89"/>
      <c r="Y290" s="89"/>
      <c r="Z290" s="89"/>
      <c r="AA290" s="89"/>
      <c r="AB290" s="89"/>
      <c r="AC290" s="89"/>
      <c r="AD290" s="89"/>
      <c r="AE290" s="89"/>
      <c r="AF290" s="89"/>
      <c r="AG290" s="89"/>
      <c r="AH290" s="89"/>
      <c r="AI290" s="89"/>
      <c r="AJ290" s="89"/>
      <c r="AK290" s="89"/>
      <c r="AL290" s="89"/>
      <c r="AM290" s="89"/>
      <c r="AN290" s="89"/>
      <c r="AO290" s="89"/>
      <c r="AP290" s="89"/>
      <c r="AQ290" s="89"/>
      <c r="AR290" s="89"/>
      <c r="AS290" s="89"/>
      <c r="AT290" s="89"/>
      <c r="AU290" s="89"/>
      <c r="AV290" s="89"/>
      <c r="AW290" s="89"/>
      <c r="AX290" s="89"/>
    </row>
    <row r="291" spans="1:50" x14ac:dyDescent="0.25">
      <c r="A291" s="89"/>
      <c r="B291" s="89"/>
      <c r="C291" s="89"/>
      <c r="D291" s="89"/>
      <c r="E291" s="89"/>
      <c r="F291" s="89"/>
      <c r="G291" s="89"/>
      <c r="H291" s="89"/>
      <c r="I291" s="89"/>
      <c r="J291" s="89"/>
      <c r="K291" s="89"/>
      <c r="L291" s="89"/>
      <c r="M291" s="89"/>
      <c r="N291" s="89"/>
      <c r="O291" s="89"/>
      <c r="P291" s="89"/>
      <c r="Q291" s="89"/>
      <c r="R291" s="89"/>
      <c r="S291" s="89"/>
      <c r="T291" s="89"/>
      <c r="U291" s="89"/>
      <c r="V291" s="89"/>
      <c r="W291" s="89"/>
      <c r="X291" s="89"/>
      <c r="Y291" s="89"/>
      <c r="Z291" s="89"/>
      <c r="AA291" s="89"/>
      <c r="AB291" s="89"/>
      <c r="AC291" s="89"/>
      <c r="AD291" s="89"/>
      <c r="AE291" s="89"/>
      <c r="AF291" s="89"/>
      <c r="AG291" s="89"/>
      <c r="AH291" s="89"/>
      <c r="AI291" s="89"/>
      <c r="AJ291" s="89"/>
      <c r="AK291" s="89"/>
      <c r="AL291" s="89"/>
      <c r="AM291" s="89"/>
      <c r="AN291" s="89"/>
      <c r="AO291" s="89"/>
      <c r="AP291" s="89"/>
      <c r="AQ291" s="89"/>
      <c r="AR291" s="89"/>
      <c r="AS291" s="89"/>
      <c r="AT291" s="89"/>
      <c r="AU291" s="89"/>
      <c r="AV291" s="89"/>
      <c r="AW291" s="89"/>
      <c r="AX291" s="89"/>
    </row>
    <row r="292" spans="1:50" x14ac:dyDescent="0.25">
      <c r="A292" s="89"/>
      <c r="B292" s="89"/>
      <c r="C292" s="89"/>
      <c r="D292" s="89"/>
      <c r="E292" s="89"/>
      <c r="F292" s="89"/>
      <c r="G292" s="89"/>
      <c r="H292" s="89"/>
      <c r="I292" s="89"/>
      <c r="J292" s="89"/>
      <c r="K292" s="89"/>
      <c r="L292" s="89"/>
      <c r="M292" s="89"/>
      <c r="N292" s="89"/>
      <c r="O292" s="89"/>
      <c r="P292" s="89"/>
      <c r="Q292" s="89"/>
      <c r="R292" s="89"/>
      <c r="S292" s="89"/>
      <c r="T292" s="89"/>
      <c r="U292" s="89"/>
      <c r="V292" s="89"/>
      <c r="W292" s="89"/>
      <c r="X292" s="89"/>
      <c r="Y292" s="89"/>
      <c r="Z292" s="89"/>
      <c r="AA292" s="89"/>
      <c r="AB292" s="89"/>
      <c r="AC292" s="89"/>
      <c r="AD292" s="89"/>
      <c r="AE292" s="89"/>
      <c r="AF292" s="89"/>
      <c r="AG292" s="89"/>
      <c r="AH292" s="89"/>
      <c r="AI292" s="89"/>
      <c r="AJ292" s="89"/>
      <c r="AK292" s="89"/>
      <c r="AL292" s="89"/>
      <c r="AM292" s="89"/>
      <c r="AN292" s="89"/>
      <c r="AO292" s="89"/>
      <c r="AP292" s="89"/>
      <c r="AQ292" s="89"/>
      <c r="AR292" s="89"/>
      <c r="AS292" s="89"/>
      <c r="AT292" s="89"/>
      <c r="AU292" s="89"/>
      <c r="AV292" s="89"/>
      <c r="AW292" s="89"/>
      <c r="AX292" s="89"/>
    </row>
    <row r="293" spans="1:50" x14ac:dyDescent="0.25">
      <c r="A293" s="89"/>
      <c r="B293" s="89"/>
      <c r="C293" s="89"/>
      <c r="D293" s="89"/>
      <c r="E293" s="89"/>
      <c r="F293" s="89"/>
      <c r="G293" s="89"/>
      <c r="H293" s="89"/>
      <c r="I293" s="89"/>
      <c r="J293" s="89"/>
      <c r="K293" s="89"/>
      <c r="L293" s="89"/>
      <c r="M293" s="89"/>
      <c r="N293" s="89"/>
      <c r="O293" s="89"/>
      <c r="P293" s="89"/>
      <c r="Q293" s="89"/>
      <c r="R293" s="89"/>
      <c r="S293" s="89"/>
      <c r="T293" s="89"/>
      <c r="U293" s="89"/>
      <c r="V293" s="89"/>
      <c r="W293" s="89"/>
      <c r="X293" s="89"/>
      <c r="Y293" s="89"/>
      <c r="Z293" s="89"/>
      <c r="AA293" s="89"/>
      <c r="AB293" s="89"/>
      <c r="AC293" s="89"/>
      <c r="AD293" s="89"/>
      <c r="AE293" s="89"/>
      <c r="AF293" s="89"/>
      <c r="AG293" s="89"/>
      <c r="AH293" s="89"/>
      <c r="AI293" s="89"/>
      <c r="AJ293" s="89"/>
      <c r="AK293" s="89"/>
      <c r="AL293" s="89"/>
      <c r="AM293" s="89"/>
      <c r="AN293" s="89"/>
      <c r="AO293" s="89"/>
      <c r="AP293" s="89"/>
      <c r="AQ293" s="89"/>
      <c r="AR293" s="89"/>
      <c r="AS293" s="89"/>
      <c r="AT293" s="89"/>
      <c r="AU293" s="89"/>
      <c r="AV293" s="89"/>
      <c r="AW293" s="89"/>
      <c r="AX293" s="89"/>
    </row>
    <row r="294" spans="1:50" x14ac:dyDescent="0.25">
      <c r="A294" s="89"/>
      <c r="B294" s="89"/>
      <c r="C294" s="89"/>
      <c r="D294" s="89"/>
      <c r="E294" s="89"/>
      <c r="F294" s="89"/>
      <c r="G294" s="89"/>
      <c r="H294" s="89"/>
      <c r="I294" s="89"/>
      <c r="J294" s="89"/>
      <c r="K294" s="89"/>
      <c r="L294" s="89"/>
      <c r="M294" s="89"/>
      <c r="N294" s="89"/>
      <c r="O294" s="89"/>
      <c r="P294" s="89"/>
      <c r="Q294" s="89"/>
      <c r="R294" s="89"/>
      <c r="S294" s="89"/>
      <c r="T294" s="89"/>
      <c r="U294" s="89"/>
      <c r="V294" s="89"/>
      <c r="W294" s="89"/>
      <c r="X294" s="89"/>
      <c r="Y294" s="89"/>
      <c r="Z294" s="89"/>
      <c r="AA294" s="89"/>
      <c r="AB294" s="89"/>
      <c r="AC294" s="89"/>
      <c r="AD294" s="89"/>
      <c r="AE294" s="89"/>
      <c r="AF294" s="89"/>
      <c r="AG294" s="89"/>
      <c r="AH294" s="89"/>
      <c r="AI294" s="89"/>
      <c r="AJ294" s="89"/>
      <c r="AK294" s="89"/>
      <c r="AL294" s="89"/>
      <c r="AM294" s="89"/>
      <c r="AN294" s="89"/>
      <c r="AO294" s="89"/>
      <c r="AP294" s="89"/>
      <c r="AQ294" s="89"/>
      <c r="AR294" s="89"/>
      <c r="AS294" s="89"/>
      <c r="AT294" s="89"/>
      <c r="AU294" s="89"/>
      <c r="AV294" s="89"/>
      <c r="AW294" s="89"/>
      <c r="AX294" s="89"/>
    </row>
    <row r="295" spans="1:50" x14ac:dyDescent="0.25">
      <c r="A295" s="89"/>
      <c r="B295" s="89"/>
      <c r="C295" s="89"/>
      <c r="D295" s="89"/>
      <c r="E295" s="89"/>
      <c r="F295" s="89"/>
      <c r="G295" s="89"/>
      <c r="H295" s="89"/>
      <c r="I295" s="89"/>
      <c r="J295" s="89"/>
      <c r="K295" s="89"/>
      <c r="L295" s="89"/>
      <c r="M295" s="89"/>
      <c r="N295" s="89"/>
      <c r="O295" s="89"/>
      <c r="P295" s="89"/>
      <c r="Q295" s="89"/>
      <c r="R295" s="89"/>
      <c r="S295" s="89"/>
      <c r="T295" s="89"/>
      <c r="U295" s="89"/>
      <c r="V295" s="89"/>
      <c r="W295" s="89"/>
      <c r="X295" s="89"/>
      <c r="Y295" s="89"/>
      <c r="Z295" s="89"/>
      <c r="AA295" s="89"/>
      <c r="AB295" s="89"/>
      <c r="AC295" s="89"/>
      <c r="AD295" s="89"/>
      <c r="AE295" s="89"/>
      <c r="AF295" s="89"/>
      <c r="AG295" s="89"/>
      <c r="AH295" s="89"/>
      <c r="AI295" s="89"/>
      <c r="AJ295" s="89"/>
      <c r="AK295" s="89"/>
      <c r="AL295" s="89"/>
      <c r="AM295" s="89"/>
      <c r="AN295" s="89"/>
      <c r="AO295" s="89"/>
      <c r="AP295" s="89"/>
      <c r="AQ295" s="89"/>
      <c r="AR295" s="89"/>
      <c r="AS295" s="89"/>
      <c r="AT295" s="89"/>
      <c r="AU295" s="89"/>
      <c r="AV295" s="89"/>
      <c r="AW295" s="89"/>
      <c r="AX295" s="89"/>
    </row>
    <row r="296" spans="1:50" x14ac:dyDescent="0.25">
      <c r="A296" s="89"/>
      <c r="B296" s="89"/>
      <c r="C296" s="89"/>
      <c r="D296" s="89"/>
      <c r="E296" s="89"/>
      <c r="F296" s="89"/>
      <c r="G296" s="89"/>
      <c r="H296" s="89"/>
      <c r="I296" s="89"/>
      <c r="J296" s="89"/>
      <c r="K296" s="89"/>
      <c r="L296" s="89"/>
      <c r="M296" s="89"/>
      <c r="N296" s="89"/>
      <c r="O296" s="89"/>
      <c r="P296" s="89"/>
      <c r="Q296" s="89"/>
      <c r="R296" s="89"/>
      <c r="S296" s="89"/>
      <c r="T296" s="89"/>
      <c r="U296" s="89"/>
      <c r="V296" s="89"/>
      <c r="W296" s="89"/>
      <c r="X296" s="89"/>
      <c r="Y296" s="89"/>
      <c r="Z296" s="89"/>
      <c r="AA296" s="89"/>
      <c r="AB296" s="89"/>
      <c r="AC296" s="89"/>
      <c r="AD296" s="89"/>
      <c r="AE296" s="89"/>
      <c r="AF296" s="89"/>
      <c r="AG296" s="89"/>
      <c r="AH296" s="89"/>
      <c r="AI296" s="89"/>
      <c r="AJ296" s="89"/>
      <c r="AK296" s="89"/>
      <c r="AL296" s="89"/>
      <c r="AM296" s="89"/>
      <c r="AN296" s="89"/>
      <c r="AO296" s="89"/>
      <c r="AP296" s="89"/>
      <c r="AQ296" s="89"/>
      <c r="AR296" s="89"/>
      <c r="AS296" s="89"/>
      <c r="AT296" s="89"/>
      <c r="AU296" s="89"/>
      <c r="AV296" s="89"/>
      <c r="AW296" s="89"/>
      <c r="AX296" s="89"/>
    </row>
    <row r="297" spans="1:50" x14ac:dyDescent="0.25">
      <c r="A297" s="89"/>
      <c r="B297" s="89"/>
      <c r="C297" s="89"/>
      <c r="D297" s="89"/>
      <c r="E297" s="89"/>
      <c r="F297" s="89"/>
      <c r="G297" s="89"/>
      <c r="H297" s="89"/>
      <c r="I297" s="89"/>
      <c r="J297" s="89"/>
      <c r="K297" s="89"/>
      <c r="L297" s="89"/>
      <c r="M297" s="89"/>
      <c r="N297" s="89"/>
      <c r="O297" s="89"/>
      <c r="P297" s="89"/>
      <c r="Q297" s="89"/>
      <c r="R297" s="89"/>
      <c r="S297" s="89"/>
      <c r="T297" s="89"/>
      <c r="U297" s="89"/>
      <c r="V297" s="89"/>
      <c r="W297" s="89"/>
      <c r="X297" s="89"/>
      <c r="Y297" s="89"/>
      <c r="Z297" s="89"/>
      <c r="AA297" s="89"/>
      <c r="AB297" s="89"/>
      <c r="AC297" s="89"/>
      <c r="AD297" s="89"/>
      <c r="AE297" s="89"/>
      <c r="AF297" s="89"/>
      <c r="AG297" s="89"/>
      <c r="AH297" s="89"/>
      <c r="AI297" s="89"/>
      <c r="AJ297" s="89"/>
      <c r="AK297" s="89"/>
      <c r="AL297" s="89"/>
      <c r="AM297" s="89"/>
      <c r="AN297" s="89"/>
      <c r="AO297" s="89"/>
      <c r="AP297" s="89"/>
      <c r="AQ297" s="89"/>
      <c r="AR297" s="89"/>
      <c r="AS297" s="89"/>
      <c r="AT297" s="89"/>
      <c r="AU297" s="89"/>
      <c r="AV297" s="89"/>
      <c r="AW297" s="89"/>
      <c r="AX297" s="89"/>
    </row>
    <row r="298" spans="1:50" x14ac:dyDescent="0.25">
      <c r="A298" s="89"/>
      <c r="B298" s="89"/>
      <c r="C298" s="89"/>
      <c r="D298" s="89"/>
      <c r="E298" s="89"/>
      <c r="F298" s="89"/>
      <c r="G298" s="89"/>
      <c r="H298" s="89"/>
      <c r="I298" s="89"/>
      <c r="J298" s="89"/>
      <c r="K298" s="89"/>
      <c r="L298" s="89"/>
      <c r="M298" s="89"/>
      <c r="N298" s="89"/>
      <c r="O298" s="89"/>
      <c r="P298" s="89"/>
      <c r="Q298" s="89"/>
      <c r="R298" s="89"/>
      <c r="S298" s="89"/>
      <c r="T298" s="89"/>
      <c r="U298" s="89"/>
      <c r="V298" s="89"/>
      <c r="W298" s="89"/>
      <c r="X298" s="89"/>
      <c r="Y298" s="89"/>
      <c r="Z298" s="89"/>
      <c r="AA298" s="89"/>
      <c r="AB298" s="89"/>
      <c r="AC298" s="89"/>
      <c r="AD298" s="89"/>
      <c r="AE298" s="89"/>
      <c r="AF298" s="89"/>
      <c r="AG298" s="89"/>
      <c r="AH298" s="89"/>
      <c r="AI298" s="89"/>
      <c r="AJ298" s="89"/>
      <c r="AK298" s="89"/>
      <c r="AL298" s="89"/>
      <c r="AM298" s="89"/>
      <c r="AN298" s="89"/>
      <c r="AO298" s="89"/>
      <c r="AP298" s="89"/>
      <c r="AQ298" s="89"/>
      <c r="AR298" s="89"/>
      <c r="AS298" s="89"/>
      <c r="AT298" s="89"/>
      <c r="AU298" s="89"/>
      <c r="AV298" s="89"/>
      <c r="AW298" s="89"/>
      <c r="AX298" s="89"/>
    </row>
    <row r="299" spans="1:50" x14ac:dyDescent="0.25">
      <c r="A299" s="89"/>
      <c r="B299" s="89"/>
      <c r="C299" s="89"/>
      <c r="D299" s="89"/>
      <c r="E299" s="89"/>
      <c r="F299" s="89"/>
      <c r="G299" s="89"/>
      <c r="H299" s="89"/>
      <c r="I299" s="89"/>
      <c r="J299" s="89"/>
      <c r="K299" s="89"/>
      <c r="L299" s="89"/>
      <c r="M299" s="89"/>
      <c r="N299" s="89"/>
      <c r="O299" s="89"/>
      <c r="P299" s="89"/>
      <c r="Q299" s="89"/>
      <c r="R299" s="89"/>
      <c r="S299" s="89"/>
      <c r="T299" s="89"/>
      <c r="U299" s="89"/>
      <c r="V299" s="89"/>
      <c r="W299" s="89"/>
      <c r="X299" s="89"/>
      <c r="Y299" s="89"/>
      <c r="Z299" s="89"/>
      <c r="AA299" s="89"/>
      <c r="AB299" s="89"/>
      <c r="AC299" s="89"/>
      <c r="AD299" s="89"/>
      <c r="AE299" s="89"/>
      <c r="AF299" s="89"/>
      <c r="AG299" s="89"/>
      <c r="AH299" s="89"/>
      <c r="AI299" s="89"/>
      <c r="AJ299" s="89"/>
      <c r="AK299" s="89"/>
      <c r="AL299" s="89"/>
      <c r="AM299" s="89"/>
      <c r="AN299" s="89"/>
      <c r="AO299" s="89"/>
      <c r="AP299" s="89"/>
      <c r="AQ299" s="89"/>
      <c r="AR299" s="89"/>
      <c r="AS299" s="89"/>
      <c r="AT299" s="89"/>
      <c r="AU299" s="89"/>
      <c r="AV299" s="89"/>
      <c r="AW299" s="89"/>
      <c r="AX299" s="89"/>
    </row>
    <row r="300" spans="1:50" x14ac:dyDescent="0.25">
      <c r="A300" s="89"/>
      <c r="B300" s="89"/>
      <c r="C300" s="89"/>
      <c r="D300" s="89"/>
      <c r="E300" s="89"/>
      <c r="F300" s="89"/>
      <c r="G300" s="89"/>
      <c r="H300" s="89"/>
      <c r="I300" s="89"/>
      <c r="J300" s="89"/>
      <c r="K300" s="89"/>
      <c r="L300" s="89"/>
      <c r="M300" s="89"/>
      <c r="N300" s="89"/>
      <c r="O300" s="89"/>
      <c r="P300" s="89"/>
      <c r="Q300" s="89"/>
      <c r="R300" s="89"/>
      <c r="S300" s="89"/>
      <c r="T300" s="89"/>
      <c r="U300" s="89"/>
      <c r="V300" s="89"/>
      <c r="W300" s="89"/>
      <c r="X300" s="89"/>
      <c r="Y300" s="89"/>
      <c r="Z300" s="89"/>
      <c r="AA300" s="89"/>
      <c r="AB300" s="89"/>
      <c r="AC300" s="89"/>
      <c r="AD300" s="89"/>
      <c r="AE300" s="89"/>
      <c r="AF300" s="89"/>
      <c r="AG300" s="89"/>
      <c r="AH300" s="89"/>
      <c r="AI300" s="89"/>
      <c r="AJ300" s="89"/>
      <c r="AK300" s="89"/>
      <c r="AL300" s="89"/>
      <c r="AM300" s="89"/>
      <c r="AN300" s="89"/>
      <c r="AO300" s="89"/>
      <c r="AP300" s="89"/>
      <c r="AQ300" s="89"/>
      <c r="AR300" s="89"/>
      <c r="AS300" s="89"/>
      <c r="AT300" s="89"/>
      <c r="AU300" s="89"/>
      <c r="AV300" s="89"/>
      <c r="AW300" s="89"/>
      <c r="AX300" s="89"/>
    </row>
    <row r="301" spans="1:50" x14ac:dyDescent="0.25">
      <c r="A301" s="89"/>
      <c r="B301" s="89"/>
      <c r="C301" s="89"/>
      <c r="D301" s="89"/>
      <c r="E301" s="89"/>
      <c r="F301" s="89"/>
      <c r="G301" s="89"/>
      <c r="H301" s="89"/>
      <c r="I301" s="89"/>
      <c r="J301" s="89"/>
      <c r="K301" s="89"/>
      <c r="L301" s="89"/>
      <c r="M301" s="89"/>
      <c r="N301" s="89"/>
      <c r="O301" s="89"/>
      <c r="P301" s="89"/>
      <c r="Q301" s="89"/>
      <c r="R301" s="89"/>
      <c r="S301" s="89"/>
      <c r="T301" s="89"/>
      <c r="U301" s="89"/>
      <c r="V301" s="89"/>
      <c r="W301" s="89"/>
      <c r="X301" s="89"/>
      <c r="Y301" s="89"/>
      <c r="Z301" s="89"/>
      <c r="AA301" s="89"/>
      <c r="AB301" s="89"/>
      <c r="AC301" s="89"/>
      <c r="AD301" s="89"/>
      <c r="AE301" s="89"/>
      <c r="AF301" s="89"/>
      <c r="AG301" s="89"/>
      <c r="AH301" s="89"/>
      <c r="AI301" s="89"/>
      <c r="AJ301" s="89"/>
      <c r="AK301" s="89"/>
      <c r="AL301" s="89"/>
      <c r="AM301" s="89"/>
      <c r="AN301" s="89"/>
      <c r="AO301" s="89"/>
      <c r="AP301" s="89"/>
      <c r="AQ301" s="89"/>
      <c r="AR301" s="89"/>
      <c r="AS301" s="89"/>
      <c r="AT301" s="89"/>
      <c r="AU301" s="89"/>
      <c r="AV301" s="89"/>
      <c r="AW301" s="89"/>
      <c r="AX301" s="89"/>
    </row>
    <row r="302" spans="1:50" x14ac:dyDescent="0.25">
      <c r="A302" s="89"/>
      <c r="B302" s="89"/>
      <c r="C302" s="89"/>
      <c r="D302" s="89"/>
      <c r="E302" s="89"/>
      <c r="F302" s="89"/>
      <c r="G302" s="89"/>
      <c r="H302" s="89"/>
      <c r="I302" s="89"/>
      <c r="J302" s="89"/>
      <c r="K302" s="89"/>
      <c r="L302" s="89"/>
      <c r="M302" s="89"/>
      <c r="N302" s="89"/>
      <c r="O302" s="89"/>
      <c r="P302" s="89"/>
      <c r="Q302" s="89"/>
      <c r="R302" s="89"/>
      <c r="S302" s="89"/>
      <c r="T302" s="89"/>
      <c r="U302" s="89"/>
      <c r="V302" s="89"/>
      <c r="W302" s="89"/>
      <c r="X302" s="89"/>
      <c r="Y302" s="89"/>
      <c r="Z302" s="89"/>
      <c r="AA302" s="89"/>
      <c r="AB302" s="89"/>
      <c r="AC302" s="89"/>
      <c r="AD302" s="89"/>
      <c r="AE302" s="89"/>
      <c r="AF302" s="89"/>
      <c r="AG302" s="89"/>
      <c r="AH302" s="89"/>
      <c r="AI302" s="89"/>
      <c r="AJ302" s="89"/>
      <c r="AK302" s="89"/>
      <c r="AL302" s="89"/>
      <c r="AM302" s="89"/>
      <c r="AN302" s="89"/>
      <c r="AO302" s="89"/>
      <c r="AP302" s="89"/>
      <c r="AQ302" s="89"/>
      <c r="AR302" s="89"/>
      <c r="AS302" s="89"/>
      <c r="AT302" s="89"/>
      <c r="AU302" s="89"/>
      <c r="AV302" s="89"/>
      <c r="AW302" s="89"/>
      <c r="AX302" s="89"/>
    </row>
    <row r="303" spans="1:50" x14ac:dyDescent="0.25">
      <c r="A303" s="89"/>
      <c r="B303" s="89"/>
      <c r="C303" s="89"/>
      <c r="D303" s="89"/>
      <c r="E303" s="89"/>
      <c r="F303" s="89"/>
      <c r="G303" s="89"/>
      <c r="H303" s="89"/>
      <c r="I303" s="89"/>
      <c r="J303" s="89"/>
      <c r="K303" s="89"/>
      <c r="L303" s="89"/>
      <c r="M303" s="89"/>
      <c r="N303" s="89"/>
      <c r="O303" s="89"/>
      <c r="P303" s="89"/>
      <c r="Q303" s="89"/>
      <c r="R303" s="89"/>
      <c r="S303" s="89"/>
      <c r="T303" s="89"/>
      <c r="U303" s="89"/>
      <c r="V303" s="89"/>
      <c r="W303" s="89"/>
      <c r="X303" s="89"/>
      <c r="Y303" s="89"/>
      <c r="Z303" s="89"/>
      <c r="AA303" s="89"/>
      <c r="AB303" s="89"/>
      <c r="AC303" s="89"/>
      <c r="AD303" s="89"/>
      <c r="AE303" s="89"/>
      <c r="AF303" s="89"/>
      <c r="AG303" s="89"/>
      <c r="AH303" s="89"/>
      <c r="AI303" s="89"/>
      <c r="AJ303" s="89"/>
      <c r="AK303" s="89"/>
      <c r="AL303" s="89"/>
      <c r="AM303" s="89"/>
      <c r="AN303" s="89"/>
      <c r="AO303" s="89"/>
      <c r="AP303" s="89"/>
      <c r="AQ303" s="89"/>
      <c r="AR303" s="89"/>
      <c r="AS303" s="89"/>
      <c r="AT303" s="89"/>
      <c r="AU303" s="89"/>
      <c r="AV303" s="89"/>
      <c r="AW303" s="89"/>
      <c r="AX303" s="89"/>
    </row>
    <row r="304" spans="1:50" x14ac:dyDescent="0.25">
      <c r="A304" s="89"/>
      <c r="B304" s="89"/>
      <c r="C304" s="89"/>
      <c r="D304" s="89"/>
      <c r="E304" s="89"/>
      <c r="F304" s="89"/>
      <c r="G304" s="89"/>
      <c r="H304" s="89"/>
      <c r="I304" s="89"/>
      <c r="J304" s="89"/>
      <c r="K304" s="89"/>
      <c r="L304" s="89"/>
      <c r="M304" s="89"/>
      <c r="N304" s="89"/>
      <c r="O304" s="89"/>
      <c r="P304" s="89"/>
      <c r="Q304" s="89"/>
      <c r="R304" s="89"/>
      <c r="S304" s="89"/>
      <c r="T304" s="89"/>
      <c r="U304" s="89"/>
      <c r="V304" s="89"/>
      <c r="W304" s="89"/>
      <c r="X304" s="89"/>
      <c r="Y304" s="89"/>
      <c r="Z304" s="89"/>
      <c r="AA304" s="89"/>
      <c r="AB304" s="89"/>
      <c r="AC304" s="89"/>
      <c r="AD304" s="89"/>
      <c r="AE304" s="89"/>
      <c r="AF304" s="89"/>
      <c r="AG304" s="89"/>
      <c r="AH304" s="89"/>
      <c r="AI304" s="89"/>
      <c r="AJ304" s="89"/>
      <c r="AK304" s="89"/>
      <c r="AL304" s="89"/>
      <c r="AM304" s="89"/>
      <c r="AN304" s="89"/>
      <c r="AO304" s="89"/>
      <c r="AP304" s="89"/>
      <c r="AQ304" s="89"/>
      <c r="AR304" s="89"/>
      <c r="AS304" s="89"/>
      <c r="AT304" s="89"/>
      <c r="AU304" s="89"/>
      <c r="AV304" s="89"/>
      <c r="AW304" s="89"/>
      <c r="AX304" s="89"/>
    </row>
    <row r="305" spans="1:50" x14ac:dyDescent="0.25">
      <c r="A305" s="89"/>
      <c r="B305" s="89"/>
      <c r="C305" s="89"/>
      <c r="D305" s="89"/>
      <c r="E305" s="89"/>
      <c r="F305" s="89"/>
      <c r="G305" s="89"/>
      <c r="H305" s="89"/>
      <c r="I305" s="89"/>
      <c r="J305" s="89"/>
      <c r="K305" s="89"/>
      <c r="L305" s="89"/>
      <c r="M305" s="89"/>
      <c r="N305" s="89"/>
      <c r="O305" s="89"/>
      <c r="P305" s="89"/>
      <c r="Q305" s="89"/>
      <c r="R305" s="89"/>
      <c r="S305" s="89"/>
      <c r="T305" s="89"/>
      <c r="U305" s="89"/>
      <c r="V305" s="89"/>
      <c r="W305" s="89"/>
      <c r="X305" s="89"/>
      <c r="Y305" s="89"/>
      <c r="Z305" s="89"/>
      <c r="AA305" s="89"/>
      <c r="AB305" s="89"/>
      <c r="AC305" s="89"/>
      <c r="AD305" s="89"/>
      <c r="AE305" s="89"/>
      <c r="AF305" s="89"/>
      <c r="AG305" s="89"/>
      <c r="AH305" s="89"/>
      <c r="AI305" s="89"/>
      <c r="AJ305" s="89"/>
      <c r="AK305" s="89"/>
      <c r="AL305" s="89"/>
      <c r="AM305" s="89"/>
      <c r="AN305" s="89"/>
      <c r="AO305" s="89"/>
      <c r="AP305" s="89"/>
      <c r="AQ305" s="89"/>
      <c r="AR305" s="89"/>
      <c r="AS305" s="89"/>
      <c r="AT305" s="89"/>
      <c r="AU305" s="89"/>
      <c r="AV305" s="89"/>
      <c r="AW305" s="89"/>
      <c r="AX305" s="89"/>
    </row>
    <row r="306" spans="1:50" x14ac:dyDescent="0.25">
      <c r="A306" s="89"/>
      <c r="B306" s="89"/>
      <c r="C306" s="89"/>
      <c r="D306" s="89"/>
      <c r="E306" s="89"/>
      <c r="F306" s="89"/>
      <c r="G306" s="89"/>
      <c r="H306" s="89"/>
      <c r="I306" s="89"/>
      <c r="J306" s="89"/>
      <c r="K306" s="89"/>
      <c r="L306" s="89"/>
      <c r="M306" s="89"/>
      <c r="N306" s="89"/>
      <c r="O306" s="89"/>
      <c r="P306" s="89"/>
      <c r="Q306" s="89"/>
      <c r="R306" s="89"/>
      <c r="S306" s="89"/>
      <c r="T306" s="89"/>
      <c r="U306" s="89"/>
      <c r="V306" s="89"/>
      <c r="W306" s="89"/>
      <c r="X306" s="89"/>
      <c r="Y306" s="89"/>
      <c r="Z306" s="89"/>
      <c r="AA306" s="89"/>
      <c r="AB306" s="89"/>
      <c r="AC306" s="89"/>
      <c r="AD306" s="89"/>
      <c r="AE306" s="89"/>
      <c r="AF306" s="89"/>
      <c r="AG306" s="89"/>
      <c r="AH306" s="89"/>
      <c r="AI306" s="89"/>
      <c r="AJ306" s="89"/>
      <c r="AK306" s="89"/>
      <c r="AL306" s="89"/>
      <c r="AM306" s="89"/>
      <c r="AN306" s="89"/>
      <c r="AO306" s="89"/>
      <c r="AP306" s="89"/>
      <c r="AQ306" s="89"/>
      <c r="AR306" s="89"/>
      <c r="AS306" s="89"/>
      <c r="AT306" s="89"/>
      <c r="AU306" s="89"/>
      <c r="AV306" s="89"/>
      <c r="AW306" s="89"/>
      <c r="AX306" s="89"/>
    </row>
    <row r="307" spans="1:50" x14ac:dyDescent="0.25">
      <c r="A307" s="89"/>
      <c r="B307" s="89"/>
      <c r="C307" s="89"/>
      <c r="D307" s="89"/>
      <c r="E307" s="89"/>
      <c r="F307" s="89"/>
      <c r="G307" s="89"/>
      <c r="H307" s="89"/>
      <c r="I307" s="89"/>
      <c r="J307" s="89"/>
      <c r="K307" s="89"/>
      <c r="L307" s="89"/>
      <c r="M307" s="89"/>
      <c r="N307" s="89"/>
      <c r="O307" s="89"/>
      <c r="P307" s="89"/>
      <c r="Q307" s="89"/>
      <c r="R307" s="89"/>
      <c r="S307" s="89"/>
      <c r="T307" s="89"/>
      <c r="U307" s="89"/>
      <c r="V307" s="89"/>
      <c r="W307" s="89"/>
      <c r="X307" s="89"/>
      <c r="Y307" s="89"/>
      <c r="Z307" s="89"/>
      <c r="AA307" s="89"/>
      <c r="AB307" s="89"/>
      <c r="AC307" s="89"/>
      <c r="AD307" s="89"/>
      <c r="AE307" s="89"/>
      <c r="AF307" s="89"/>
      <c r="AG307" s="89"/>
      <c r="AH307" s="89"/>
      <c r="AI307" s="89"/>
      <c r="AJ307" s="89"/>
      <c r="AK307" s="89"/>
      <c r="AL307" s="89"/>
      <c r="AM307" s="89"/>
      <c r="AN307" s="89"/>
      <c r="AO307" s="89"/>
      <c r="AP307" s="89"/>
      <c r="AQ307" s="89"/>
      <c r="AR307" s="89"/>
      <c r="AS307" s="89"/>
      <c r="AT307" s="89"/>
      <c r="AU307" s="89"/>
      <c r="AV307" s="89"/>
      <c r="AW307" s="89"/>
      <c r="AX307" s="89"/>
    </row>
    <row r="308" spans="1:50" x14ac:dyDescent="0.25">
      <c r="A308" s="89"/>
      <c r="B308" s="89"/>
      <c r="C308" s="89"/>
      <c r="D308" s="89"/>
      <c r="E308" s="89"/>
      <c r="F308" s="89"/>
      <c r="G308" s="89"/>
      <c r="H308" s="89"/>
      <c r="I308" s="89"/>
      <c r="J308" s="89"/>
      <c r="K308" s="89"/>
      <c r="L308" s="89"/>
      <c r="M308" s="89"/>
      <c r="N308" s="89"/>
      <c r="O308" s="89"/>
      <c r="P308" s="89"/>
      <c r="Q308" s="89"/>
      <c r="R308" s="89"/>
      <c r="S308" s="89"/>
      <c r="T308" s="89"/>
      <c r="U308" s="89"/>
      <c r="V308" s="89"/>
      <c r="W308" s="89"/>
      <c r="X308" s="89"/>
      <c r="Y308" s="89"/>
      <c r="Z308" s="89"/>
      <c r="AA308" s="89"/>
      <c r="AB308" s="89"/>
      <c r="AC308" s="89"/>
      <c r="AD308" s="89"/>
      <c r="AE308" s="89"/>
      <c r="AF308" s="89"/>
      <c r="AG308" s="89"/>
      <c r="AH308" s="89"/>
      <c r="AI308" s="89"/>
      <c r="AJ308" s="89"/>
      <c r="AK308" s="89"/>
      <c r="AL308" s="89"/>
      <c r="AM308" s="89"/>
      <c r="AN308" s="89"/>
      <c r="AO308" s="89"/>
      <c r="AP308" s="89"/>
      <c r="AQ308" s="89"/>
      <c r="AR308" s="89"/>
      <c r="AS308" s="89"/>
      <c r="AT308" s="89"/>
      <c r="AU308" s="89"/>
      <c r="AV308" s="89"/>
      <c r="AW308" s="89"/>
      <c r="AX308" s="89"/>
    </row>
    <row r="309" spans="1:50" x14ac:dyDescent="0.25">
      <c r="A309" s="89"/>
      <c r="B309" s="89"/>
      <c r="C309" s="89"/>
      <c r="D309" s="89"/>
      <c r="E309" s="89"/>
      <c r="F309" s="89"/>
      <c r="G309" s="89"/>
      <c r="H309" s="89"/>
      <c r="I309" s="89"/>
      <c r="J309" s="89"/>
      <c r="K309" s="89"/>
      <c r="L309" s="89"/>
      <c r="M309" s="89"/>
      <c r="N309" s="89"/>
      <c r="O309" s="89"/>
      <c r="P309" s="89"/>
      <c r="Q309" s="89"/>
      <c r="R309" s="89"/>
      <c r="S309" s="89"/>
      <c r="T309" s="89"/>
      <c r="U309" s="89"/>
      <c r="V309" s="89"/>
      <c r="W309" s="89"/>
      <c r="X309" s="89"/>
      <c r="Y309" s="89"/>
      <c r="Z309" s="89"/>
      <c r="AA309" s="89"/>
      <c r="AB309" s="89"/>
      <c r="AC309" s="89"/>
      <c r="AD309" s="89"/>
      <c r="AE309" s="89"/>
      <c r="AF309" s="89"/>
      <c r="AG309" s="89"/>
      <c r="AH309" s="89"/>
      <c r="AI309" s="89"/>
      <c r="AJ309" s="89"/>
      <c r="AK309" s="89"/>
      <c r="AL309" s="89"/>
      <c r="AM309" s="89"/>
      <c r="AN309" s="89"/>
      <c r="AO309" s="89"/>
      <c r="AP309" s="89"/>
      <c r="AQ309" s="89"/>
      <c r="AR309" s="89"/>
      <c r="AS309" s="89"/>
      <c r="AT309" s="89"/>
      <c r="AU309" s="89"/>
      <c r="AV309" s="89"/>
      <c r="AW309" s="89"/>
      <c r="AX309" s="89"/>
    </row>
    <row r="310" spans="1:50" x14ac:dyDescent="0.25">
      <c r="A310" s="89"/>
      <c r="B310" s="89"/>
      <c r="C310" s="89"/>
      <c r="D310" s="89"/>
      <c r="E310" s="89"/>
      <c r="F310" s="89"/>
      <c r="G310" s="89"/>
      <c r="H310" s="89"/>
      <c r="I310" s="89"/>
      <c r="J310" s="89"/>
      <c r="K310" s="89"/>
      <c r="L310" s="89"/>
      <c r="M310" s="89"/>
      <c r="N310" s="89"/>
      <c r="O310" s="89"/>
      <c r="P310" s="89"/>
      <c r="Q310" s="89"/>
      <c r="R310" s="89"/>
      <c r="S310" s="89"/>
      <c r="T310" s="89"/>
      <c r="U310" s="89"/>
      <c r="V310" s="89"/>
      <c r="W310" s="89"/>
      <c r="X310" s="89"/>
      <c r="Y310" s="89"/>
      <c r="Z310" s="89"/>
      <c r="AA310" s="89"/>
      <c r="AB310" s="89"/>
      <c r="AC310" s="89"/>
      <c r="AD310" s="89"/>
      <c r="AE310" s="89"/>
      <c r="AF310" s="89"/>
      <c r="AG310" s="89"/>
      <c r="AH310" s="89"/>
      <c r="AI310" s="89"/>
      <c r="AJ310" s="89"/>
      <c r="AK310" s="89"/>
      <c r="AL310" s="89"/>
      <c r="AM310" s="89"/>
      <c r="AN310" s="89"/>
      <c r="AO310" s="89"/>
      <c r="AP310" s="89"/>
      <c r="AQ310" s="89"/>
      <c r="AR310" s="89"/>
      <c r="AS310" s="89"/>
      <c r="AT310" s="89"/>
      <c r="AU310" s="89"/>
      <c r="AV310" s="89"/>
      <c r="AW310" s="89"/>
      <c r="AX310" s="89"/>
    </row>
    <row r="311" spans="1:50" x14ac:dyDescent="0.25">
      <c r="A311" s="89"/>
      <c r="B311" s="89"/>
      <c r="C311" s="89"/>
      <c r="D311" s="89"/>
      <c r="E311" s="89"/>
      <c r="F311" s="89"/>
      <c r="G311" s="89"/>
      <c r="H311" s="89"/>
      <c r="I311" s="89"/>
      <c r="J311" s="89"/>
      <c r="K311" s="89"/>
      <c r="L311" s="89"/>
      <c r="M311" s="89"/>
      <c r="N311" s="89"/>
      <c r="O311" s="89"/>
      <c r="P311" s="89"/>
      <c r="Q311" s="89"/>
      <c r="R311" s="89"/>
      <c r="S311" s="89"/>
      <c r="T311" s="89"/>
      <c r="U311" s="89"/>
      <c r="V311" s="89"/>
      <c r="W311" s="89"/>
      <c r="X311" s="89"/>
      <c r="Y311" s="89"/>
      <c r="Z311" s="89"/>
      <c r="AA311" s="89"/>
      <c r="AB311" s="89"/>
      <c r="AC311" s="89"/>
      <c r="AD311" s="89"/>
      <c r="AE311" s="89"/>
      <c r="AF311" s="89"/>
      <c r="AG311" s="89"/>
      <c r="AH311" s="89"/>
      <c r="AI311" s="89"/>
      <c r="AJ311" s="89"/>
      <c r="AK311" s="89"/>
      <c r="AL311" s="89"/>
      <c r="AM311" s="89"/>
      <c r="AN311" s="89"/>
      <c r="AO311" s="89"/>
      <c r="AP311" s="89"/>
      <c r="AQ311" s="89"/>
      <c r="AR311" s="89"/>
      <c r="AS311" s="89"/>
      <c r="AT311" s="89"/>
      <c r="AU311" s="89"/>
      <c r="AV311" s="89"/>
      <c r="AW311" s="89"/>
      <c r="AX311" s="89"/>
    </row>
    <row r="312" spans="1:50" x14ac:dyDescent="0.25">
      <c r="A312" s="89"/>
      <c r="B312" s="89"/>
      <c r="C312" s="89"/>
      <c r="D312" s="89"/>
      <c r="E312" s="89"/>
      <c r="F312" s="89"/>
      <c r="G312" s="89"/>
      <c r="H312" s="89"/>
      <c r="I312" s="89"/>
      <c r="J312" s="89"/>
      <c r="K312" s="89"/>
      <c r="L312" s="89"/>
      <c r="M312" s="89"/>
      <c r="N312" s="89"/>
      <c r="O312" s="89"/>
      <c r="P312" s="89"/>
      <c r="Q312" s="89"/>
      <c r="R312" s="89"/>
      <c r="S312" s="89"/>
      <c r="T312" s="89"/>
      <c r="U312" s="89"/>
      <c r="V312" s="89"/>
      <c r="W312" s="89"/>
      <c r="X312" s="89"/>
      <c r="Y312" s="89"/>
      <c r="Z312" s="89"/>
      <c r="AA312" s="89"/>
      <c r="AB312" s="89"/>
      <c r="AC312" s="89"/>
      <c r="AD312" s="89"/>
      <c r="AE312" s="89"/>
      <c r="AF312" s="89"/>
      <c r="AG312" s="89"/>
      <c r="AH312" s="89"/>
      <c r="AI312" s="89"/>
      <c r="AJ312" s="89"/>
      <c r="AK312" s="89"/>
      <c r="AL312" s="89"/>
      <c r="AM312" s="89"/>
      <c r="AN312" s="89"/>
      <c r="AO312" s="89"/>
      <c r="AP312" s="89"/>
      <c r="AQ312" s="89"/>
      <c r="AR312" s="89"/>
      <c r="AS312" s="89"/>
      <c r="AT312" s="89"/>
      <c r="AU312" s="89"/>
      <c r="AV312" s="89"/>
      <c r="AW312" s="89"/>
      <c r="AX312" s="89"/>
    </row>
    <row r="313" spans="1:50" x14ac:dyDescent="0.25">
      <c r="A313" s="89"/>
      <c r="B313" s="89"/>
      <c r="C313" s="89"/>
      <c r="D313" s="89"/>
      <c r="E313" s="89"/>
      <c r="F313" s="89"/>
      <c r="G313" s="89"/>
      <c r="H313" s="89"/>
      <c r="I313" s="89"/>
      <c r="J313" s="89"/>
      <c r="K313" s="89"/>
      <c r="L313" s="89"/>
      <c r="M313" s="89"/>
      <c r="N313" s="89"/>
      <c r="O313" s="89"/>
      <c r="P313" s="89"/>
      <c r="Q313" s="89"/>
      <c r="R313" s="89"/>
      <c r="S313" s="89"/>
      <c r="T313" s="89"/>
      <c r="U313" s="89"/>
      <c r="V313" s="89"/>
      <c r="W313" s="89"/>
      <c r="X313" s="89"/>
      <c r="Y313" s="89"/>
      <c r="Z313" s="89"/>
      <c r="AA313" s="89"/>
      <c r="AB313" s="89"/>
      <c r="AC313" s="89"/>
      <c r="AD313" s="89"/>
      <c r="AE313" s="89"/>
      <c r="AF313" s="89"/>
      <c r="AG313" s="89"/>
      <c r="AH313" s="89"/>
      <c r="AI313" s="89"/>
      <c r="AJ313" s="89"/>
      <c r="AK313" s="89"/>
      <c r="AL313" s="89"/>
      <c r="AM313" s="89"/>
      <c r="AN313" s="89"/>
      <c r="AO313" s="89"/>
      <c r="AP313" s="89"/>
      <c r="AQ313" s="89"/>
      <c r="AR313" s="89"/>
      <c r="AS313" s="89"/>
      <c r="AT313" s="89"/>
      <c r="AU313" s="89"/>
      <c r="AV313" s="89"/>
      <c r="AW313" s="89"/>
      <c r="AX313" s="89"/>
    </row>
    <row r="314" spans="1:50" x14ac:dyDescent="0.25">
      <c r="A314" s="89"/>
      <c r="B314" s="89"/>
      <c r="C314" s="89"/>
      <c r="D314" s="89"/>
      <c r="E314" s="89"/>
      <c r="F314" s="89"/>
      <c r="G314" s="89"/>
      <c r="H314" s="89"/>
      <c r="I314" s="89"/>
      <c r="J314" s="89"/>
      <c r="K314" s="89"/>
      <c r="L314" s="89"/>
      <c r="M314" s="89"/>
      <c r="N314" s="89"/>
      <c r="O314" s="89"/>
      <c r="P314" s="89"/>
      <c r="Q314" s="89"/>
      <c r="R314" s="89"/>
      <c r="S314" s="89"/>
      <c r="T314" s="89"/>
      <c r="U314" s="89"/>
      <c r="V314" s="89"/>
      <c r="W314" s="89"/>
      <c r="X314" s="89"/>
      <c r="Y314" s="89"/>
      <c r="Z314" s="89"/>
      <c r="AA314" s="89"/>
      <c r="AB314" s="89"/>
      <c r="AC314" s="89"/>
      <c r="AD314" s="89"/>
      <c r="AE314" s="89"/>
      <c r="AF314" s="89"/>
      <c r="AG314" s="89"/>
      <c r="AH314" s="89"/>
      <c r="AI314" s="89"/>
      <c r="AJ314" s="89"/>
      <c r="AK314" s="89"/>
      <c r="AL314" s="89"/>
      <c r="AM314" s="89"/>
      <c r="AN314" s="89"/>
      <c r="AO314" s="89"/>
      <c r="AP314" s="89"/>
      <c r="AQ314" s="89"/>
      <c r="AR314" s="89"/>
      <c r="AS314" s="89"/>
      <c r="AT314" s="89"/>
      <c r="AU314" s="89"/>
      <c r="AV314" s="89"/>
      <c r="AW314" s="89"/>
      <c r="AX314" s="89"/>
    </row>
    <row r="315" spans="1:50" x14ac:dyDescent="0.25">
      <c r="A315" s="89"/>
      <c r="B315" s="89"/>
      <c r="C315" s="89"/>
      <c r="D315" s="89"/>
      <c r="E315" s="89"/>
      <c r="F315" s="89"/>
      <c r="G315" s="89"/>
      <c r="H315" s="89"/>
      <c r="I315" s="89"/>
      <c r="J315" s="89"/>
      <c r="K315" s="89"/>
      <c r="L315" s="89"/>
      <c r="M315" s="89"/>
      <c r="N315" s="89"/>
      <c r="O315" s="89"/>
      <c r="P315" s="89"/>
      <c r="Q315" s="89"/>
      <c r="R315" s="89"/>
      <c r="S315" s="89"/>
      <c r="T315" s="89"/>
      <c r="U315" s="89"/>
      <c r="V315" s="89"/>
      <c r="W315" s="89"/>
      <c r="X315" s="89"/>
      <c r="Y315" s="89"/>
      <c r="Z315" s="89"/>
      <c r="AA315" s="89"/>
      <c r="AB315" s="89"/>
      <c r="AC315" s="89"/>
      <c r="AD315" s="89"/>
      <c r="AE315" s="89"/>
      <c r="AF315" s="89"/>
      <c r="AG315" s="89"/>
      <c r="AH315" s="89"/>
      <c r="AI315" s="89"/>
      <c r="AJ315" s="89"/>
      <c r="AK315" s="89"/>
      <c r="AL315" s="89"/>
      <c r="AM315" s="89"/>
      <c r="AN315" s="89"/>
      <c r="AO315" s="89"/>
      <c r="AP315" s="89"/>
      <c r="AQ315" s="89"/>
      <c r="AR315" s="89"/>
      <c r="AS315" s="89"/>
      <c r="AT315" s="89"/>
      <c r="AU315" s="89"/>
      <c r="AV315" s="89"/>
      <c r="AW315" s="89"/>
      <c r="AX315" s="89"/>
    </row>
    <row r="316" spans="1:50" x14ac:dyDescent="0.25">
      <c r="A316" s="89"/>
      <c r="B316" s="89"/>
      <c r="C316" s="89"/>
      <c r="D316" s="89"/>
      <c r="E316" s="89"/>
      <c r="F316" s="89"/>
      <c r="G316" s="89"/>
      <c r="H316" s="89"/>
      <c r="I316" s="89"/>
      <c r="J316" s="89"/>
      <c r="K316" s="89"/>
      <c r="L316" s="89"/>
      <c r="M316" s="89"/>
      <c r="N316" s="89"/>
      <c r="O316" s="89"/>
      <c r="P316" s="89"/>
      <c r="Q316" s="89"/>
      <c r="R316" s="89"/>
      <c r="S316" s="89"/>
      <c r="T316" s="89"/>
      <c r="U316" s="89"/>
      <c r="V316" s="89"/>
      <c r="W316" s="89"/>
      <c r="X316" s="89"/>
      <c r="Y316" s="89"/>
      <c r="Z316" s="89"/>
      <c r="AA316" s="89"/>
      <c r="AB316" s="89"/>
      <c r="AC316" s="89"/>
      <c r="AD316" s="89"/>
      <c r="AE316" s="89"/>
      <c r="AF316" s="89"/>
      <c r="AG316" s="89"/>
      <c r="AH316" s="89"/>
      <c r="AI316" s="89"/>
      <c r="AJ316" s="89"/>
      <c r="AK316" s="89"/>
      <c r="AL316" s="89"/>
      <c r="AM316" s="89"/>
      <c r="AN316" s="89"/>
      <c r="AO316" s="89"/>
      <c r="AP316" s="89"/>
      <c r="AQ316" s="89"/>
      <c r="AR316" s="89"/>
      <c r="AS316" s="89"/>
      <c r="AT316" s="89"/>
      <c r="AU316" s="89"/>
      <c r="AV316" s="89"/>
      <c r="AW316" s="89"/>
      <c r="AX316" s="89"/>
    </row>
    <row r="317" spans="1:50" x14ac:dyDescent="0.25">
      <c r="A317" s="89"/>
      <c r="B317" s="89"/>
      <c r="C317" s="89"/>
      <c r="D317" s="89"/>
      <c r="E317" s="89"/>
      <c r="F317" s="89"/>
      <c r="G317" s="89"/>
      <c r="H317" s="89"/>
      <c r="I317" s="89"/>
      <c r="J317" s="89"/>
      <c r="K317" s="89"/>
      <c r="L317" s="89"/>
      <c r="M317" s="89"/>
      <c r="N317" s="89"/>
      <c r="O317" s="89"/>
      <c r="P317" s="89"/>
      <c r="Q317" s="89"/>
      <c r="R317" s="89"/>
      <c r="S317" s="89"/>
      <c r="T317" s="89"/>
      <c r="U317" s="89"/>
      <c r="V317" s="89"/>
      <c r="W317" s="89"/>
      <c r="X317" s="89"/>
      <c r="Y317" s="89"/>
      <c r="Z317" s="89"/>
      <c r="AA317" s="89"/>
      <c r="AB317" s="89"/>
      <c r="AC317" s="89"/>
      <c r="AD317" s="89"/>
      <c r="AE317" s="89"/>
      <c r="AF317" s="89"/>
      <c r="AG317" s="89"/>
      <c r="AH317" s="89"/>
      <c r="AI317" s="89"/>
      <c r="AJ317" s="89"/>
      <c r="AK317" s="89"/>
      <c r="AL317" s="89"/>
      <c r="AM317" s="89"/>
      <c r="AN317" s="89"/>
      <c r="AO317" s="89"/>
      <c r="AP317" s="89"/>
      <c r="AQ317" s="89"/>
      <c r="AR317" s="89"/>
      <c r="AS317" s="89"/>
      <c r="AT317" s="89"/>
      <c r="AU317" s="89"/>
      <c r="AV317" s="89"/>
      <c r="AW317" s="89"/>
      <c r="AX317" s="89"/>
    </row>
    <row r="318" spans="1:50" x14ac:dyDescent="0.25">
      <c r="A318" s="89"/>
      <c r="B318" s="89"/>
      <c r="C318" s="89"/>
      <c r="D318" s="89"/>
      <c r="E318" s="89"/>
      <c r="F318" s="89"/>
      <c r="G318" s="89"/>
      <c r="H318" s="89"/>
      <c r="I318" s="89"/>
      <c r="J318" s="89"/>
      <c r="K318" s="89"/>
      <c r="L318" s="89"/>
      <c r="M318" s="89"/>
      <c r="N318" s="89"/>
      <c r="O318" s="89"/>
      <c r="P318" s="89"/>
      <c r="Q318" s="89"/>
      <c r="R318" s="89"/>
      <c r="S318" s="89"/>
      <c r="T318" s="89"/>
      <c r="U318" s="89"/>
      <c r="V318" s="89"/>
      <c r="W318" s="89"/>
      <c r="X318" s="89"/>
      <c r="Y318" s="89"/>
      <c r="Z318" s="89"/>
      <c r="AA318" s="89"/>
      <c r="AB318" s="89"/>
      <c r="AC318" s="89"/>
      <c r="AD318" s="89"/>
      <c r="AE318" s="89"/>
      <c r="AF318" s="89"/>
      <c r="AG318" s="89"/>
      <c r="AH318" s="89"/>
      <c r="AI318" s="89"/>
      <c r="AJ318" s="89"/>
      <c r="AK318" s="89"/>
      <c r="AL318" s="89"/>
      <c r="AM318" s="89"/>
      <c r="AN318" s="89"/>
      <c r="AO318" s="89"/>
      <c r="AP318" s="89"/>
      <c r="AQ318" s="89"/>
      <c r="AR318" s="89"/>
      <c r="AS318" s="89"/>
      <c r="AT318" s="89"/>
      <c r="AU318" s="89"/>
      <c r="AV318" s="89"/>
      <c r="AW318" s="89"/>
      <c r="AX318" s="89"/>
    </row>
    <row r="319" spans="1:50" x14ac:dyDescent="0.25">
      <c r="A319" s="89"/>
      <c r="B319" s="89"/>
      <c r="C319" s="89"/>
      <c r="D319" s="89"/>
      <c r="E319" s="89"/>
      <c r="F319" s="89"/>
      <c r="G319" s="89"/>
      <c r="H319" s="89"/>
      <c r="I319" s="89"/>
      <c r="J319" s="89"/>
      <c r="K319" s="89"/>
      <c r="L319" s="89"/>
      <c r="M319" s="89"/>
      <c r="N319" s="89"/>
      <c r="O319" s="89"/>
      <c r="P319" s="89"/>
      <c r="Q319" s="89"/>
      <c r="R319" s="89"/>
      <c r="S319" s="89"/>
      <c r="T319" s="89"/>
      <c r="U319" s="89"/>
      <c r="V319" s="89"/>
      <c r="W319" s="89"/>
      <c r="X319" s="89"/>
      <c r="Y319" s="89"/>
      <c r="Z319" s="89"/>
      <c r="AA319" s="89"/>
      <c r="AB319" s="89"/>
      <c r="AC319" s="89"/>
      <c r="AD319" s="89"/>
      <c r="AE319" s="89"/>
      <c r="AF319" s="89"/>
      <c r="AG319" s="89"/>
      <c r="AH319" s="89"/>
      <c r="AI319" s="89"/>
      <c r="AJ319" s="89"/>
      <c r="AK319" s="89"/>
      <c r="AL319" s="89"/>
      <c r="AM319" s="89"/>
      <c r="AN319" s="89"/>
      <c r="AO319" s="89"/>
      <c r="AP319" s="89"/>
      <c r="AQ319" s="89"/>
      <c r="AR319" s="89"/>
      <c r="AS319" s="89"/>
      <c r="AT319" s="89"/>
      <c r="AU319" s="89"/>
      <c r="AV319" s="89"/>
      <c r="AW319" s="89"/>
      <c r="AX319" s="89"/>
    </row>
    <row r="320" spans="1:50" x14ac:dyDescent="0.25">
      <c r="A320" s="89"/>
      <c r="B320" s="89"/>
      <c r="C320" s="89"/>
      <c r="D320" s="89"/>
      <c r="E320" s="89"/>
      <c r="F320" s="89"/>
      <c r="G320" s="89"/>
      <c r="H320" s="89"/>
      <c r="I320" s="89"/>
      <c r="J320" s="89"/>
      <c r="K320" s="89"/>
      <c r="L320" s="89"/>
      <c r="M320" s="89"/>
      <c r="N320" s="89"/>
      <c r="O320" s="89"/>
      <c r="P320" s="89"/>
      <c r="Q320" s="89"/>
      <c r="R320" s="89"/>
      <c r="S320" s="89"/>
      <c r="T320" s="89"/>
      <c r="U320" s="89"/>
      <c r="V320" s="89"/>
      <c r="W320" s="89"/>
      <c r="X320" s="89"/>
      <c r="Y320" s="89"/>
      <c r="Z320" s="89"/>
      <c r="AA320" s="89"/>
      <c r="AB320" s="89"/>
      <c r="AC320" s="89"/>
      <c r="AD320" s="89"/>
      <c r="AE320" s="89"/>
      <c r="AF320" s="89"/>
      <c r="AG320" s="89"/>
      <c r="AH320" s="89"/>
      <c r="AI320" s="89"/>
      <c r="AJ320" s="89"/>
      <c r="AK320" s="89"/>
      <c r="AL320" s="89"/>
      <c r="AM320" s="89"/>
      <c r="AN320" s="89"/>
      <c r="AO320" s="89"/>
      <c r="AP320" s="89"/>
      <c r="AQ320" s="89"/>
      <c r="AR320" s="89"/>
      <c r="AS320" s="89"/>
      <c r="AT320" s="89"/>
      <c r="AU320" s="89"/>
      <c r="AV320" s="89"/>
      <c r="AW320" s="89"/>
      <c r="AX320" s="89"/>
    </row>
    <row r="321" spans="1:50" x14ac:dyDescent="0.25">
      <c r="A321" s="89"/>
      <c r="B321" s="89"/>
      <c r="C321" s="89"/>
      <c r="D321" s="89"/>
      <c r="E321" s="89"/>
      <c r="F321" s="89"/>
      <c r="G321" s="89"/>
      <c r="H321" s="89"/>
      <c r="I321" s="89"/>
      <c r="J321" s="89"/>
      <c r="K321" s="89"/>
      <c r="L321" s="89"/>
      <c r="M321" s="89"/>
      <c r="N321" s="89"/>
      <c r="O321" s="89"/>
      <c r="P321" s="89"/>
      <c r="Q321" s="89"/>
      <c r="R321" s="89"/>
      <c r="S321" s="89"/>
      <c r="T321" s="89"/>
      <c r="U321" s="89"/>
      <c r="V321" s="89"/>
      <c r="W321" s="89"/>
      <c r="X321" s="89"/>
      <c r="Y321" s="89"/>
      <c r="Z321" s="89"/>
      <c r="AA321" s="89"/>
      <c r="AB321" s="89"/>
      <c r="AC321" s="89"/>
      <c r="AD321" s="89"/>
      <c r="AE321" s="89"/>
      <c r="AF321" s="89"/>
      <c r="AG321" s="89"/>
      <c r="AH321" s="89"/>
      <c r="AI321" s="89"/>
      <c r="AJ321" s="89"/>
      <c r="AK321" s="89"/>
      <c r="AL321" s="89"/>
      <c r="AM321" s="89"/>
      <c r="AN321" s="89"/>
      <c r="AO321" s="89"/>
      <c r="AP321" s="89"/>
      <c r="AQ321" s="89"/>
      <c r="AR321" s="89"/>
      <c r="AS321" s="89"/>
      <c r="AT321" s="89"/>
      <c r="AU321" s="89"/>
      <c r="AV321" s="89"/>
      <c r="AW321" s="89"/>
      <c r="AX321" s="89"/>
    </row>
    <row r="322" spans="1:50" x14ac:dyDescent="0.25">
      <c r="A322" s="89"/>
      <c r="B322" s="89"/>
      <c r="C322" s="89"/>
      <c r="D322" s="89"/>
      <c r="E322" s="89"/>
      <c r="F322" s="89"/>
      <c r="G322" s="89"/>
      <c r="H322" s="89"/>
      <c r="I322" s="89"/>
      <c r="J322" s="89"/>
      <c r="K322" s="89"/>
      <c r="L322" s="89"/>
      <c r="M322" s="89"/>
      <c r="N322" s="89"/>
      <c r="O322" s="89"/>
      <c r="P322" s="89"/>
      <c r="Q322" s="89"/>
      <c r="R322" s="89"/>
      <c r="S322" s="89"/>
      <c r="T322" s="89"/>
      <c r="U322" s="89"/>
      <c r="V322" s="89"/>
      <c r="W322" s="89"/>
      <c r="X322" s="89"/>
      <c r="Y322" s="89"/>
      <c r="Z322" s="89"/>
      <c r="AA322" s="89"/>
      <c r="AB322" s="89"/>
      <c r="AC322" s="89"/>
      <c r="AD322" s="89"/>
      <c r="AE322" s="89"/>
      <c r="AF322" s="89"/>
      <c r="AG322" s="89"/>
      <c r="AH322" s="89"/>
      <c r="AI322" s="89"/>
      <c r="AJ322" s="89"/>
      <c r="AK322" s="89"/>
      <c r="AL322" s="89"/>
      <c r="AM322" s="89"/>
      <c r="AN322" s="89"/>
      <c r="AO322" s="89"/>
      <c r="AP322" s="89"/>
      <c r="AQ322" s="89"/>
      <c r="AR322" s="89"/>
      <c r="AS322" s="89"/>
      <c r="AT322" s="89"/>
      <c r="AU322" s="89"/>
      <c r="AV322" s="89"/>
      <c r="AW322" s="89"/>
      <c r="AX322" s="89"/>
    </row>
    <row r="323" spans="1:50" x14ac:dyDescent="0.25">
      <c r="A323" s="89"/>
      <c r="B323" s="89"/>
      <c r="C323" s="89"/>
      <c r="D323" s="89"/>
      <c r="E323" s="89"/>
      <c r="F323" s="89"/>
      <c r="G323" s="89"/>
      <c r="H323" s="89"/>
      <c r="I323" s="89"/>
      <c r="J323" s="89"/>
      <c r="K323" s="89"/>
      <c r="L323" s="89"/>
      <c r="M323" s="89"/>
      <c r="N323" s="89"/>
      <c r="O323" s="89"/>
      <c r="P323" s="89"/>
      <c r="Q323" s="89"/>
      <c r="R323" s="89"/>
      <c r="S323" s="89"/>
      <c r="T323" s="89"/>
      <c r="U323" s="89"/>
      <c r="V323" s="89"/>
      <c r="W323" s="89"/>
      <c r="X323" s="89"/>
      <c r="Y323" s="89"/>
      <c r="Z323" s="89"/>
      <c r="AA323" s="89"/>
      <c r="AB323" s="89"/>
      <c r="AC323" s="89"/>
      <c r="AD323" s="89"/>
      <c r="AE323" s="89"/>
      <c r="AF323" s="89"/>
      <c r="AG323" s="89"/>
      <c r="AH323" s="89"/>
      <c r="AI323" s="89"/>
      <c r="AJ323" s="89"/>
      <c r="AK323" s="89"/>
      <c r="AL323" s="89"/>
      <c r="AM323" s="89"/>
      <c r="AN323" s="89"/>
      <c r="AO323" s="89"/>
      <c r="AP323" s="89"/>
      <c r="AQ323" s="89"/>
      <c r="AR323" s="89"/>
      <c r="AS323" s="89"/>
      <c r="AT323" s="89"/>
      <c r="AU323" s="89"/>
      <c r="AV323" s="89"/>
      <c r="AW323" s="89"/>
      <c r="AX323" s="89"/>
    </row>
    <row r="324" spans="1:50" x14ac:dyDescent="0.25">
      <c r="A324" s="89"/>
      <c r="B324" s="89"/>
      <c r="C324" s="89"/>
      <c r="D324" s="89"/>
      <c r="E324" s="89"/>
      <c r="F324" s="89"/>
      <c r="G324" s="89"/>
      <c r="H324" s="89"/>
      <c r="I324" s="89"/>
      <c r="J324" s="89"/>
      <c r="K324" s="89"/>
      <c r="L324" s="89"/>
      <c r="M324" s="89"/>
      <c r="N324" s="89"/>
      <c r="O324" s="89"/>
      <c r="P324" s="89"/>
      <c r="Q324" s="89"/>
      <c r="R324" s="89"/>
      <c r="S324" s="89"/>
      <c r="T324" s="89"/>
      <c r="U324" s="89"/>
      <c r="V324" s="89"/>
      <c r="W324" s="89"/>
      <c r="X324" s="89"/>
      <c r="Y324" s="89"/>
      <c r="Z324" s="89"/>
      <c r="AA324" s="89"/>
      <c r="AB324" s="89"/>
      <c r="AC324" s="89"/>
      <c r="AD324" s="89"/>
      <c r="AE324" s="89"/>
      <c r="AF324" s="89"/>
      <c r="AG324" s="89"/>
      <c r="AH324" s="89"/>
      <c r="AI324" s="89"/>
      <c r="AJ324" s="89"/>
      <c r="AK324" s="89"/>
      <c r="AL324" s="89"/>
      <c r="AM324" s="89"/>
      <c r="AN324" s="89"/>
      <c r="AO324" s="89"/>
      <c r="AP324" s="89"/>
      <c r="AQ324" s="89"/>
      <c r="AR324" s="89"/>
      <c r="AS324" s="89"/>
      <c r="AT324" s="89"/>
      <c r="AU324" s="89"/>
      <c r="AV324" s="89"/>
      <c r="AW324" s="89"/>
      <c r="AX324" s="89"/>
    </row>
    <row r="325" spans="1:50" x14ac:dyDescent="0.25">
      <c r="A325" s="89"/>
      <c r="B325" s="89"/>
      <c r="C325" s="89"/>
      <c r="D325" s="89"/>
      <c r="E325" s="89"/>
      <c r="F325" s="89"/>
      <c r="G325" s="89"/>
      <c r="H325" s="89"/>
      <c r="I325" s="89"/>
      <c r="J325" s="89"/>
      <c r="K325" s="89"/>
      <c r="L325" s="89"/>
      <c r="M325" s="89"/>
      <c r="N325" s="89"/>
      <c r="O325" s="89"/>
      <c r="P325" s="89"/>
      <c r="Q325" s="89"/>
      <c r="R325" s="89"/>
      <c r="S325" s="89"/>
      <c r="T325" s="89"/>
      <c r="U325" s="89"/>
      <c r="V325" s="89"/>
      <c r="W325" s="89"/>
      <c r="X325" s="89"/>
      <c r="Y325" s="89"/>
      <c r="Z325" s="89"/>
      <c r="AA325" s="89"/>
      <c r="AB325" s="89"/>
      <c r="AC325" s="89"/>
      <c r="AD325" s="89"/>
      <c r="AE325" s="89"/>
      <c r="AF325" s="89"/>
      <c r="AG325" s="89"/>
      <c r="AH325" s="89"/>
      <c r="AI325" s="89"/>
      <c r="AJ325" s="89"/>
      <c r="AK325" s="89"/>
      <c r="AL325" s="89"/>
      <c r="AM325" s="89"/>
      <c r="AN325" s="89"/>
      <c r="AO325" s="89"/>
      <c r="AP325" s="89"/>
      <c r="AQ325" s="89"/>
      <c r="AR325" s="89"/>
      <c r="AS325" s="89"/>
      <c r="AT325" s="89"/>
      <c r="AU325" s="89"/>
      <c r="AV325" s="89"/>
      <c r="AW325" s="89"/>
      <c r="AX325" s="89"/>
    </row>
    <row r="326" spans="1:50" x14ac:dyDescent="0.25">
      <c r="A326" s="89"/>
      <c r="B326" s="89"/>
      <c r="C326" s="89"/>
      <c r="D326" s="89"/>
      <c r="E326" s="89"/>
      <c r="F326" s="89"/>
      <c r="G326" s="89"/>
      <c r="H326" s="89"/>
      <c r="I326" s="89"/>
      <c r="J326" s="89"/>
      <c r="K326" s="89"/>
      <c r="L326" s="89"/>
      <c r="M326" s="89"/>
      <c r="N326" s="89"/>
      <c r="O326" s="89"/>
      <c r="P326" s="89"/>
      <c r="Q326" s="89"/>
      <c r="R326" s="89"/>
      <c r="S326" s="89"/>
      <c r="T326" s="89"/>
      <c r="U326" s="89"/>
      <c r="V326" s="89"/>
      <c r="W326" s="89"/>
      <c r="X326" s="89"/>
      <c r="Y326" s="89"/>
      <c r="Z326" s="89"/>
      <c r="AA326" s="89"/>
      <c r="AB326" s="89"/>
      <c r="AC326" s="89"/>
      <c r="AD326" s="89"/>
      <c r="AE326" s="89"/>
      <c r="AF326" s="89"/>
      <c r="AG326" s="89"/>
      <c r="AH326" s="89"/>
      <c r="AI326" s="89"/>
      <c r="AJ326" s="89"/>
      <c r="AK326" s="89"/>
      <c r="AL326" s="89"/>
      <c r="AM326" s="89"/>
      <c r="AN326" s="89"/>
      <c r="AO326" s="89"/>
      <c r="AP326" s="89"/>
      <c r="AQ326" s="89"/>
      <c r="AR326" s="89"/>
      <c r="AS326" s="89"/>
      <c r="AT326" s="89"/>
      <c r="AU326" s="89"/>
      <c r="AV326" s="89"/>
      <c r="AW326" s="89"/>
      <c r="AX326" s="89"/>
    </row>
    <row r="327" spans="1:50" x14ac:dyDescent="0.25">
      <c r="A327" s="89"/>
      <c r="B327" s="89"/>
      <c r="C327" s="89"/>
      <c r="D327" s="89"/>
      <c r="E327" s="89"/>
      <c r="F327" s="89"/>
      <c r="G327" s="89"/>
      <c r="H327" s="89"/>
      <c r="I327" s="89"/>
      <c r="J327" s="89"/>
      <c r="K327" s="89"/>
      <c r="L327" s="89"/>
      <c r="M327" s="89"/>
      <c r="N327" s="89"/>
      <c r="O327" s="89"/>
      <c r="P327" s="89"/>
      <c r="Q327" s="89"/>
      <c r="R327" s="89"/>
      <c r="S327" s="89"/>
      <c r="T327" s="89"/>
      <c r="U327" s="89"/>
      <c r="V327" s="89"/>
      <c r="W327" s="89"/>
      <c r="X327" s="89"/>
      <c r="Y327" s="89"/>
      <c r="Z327" s="89"/>
      <c r="AA327" s="89"/>
      <c r="AB327" s="89"/>
      <c r="AC327" s="89"/>
      <c r="AD327" s="89"/>
      <c r="AE327" s="89"/>
      <c r="AF327" s="89"/>
      <c r="AG327" s="89"/>
      <c r="AH327" s="89"/>
      <c r="AI327" s="89"/>
      <c r="AJ327" s="89"/>
      <c r="AK327" s="89"/>
      <c r="AL327" s="89"/>
      <c r="AM327" s="89"/>
      <c r="AN327" s="89"/>
      <c r="AO327" s="89"/>
      <c r="AP327" s="89"/>
      <c r="AQ327" s="89"/>
      <c r="AR327" s="89"/>
      <c r="AS327" s="89"/>
      <c r="AT327" s="89"/>
      <c r="AU327" s="89"/>
      <c r="AV327" s="89"/>
      <c r="AW327" s="89"/>
      <c r="AX327" s="89"/>
    </row>
    <row r="328" spans="1:50" x14ac:dyDescent="0.25">
      <c r="A328" s="89"/>
      <c r="B328" s="89"/>
      <c r="C328" s="89"/>
      <c r="D328" s="89"/>
      <c r="E328" s="89"/>
      <c r="F328" s="89"/>
      <c r="G328" s="89"/>
      <c r="H328" s="89"/>
      <c r="I328" s="89"/>
      <c r="J328" s="89"/>
      <c r="K328" s="89"/>
      <c r="L328" s="89"/>
      <c r="M328" s="89"/>
      <c r="N328" s="89"/>
      <c r="O328" s="89"/>
      <c r="P328" s="89"/>
      <c r="Q328" s="89"/>
      <c r="R328" s="89"/>
      <c r="S328" s="89"/>
      <c r="T328" s="89"/>
      <c r="U328" s="89"/>
      <c r="V328" s="89"/>
      <c r="W328" s="89"/>
      <c r="X328" s="89"/>
      <c r="Y328" s="89"/>
      <c r="Z328" s="89"/>
      <c r="AA328" s="89"/>
      <c r="AB328" s="89"/>
      <c r="AC328" s="89"/>
      <c r="AD328" s="89"/>
      <c r="AE328" s="89"/>
      <c r="AF328" s="89"/>
      <c r="AG328" s="89"/>
      <c r="AH328" s="89"/>
      <c r="AI328" s="89"/>
      <c r="AJ328" s="89"/>
      <c r="AK328" s="89"/>
      <c r="AL328" s="89"/>
      <c r="AM328" s="89"/>
      <c r="AN328" s="89"/>
      <c r="AO328" s="89"/>
      <c r="AP328" s="89"/>
      <c r="AQ328" s="89"/>
      <c r="AR328" s="89"/>
      <c r="AS328" s="89"/>
      <c r="AT328" s="89"/>
      <c r="AU328" s="89"/>
      <c r="AV328" s="89"/>
      <c r="AW328" s="89"/>
      <c r="AX328" s="89"/>
    </row>
    <row r="329" spans="1:50" x14ac:dyDescent="0.25">
      <c r="A329" s="89"/>
      <c r="B329" s="89"/>
      <c r="C329" s="89"/>
      <c r="D329" s="89"/>
      <c r="E329" s="89"/>
      <c r="F329" s="89"/>
      <c r="G329" s="89"/>
      <c r="H329" s="89"/>
      <c r="I329" s="89"/>
      <c r="J329" s="89"/>
      <c r="K329" s="89"/>
      <c r="L329" s="89"/>
      <c r="M329" s="89"/>
      <c r="N329" s="89"/>
      <c r="O329" s="89"/>
      <c r="P329" s="89"/>
      <c r="Q329" s="89"/>
      <c r="R329" s="89"/>
      <c r="S329" s="89"/>
      <c r="T329" s="89"/>
      <c r="U329" s="89"/>
      <c r="V329" s="89"/>
      <c r="W329" s="89"/>
      <c r="X329" s="89"/>
      <c r="Y329" s="89"/>
      <c r="Z329" s="89"/>
      <c r="AA329" s="89"/>
      <c r="AB329" s="89"/>
      <c r="AC329" s="89"/>
      <c r="AD329" s="89"/>
      <c r="AE329" s="89"/>
      <c r="AF329" s="89"/>
      <c r="AG329" s="89"/>
      <c r="AH329" s="89"/>
      <c r="AI329" s="89"/>
      <c r="AJ329" s="89"/>
      <c r="AK329" s="89"/>
      <c r="AL329" s="89"/>
      <c r="AM329" s="89"/>
      <c r="AN329" s="89"/>
      <c r="AO329" s="89"/>
      <c r="AP329" s="89"/>
      <c r="AQ329" s="89"/>
      <c r="AR329" s="89"/>
      <c r="AS329" s="89"/>
      <c r="AT329" s="89"/>
      <c r="AU329" s="89"/>
      <c r="AV329" s="89"/>
      <c r="AW329" s="89"/>
      <c r="AX329" s="89"/>
    </row>
    <row r="330" spans="1:50" x14ac:dyDescent="0.25">
      <c r="A330" s="89"/>
      <c r="B330" s="89"/>
      <c r="C330" s="89"/>
      <c r="D330" s="89"/>
      <c r="E330" s="89"/>
      <c r="F330" s="89"/>
      <c r="G330" s="89"/>
      <c r="H330" s="89"/>
      <c r="I330" s="89"/>
      <c r="J330" s="89"/>
      <c r="K330" s="89"/>
      <c r="L330" s="89"/>
      <c r="M330" s="89"/>
      <c r="N330" s="89"/>
      <c r="O330" s="89"/>
      <c r="P330" s="89"/>
      <c r="Q330" s="89"/>
      <c r="R330" s="89"/>
      <c r="S330" s="89"/>
      <c r="T330" s="89"/>
      <c r="U330" s="89"/>
      <c r="V330" s="89"/>
      <c r="W330" s="89"/>
      <c r="X330" s="89"/>
      <c r="Y330" s="89"/>
      <c r="Z330" s="89"/>
      <c r="AA330" s="89"/>
      <c r="AB330" s="89"/>
      <c r="AC330" s="89"/>
      <c r="AD330" s="89"/>
      <c r="AE330" s="89"/>
      <c r="AF330" s="89"/>
      <c r="AG330" s="89"/>
      <c r="AH330" s="89"/>
      <c r="AI330" s="89"/>
      <c r="AJ330" s="89"/>
      <c r="AK330" s="89"/>
      <c r="AL330" s="89"/>
      <c r="AM330" s="89"/>
      <c r="AN330" s="89"/>
      <c r="AO330" s="89"/>
      <c r="AP330" s="89"/>
      <c r="AQ330" s="89"/>
      <c r="AR330" s="89"/>
      <c r="AS330" s="89"/>
      <c r="AT330" s="89"/>
      <c r="AU330" s="89"/>
      <c r="AV330" s="89"/>
      <c r="AW330" s="89"/>
      <c r="AX330" s="89"/>
    </row>
    <row r="331" spans="1:50" x14ac:dyDescent="0.25">
      <c r="A331" s="89"/>
      <c r="B331" s="89"/>
      <c r="C331" s="89"/>
      <c r="D331" s="89"/>
      <c r="E331" s="89"/>
      <c r="F331" s="89"/>
      <c r="G331" s="89"/>
      <c r="H331" s="89"/>
      <c r="I331" s="89"/>
      <c r="J331" s="89"/>
      <c r="K331" s="89"/>
      <c r="L331" s="89"/>
      <c r="M331" s="89"/>
      <c r="N331" s="89"/>
      <c r="O331" s="89"/>
      <c r="P331" s="89"/>
      <c r="Q331" s="89"/>
      <c r="R331" s="89"/>
      <c r="S331" s="89"/>
      <c r="T331" s="89"/>
      <c r="U331" s="89"/>
      <c r="V331" s="89"/>
      <c r="W331" s="89"/>
      <c r="X331" s="89"/>
      <c r="Y331" s="89"/>
      <c r="Z331" s="89"/>
      <c r="AA331" s="89"/>
      <c r="AB331" s="89"/>
      <c r="AC331" s="89"/>
      <c r="AD331" s="89"/>
      <c r="AE331" s="89"/>
      <c r="AF331" s="89"/>
      <c r="AG331" s="89"/>
      <c r="AH331" s="89"/>
      <c r="AI331" s="89"/>
      <c r="AJ331" s="89"/>
      <c r="AK331" s="89"/>
      <c r="AL331" s="89"/>
      <c r="AM331" s="89"/>
      <c r="AN331" s="89"/>
      <c r="AO331" s="89"/>
      <c r="AP331" s="89"/>
      <c r="AQ331" s="89"/>
      <c r="AR331" s="89"/>
      <c r="AS331" s="89"/>
      <c r="AT331" s="89"/>
      <c r="AU331" s="89"/>
      <c r="AV331" s="89"/>
      <c r="AW331" s="89"/>
      <c r="AX331" s="89"/>
    </row>
    <row r="332" spans="1:50" x14ac:dyDescent="0.25">
      <c r="A332" s="89"/>
      <c r="B332" s="89"/>
      <c r="C332" s="89"/>
      <c r="D332" s="89"/>
      <c r="E332" s="89"/>
      <c r="F332" s="89"/>
      <c r="G332" s="89"/>
      <c r="H332" s="89"/>
      <c r="I332" s="89"/>
      <c r="J332" s="89"/>
      <c r="K332" s="89"/>
      <c r="L332" s="89"/>
      <c r="M332" s="89"/>
      <c r="N332" s="89"/>
      <c r="O332" s="89"/>
      <c r="P332" s="89"/>
      <c r="Q332" s="89"/>
      <c r="R332" s="89"/>
      <c r="S332" s="89"/>
      <c r="T332" s="89"/>
      <c r="U332" s="89"/>
      <c r="V332" s="89"/>
      <c r="W332" s="89"/>
      <c r="X332" s="89"/>
      <c r="Y332" s="89"/>
      <c r="Z332" s="89"/>
      <c r="AA332" s="89"/>
      <c r="AB332" s="89"/>
      <c r="AC332" s="89"/>
      <c r="AD332" s="89"/>
      <c r="AE332" s="89"/>
      <c r="AF332" s="89"/>
      <c r="AG332" s="89"/>
      <c r="AH332" s="89"/>
      <c r="AI332" s="89"/>
      <c r="AJ332" s="89"/>
      <c r="AK332" s="89"/>
      <c r="AL332" s="89"/>
      <c r="AM332" s="89"/>
      <c r="AN332" s="89"/>
      <c r="AO332" s="89"/>
      <c r="AP332" s="89"/>
      <c r="AQ332" s="89"/>
      <c r="AR332" s="89"/>
      <c r="AS332" s="89"/>
      <c r="AT332" s="89"/>
      <c r="AU332" s="89"/>
      <c r="AV332" s="89"/>
      <c r="AW332" s="89"/>
      <c r="AX332" s="89"/>
    </row>
    <row r="333" spans="1:50" x14ac:dyDescent="0.25">
      <c r="A333" s="89"/>
      <c r="B333" s="89"/>
      <c r="C333" s="89"/>
      <c r="D333" s="89"/>
      <c r="E333" s="89"/>
      <c r="F333" s="89"/>
      <c r="G333" s="89"/>
      <c r="H333" s="89"/>
      <c r="I333" s="89"/>
      <c r="J333" s="89"/>
      <c r="K333" s="89"/>
      <c r="L333" s="89"/>
      <c r="M333" s="89"/>
      <c r="N333" s="89"/>
      <c r="O333" s="89"/>
      <c r="P333" s="89"/>
      <c r="Q333" s="89"/>
      <c r="R333" s="89"/>
      <c r="S333" s="89"/>
      <c r="T333" s="89"/>
      <c r="U333" s="89"/>
      <c r="V333" s="89"/>
      <c r="W333" s="89"/>
      <c r="X333" s="89"/>
      <c r="Y333" s="89"/>
      <c r="Z333" s="89"/>
      <c r="AA333" s="89"/>
      <c r="AB333" s="89"/>
      <c r="AC333" s="89"/>
      <c r="AD333" s="89"/>
      <c r="AE333" s="89"/>
      <c r="AF333" s="89"/>
      <c r="AG333" s="89"/>
      <c r="AH333" s="89"/>
      <c r="AI333" s="89"/>
      <c r="AJ333" s="89"/>
      <c r="AK333" s="89"/>
      <c r="AL333" s="89"/>
      <c r="AM333" s="89"/>
      <c r="AN333" s="89"/>
      <c r="AO333" s="89"/>
      <c r="AP333" s="89"/>
      <c r="AQ333" s="89"/>
      <c r="AR333" s="89"/>
      <c r="AS333" s="89"/>
      <c r="AT333" s="89"/>
      <c r="AU333" s="89"/>
      <c r="AV333" s="89"/>
      <c r="AW333" s="89"/>
      <c r="AX333" s="89"/>
    </row>
    <row r="334" spans="1:50" x14ac:dyDescent="0.25">
      <c r="A334" s="89"/>
      <c r="B334" s="89"/>
      <c r="C334" s="89"/>
      <c r="D334" s="89"/>
      <c r="E334" s="89"/>
      <c r="F334" s="89"/>
      <c r="G334" s="89"/>
      <c r="H334" s="89"/>
      <c r="I334" s="89"/>
      <c r="J334" s="89"/>
      <c r="K334" s="89"/>
      <c r="L334" s="89"/>
      <c r="M334" s="89"/>
      <c r="N334" s="89"/>
      <c r="O334" s="89"/>
      <c r="P334" s="89"/>
      <c r="Q334" s="89"/>
      <c r="R334" s="89"/>
      <c r="S334" s="89"/>
      <c r="T334" s="89"/>
      <c r="U334" s="89"/>
      <c r="V334" s="89"/>
      <c r="W334" s="89"/>
      <c r="X334" s="89"/>
      <c r="Y334" s="89"/>
      <c r="Z334" s="89"/>
      <c r="AA334" s="89"/>
      <c r="AB334" s="89"/>
      <c r="AC334" s="89"/>
      <c r="AD334" s="89"/>
      <c r="AE334" s="89"/>
      <c r="AF334" s="89"/>
      <c r="AG334" s="89"/>
      <c r="AH334" s="89"/>
      <c r="AI334" s="89"/>
      <c r="AJ334" s="89"/>
      <c r="AK334" s="89"/>
      <c r="AL334" s="89"/>
      <c r="AM334" s="89"/>
      <c r="AN334" s="89"/>
      <c r="AO334" s="89"/>
      <c r="AP334" s="89"/>
      <c r="AQ334" s="89"/>
      <c r="AR334" s="89"/>
      <c r="AS334" s="89"/>
      <c r="AT334" s="89"/>
      <c r="AU334" s="89"/>
      <c r="AV334" s="89"/>
      <c r="AW334" s="89"/>
      <c r="AX334" s="89"/>
    </row>
    <row r="335" spans="1:50" x14ac:dyDescent="0.25">
      <c r="A335" s="89"/>
      <c r="B335" s="89"/>
      <c r="C335" s="89"/>
      <c r="D335" s="89"/>
      <c r="E335" s="89"/>
      <c r="F335" s="89"/>
      <c r="G335" s="89"/>
      <c r="H335" s="89"/>
      <c r="I335" s="89"/>
      <c r="J335" s="89"/>
      <c r="K335" s="89"/>
      <c r="L335" s="89"/>
      <c r="M335" s="89"/>
      <c r="N335" s="89"/>
      <c r="O335" s="89"/>
      <c r="P335" s="89"/>
      <c r="Q335" s="89"/>
      <c r="R335" s="89"/>
      <c r="S335" s="89"/>
      <c r="T335" s="89"/>
      <c r="U335" s="89"/>
      <c r="V335" s="89"/>
      <c r="W335" s="89"/>
      <c r="X335" s="89"/>
      <c r="Y335" s="89"/>
      <c r="Z335" s="89"/>
      <c r="AA335" s="89"/>
      <c r="AB335" s="89"/>
      <c r="AC335" s="89"/>
      <c r="AD335" s="89"/>
      <c r="AE335" s="89"/>
      <c r="AF335" s="89"/>
      <c r="AG335" s="89"/>
      <c r="AH335" s="89"/>
      <c r="AI335" s="89"/>
      <c r="AJ335" s="89"/>
      <c r="AK335" s="89"/>
      <c r="AL335" s="89"/>
      <c r="AM335" s="89"/>
      <c r="AN335" s="89"/>
      <c r="AO335" s="89"/>
      <c r="AP335" s="89"/>
      <c r="AQ335" s="89"/>
      <c r="AR335" s="89"/>
      <c r="AS335" s="89"/>
      <c r="AT335" s="89"/>
      <c r="AU335" s="89"/>
      <c r="AV335" s="89"/>
      <c r="AW335" s="89"/>
      <c r="AX335" s="89"/>
    </row>
    <row r="336" spans="1:50" x14ac:dyDescent="0.25">
      <c r="A336" s="89"/>
      <c r="B336" s="89"/>
      <c r="C336" s="89"/>
      <c r="D336" s="89"/>
      <c r="E336" s="89"/>
      <c r="F336" s="89"/>
      <c r="G336" s="89"/>
      <c r="H336" s="89"/>
      <c r="I336" s="89"/>
      <c r="J336" s="89"/>
      <c r="K336" s="89"/>
      <c r="L336" s="89"/>
      <c r="M336" s="89"/>
      <c r="N336" s="89"/>
      <c r="O336" s="89"/>
      <c r="P336" s="89"/>
      <c r="Q336" s="89"/>
      <c r="R336" s="89"/>
      <c r="S336" s="89"/>
      <c r="T336" s="89"/>
      <c r="U336" s="89"/>
      <c r="V336" s="89"/>
      <c r="W336" s="89"/>
      <c r="X336" s="89"/>
      <c r="Y336" s="89"/>
      <c r="Z336" s="89"/>
      <c r="AA336" s="89"/>
      <c r="AB336" s="89"/>
      <c r="AC336" s="89"/>
      <c r="AD336" s="89"/>
      <c r="AE336" s="89"/>
      <c r="AF336" s="89"/>
      <c r="AG336" s="89"/>
      <c r="AH336" s="89"/>
      <c r="AI336" s="89"/>
      <c r="AJ336" s="89"/>
      <c r="AK336" s="89"/>
      <c r="AL336" s="89"/>
      <c r="AM336" s="89"/>
      <c r="AN336" s="89"/>
      <c r="AO336" s="89"/>
      <c r="AP336" s="89"/>
      <c r="AQ336" s="89"/>
      <c r="AR336" s="89"/>
      <c r="AS336" s="89"/>
      <c r="AT336" s="89"/>
      <c r="AU336" s="89"/>
      <c r="AV336" s="89"/>
      <c r="AW336" s="89"/>
      <c r="AX336" s="89"/>
    </row>
    <row r="337" spans="1:50" x14ac:dyDescent="0.25">
      <c r="A337" s="89"/>
      <c r="B337" s="89"/>
      <c r="C337" s="89"/>
      <c r="D337" s="89"/>
      <c r="E337" s="89"/>
      <c r="F337" s="89"/>
      <c r="G337" s="89"/>
      <c r="H337" s="89"/>
      <c r="I337" s="89"/>
      <c r="J337" s="89"/>
      <c r="K337" s="89"/>
      <c r="L337" s="89"/>
      <c r="M337" s="89"/>
      <c r="N337" s="89"/>
      <c r="O337" s="89"/>
      <c r="P337" s="89"/>
      <c r="Q337" s="89"/>
      <c r="R337" s="89"/>
      <c r="S337" s="89"/>
      <c r="T337" s="89"/>
      <c r="U337" s="89"/>
      <c r="V337" s="89"/>
      <c r="W337" s="89"/>
      <c r="X337" s="89"/>
      <c r="Y337" s="89"/>
      <c r="Z337" s="89"/>
      <c r="AA337" s="89"/>
      <c r="AB337" s="89"/>
      <c r="AC337" s="89"/>
      <c r="AD337" s="89"/>
      <c r="AE337" s="89"/>
      <c r="AF337" s="89"/>
      <c r="AG337" s="89"/>
      <c r="AH337" s="89"/>
      <c r="AI337" s="89"/>
      <c r="AJ337" s="89"/>
      <c r="AK337" s="89"/>
      <c r="AL337" s="89"/>
      <c r="AM337" s="89"/>
      <c r="AN337" s="89"/>
      <c r="AO337" s="89"/>
      <c r="AP337" s="89"/>
      <c r="AQ337" s="89"/>
      <c r="AR337" s="89"/>
      <c r="AS337" s="89"/>
      <c r="AT337" s="89"/>
      <c r="AU337" s="89"/>
      <c r="AV337" s="89"/>
      <c r="AW337" s="89"/>
      <c r="AX337" s="89"/>
    </row>
    <row r="338" spans="1:50" x14ac:dyDescent="0.25">
      <c r="A338" s="89"/>
      <c r="B338" s="89"/>
      <c r="C338" s="89"/>
      <c r="D338" s="89"/>
      <c r="E338" s="89"/>
      <c r="F338" s="89"/>
      <c r="G338" s="89"/>
      <c r="H338" s="89"/>
      <c r="I338" s="89"/>
      <c r="J338" s="89"/>
      <c r="K338" s="89"/>
      <c r="L338" s="89"/>
      <c r="M338" s="89"/>
      <c r="N338" s="89"/>
      <c r="O338" s="89"/>
      <c r="P338" s="89"/>
      <c r="Q338" s="89"/>
      <c r="R338" s="89"/>
      <c r="S338" s="89"/>
      <c r="T338" s="89"/>
      <c r="U338" s="89"/>
      <c r="V338" s="89"/>
      <c r="W338" s="89"/>
      <c r="X338" s="89"/>
      <c r="Y338" s="89"/>
      <c r="Z338" s="89"/>
      <c r="AA338" s="89"/>
      <c r="AB338" s="89"/>
      <c r="AC338" s="89"/>
      <c r="AD338" s="89"/>
      <c r="AE338" s="89"/>
      <c r="AF338" s="89"/>
      <c r="AG338" s="89"/>
      <c r="AH338" s="89"/>
      <c r="AI338" s="89"/>
      <c r="AJ338" s="89"/>
      <c r="AK338" s="89"/>
      <c r="AL338" s="89"/>
      <c r="AM338" s="89"/>
      <c r="AN338" s="89"/>
      <c r="AO338" s="89"/>
      <c r="AP338" s="89"/>
      <c r="AQ338" s="89"/>
      <c r="AR338" s="89"/>
      <c r="AS338" s="89"/>
      <c r="AT338" s="89"/>
      <c r="AU338" s="89"/>
      <c r="AV338" s="89"/>
      <c r="AW338" s="89"/>
      <c r="AX338" s="89"/>
    </row>
    <row r="339" spans="1:50" x14ac:dyDescent="0.25">
      <c r="A339" s="89"/>
      <c r="B339" s="89"/>
      <c r="C339" s="89"/>
      <c r="D339" s="89"/>
      <c r="E339" s="89"/>
      <c r="F339" s="89"/>
      <c r="G339" s="89"/>
      <c r="H339" s="89"/>
      <c r="I339" s="89"/>
      <c r="J339" s="89"/>
      <c r="K339" s="89"/>
      <c r="L339" s="89"/>
      <c r="M339" s="89"/>
      <c r="N339" s="89"/>
      <c r="O339" s="89"/>
      <c r="P339" s="89"/>
      <c r="Q339" s="89"/>
      <c r="R339" s="89"/>
      <c r="S339" s="89"/>
      <c r="T339" s="89"/>
      <c r="U339" s="89"/>
      <c r="V339" s="89"/>
      <c r="W339" s="89"/>
      <c r="X339" s="89"/>
      <c r="Y339" s="89"/>
      <c r="Z339" s="89"/>
      <c r="AA339" s="89"/>
      <c r="AB339" s="89"/>
      <c r="AC339" s="89"/>
      <c r="AD339" s="89"/>
      <c r="AE339" s="89"/>
      <c r="AF339" s="89"/>
      <c r="AG339" s="89"/>
      <c r="AH339" s="89"/>
      <c r="AI339" s="89"/>
      <c r="AJ339" s="89"/>
      <c r="AK339" s="89"/>
      <c r="AL339" s="89"/>
      <c r="AM339" s="89"/>
      <c r="AN339" s="89"/>
      <c r="AO339" s="89"/>
      <c r="AP339" s="89"/>
      <c r="AQ339" s="89"/>
      <c r="AR339" s="89"/>
      <c r="AS339" s="89"/>
      <c r="AT339" s="89"/>
      <c r="AU339" s="89"/>
      <c r="AV339" s="89"/>
      <c r="AW339" s="89"/>
      <c r="AX339" s="89"/>
    </row>
    <row r="340" spans="1:50" x14ac:dyDescent="0.25">
      <c r="A340" s="89"/>
      <c r="B340" s="89"/>
      <c r="C340" s="89"/>
      <c r="D340" s="89"/>
      <c r="E340" s="89"/>
      <c r="F340" s="89"/>
      <c r="G340" s="89"/>
      <c r="H340" s="89"/>
      <c r="I340" s="89"/>
      <c r="J340" s="89"/>
      <c r="K340" s="89"/>
      <c r="L340" s="89"/>
      <c r="M340" s="89"/>
      <c r="N340" s="89"/>
      <c r="O340" s="89"/>
      <c r="P340" s="89"/>
      <c r="Q340" s="89"/>
      <c r="R340" s="89"/>
      <c r="S340" s="89"/>
      <c r="T340" s="89"/>
      <c r="U340" s="89"/>
      <c r="V340" s="89"/>
      <c r="W340" s="89"/>
      <c r="X340" s="89"/>
      <c r="Y340" s="89"/>
      <c r="Z340" s="89"/>
      <c r="AA340" s="89"/>
      <c r="AB340" s="89"/>
      <c r="AC340" s="89"/>
      <c r="AD340" s="89"/>
      <c r="AE340" s="89"/>
      <c r="AF340" s="89"/>
      <c r="AG340" s="89"/>
      <c r="AH340" s="89"/>
      <c r="AI340" s="89"/>
      <c r="AJ340" s="89"/>
      <c r="AK340" s="89"/>
      <c r="AL340" s="89"/>
      <c r="AM340" s="89"/>
      <c r="AN340" s="89"/>
      <c r="AO340" s="89"/>
      <c r="AP340" s="89"/>
      <c r="AQ340" s="89"/>
      <c r="AR340" s="89"/>
      <c r="AS340" s="89"/>
      <c r="AT340" s="89"/>
      <c r="AU340" s="89"/>
      <c r="AV340" s="89"/>
      <c r="AW340" s="89"/>
      <c r="AX340" s="89"/>
    </row>
    <row r="341" spans="1:50" x14ac:dyDescent="0.25">
      <c r="A341" s="89"/>
      <c r="B341" s="89"/>
      <c r="C341" s="89"/>
      <c r="D341" s="89"/>
      <c r="E341" s="89"/>
      <c r="F341" s="89"/>
      <c r="G341" s="89"/>
      <c r="H341" s="89"/>
      <c r="I341" s="89"/>
      <c r="J341" s="89"/>
      <c r="K341" s="89"/>
      <c r="L341" s="89"/>
      <c r="M341" s="89"/>
      <c r="N341" s="89"/>
      <c r="O341" s="89"/>
      <c r="P341" s="89"/>
      <c r="Q341" s="89"/>
      <c r="R341" s="89"/>
      <c r="S341" s="89"/>
      <c r="T341" s="89"/>
      <c r="U341" s="89"/>
      <c r="V341" s="89"/>
      <c r="W341" s="89"/>
      <c r="X341" s="89"/>
      <c r="Y341" s="89"/>
      <c r="Z341" s="89"/>
      <c r="AA341" s="89"/>
      <c r="AB341" s="89"/>
      <c r="AC341" s="89"/>
      <c r="AD341" s="89"/>
      <c r="AE341" s="89"/>
      <c r="AF341" s="89"/>
      <c r="AG341" s="89"/>
      <c r="AH341" s="89"/>
      <c r="AI341" s="89"/>
      <c r="AJ341" s="89"/>
      <c r="AK341" s="89"/>
      <c r="AL341" s="89"/>
      <c r="AM341" s="89"/>
      <c r="AN341" s="89"/>
      <c r="AO341" s="89"/>
      <c r="AP341" s="89"/>
      <c r="AQ341" s="89"/>
      <c r="AR341" s="89"/>
      <c r="AS341" s="89"/>
      <c r="AT341" s="89"/>
      <c r="AU341" s="89"/>
      <c r="AV341" s="89"/>
      <c r="AW341" s="89"/>
      <c r="AX341" s="89"/>
    </row>
    <row r="342" spans="1:50" x14ac:dyDescent="0.25">
      <c r="A342" s="89"/>
      <c r="B342" s="89"/>
      <c r="C342" s="89"/>
      <c r="D342" s="89"/>
      <c r="E342" s="89"/>
      <c r="F342" s="89"/>
      <c r="G342" s="89"/>
      <c r="H342" s="89"/>
      <c r="I342" s="89"/>
      <c r="J342" s="89"/>
      <c r="K342" s="89"/>
      <c r="L342" s="89"/>
      <c r="M342" s="89"/>
      <c r="N342" s="89"/>
      <c r="O342" s="89"/>
      <c r="P342" s="89"/>
      <c r="Q342" s="89"/>
      <c r="R342" s="89"/>
      <c r="S342" s="89"/>
      <c r="T342" s="89"/>
      <c r="U342" s="89"/>
      <c r="V342" s="89"/>
      <c r="W342" s="89"/>
      <c r="X342" s="89"/>
      <c r="Y342" s="89"/>
      <c r="Z342" s="89"/>
      <c r="AA342" s="89"/>
      <c r="AB342" s="89"/>
      <c r="AC342" s="89"/>
      <c r="AD342" s="89"/>
      <c r="AE342" s="89"/>
      <c r="AF342" s="89"/>
      <c r="AG342" s="89"/>
      <c r="AH342" s="89"/>
      <c r="AI342" s="89"/>
      <c r="AJ342" s="89"/>
      <c r="AK342" s="89"/>
      <c r="AL342" s="89"/>
      <c r="AM342" s="89"/>
      <c r="AN342" s="89"/>
      <c r="AO342" s="89"/>
      <c r="AP342" s="89"/>
      <c r="AQ342" s="89"/>
      <c r="AR342" s="89"/>
      <c r="AS342" s="89"/>
      <c r="AT342" s="89"/>
      <c r="AU342" s="89"/>
      <c r="AV342" s="89"/>
      <c r="AW342" s="89"/>
      <c r="AX342" s="89"/>
    </row>
    <row r="343" spans="1:50" x14ac:dyDescent="0.25">
      <c r="A343" s="89"/>
      <c r="B343" s="89"/>
      <c r="C343" s="89"/>
      <c r="D343" s="89"/>
      <c r="E343" s="89"/>
      <c r="F343" s="89"/>
      <c r="G343" s="89"/>
      <c r="H343" s="89"/>
      <c r="I343" s="89"/>
      <c r="J343" s="89"/>
      <c r="K343" s="89"/>
      <c r="L343" s="89"/>
      <c r="M343" s="89"/>
      <c r="N343" s="89"/>
      <c r="O343" s="89"/>
      <c r="P343" s="89"/>
      <c r="Q343" s="89"/>
      <c r="R343" s="89"/>
      <c r="S343" s="89"/>
      <c r="T343" s="89"/>
      <c r="U343" s="89"/>
      <c r="V343" s="89"/>
      <c r="W343" s="89"/>
      <c r="X343" s="89"/>
      <c r="Y343" s="89"/>
      <c r="Z343" s="89"/>
      <c r="AA343" s="89"/>
      <c r="AB343" s="89"/>
      <c r="AC343" s="89"/>
      <c r="AD343" s="89"/>
      <c r="AE343" s="89"/>
      <c r="AF343" s="89"/>
      <c r="AG343" s="89"/>
      <c r="AH343" s="89"/>
      <c r="AI343" s="89"/>
      <c r="AJ343" s="89"/>
      <c r="AK343" s="89"/>
      <c r="AL343" s="89"/>
      <c r="AM343" s="89"/>
      <c r="AN343" s="89"/>
      <c r="AO343" s="89"/>
      <c r="AP343" s="89"/>
      <c r="AQ343" s="89"/>
      <c r="AR343" s="89"/>
      <c r="AS343" s="89"/>
      <c r="AT343" s="89"/>
      <c r="AU343" s="89"/>
      <c r="AV343" s="89"/>
      <c r="AW343" s="89"/>
      <c r="AX343" s="89"/>
    </row>
    <row r="344" spans="1:50" x14ac:dyDescent="0.25">
      <c r="A344" s="89"/>
      <c r="B344" s="89"/>
      <c r="C344" s="89"/>
      <c r="D344" s="89"/>
      <c r="E344" s="89"/>
      <c r="F344" s="89"/>
      <c r="G344" s="89"/>
      <c r="H344" s="89"/>
      <c r="I344" s="89"/>
      <c r="J344" s="89"/>
      <c r="K344" s="89"/>
      <c r="L344" s="89"/>
      <c r="M344" s="89"/>
      <c r="N344" s="89"/>
      <c r="O344" s="89"/>
      <c r="P344" s="89"/>
      <c r="Q344" s="89"/>
      <c r="R344" s="89"/>
      <c r="S344" s="89"/>
      <c r="T344" s="89"/>
      <c r="U344" s="89"/>
      <c r="V344" s="89"/>
      <c r="W344" s="89"/>
      <c r="X344" s="89"/>
      <c r="Y344" s="89"/>
      <c r="Z344" s="89"/>
      <c r="AA344" s="89"/>
      <c r="AB344" s="89"/>
      <c r="AC344" s="89"/>
      <c r="AD344" s="89"/>
      <c r="AE344" s="89"/>
      <c r="AF344" s="89"/>
      <c r="AG344" s="89"/>
      <c r="AH344" s="89"/>
      <c r="AI344" s="89"/>
      <c r="AJ344" s="89"/>
      <c r="AK344" s="89"/>
      <c r="AL344" s="89"/>
      <c r="AM344" s="89"/>
      <c r="AN344" s="89"/>
      <c r="AO344" s="89"/>
      <c r="AP344" s="89"/>
      <c r="AQ344" s="89"/>
      <c r="AR344" s="89"/>
      <c r="AS344" s="89"/>
      <c r="AT344" s="89"/>
      <c r="AU344" s="89"/>
      <c r="AV344" s="89"/>
      <c r="AW344" s="89"/>
      <c r="AX344" s="89"/>
    </row>
    <row r="345" spans="1:50" x14ac:dyDescent="0.25">
      <c r="A345" s="89"/>
      <c r="B345" s="89"/>
      <c r="C345" s="89"/>
      <c r="D345" s="89"/>
      <c r="E345" s="89"/>
      <c r="F345" s="89"/>
      <c r="G345" s="89"/>
      <c r="H345" s="89"/>
      <c r="I345" s="89"/>
      <c r="J345" s="89"/>
      <c r="K345" s="89"/>
      <c r="L345" s="89"/>
      <c r="M345" s="89"/>
      <c r="N345" s="89"/>
      <c r="O345" s="89"/>
      <c r="P345" s="89"/>
      <c r="Q345" s="89"/>
      <c r="R345" s="89"/>
      <c r="S345" s="89"/>
      <c r="T345" s="89"/>
      <c r="U345" s="89"/>
      <c r="V345" s="89"/>
      <c r="W345" s="89"/>
      <c r="X345" s="89"/>
      <c r="Y345" s="89"/>
      <c r="Z345" s="89"/>
      <c r="AA345" s="89"/>
      <c r="AB345" s="89"/>
      <c r="AC345" s="89"/>
      <c r="AD345" s="89"/>
      <c r="AE345" s="89"/>
      <c r="AF345" s="89"/>
      <c r="AG345" s="89"/>
      <c r="AH345" s="89"/>
      <c r="AI345" s="89"/>
      <c r="AJ345" s="89"/>
      <c r="AK345" s="89"/>
      <c r="AL345" s="89"/>
      <c r="AM345" s="89"/>
      <c r="AN345" s="89"/>
      <c r="AO345" s="89"/>
      <c r="AP345" s="89"/>
      <c r="AQ345" s="89"/>
      <c r="AR345" s="89"/>
      <c r="AS345" s="89"/>
      <c r="AT345" s="89"/>
      <c r="AU345" s="89"/>
      <c r="AV345" s="89"/>
      <c r="AW345" s="89"/>
      <c r="AX345" s="89"/>
    </row>
    <row r="346" spans="1:50" x14ac:dyDescent="0.25">
      <c r="A346" s="89"/>
      <c r="B346" s="89"/>
      <c r="C346" s="89"/>
      <c r="D346" s="89"/>
      <c r="E346" s="89"/>
      <c r="F346" s="89"/>
      <c r="G346" s="89"/>
      <c r="H346" s="89"/>
      <c r="I346" s="89"/>
      <c r="J346" s="89"/>
      <c r="K346" s="89"/>
      <c r="L346" s="89"/>
      <c r="M346" s="89"/>
      <c r="N346" s="89"/>
      <c r="O346" s="89"/>
      <c r="P346" s="89"/>
      <c r="Q346" s="89"/>
      <c r="R346" s="89"/>
      <c r="S346" s="89"/>
      <c r="T346" s="89"/>
      <c r="U346" s="89"/>
      <c r="V346" s="89"/>
      <c r="W346" s="89"/>
      <c r="X346" s="89"/>
      <c r="Y346" s="89"/>
      <c r="Z346" s="89"/>
      <c r="AA346" s="89"/>
      <c r="AB346" s="89"/>
      <c r="AC346" s="89"/>
      <c r="AD346" s="89"/>
      <c r="AE346" s="89"/>
      <c r="AF346" s="89"/>
      <c r="AG346" s="89"/>
      <c r="AH346" s="89"/>
      <c r="AI346" s="89"/>
      <c r="AJ346" s="89"/>
      <c r="AK346" s="89"/>
      <c r="AL346" s="89"/>
      <c r="AM346" s="89"/>
      <c r="AN346" s="89"/>
      <c r="AO346" s="89"/>
      <c r="AP346" s="89"/>
      <c r="AQ346" s="89"/>
      <c r="AR346" s="89"/>
      <c r="AS346" s="89"/>
      <c r="AT346" s="89"/>
      <c r="AU346" s="89"/>
      <c r="AV346" s="89"/>
      <c r="AW346" s="89"/>
      <c r="AX346" s="89"/>
    </row>
    <row r="347" spans="1:50" x14ac:dyDescent="0.25">
      <c r="A347" s="89"/>
      <c r="B347" s="89"/>
      <c r="C347" s="89"/>
      <c r="D347" s="89"/>
      <c r="E347" s="89"/>
      <c r="F347" s="89"/>
      <c r="G347" s="89"/>
      <c r="H347" s="89"/>
      <c r="I347" s="89"/>
      <c r="J347" s="89"/>
      <c r="K347" s="89"/>
      <c r="L347" s="89"/>
      <c r="M347" s="89"/>
      <c r="N347" s="89"/>
      <c r="O347" s="89"/>
      <c r="P347" s="89"/>
      <c r="Q347" s="89"/>
      <c r="R347" s="89"/>
      <c r="S347" s="89"/>
      <c r="T347" s="89"/>
      <c r="U347" s="89"/>
      <c r="V347" s="89"/>
      <c r="W347" s="89"/>
      <c r="X347" s="89"/>
      <c r="Y347" s="89"/>
      <c r="Z347" s="89"/>
      <c r="AA347" s="89"/>
      <c r="AB347" s="89"/>
      <c r="AC347" s="89"/>
      <c r="AD347" s="89"/>
      <c r="AE347" s="89"/>
      <c r="AF347" s="89"/>
      <c r="AG347" s="89"/>
      <c r="AH347" s="89"/>
      <c r="AI347" s="89"/>
      <c r="AJ347" s="89"/>
      <c r="AK347" s="89"/>
      <c r="AL347" s="89"/>
      <c r="AM347" s="89"/>
      <c r="AN347" s="89"/>
      <c r="AO347" s="89"/>
      <c r="AP347" s="89"/>
      <c r="AQ347" s="89"/>
      <c r="AR347" s="89"/>
      <c r="AS347" s="89"/>
      <c r="AT347" s="89"/>
      <c r="AU347" s="89"/>
      <c r="AV347" s="89"/>
      <c r="AW347" s="89"/>
      <c r="AX347" s="89"/>
    </row>
    <row r="348" spans="1:50" x14ac:dyDescent="0.25">
      <c r="A348" s="89"/>
      <c r="B348" s="89"/>
      <c r="C348" s="89"/>
      <c r="D348" s="89"/>
      <c r="E348" s="89"/>
      <c r="F348" s="89"/>
      <c r="G348" s="89"/>
      <c r="H348" s="89"/>
      <c r="I348" s="89"/>
      <c r="J348" s="89"/>
      <c r="K348" s="89"/>
      <c r="L348" s="89"/>
      <c r="M348" s="89"/>
      <c r="N348" s="89"/>
      <c r="O348" s="89"/>
      <c r="P348" s="89"/>
      <c r="Q348" s="89"/>
      <c r="R348" s="89"/>
      <c r="S348" s="89"/>
      <c r="T348" s="89"/>
      <c r="U348" s="89"/>
      <c r="V348" s="89"/>
      <c r="W348" s="89"/>
      <c r="X348" s="89"/>
      <c r="Y348" s="89"/>
      <c r="Z348" s="89"/>
      <c r="AA348" s="89"/>
      <c r="AB348" s="89"/>
      <c r="AC348" s="89"/>
      <c r="AD348" s="89"/>
      <c r="AE348" s="89"/>
      <c r="AF348" s="89"/>
      <c r="AG348" s="89"/>
      <c r="AH348" s="89"/>
      <c r="AI348" s="89"/>
      <c r="AJ348" s="89"/>
      <c r="AK348" s="89"/>
      <c r="AL348" s="89"/>
      <c r="AM348" s="89"/>
      <c r="AN348" s="89"/>
      <c r="AO348" s="89"/>
      <c r="AP348" s="89"/>
      <c r="AQ348" s="89"/>
      <c r="AR348" s="89"/>
      <c r="AS348" s="89"/>
      <c r="AT348" s="89"/>
      <c r="AU348" s="89"/>
      <c r="AV348" s="89"/>
      <c r="AW348" s="89"/>
      <c r="AX348" s="89"/>
    </row>
    <row r="349" spans="1:50" x14ac:dyDescent="0.25">
      <c r="A349" s="89"/>
      <c r="B349" s="89"/>
      <c r="C349" s="89"/>
      <c r="D349" s="89"/>
      <c r="E349" s="89"/>
      <c r="F349" s="89"/>
      <c r="G349" s="89"/>
      <c r="H349" s="89"/>
      <c r="I349" s="89"/>
      <c r="J349" s="89"/>
      <c r="K349" s="89"/>
      <c r="L349" s="89"/>
      <c r="M349" s="89"/>
      <c r="N349" s="89"/>
      <c r="O349" s="89"/>
      <c r="P349" s="89"/>
      <c r="Q349" s="89"/>
      <c r="R349" s="89"/>
      <c r="S349" s="89"/>
      <c r="T349" s="89"/>
      <c r="U349" s="89"/>
      <c r="V349" s="89"/>
      <c r="W349" s="89"/>
      <c r="X349" s="89"/>
      <c r="Y349" s="89"/>
      <c r="Z349" s="89"/>
      <c r="AA349" s="89"/>
      <c r="AB349" s="89"/>
      <c r="AC349" s="89"/>
      <c r="AD349" s="89"/>
      <c r="AE349" s="89"/>
      <c r="AF349" s="89"/>
      <c r="AG349" s="89"/>
      <c r="AH349" s="89"/>
      <c r="AI349" s="89"/>
      <c r="AJ349" s="89"/>
      <c r="AK349" s="89"/>
      <c r="AL349" s="89"/>
      <c r="AM349" s="89"/>
      <c r="AN349" s="89"/>
      <c r="AO349" s="89"/>
      <c r="AP349" s="89"/>
      <c r="AQ349" s="89"/>
      <c r="AR349" s="89"/>
      <c r="AS349" s="89"/>
      <c r="AT349" s="89"/>
      <c r="AU349" s="89"/>
      <c r="AV349" s="89"/>
      <c r="AW349" s="89"/>
      <c r="AX349" s="89"/>
    </row>
    <row r="350" spans="1:50" x14ac:dyDescent="0.25">
      <c r="A350" s="89"/>
      <c r="B350" s="89"/>
      <c r="C350" s="89"/>
      <c r="D350" s="89"/>
      <c r="E350" s="89"/>
      <c r="F350" s="89"/>
      <c r="G350" s="89"/>
      <c r="H350" s="89"/>
      <c r="I350" s="89"/>
      <c r="J350" s="89"/>
      <c r="K350" s="89"/>
      <c r="L350" s="89"/>
      <c r="M350" s="89"/>
      <c r="N350" s="89"/>
      <c r="O350" s="89"/>
      <c r="P350" s="89"/>
      <c r="Q350" s="89"/>
      <c r="R350" s="89"/>
      <c r="S350" s="89"/>
      <c r="T350" s="89"/>
      <c r="U350" s="89"/>
      <c r="V350" s="89"/>
      <c r="W350" s="89"/>
      <c r="X350" s="89"/>
      <c r="Y350" s="89"/>
      <c r="Z350" s="89"/>
      <c r="AA350" s="89"/>
      <c r="AB350" s="89"/>
      <c r="AC350" s="89"/>
      <c r="AD350" s="89"/>
      <c r="AE350" s="89"/>
      <c r="AF350" s="89"/>
      <c r="AG350" s="89"/>
      <c r="AH350" s="89"/>
      <c r="AI350" s="89"/>
      <c r="AJ350" s="89"/>
      <c r="AK350" s="89"/>
      <c r="AL350" s="89"/>
      <c r="AM350" s="89"/>
      <c r="AN350" s="89"/>
      <c r="AO350" s="89"/>
      <c r="AP350" s="89"/>
      <c r="AQ350" s="89"/>
      <c r="AR350" s="89"/>
      <c r="AS350" s="89"/>
      <c r="AT350" s="89"/>
      <c r="AU350" s="89"/>
      <c r="AV350" s="89"/>
      <c r="AW350" s="89"/>
      <c r="AX350" s="89"/>
    </row>
    <row r="351" spans="1:50" x14ac:dyDescent="0.25">
      <c r="A351" s="89"/>
      <c r="B351" s="89"/>
      <c r="C351" s="89"/>
      <c r="D351" s="89"/>
      <c r="E351" s="89"/>
      <c r="F351" s="89"/>
      <c r="G351" s="89"/>
      <c r="H351" s="89"/>
      <c r="I351" s="89"/>
      <c r="J351" s="89"/>
      <c r="K351" s="89"/>
      <c r="L351" s="89"/>
      <c r="M351" s="89"/>
      <c r="N351" s="89"/>
      <c r="O351" s="89"/>
      <c r="P351" s="89"/>
      <c r="Q351" s="89"/>
      <c r="R351" s="89"/>
      <c r="S351" s="89"/>
      <c r="T351" s="89"/>
      <c r="U351" s="89"/>
      <c r="V351" s="89"/>
      <c r="W351" s="89"/>
      <c r="X351" s="89"/>
      <c r="Y351" s="89"/>
      <c r="Z351" s="89"/>
      <c r="AA351" s="89"/>
      <c r="AB351" s="89"/>
      <c r="AC351" s="89"/>
      <c r="AD351" s="89"/>
      <c r="AE351" s="89"/>
      <c r="AF351" s="89"/>
      <c r="AG351" s="89"/>
      <c r="AH351" s="89"/>
      <c r="AI351" s="89"/>
      <c r="AJ351" s="89"/>
      <c r="AK351" s="89"/>
      <c r="AL351" s="89"/>
      <c r="AM351" s="89"/>
      <c r="AN351" s="89"/>
      <c r="AO351" s="89"/>
      <c r="AP351" s="89"/>
      <c r="AQ351" s="89"/>
      <c r="AR351" s="89"/>
      <c r="AS351" s="89"/>
      <c r="AT351" s="89"/>
      <c r="AU351" s="89"/>
      <c r="AV351" s="89"/>
      <c r="AW351" s="89"/>
      <c r="AX351" s="89"/>
    </row>
    <row r="352" spans="1:50" x14ac:dyDescent="0.25">
      <c r="A352" s="89"/>
      <c r="B352" s="89"/>
      <c r="C352" s="89"/>
      <c r="D352" s="89"/>
      <c r="E352" s="89"/>
      <c r="F352" s="89"/>
      <c r="G352" s="89"/>
      <c r="H352" s="89"/>
      <c r="I352" s="89"/>
      <c r="J352" s="89"/>
      <c r="K352" s="89"/>
      <c r="L352" s="89"/>
      <c r="M352" s="89"/>
      <c r="N352" s="89"/>
      <c r="O352" s="89"/>
      <c r="P352" s="89"/>
      <c r="Q352" s="89"/>
      <c r="R352" s="89"/>
      <c r="S352" s="89"/>
      <c r="T352" s="89"/>
      <c r="U352" s="89"/>
      <c r="V352" s="89"/>
      <c r="W352" s="89"/>
      <c r="X352" s="89"/>
      <c r="Y352" s="89"/>
      <c r="Z352" s="89"/>
      <c r="AA352" s="89"/>
      <c r="AB352" s="89"/>
      <c r="AC352" s="89"/>
      <c r="AD352" s="89"/>
      <c r="AE352" s="89"/>
      <c r="AF352" s="89"/>
      <c r="AG352" s="89"/>
      <c r="AH352" s="89"/>
      <c r="AI352" s="89"/>
      <c r="AJ352" s="89"/>
      <c r="AK352" s="89"/>
      <c r="AL352" s="89"/>
      <c r="AM352" s="89"/>
      <c r="AN352" s="89"/>
      <c r="AO352" s="89"/>
      <c r="AP352" s="89"/>
      <c r="AQ352" s="89"/>
      <c r="AR352" s="89"/>
      <c r="AS352" s="89"/>
      <c r="AT352" s="89"/>
      <c r="AU352" s="89"/>
      <c r="AV352" s="89"/>
      <c r="AW352" s="89"/>
      <c r="AX352" s="89"/>
    </row>
    <row r="353" spans="1:50" x14ac:dyDescent="0.25">
      <c r="A353" s="89"/>
      <c r="B353" s="89"/>
      <c r="C353" s="89"/>
      <c r="D353" s="89"/>
      <c r="E353" s="89"/>
      <c r="F353" s="89"/>
      <c r="G353" s="89"/>
      <c r="H353" s="89"/>
      <c r="I353" s="89"/>
      <c r="J353" s="89"/>
      <c r="K353" s="89"/>
      <c r="L353" s="89"/>
      <c r="M353" s="89"/>
      <c r="N353" s="89"/>
      <c r="O353" s="89"/>
      <c r="P353" s="89"/>
      <c r="Q353" s="89"/>
      <c r="R353" s="89"/>
      <c r="S353" s="89"/>
      <c r="T353" s="89"/>
      <c r="U353" s="89"/>
      <c r="V353" s="89"/>
      <c r="W353" s="89"/>
      <c r="X353" s="89"/>
      <c r="Y353" s="89"/>
      <c r="Z353" s="89"/>
      <c r="AA353" s="89"/>
      <c r="AB353" s="89"/>
      <c r="AC353" s="89"/>
      <c r="AD353" s="89"/>
      <c r="AE353" s="89"/>
      <c r="AF353" s="89"/>
      <c r="AG353" s="89"/>
      <c r="AH353" s="89"/>
      <c r="AI353" s="89"/>
      <c r="AJ353" s="89"/>
      <c r="AK353" s="89"/>
      <c r="AL353" s="89"/>
      <c r="AM353" s="89"/>
      <c r="AN353" s="89"/>
      <c r="AO353" s="89"/>
      <c r="AP353" s="89"/>
      <c r="AQ353" s="89"/>
      <c r="AR353" s="89"/>
      <c r="AS353" s="89"/>
      <c r="AT353" s="89"/>
      <c r="AU353" s="89"/>
      <c r="AV353" s="89"/>
      <c r="AW353" s="89"/>
      <c r="AX353" s="89"/>
    </row>
    <row r="354" spans="1:50" x14ac:dyDescent="0.25">
      <c r="A354" s="89"/>
      <c r="B354" s="89"/>
      <c r="C354" s="89"/>
      <c r="D354" s="89"/>
      <c r="E354" s="89"/>
      <c r="F354" s="89"/>
      <c r="G354" s="89"/>
      <c r="H354" s="89"/>
      <c r="I354" s="89"/>
      <c r="J354" s="89"/>
      <c r="K354" s="89"/>
      <c r="L354" s="89"/>
      <c r="M354" s="89"/>
      <c r="N354" s="89"/>
      <c r="O354" s="89"/>
      <c r="P354" s="89"/>
      <c r="Q354" s="89"/>
      <c r="R354" s="89"/>
      <c r="S354" s="89"/>
      <c r="T354" s="89"/>
      <c r="U354" s="89"/>
      <c r="V354" s="89"/>
      <c r="W354" s="89"/>
      <c r="X354" s="89"/>
      <c r="Y354" s="89"/>
      <c r="Z354" s="89"/>
      <c r="AA354" s="89"/>
      <c r="AB354" s="89"/>
      <c r="AC354" s="89"/>
      <c r="AD354" s="89"/>
      <c r="AE354" s="89"/>
      <c r="AF354" s="89"/>
      <c r="AG354" s="89"/>
      <c r="AH354" s="89"/>
      <c r="AI354" s="89"/>
      <c r="AJ354" s="89"/>
      <c r="AK354" s="89"/>
      <c r="AL354" s="89"/>
      <c r="AM354" s="89"/>
      <c r="AN354" s="89"/>
      <c r="AO354" s="89"/>
      <c r="AP354" s="89"/>
      <c r="AQ354" s="89"/>
      <c r="AR354" s="89"/>
      <c r="AS354" s="89"/>
      <c r="AT354" s="89"/>
      <c r="AU354" s="89"/>
      <c r="AV354" s="89"/>
      <c r="AW354" s="89"/>
      <c r="AX354" s="89"/>
    </row>
    <row r="355" spans="1:50" x14ac:dyDescent="0.25">
      <c r="A355" s="89"/>
      <c r="B355" s="89"/>
      <c r="C355" s="89"/>
      <c r="D355" s="89"/>
      <c r="E355" s="89"/>
      <c r="F355" s="89"/>
      <c r="G355" s="89"/>
      <c r="H355" s="89"/>
      <c r="I355" s="89"/>
      <c r="J355" s="89"/>
      <c r="K355" s="89"/>
      <c r="L355" s="89"/>
      <c r="M355" s="89"/>
      <c r="N355" s="89"/>
      <c r="O355" s="89"/>
      <c r="P355" s="89"/>
      <c r="Q355" s="89"/>
      <c r="R355" s="89"/>
      <c r="S355" s="89"/>
      <c r="T355" s="89"/>
      <c r="U355" s="89"/>
      <c r="V355" s="89"/>
      <c r="W355" s="89"/>
      <c r="X355" s="89"/>
      <c r="Y355" s="89"/>
      <c r="Z355" s="89"/>
      <c r="AA355" s="89"/>
      <c r="AB355" s="89"/>
      <c r="AC355" s="89"/>
      <c r="AD355" s="89"/>
      <c r="AE355" s="89"/>
      <c r="AF355" s="89"/>
      <c r="AG355" s="89"/>
      <c r="AH355" s="89"/>
      <c r="AI355" s="89"/>
      <c r="AJ355" s="89"/>
      <c r="AK355" s="89"/>
      <c r="AL355" s="89"/>
      <c r="AM355" s="89"/>
      <c r="AN355" s="89"/>
      <c r="AO355" s="89"/>
      <c r="AP355" s="89"/>
      <c r="AQ355" s="89"/>
      <c r="AR355" s="89"/>
      <c r="AS355" s="89"/>
      <c r="AT355" s="89"/>
      <c r="AU355" s="89"/>
      <c r="AV355" s="89"/>
      <c r="AW355" s="89"/>
      <c r="AX355" s="89"/>
    </row>
    <row r="356" spans="1:50" x14ac:dyDescent="0.25">
      <c r="A356" s="89"/>
      <c r="B356" s="89"/>
      <c r="C356" s="89"/>
      <c r="D356" s="89"/>
      <c r="E356" s="89"/>
      <c r="F356" s="89"/>
      <c r="G356" s="89"/>
      <c r="H356" s="89"/>
      <c r="I356" s="89"/>
      <c r="J356" s="89"/>
      <c r="K356" s="89"/>
      <c r="L356" s="89"/>
      <c r="M356" s="89"/>
      <c r="N356" s="89"/>
      <c r="O356" s="89"/>
      <c r="P356" s="89"/>
      <c r="Q356" s="89"/>
      <c r="R356" s="89"/>
      <c r="S356" s="89"/>
      <c r="T356" s="89"/>
      <c r="U356" s="89"/>
      <c r="V356" s="89"/>
      <c r="W356" s="89"/>
      <c r="X356" s="89"/>
      <c r="Y356" s="89"/>
      <c r="Z356" s="89"/>
      <c r="AA356" s="89"/>
      <c r="AB356" s="89"/>
      <c r="AC356" s="89"/>
      <c r="AD356" s="89"/>
      <c r="AE356" s="89"/>
      <c r="AF356" s="89"/>
      <c r="AG356" s="89"/>
      <c r="AH356" s="89"/>
      <c r="AI356" s="89"/>
      <c r="AJ356" s="89"/>
      <c r="AK356" s="89"/>
      <c r="AL356" s="89"/>
      <c r="AM356" s="89"/>
      <c r="AN356" s="89"/>
      <c r="AO356" s="89"/>
      <c r="AP356" s="89"/>
      <c r="AQ356" s="89"/>
      <c r="AR356" s="89"/>
      <c r="AS356" s="89"/>
      <c r="AT356" s="89"/>
      <c r="AU356" s="89"/>
      <c r="AV356" s="89"/>
      <c r="AW356" s="89"/>
      <c r="AX356" s="89"/>
    </row>
    <row r="357" spans="1:50" x14ac:dyDescent="0.25">
      <c r="A357" s="89"/>
      <c r="B357" s="89"/>
      <c r="C357" s="89"/>
      <c r="D357" s="89"/>
      <c r="E357" s="89"/>
      <c r="F357" s="89"/>
      <c r="G357" s="89"/>
      <c r="H357" s="89"/>
      <c r="I357" s="89"/>
      <c r="J357" s="89"/>
      <c r="K357" s="89"/>
      <c r="L357" s="89"/>
      <c r="M357" s="89"/>
      <c r="N357" s="89"/>
      <c r="O357" s="89"/>
      <c r="P357" s="89"/>
      <c r="Q357" s="89"/>
      <c r="R357" s="89"/>
      <c r="S357" s="89"/>
      <c r="T357" s="89"/>
      <c r="U357" s="89"/>
      <c r="V357" s="89"/>
      <c r="W357" s="89"/>
      <c r="X357" s="89"/>
      <c r="Y357" s="89"/>
      <c r="Z357" s="89"/>
      <c r="AA357" s="89"/>
      <c r="AB357" s="89"/>
      <c r="AC357" s="89"/>
      <c r="AD357" s="89"/>
      <c r="AE357" s="89"/>
      <c r="AF357" s="89"/>
      <c r="AG357" s="89"/>
      <c r="AH357" s="89"/>
      <c r="AI357" s="89"/>
      <c r="AJ357" s="89"/>
      <c r="AK357" s="89"/>
      <c r="AL357" s="89"/>
      <c r="AM357" s="89"/>
      <c r="AN357" s="89"/>
      <c r="AO357" s="89"/>
      <c r="AP357" s="89"/>
      <c r="AQ357" s="89"/>
      <c r="AR357" s="89"/>
      <c r="AS357" s="89"/>
      <c r="AT357" s="89"/>
      <c r="AU357" s="89"/>
      <c r="AV357" s="89"/>
      <c r="AW357" s="89"/>
      <c r="AX357" s="89"/>
    </row>
    <row r="358" spans="1:50" x14ac:dyDescent="0.25">
      <c r="A358" s="89"/>
      <c r="B358" s="89"/>
      <c r="C358" s="89"/>
      <c r="D358" s="89"/>
      <c r="E358" s="89"/>
      <c r="F358" s="89"/>
      <c r="G358" s="89"/>
      <c r="H358" s="89"/>
      <c r="I358" s="89"/>
      <c r="J358" s="89"/>
      <c r="K358" s="89"/>
      <c r="L358" s="89"/>
      <c r="M358" s="89"/>
      <c r="N358" s="89"/>
      <c r="O358" s="89"/>
      <c r="P358" s="89"/>
      <c r="Q358" s="89"/>
      <c r="R358" s="89"/>
      <c r="S358" s="89"/>
      <c r="T358" s="89"/>
      <c r="U358" s="89"/>
      <c r="V358" s="89"/>
      <c r="W358" s="89"/>
      <c r="X358" s="89"/>
      <c r="Y358" s="89"/>
      <c r="Z358" s="89"/>
      <c r="AA358" s="89"/>
      <c r="AB358" s="89"/>
      <c r="AC358" s="89"/>
      <c r="AD358" s="89"/>
      <c r="AE358" s="89"/>
      <c r="AF358" s="89"/>
      <c r="AG358" s="89"/>
      <c r="AH358" s="89"/>
      <c r="AI358" s="89"/>
      <c r="AJ358" s="89"/>
      <c r="AK358" s="89"/>
      <c r="AL358" s="89"/>
      <c r="AM358" s="89"/>
      <c r="AN358" s="89"/>
      <c r="AO358" s="89"/>
      <c r="AP358" s="89"/>
      <c r="AQ358" s="89"/>
      <c r="AR358" s="89"/>
      <c r="AS358" s="89"/>
      <c r="AT358" s="89"/>
      <c r="AU358" s="89"/>
      <c r="AV358" s="89"/>
      <c r="AW358" s="89"/>
      <c r="AX358" s="89"/>
    </row>
    <row r="359" spans="1:50" x14ac:dyDescent="0.25">
      <c r="A359" s="89"/>
      <c r="B359" s="89"/>
      <c r="C359" s="89"/>
      <c r="D359" s="89"/>
      <c r="E359" s="89"/>
      <c r="F359" s="89"/>
      <c r="G359" s="89"/>
      <c r="H359" s="89"/>
      <c r="I359" s="89"/>
      <c r="J359" s="89"/>
      <c r="K359" s="89"/>
      <c r="L359" s="89"/>
      <c r="M359" s="89"/>
      <c r="N359" s="89"/>
      <c r="O359" s="89"/>
      <c r="P359" s="89"/>
      <c r="Q359" s="89"/>
      <c r="R359" s="89"/>
      <c r="S359" s="89"/>
      <c r="T359" s="89"/>
      <c r="U359" s="89"/>
      <c r="V359" s="89"/>
      <c r="W359" s="89"/>
      <c r="X359" s="89"/>
      <c r="Y359" s="89"/>
      <c r="Z359" s="89"/>
      <c r="AA359" s="89"/>
      <c r="AB359" s="89"/>
      <c r="AC359" s="89"/>
      <c r="AD359" s="89"/>
      <c r="AE359" s="89"/>
      <c r="AF359" s="89"/>
      <c r="AG359" s="89"/>
      <c r="AH359" s="89"/>
      <c r="AI359" s="89"/>
      <c r="AJ359" s="89"/>
      <c r="AK359" s="89"/>
      <c r="AL359" s="89"/>
      <c r="AM359" s="89"/>
      <c r="AN359" s="89"/>
      <c r="AO359" s="89"/>
      <c r="AP359" s="89"/>
      <c r="AQ359" s="89"/>
      <c r="AR359" s="89"/>
      <c r="AS359" s="89"/>
      <c r="AT359" s="89"/>
      <c r="AU359" s="89"/>
      <c r="AV359" s="89"/>
      <c r="AW359" s="89"/>
      <c r="AX359" s="89"/>
    </row>
    <row r="360" spans="1:50" x14ac:dyDescent="0.25">
      <c r="A360" s="89"/>
      <c r="B360" s="89"/>
      <c r="C360" s="89"/>
      <c r="D360" s="89"/>
      <c r="E360" s="89"/>
      <c r="F360" s="89"/>
      <c r="G360" s="89"/>
      <c r="H360" s="89"/>
      <c r="I360" s="89"/>
      <c r="J360" s="89"/>
      <c r="K360" s="89"/>
      <c r="L360" s="89"/>
      <c r="M360" s="89"/>
      <c r="N360" s="89"/>
      <c r="O360" s="89"/>
      <c r="P360" s="89"/>
      <c r="Q360" s="89"/>
      <c r="R360" s="89"/>
      <c r="S360" s="89"/>
      <c r="T360" s="89"/>
      <c r="U360" s="89"/>
      <c r="V360" s="89"/>
      <c r="W360" s="89"/>
      <c r="X360" s="89"/>
      <c r="Y360" s="89"/>
      <c r="Z360" s="89"/>
      <c r="AA360" s="89"/>
      <c r="AB360" s="89"/>
      <c r="AC360" s="89"/>
      <c r="AD360" s="89"/>
      <c r="AE360" s="89"/>
      <c r="AF360" s="89"/>
      <c r="AG360" s="89"/>
      <c r="AH360" s="89"/>
      <c r="AI360" s="89"/>
      <c r="AJ360" s="89"/>
      <c r="AK360" s="89"/>
      <c r="AL360" s="89"/>
      <c r="AM360" s="89"/>
      <c r="AN360" s="89"/>
      <c r="AO360" s="89"/>
      <c r="AP360" s="89"/>
      <c r="AQ360" s="89"/>
      <c r="AR360" s="89"/>
      <c r="AS360" s="89"/>
      <c r="AT360" s="89"/>
      <c r="AU360" s="89"/>
      <c r="AV360" s="89"/>
      <c r="AW360" s="89"/>
      <c r="AX360" s="89"/>
    </row>
    <row r="361" spans="1:50" x14ac:dyDescent="0.25">
      <c r="A361" s="89"/>
      <c r="B361" s="89"/>
      <c r="C361" s="89"/>
      <c r="D361" s="89"/>
      <c r="E361" s="89"/>
      <c r="F361" s="89"/>
      <c r="G361" s="89"/>
      <c r="H361" s="89"/>
      <c r="I361" s="89"/>
      <c r="J361" s="89"/>
      <c r="K361" s="89"/>
      <c r="L361" s="89"/>
      <c r="M361" s="89"/>
      <c r="N361" s="89"/>
      <c r="O361" s="89"/>
      <c r="P361" s="89"/>
      <c r="Q361" s="89"/>
      <c r="R361" s="89"/>
      <c r="S361" s="89"/>
      <c r="T361" s="89"/>
      <c r="U361" s="89"/>
      <c r="V361" s="89"/>
      <c r="W361" s="89"/>
      <c r="X361" s="89"/>
      <c r="Y361" s="89"/>
      <c r="Z361" s="89"/>
      <c r="AA361" s="89"/>
      <c r="AB361" s="89"/>
      <c r="AC361" s="89"/>
      <c r="AD361" s="89"/>
      <c r="AE361" s="89"/>
      <c r="AF361" s="89"/>
      <c r="AG361" s="89"/>
      <c r="AH361" s="89"/>
      <c r="AI361" s="89"/>
      <c r="AJ361" s="89"/>
      <c r="AK361" s="89"/>
      <c r="AL361" s="89"/>
      <c r="AM361" s="89"/>
      <c r="AN361" s="89"/>
      <c r="AO361" s="89"/>
      <c r="AP361" s="89"/>
      <c r="AQ361" s="89"/>
      <c r="AR361" s="89"/>
      <c r="AS361" s="89"/>
      <c r="AT361" s="89"/>
      <c r="AU361" s="89"/>
      <c r="AV361" s="89"/>
      <c r="AW361" s="89"/>
      <c r="AX361" s="89"/>
    </row>
    <row r="362" spans="1:50" x14ac:dyDescent="0.25">
      <c r="A362" s="89"/>
      <c r="B362" s="89"/>
      <c r="C362" s="89"/>
      <c r="D362" s="89"/>
      <c r="E362" s="89"/>
      <c r="F362" s="89"/>
      <c r="G362" s="89"/>
      <c r="H362" s="89"/>
      <c r="I362" s="89"/>
      <c r="J362" s="89"/>
      <c r="K362" s="89"/>
      <c r="L362" s="89"/>
      <c r="M362" s="89"/>
      <c r="N362" s="89"/>
      <c r="O362" s="89"/>
      <c r="P362" s="89"/>
      <c r="Q362" s="89"/>
      <c r="R362" s="89"/>
      <c r="S362" s="89"/>
      <c r="T362" s="89"/>
      <c r="U362" s="89"/>
      <c r="V362" s="89"/>
      <c r="W362" s="89"/>
      <c r="X362" s="89"/>
      <c r="Y362" s="89"/>
      <c r="Z362" s="89"/>
      <c r="AA362" s="89"/>
      <c r="AB362" s="89"/>
      <c r="AC362" s="89"/>
      <c r="AD362" s="89"/>
      <c r="AE362" s="89"/>
      <c r="AF362" s="89"/>
      <c r="AG362" s="89"/>
      <c r="AH362" s="89"/>
      <c r="AI362" s="89"/>
      <c r="AJ362" s="89"/>
      <c r="AK362" s="89"/>
      <c r="AL362" s="89"/>
      <c r="AM362" s="89"/>
      <c r="AN362" s="89"/>
      <c r="AO362" s="89"/>
      <c r="AP362" s="89"/>
      <c r="AQ362" s="89"/>
      <c r="AR362" s="89"/>
      <c r="AS362" s="89"/>
      <c r="AT362" s="89"/>
      <c r="AU362" s="89"/>
      <c r="AV362" s="89"/>
      <c r="AW362" s="89"/>
      <c r="AX362" s="89"/>
    </row>
    <row r="363" spans="1:50" x14ac:dyDescent="0.25">
      <c r="A363" s="89"/>
      <c r="B363" s="89"/>
      <c r="C363" s="89"/>
      <c r="D363" s="89"/>
      <c r="E363" s="89"/>
      <c r="F363" s="89"/>
      <c r="G363" s="89"/>
      <c r="H363" s="89"/>
      <c r="I363" s="89"/>
      <c r="J363" s="89"/>
      <c r="K363" s="89"/>
      <c r="L363" s="89"/>
      <c r="M363" s="89"/>
      <c r="N363" s="89"/>
      <c r="O363" s="89"/>
      <c r="P363" s="89"/>
      <c r="Q363" s="89"/>
      <c r="R363" s="89"/>
      <c r="S363" s="89"/>
      <c r="T363" s="89"/>
      <c r="U363" s="89"/>
      <c r="V363" s="89"/>
      <c r="W363" s="89"/>
      <c r="X363" s="89"/>
      <c r="Y363" s="89"/>
      <c r="Z363" s="89"/>
      <c r="AA363" s="89"/>
      <c r="AB363" s="89"/>
      <c r="AC363" s="89"/>
      <c r="AD363" s="89"/>
      <c r="AE363" s="89"/>
      <c r="AF363" s="89"/>
      <c r="AG363" s="89"/>
      <c r="AH363" s="89"/>
      <c r="AI363" s="89"/>
      <c r="AJ363" s="89"/>
      <c r="AK363" s="89"/>
      <c r="AL363" s="89"/>
      <c r="AM363" s="89"/>
      <c r="AN363" s="89"/>
      <c r="AO363" s="89"/>
      <c r="AP363" s="89"/>
      <c r="AQ363" s="89"/>
      <c r="AR363" s="89"/>
      <c r="AS363" s="89"/>
      <c r="AT363" s="89"/>
      <c r="AU363" s="89"/>
      <c r="AV363" s="89"/>
      <c r="AW363" s="89"/>
      <c r="AX363" s="89"/>
    </row>
    <row r="364" spans="1:50" x14ac:dyDescent="0.25">
      <c r="A364" s="89"/>
      <c r="B364" s="89"/>
      <c r="C364" s="89"/>
      <c r="D364" s="89"/>
      <c r="E364" s="89"/>
      <c r="F364" s="89"/>
      <c r="G364" s="89"/>
      <c r="H364" s="89"/>
      <c r="I364" s="89"/>
      <c r="J364" s="89"/>
      <c r="K364" s="89"/>
      <c r="L364" s="89"/>
      <c r="M364" s="89"/>
      <c r="N364" s="89"/>
      <c r="O364" s="89"/>
      <c r="P364" s="89"/>
      <c r="Q364" s="89"/>
      <c r="R364" s="89"/>
      <c r="S364" s="89"/>
      <c r="T364" s="89"/>
      <c r="U364" s="89"/>
      <c r="V364" s="89"/>
      <c r="W364" s="89"/>
      <c r="X364" s="89"/>
      <c r="Y364" s="89"/>
      <c r="Z364" s="89"/>
      <c r="AA364" s="89"/>
      <c r="AB364" s="89"/>
      <c r="AC364" s="89"/>
      <c r="AD364" s="89"/>
      <c r="AE364" s="89"/>
      <c r="AF364" s="89"/>
      <c r="AG364" s="89"/>
      <c r="AH364" s="89"/>
      <c r="AI364" s="89"/>
      <c r="AJ364" s="89"/>
      <c r="AK364" s="89"/>
      <c r="AL364" s="89"/>
      <c r="AM364" s="89"/>
      <c r="AN364" s="89"/>
      <c r="AO364" s="89"/>
      <c r="AP364" s="89"/>
      <c r="AQ364" s="89"/>
      <c r="AR364" s="89"/>
      <c r="AS364" s="89"/>
      <c r="AT364" s="89"/>
      <c r="AU364" s="89"/>
      <c r="AV364" s="89"/>
      <c r="AW364" s="89"/>
      <c r="AX364" s="89"/>
    </row>
    <row r="365" spans="1:50" x14ac:dyDescent="0.25">
      <c r="A365" s="89"/>
      <c r="B365" s="89"/>
      <c r="C365" s="89"/>
      <c r="D365" s="89"/>
      <c r="E365" s="89"/>
      <c r="F365" s="89"/>
      <c r="G365" s="89"/>
      <c r="H365" s="89"/>
      <c r="I365" s="89"/>
      <c r="J365" s="89"/>
      <c r="K365" s="89"/>
      <c r="L365" s="89"/>
      <c r="M365" s="89"/>
      <c r="N365" s="89"/>
      <c r="O365" s="89"/>
      <c r="P365" s="89"/>
      <c r="Q365" s="89"/>
      <c r="R365" s="89"/>
      <c r="S365" s="89"/>
      <c r="T365" s="89"/>
      <c r="U365" s="89"/>
      <c r="V365" s="89"/>
      <c r="W365" s="89"/>
      <c r="X365" s="89"/>
      <c r="Y365" s="89"/>
      <c r="Z365" s="89"/>
      <c r="AA365" s="89"/>
      <c r="AB365" s="89"/>
      <c r="AC365" s="89"/>
      <c r="AD365" s="89"/>
      <c r="AE365" s="89"/>
      <c r="AF365" s="89"/>
      <c r="AG365" s="89"/>
      <c r="AH365" s="89"/>
      <c r="AI365" s="89"/>
      <c r="AJ365" s="89"/>
      <c r="AK365" s="89"/>
      <c r="AL365" s="89"/>
      <c r="AM365" s="89"/>
      <c r="AN365" s="89"/>
      <c r="AO365" s="89"/>
      <c r="AP365" s="89"/>
      <c r="AQ365" s="89"/>
      <c r="AR365" s="89"/>
      <c r="AS365" s="89"/>
      <c r="AT365" s="89"/>
      <c r="AU365" s="89"/>
      <c r="AV365" s="89"/>
      <c r="AW365" s="89"/>
      <c r="AX365" s="89"/>
    </row>
    <row r="366" spans="1:50" x14ac:dyDescent="0.25">
      <c r="A366" s="89"/>
      <c r="B366" s="89"/>
      <c r="C366" s="89"/>
      <c r="D366" s="89"/>
      <c r="E366" s="89"/>
      <c r="F366" s="89"/>
      <c r="G366" s="89"/>
      <c r="H366" s="89"/>
      <c r="I366" s="89"/>
      <c r="J366" s="89"/>
      <c r="K366" s="89"/>
      <c r="L366" s="89"/>
      <c r="M366" s="89"/>
      <c r="N366" s="89"/>
      <c r="O366" s="89"/>
      <c r="P366" s="89"/>
      <c r="Q366" s="89"/>
      <c r="R366" s="89"/>
      <c r="S366" s="89"/>
      <c r="T366" s="89"/>
      <c r="U366" s="89"/>
      <c r="V366" s="89"/>
      <c r="W366" s="89"/>
      <c r="X366" s="89"/>
      <c r="Y366" s="89"/>
      <c r="Z366" s="89"/>
      <c r="AA366" s="89"/>
      <c r="AB366" s="89"/>
      <c r="AC366" s="89"/>
      <c r="AD366" s="89"/>
      <c r="AE366" s="89"/>
      <c r="AF366" s="89"/>
      <c r="AG366" s="89"/>
      <c r="AH366" s="89"/>
      <c r="AI366" s="89"/>
      <c r="AJ366" s="89"/>
      <c r="AK366" s="89"/>
      <c r="AL366" s="89"/>
      <c r="AM366" s="89"/>
      <c r="AN366" s="89"/>
      <c r="AO366" s="89"/>
      <c r="AP366" s="89"/>
      <c r="AQ366" s="89"/>
      <c r="AR366" s="89"/>
      <c r="AS366" s="89"/>
      <c r="AT366" s="89"/>
      <c r="AU366" s="89"/>
      <c r="AV366" s="89"/>
      <c r="AW366" s="89"/>
      <c r="AX366" s="89"/>
    </row>
    <row r="367" spans="1:50" x14ac:dyDescent="0.25">
      <c r="A367" s="89"/>
      <c r="B367" s="89"/>
      <c r="C367" s="89"/>
      <c r="D367" s="89"/>
      <c r="E367" s="89"/>
      <c r="F367" s="89"/>
      <c r="G367" s="89"/>
      <c r="H367" s="89"/>
      <c r="I367" s="89"/>
      <c r="J367" s="89"/>
      <c r="K367" s="89"/>
      <c r="L367" s="89"/>
      <c r="M367" s="89"/>
      <c r="N367" s="89"/>
      <c r="O367" s="89"/>
      <c r="P367" s="89"/>
      <c r="Q367" s="89"/>
      <c r="R367" s="89"/>
      <c r="S367" s="89"/>
      <c r="T367" s="89"/>
      <c r="U367" s="89"/>
      <c r="V367" s="89"/>
      <c r="W367" s="89"/>
      <c r="X367" s="89"/>
      <c r="Y367" s="89"/>
      <c r="Z367" s="89"/>
      <c r="AA367" s="89"/>
      <c r="AB367" s="89"/>
      <c r="AC367" s="89"/>
      <c r="AD367" s="89"/>
      <c r="AE367" s="89"/>
      <c r="AF367" s="89"/>
      <c r="AG367" s="89"/>
      <c r="AH367" s="89"/>
      <c r="AI367" s="89"/>
      <c r="AJ367" s="89"/>
      <c r="AK367" s="89"/>
      <c r="AL367" s="89"/>
      <c r="AM367" s="89"/>
      <c r="AN367" s="89"/>
      <c r="AO367" s="89"/>
      <c r="AP367" s="89"/>
      <c r="AQ367" s="89"/>
      <c r="AR367" s="89"/>
      <c r="AS367" s="89"/>
      <c r="AT367" s="89"/>
      <c r="AU367" s="89"/>
      <c r="AV367" s="89"/>
      <c r="AW367" s="89"/>
      <c r="AX367" s="89"/>
    </row>
    <row r="368" spans="1:50" x14ac:dyDescent="0.25">
      <c r="A368" s="89"/>
      <c r="B368" s="89"/>
      <c r="C368" s="89"/>
      <c r="D368" s="89"/>
      <c r="E368" s="89"/>
      <c r="F368" s="89"/>
      <c r="G368" s="89"/>
      <c r="H368" s="89"/>
      <c r="I368" s="89"/>
      <c r="J368" s="89"/>
      <c r="K368" s="89"/>
      <c r="L368" s="89"/>
      <c r="M368" s="89"/>
      <c r="N368" s="89"/>
      <c r="O368" s="89"/>
      <c r="P368" s="89"/>
      <c r="Q368" s="89"/>
      <c r="R368" s="89"/>
      <c r="S368" s="89"/>
      <c r="T368" s="89"/>
      <c r="U368" s="89"/>
      <c r="V368" s="89"/>
      <c r="W368" s="89"/>
      <c r="X368" s="89"/>
      <c r="Y368" s="89"/>
      <c r="Z368" s="89"/>
      <c r="AA368" s="89"/>
      <c r="AB368" s="89"/>
      <c r="AC368" s="89"/>
      <c r="AD368" s="89"/>
      <c r="AE368" s="89"/>
      <c r="AF368" s="89"/>
      <c r="AG368" s="89"/>
      <c r="AH368" s="89"/>
      <c r="AI368" s="89"/>
      <c r="AJ368" s="89"/>
      <c r="AK368" s="89"/>
      <c r="AL368" s="89"/>
      <c r="AM368" s="89"/>
      <c r="AN368" s="89"/>
      <c r="AO368" s="89"/>
      <c r="AP368" s="89"/>
      <c r="AQ368" s="89"/>
      <c r="AR368" s="89"/>
      <c r="AS368" s="89"/>
      <c r="AT368" s="89"/>
      <c r="AU368" s="89"/>
      <c r="AV368" s="89"/>
      <c r="AW368" s="89"/>
      <c r="AX368" s="89"/>
    </row>
    <row r="369" spans="1:50" x14ac:dyDescent="0.25">
      <c r="A369" s="89"/>
      <c r="B369" s="89"/>
      <c r="C369" s="89"/>
      <c r="D369" s="89"/>
      <c r="E369" s="89"/>
      <c r="F369" s="89"/>
      <c r="G369" s="89"/>
      <c r="H369" s="89"/>
      <c r="I369" s="89"/>
      <c r="J369" s="89"/>
      <c r="K369" s="89"/>
      <c r="L369" s="89"/>
      <c r="M369" s="89"/>
      <c r="N369" s="89"/>
      <c r="O369" s="89"/>
      <c r="P369" s="89"/>
      <c r="Q369" s="89"/>
      <c r="R369" s="89"/>
      <c r="S369" s="89"/>
      <c r="T369" s="89"/>
      <c r="U369" s="89"/>
      <c r="V369" s="89"/>
      <c r="W369" s="89"/>
      <c r="X369" s="89"/>
      <c r="Y369" s="89"/>
      <c r="Z369" s="89"/>
      <c r="AA369" s="89"/>
      <c r="AB369" s="89"/>
      <c r="AC369" s="89"/>
      <c r="AD369" s="89"/>
      <c r="AE369" s="89"/>
      <c r="AF369" s="89"/>
      <c r="AG369" s="89"/>
      <c r="AH369" s="89"/>
      <c r="AI369" s="89"/>
      <c r="AJ369" s="89"/>
      <c r="AK369" s="89"/>
      <c r="AL369" s="89"/>
      <c r="AM369" s="89"/>
      <c r="AN369" s="89"/>
      <c r="AO369" s="89"/>
      <c r="AP369" s="89"/>
      <c r="AQ369" s="89"/>
      <c r="AR369" s="89"/>
      <c r="AS369" s="89"/>
      <c r="AT369" s="89"/>
      <c r="AU369" s="89"/>
      <c r="AV369" s="89"/>
      <c r="AW369" s="89"/>
      <c r="AX369" s="89"/>
    </row>
    <row r="370" spans="1:50" x14ac:dyDescent="0.25">
      <c r="A370" s="89"/>
      <c r="B370" s="89"/>
      <c r="C370" s="89"/>
      <c r="D370" s="89"/>
      <c r="E370" s="89"/>
      <c r="F370" s="89"/>
      <c r="G370" s="89"/>
      <c r="H370" s="89"/>
      <c r="I370" s="89"/>
      <c r="J370" s="89"/>
      <c r="K370" s="89"/>
      <c r="L370" s="89"/>
      <c r="M370" s="89"/>
      <c r="N370" s="89"/>
      <c r="O370" s="89"/>
      <c r="P370" s="89"/>
      <c r="Q370" s="89"/>
      <c r="R370" s="89"/>
      <c r="S370" s="89"/>
      <c r="T370" s="89"/>
      <c r="U370" s="89"/>
      <c r="V370" s="89"/>
      <c r="W370" s="89"/>
      <c r="X370" s="89"/>
      <c r="Y370" s="89"/>
      <c r="Z370" s="89"/>
      <c r="AA370" s="89"/>
      <c r="AB370" s="89"/>
      <c r="AC370" s="89"/>
      <c r="AD370" s="89"/>
      <c r="AE370" s="89"/>
      <c r="AF370" s="89"/>
      <c r="AG370" s="89"/>
      <c r="AH370" s="89"/>
      <c r="AI370" s="89"/>
      <c r="AJ370" s="89"/>
      <c r="AK370" s="89"/>
      <c r="AL370" s="89"/>
      <c r="AM370" s="89"/>
      <c r="AN370" s="89"/>
      <c r="AO370" s="89"/>
      <c r="AP370" s="89"/>
      <c r="AQ370" s="89"/>
      <c r="AR370" s="89"/>
      <c r="AS370" s="89"/>
      <c r="AT370" s="89"/>
      <c r="AU370" s="89"/>
      <c r="AV370" s="89"/>
      <c r="AW370" s="89"/>
      <c r="AX370" s="89"/>
    </row>
    <row r="371" spans="1:50" x14ac:dyDescent="0.25">
      <c r="A371" s="89"/>
      <c r="B371" s="89"/>
      <c r="C371" s="89"/>
      <c r="D371" s="89"/>
      <c r="E371" s="89"/>
      <c r="F371" s="89"/>
      <c r="G371" s="89"/>
      <c r="H371" s="89"/>
      <c r="I371" s="89"/>
      <c r="J371" s="89"/>
      <c r="K371" s="89"/>
      <c r="L371" s="89"/>
      <c r="M371" s="89"/>
      <c r="N371" s="89"/>
      <c r="O371" s="89"/>
      <c r="P371" s="89"/>
      <c r="Q371" s="89"/>
      <c r="R371" s="89"/>
      <c r="S371" s="89"/>
      <c r="T371" s="89"/>
      <c r="U371" s="89"/>
      <c r="V371" s="89"/>
      <c r="W371" s="89"/>
      <c r="X371" s="89"/>
      <c r="Y371" s="89"/>
      <c r="Z371" s="89"/>
      <c r="AA371" s="89"/>
      <c r="AB371" s="89"/>
      <c r="AC371" s="89"/>
      <c r="AD371" s="89"/>
      <c r="AE371" s="89"/>
      <c r="AF371" s="89"/>
      <c r="AG371" s="89"/>
      <c r="AH371" s="89"/>
      <c r="AI371" s="89"/>
      <c r="AJ371" s="89"/>
      <c r="AK371" s="89"/>
      <c r="AL371" s="89"/>
      <c r="AM371" s="89"/>
      <c r="AN371" s="89"/>
      <c r="AO371" s="89"/>
      <c r="AP371" s="89"/>
      <c r="AQ371" s="89"/>
      <c r="AR371" s="89"/>
      <c r="AS371" s="89"/>
      <c r="AT371" s="89"/>
      <c r="AU371" s="89"/>
      <c r="AV371" s="89"/>
      <c r="AW371" s="89"/>
      <c r="AX371" s="89"/>
    </row>
    <row r="372" spans="1:50" x14ac:dyDescent="0.25">
      <c r="A372" s="89"/>
      <c r="B372" s="89"/>
      <c r="C372" s="89"/>
      <c r="D372" s="89"/>
      <c r="E372" s="89"/>
      <c r="F372" s="89"/>
      <c r="G372" s="89"/>
      <c r="H372" s="89"/>
      <c r="I372" s="89"/>
      <c r="J372" s="89"/>
      <c r="K372" s="89"/>
      <c r="L372" s="89"/>
      <c r="M372" s="89"/>
      <c r="N372" s="89"/>
      <c r="O372" s="89"/>
      <c r="P372" s="89"/>
      <c r="Q372" s="89"/>
      <c r="R372" s="89"/>
      <c r="S372" s="89"/>
      <c r="T372" s="89"/>
      <c r="U372" s="89"/>
      <c r="V372" s="89"/>
      <c r="W372" s="89"/>
      <c r="X372" s="89"/>
      <c r="Y372" s="89"/>
      <c r="Z372" s="89"/>
      <c r="AA372" s="89"/>
      <c r="AB372" s="89"/>
      <c r="AC372" s="89"/>
      <c r="AD372" s="89"/>
      <c r="AE372" s="89"/>
      <c r="AF372" s="89"/>
      <c r="AG372" s="89"/>
      <c r="AH372" s="89"/>
      <c r="AI372" s="89"/>
      <c r="AJ372" s="89"/>
      <c r="AK372" s="89"/>
      <c r="AL372" s="89"/>
      <c r="AM372" s="89"/>
      <c r="AN372" s="89"/>
      <c r="AO372" s="89"/>
      <c r="AP372" s="89"/>
      <c r="AQ372" s="89"/>
      <c r="AR372" s="89"/>
      <c r="AS372" s="89"/>
      <c r="AT372" s="89"/>
      <c r="AU372" s="89"/>
      <c r="AV372" s="89"/>
      <c r="AW372" s="89"/>
      <c r="AX372" s="89"/>
    </row>
    <row r="373" spans="1:50" x14ac:dyDescent="0.25">
      <c r="A373" s="89"/>
      <c r="B373" s="89"/>
      <c r="C373" s="89"/>
      <c r="D373" s="89"/>
      <c r="E373" s="89"/>
      <c r="F373" s="89"/>
      <c r="G373" s="89"/>
      <c r="H373" s="89"/>
      <c r="I373" s="89"/>
      <c r="J373" s="89"/>
      <c r="K373" s="89"/>
      <c r="L373" s="89"/>
      <c r="M373" s="89"/>
      <c r="N373" s="89"/>
      <c r="O373" s="89"/>
      <c r="P373" s="89"/>
      <c r="Q373" s="89"/>
      <c r="R373" s="89"/>
      <c r="S373" s="89"/>
      <c r="T373" s="89"/>
      <c r="U373" s="89"/>
      <c r="V373" s="89"/>
      <c r="W373" s="89"/>
      <c r="X373" s="89"/>
      <c r="Y373" s="89"/>
      <c r="Z373" s="89"/>
      <c r="AA373" s="89"/>
      <c r="AB373" s="89"/>
      <c r="AC373" s="89"/>
      <c r="AD373" s="89"/>
      <c r="AE373" s="89"/>
      <c r="AF373" s="89"/>
      <c r="AG373" s="89"/>
      <c r="AH373" s="89"/>
      <c r="AI373" s="89"/>
      <c r="AJ373" s="89"/>
      <c r="AK373" s="89"/>
      <c r="AL373" s="89"/>
      <c r="AM373" s="89"/>
      <c r="AN373" s="89"/>
      <c r="AO373" s="89"/>
      <c r="AP373" s="89"/>
      <c r="AQ373" s="89"/>
      <c r="AR373" s="89"/>
      <c r="AS373" s="89"/>
      <c r="AT373" s="89"/>
      <c r="AU373" s="89"/>
      <c r="AV373" s="89"/>
      <c r="AW373" s="89"/>
      <c r="AX373" s="89"/>
    </row>
    <row r="374" spans="1:50" x14ac:dyDescent="0.25">
      <c r="A374" s="89"/>
      <c r="B374" s="89"/>
      <c r="C374" s="89"/>
      <c r="D374" s="89"/>
      <c r="E374" s="89"/>
      <c r="F374" s="89"/>
      <c r="G374" s="89"/>
      <c r="H374" s="89"/>
      <c r="I374" s="89"/>
      <c r="J374" s="89"/>
      <c r="K374" s="89"/>
      <c r="L374" s="89"/>
      <c r="M374" s="89"/>
      <c r="N374" s="89"/>
      <c r="O374" s="89"/>
      <c r="P374" s="89"/>
      <c r="Q374" s="89"/>
      <c r="R374" s="89"/>
      <c r="S374" s="89"/>
      <c r="T374" s="89"/>
      <c r="U374" s="89"/>
      <c r="V374" s="89"/>
      <c r="W374" s="89"/>
      <c r="X374" s="89"/>
      <c r="Y374" s="89"/>
      <c r="Z374" s="89"/>
      <c r="AA374" s="89"/>
      <c r="AB374" s="89"/>
      <c r="AC374" s="89"/>
      <c r="AD374" s="89"/>
      <c r="AE374" s="89"/>
      <c r="AF374" s="89"/>
      <c r="AG374" s="89"/>
      <c r="AH374" s="89"/>
      <c r="AI374" s="89"/>
      <c r="AJ374" s="89"/>
      <c r="AK374" s="89"/>
      <c r="AL374" s="89"/>
      <c r="AM374" s="89"/>
      <c r="AN374" s="89"/>
      <c r="AO374" s="89"/>
      <c r="AP374" s="89"/>
      <c r="AQ374" s="89"/>
      <c r="AR374" s="89"/>
      <c r="AS374" s="89"/>
      <c r="AT374" s="89"/>
      <c r="AU374" s="89"/>
      <c r="AV374" s="89"/>
      <c r="AW374" s="89"/>
      <c r="AX374" s="89"/>
    </row>
    <row r="375" spans="1:50" x14ac:dyDescent="0.25">
      <c r="A375" s="89"/>
      <c r="B375" s="89"/>
      <c r="C375" s="89"/>
      <c r="D375" s="89"/>
      <c r="E375" s="89"/>
      <c r="F375" s="89"/>
      <c r="G375" s="89"/>
      <c r="H375" s="89"/>
      <c r="I375" s="89"/>
      <c r="J375" s="89"/>
      <c r="K375" s="89"/>
      <c r="L375" s="89"/>
      <c r="M375" s="89"/>
      <c r="N375" s="89"/>
      <c r="O375" s="89"/>
      <c r="P375" s="89"/>
      <c r="Q375" s="89"/>
      <c r="R375" s="89"/>
      <c r="S375" s="89"/>
      <c r="T375" s="89"/>
      <c r="U375" s="89"/>
      <c r="V375" s="89"/>
      <c r="W375" s="89"/>
      <c r="X375" s="89"/>
      <c r="Y375" s="89"/>
      <c r="Z375" s="89"/>
      <c r="AA375" s="89"/>
      <c r="AB375" s="89"/>
      <c r="AC375" s="89"/>
      <c r="AD375" s="89"/>
      <c r="AE375" s="89"/>
      <c r="AF375" s="89"/>
      <c r="AG375" s="89"/>
      <c r="AH375" s="89"/>
      <c r="AI375" s="89"/>
      <c r="AJ375" s="89"/>
      <c r="AK375" s="89"/>
      <c r="AL375" s="89"/>
      <c r="AM375" s="89"/>
      <c r="AN375" s="89"/>
      <c r="AO375" s="89"/>
      <c r="AP375" s="89"/>
      <c r="AQ375" s="89"/>
      <c r="AR375" s="89"/>
      <c r="AS375" s="89"/>
      <c r="AT375" s="89"/>
      <c r="AU375" s="89"/>
      <c r="AV375" s="89"/>
      <c r="AW375" s="89"/>
      <c r="AX375" s="89"/>
    </row>
    <row r="376" spans="1:50" x14ac:dyDescent="0.25">
      <c r="A376" s="89"/>
      <c r="B376" s="89"/>
      <c r="C376" s="89"/>
      <c r="D376" s="89"/>
      <c r="E376" s="89"/>
      <c r="F376" s="89"/>
      <c r="G376" s="89"/>
      <c r="H376" s="89"/>
      <c r="I376" s="89"/>
      <c r="J376" s="89"/>
      <c r="K376" s="89"/>
      <c r="L376" s="89"/>
      <c r="M376" s="89"/>
      <c r="N376" s="89"/>
      <c r="O376" s="89"/>
      <c r="P376" s="89"/>
      <c r="Q376" s="89"/>
      <c r="R376" s="89"/>
      <c r="S376" s="89"/>
      <c r="T376" s="89"/>
      <c r="U376" s="89"/>
      <c r="V376" s="89"/>
      <c r="W376" s="89"/>
      <c r="X376" s="89"/>
      <c r="Y376" s="89"/>
      <c r="Z376" s="89"/>
      <c r="AA376" s="89"/>
      <c r="AB376" s="89"/>
      <c r="AC376" s="89"/>
      <c r="AD376" s="89"/>
      <c r="AE376" s="89"/>
      <c r="AF376" s="89"/>
      <c r="AG376" s="89"/>
      <c r="AH376" s="89"/>
      <c r="AI376" s="89"/>
      <c r="AJ376" s="89"/>
      <c r="AK376" s="89"/>
      <c r="AL376" s="89"/>
      <c r="AM376" s="89"/>
      <c r="AN376" s="89"/>
      <c r="AO376" s="89"/>
      <c r="AP376" s="89"/>
      <c r="AQ376" s="89"/>
      <c r="AR376" s="89"/>
      <c r="AS376" s="89"/>
      <c r="AT376" s="89"/>
      <c r="AU376" s="89"/>
      <c r="AV376" s="89"/>
      <c r="AW376" s="89"/>
      <c r="AX376" s="89"/>
    </row>
    <row r="377" spans="1:50" x14ac:dyDescent="0.25">
      <c r="A377" s="89"/>
      <c r="B377" s="89"/>
      <c r="C377" s="89"/>
      <c r="D377" s="89"/>
      <c r="E377" s="89"/>
      <c r="F377" s="89"/>
      <c r="G377" s="89"/>
      <c r="H377" s="89"/>
      <c r="I377" s="89"/>
      <c r="J377" s="89"/>
      <c r="K377" s="89"/>
      <c r="L377" s="89"/>
      <c r="M377" s="89"/>
      <c r="N377" s="89"/>
      <c r="O377" s="89"/>
      <c r="P377" s="89"/>
      <c r="Q377" s="89"/>
      <c r="R377" s="89"/>
      <c r="S377" s="89"/>
      <c r="T377" s="89"/>
      <c r="U377" s="89"/>
      <c r="V377" s="89"/>
      <c r="W377" s="89"/>
      <c r="X377" s="89"/>
      <c r="Y377" s="89"/>
      <c r="Z377" s="89"/>
      <c r="AA377" s="89"/>
      <c r="AB377" s="89"/>
      <c r="AC377" s="89"/>
      <c r="AD377" s="89"/>
      <c r="AE377" s="89"/>
      <c r="AF377" s="89"/>
      <c r="AG377" s="89"/>
      <c r="AH377" s="89"/>
      <c r="AI377" s="89"/>
      <c r="AJ377" s="89"/>
      <c r="AK377" s="89"/>
      <c r="AL377" s="89"/>
      <c r="AM377" s="89"/>
      <c r="AN377" s="89"/>
      <c r="AO377" s="89"/>
      <c r="AP377" s="89"/>
      <c r="AQ377" s="89"/>
      <c r="AR377" s="89"/>
      <c r="AS377" s="89"/>
      <c r="AT377" s="89"/>
      <c r="AU377" s="89"/>
      <c r="AV377" s="89"/>
      <c r="AW377" s="89"/>
      <c r="AX377" s="89"/>
    </row>
    <row r="378" spans="1:50" x14ac:dyDescent="0.25">
      <c r="A378" s="89"/>
      <c r="B378" s="89"/>
      <c r="C378" s="89"/>
      <c r="D378" s="89"/>
      <c r="E378" s="89"/>
      <c r="F378" s="89"/>
      <c r="G378" s="89"/>
      <c r="H378" s="89"/>
      <c r="I378" s="89"/>
      <c r="J378" s="89"/>
      <c r="K378" s="89"/>
      <c r="L378" s="89"/>
      <c r="M378" s="89"/>
      <c r="N378" s="89"/>
      <c r="O378" s="89"/>
      <c r="P378" s="89"/>
      <c r="Q378" s="89"/>
      <c r="R378" s="89"/>
      <c r="S378" s="89"/>
      <c r="T378" s="89"/>
      <c r="U378" s="89"/>
      <c r="V378" s="89"/>
      <c r="W378" s="89"/>
      <c r="X378" s="89"/>
      <c r="Y378" s="89"/>
      <c r="Z378" s="89"/>
      <c r="AA378" s="89"/>
      <c r="AB378" s="89"/>
      <c r="AC378" s="89"/>
      <c r="AD378" s="89"/>
      <c r="AE378" s="89"/>
      <c r="AF378" s="89"/>
      <c r="AG378" s="89"/>
      <c r="AH378" s="89"/>
      <c r="AI378" s="89"/>
      <c r="AJ378" s="89"/>
      <c r="AK378" s="89"/>
      <c r="AL378" s="89"/>
      <c r="AM378" s="89"/>
      <c r="AN378" s="89"/>
      <c r="AO378" s="89"/>
      <c r="AP378" s="89"/>
      <c r="AQ378" s="89"/>
      <c r="AR378" s="89"/>
      <c r="AS378" s="89"/>
      <c r="AT378" s="89"/>
      <c r="AU378" s="89"/>
      <c r="AV378" s="89"/>
      <c r="AW378" s="89"/>
      <c r="AX378" s="89"/>
    </row>
    <row r="379" spans="1:50" x14ac:dyDescent="0.25">
      <c r="A379" s="89"/>
      <c r="B379" s="89"/>
      <c r="C379" s="89"/>
      <c r="D379" s="89"/>
      <c r="E379" s="89"/>
      <c r="F379" s="89"/>
      <c r="G379" s="89"/>
      <c r="H379" s="89"/>
      <c r="I379" s="89"/>
      <c r="J379" s="89"/>
      <c r="K379" s="89"/>
      <c r="L379" s="89"/>
      <c r="M379" s="89"/>
      <c r="N379" s="89"/>
      <c r="O379" s="89"/>
      <c r="P379" s="89"/>
      <c r="Q379" s="89"/>
      <c r="R379" s="89"/>
      <c r="S379" s="89"/>
      <c r="T379" s="89"/>
      <c r="U379" s="89"/>
      <c r="V379" s="89"/>
      <c r="W379" s="89"/>
      <c r="X379" s="89"/>
      <c r="Y379" s="89"/>
      <c r="Z379" s="89"/>
      <c r="AA379" s="89"/>
      <c r="AB379" s="89"/>
      <c r="AC379" s="89"/>
      <c r="AD379" s="89"/>
      <c r="AE379" s="89"/>
      <c r="AF379" s="89"/>
      <c r="AG379" s="89"/>
      <c r="AH379" s="89"/>
      <c r="AI379" s="89"/>
      <c r="AJ379" s="89"/>
      <c r="AK379" s="89"/>
      <c r="AL379" s="89"/>
      <c r="AM379" s="89"/>
      <c r="AN379" s="89"/>
      <c r="AO379" s="89"/>
      <c r="AP379" s="89"/>
      <c r="AQ379" s="89"/>
      <c r="AR379" s="89"/>
      <c r="AS379" s="89"/>
      <c r="AT379" s="89"/>
      <c r="AU379" s="89"/>
      <c r="AV379" s="89"/>
      <c r="AW379" s="89"/>
      <c r="AX379" s="89"/>
    </row>
    <row r="380" spans="1:50" x14ac:dyDescent="0.25">
      <c r="A380" s="89"/>
      <c r="B380" s="89"/>
      <c r="C380" s="89"/>
      <c r="D380" s="89"/>
      <c r="E380" s="89"/>
      <c r="F380" s="89"/>
      <c r="G380" s="89"/>
      <c r="H380" s="89"/>
      <c r="I380" s="89"/>
      <c r="J380" s="89"/>
      <c r="K380" s="89"/>
      <c r="L380" s="89"/>
      <c r="M380" s="89"/>
      <c r="N380" s="89"/>
      <c r="O380" s="89"/>
      <c r="P380" s="89"/>
      <c r="Q380" s="89"/>
      <c r="R380" s="89"/>
      <c r="S380" s="89"/>
      <c r="T380" s="89"/>
      <c r="U380" s="89"/>
      <c r="V380" s="89"/>
      <c r="W380" s="89"/>
      <c r="X380" s="89"/>
      <c r="Y380" s="89"/>
      <c r="Z380" s="89"/>
      <c r="AA380" s="89"/>
      <c r="AB380" s="89"/>
      <c r="AC380" s="89"/>
      <c r="AD380" s="89"/>
      <c r="AE380" s="89"/>
      <c r="AF380" s="89"/>
      <c r="AG380" s="89"/>
      <c r="AH380" s="89"/>
      <c r="AI380" s="89"/>
      <c r="AJ380" s="89"/>
      <c r="AK380" s="89"/>
      <c r="AL380" s="89"/>
      <c r="AM380" s="89"/>
      <c r="AN380" s="89"/>
      <c r="AO380" s="89"/>
      <c r="AP380" s="89"/>
      <c r="AQ380" s="89"/>
      <c r="AR380" s="89"/>
      <c r="AS380" s="89"/>
      <c r="AT380" s="89"/>
      <c r="AU380" s="89"/>
      <c r="AV380" s="89"/>
      <c r="AW380" s="89"/>
      <c r="AX380" s="89"/>
    </row>
    <row r="381" spans="1:50" x14ac:dyDescent="0.25">
      <c r="A381" s="89"/>
      <c r="B381" s="89"/>
      <c r="C381" s="89"/>
      <c r="D381" s="89"/>
      <c r="E381" s="89"/>
      <c r="F381" s="89"/>
      <c r="G381" s="89"/>
      <c r="H381" s="89"/>
      <c r="I381" s="89"/>
      <c r="J381" s="89"/>
      <c r="K381" s="89"/>
      <c r="L381" s="89"/>
      <c r="M381" s="89"/>
      <c r="N381" s="89"/>
      <c r="P381" s="89"/>
      <c r="Q381" s="89"/>
      <c r="R381" s="89"/>
      <c r="S381" s="89"/>
      <c r="T381" s="89"/>
      <c r="U381" s="89"/>
      <c r="V381" s="89"/>
      <c r="W381" s="89"/>
      <c r="X381" s="89"/>
      <c r="Y381" s="89"/>
      <c r="AB381" s="89"/>
      <c r="AD381" s="89"/>
      <c r="AE381" s="89"/>
    </row>
    <row r="382" spans="1:50" x14ac:dyDescent="0.25">
      <c r="A382" s="89"/>
      <c r="B382" s="89"/>
      <c r="C382" s="89"/>
      <c r="D382" s="89"/>
      <c r="E382" s="89"/>
      <c r="F382" s="89"/>
      <c r="G382" s="89"/>
      <c r="H382" s="89"/>
      <c r="I382" s="89"/>
      <c r="J382" s="89"/>
      <c r="K382" s="89"/>
      <c r="L382" s="89"/>
      <c r="M382" s="89"/>
      <c r="N382" s="89"/>
      <c r="W382" s="89"/>
      <c r="X382" s="89"/>
      <c r="Y382" s="89"/>
    </row>
    <row r="383" spans="1:50" x14ac:dyDescent="0.25">
      <c r="A383" s="89"/>
      <c r="B383" s="89"/>
      <c r="C383" s="89"/>
      <c r="D383" s="89"/>
      <c r="E383" s="89"/>
      <c r="F383" s="89"/>
      <c r="G383" s="89"/>
      <c r="H383" s="89"/>
      <c r="I383" s="89"/>
      <c r="J383" s="89"/>
      <c r="K383" s="89"/>
      <c r="L383" s="89"/>
      <c r="M383" s="89"/>
      <c r="N383" s="89"/>
      <c r="W383" s="89"/>
      <c r="Y383" s="89"/>
    </row>
    <row r="384" spans="1:50" x14ac:dyDescent="0.25">
      <c r="A384" s="89"/>
      <c r="B384" s="89"/>
      <c r="C384" s="89"/>
      <c r="D384" s="89"/>
      <c r="E384" s="89"/>
      <c r="F384" s="89"/>
      <c r="G384" s="89"/>
      <c r="H384" s="89"/>
      <c r="I384" s="89"/>
      <c r="J384" s="89"/>
      <c r="K384" s="89"/>
      <c r="L384" s="89"/>
      <c r="M384" s="89"/>
      <c r="N384" s="89"/>
      <c r="Y384" s="89"/>
    </row>
    <row r="385" spans="1:14" x14ac:dyDescent="0.25">
      <c r="A385" s="89"/>
      <c r="B385" s="89"/>
      <c r="C385" s="89"/>
      <c r="D385" s="89"/>
      <c r="E385" s="89"/>
      <c r="F385" s="89"/>
      <c r="G385" s="89"/>
      <c r="H385" s="89"/>
      <c r="I385" s="89"/>
      <c r="J385" s="89"/>
      <c r="K385" s="89"/>
      <c r="L385" s="89"/>
      <c r="M385" s="89"/>
      <c r="N385" s="89"/>
    </row>
    <row r="386" spans="1:14" x14ac:dyDescent="0.25">
      <c r="A386" s="89"/>
      <c r="B386" s="89"/>
      <c r="C386" s="89"/>
      <c r="D386" s="89"/>
      <c r="E386" s="89"/>
      <c r="F386" s="89"/>
      <c r="G386" s="89"/>
      <c r="H386" s="89"/>
      <c r="I386" s="89"/>
      <c r="J386" s="89"/>
      <c r="K386" s="89"/>
      <c r="L386" s="89"/>
      <c r="M386" s="89"/>
      <c r="N386" s="89"/>
    </row>
    <row r="387" spans="1:14" x14ac:dyDescent="0.25">
      <c r="A387" s="89"/>
      <c r="B387" s="89"/>
      <c r="C387" s="89"/>
      <c r="D387" s="89"/>
      <c r="E387" s="89"/>
      <c r="F387" s="89"/>
      <c r="G387" s="89"/>
      <c r="H387" s="89"/>
      <c r="I387" s="89"/>
      <c r="J387" s="89"/>
      <c r="K387" s="89"/>
      <c r="L387" s="89"/>
      <c r="M387" s="89"/>
      <c r="N387" s="89"/>
    </row>
    <row r="388" spans="1:14" x14ac:dyDescent="0.25">
      <c r="A388" s="89"/>
      <c r="B388" s="89"/>
      <c r="C388" s="89"/>
      <c r="D388" s="89"/>
      <c r="E388" s="89"/>
      <c r="F388" s="89"/>
      <c r="G388" s="89"/>
      <c r="H388" s="89"/>
      <c r="I388" s="89"/>
      <c r="J388" s="89"/>
      <c r="K388" s="89"/>
      <c r="L388" s="89"/>
      <c r="M388" s="89"/>
      <c r="N388" s="89"/>
    </row>
    <row r="389" spans="1:14" x14ac:dyDescent="0.25">
      <c r="A389" s="89"/>
      <c r="B389" s="89"/>
      <c r="C389" s="89"/>
      <c r="D389" s="89"/>
      <c r="E389" s="89"/>
      <c r="F389" s="89"/>
      <c r="G389" s="89"/>
      <c r="H389" s="89"/>
      <c r="I389" s="89"/>
      <c r="J389" s="89"/>
      <c r="K389" s="89"/>
      <c r="L389" s="89"/>
      <c r="M389" s="89"/>
      <c r="N389" s="89"/>
    </row>
    <row r="390" spans="1:14" x14ac:dyDescent="0.25">
      <c r="A390" s="89"/>
      <c r="B390" s="89"/>
      <c r="C390" s="89"/>
      <c r="D390" s="89"/>
      <c r="E390" s="89"/>
      <c r="F390" s="89"/>
      <c r="G390" s="89"/>
      <c r="H390" s="89"/>
      <c r="I390" s="89"/>
      <c r="J390" s="89"/>
      <c r="K390" s="89"/>
      <c r="L390" s="89"/>
      <c r="M390" s="89"/>
      <c r="N390" s="89"/>
    </row>
    <row r="391" spans="1:14" x14ac:dyDescent="0.25">
      <c r="A391" s="89"/>
      <c r="B391" s="89"/>
      <c r="C391" s="89"/>
      <c r="D391" s="89"/>
      <c r="E391" s="89"/>
      <c r="F391" s="89"/>
      <c r="G391" s="89"/>
      <c r="H391" s="89"/>
      <c r="I391" s="89"/>
      <c r="J391" s="89"/>
      <c r="K391" s="89"/>
      <c r="L391" s="89"/>
      <c r="M391" s="89"/>
      <c r="N391" s="89"/>
    </row>
    <row r="392" spans="1:14" x14ac:dyDescent="0.25">
      <c r="A392" s="89"/>
      <c r="B392" s="89"/>
      <c r="C392" s="89"/>
      <c r="D392" s="89"/>
      <c r="E392" s="89"/>
      <c r="F392" s="89"/>
      <c r="G392" s="89"/>
      <c r="H392" s="89"/>
      <c r="I392" s="89"/>
      <c r="J392" s="89"/>
      <c r="K392" s="89"/>
      <c r="L392" s="89"/>
      <c r="M392" s="89"/>
      <c r="N392" s="89"/>
    </row>
    <row r="393" spans="1:14" x14ac:dyDescent="0.25">
      <c r="A393" s="89"/>
      <c r="B393" s="89"/>
      <c r="C393" s="89"/>
      <c r="D393" s="89"/>
      <c r="E393" s="89"/>
      <c r="F393" s="89"/>
      <c r="G393" s="89"/>
      <c r="H393" s="89"/>
      <c r="I393" s="89"/>
      <c r="J393" s="89"/>
      <c r="K393" s="89"/>
      <c r="L393" s="89"/>
      <c r="M393" s="89"/>
      <c r="N393" s="89"/>
    </row>
    <row r="394" spans="1:14" x14ac:dyDescent="0.25">
      <c r="A394" s="89"/>
      <c r="B394" s="89"/>
      <c r="C394" s="89"/>
      <c r="D394" s="89"/>
      <c r="E394" s="89"/>
      <c r="F394" s="89"/>
      <c r="G394" s="89"/>
      <c r="H394" s="89"/>
      <c r="I394" s="89"/>
      <c r="J394" s="89"/>
      <c r="K394" s="89"/>
      <c r="L394" s="89"/>
      <c r="M394" s="89"/>
      <c r="N394" s="89"/>
    </row>
    <row r="395" spans="1:14" x14ac:dyDescent="0.25">
      <c r="A395" s="89"/>
      <c r="B395" s="89"/>
      <c r="C395" s="89"/>
      <c r="D395" s="89"/>
      <c r="E395" s="89"/>
      <c r="F395" s="89"/>
      <c r="G395" s="89"/>
      <c r="H395" s="89"/>
      <c r="I395" s="89"/>
      <c r="J395" s="89"/>
      <c r="K395" s="89"/>
      <c r="L395" s="89"/>
      <c r="M395" s="89"/>
      <c r="N395" s="89"/>
    </row>
    <row r="396" spans="1:14" x14ac:dyDescent="0.25">
      <c r="A396" s="89"/>
      <c r="B396" s="89"/>
      <c r="C396" s="89"/>
      <c r="D396" s="89"/>
      <c r="E396" s="89"/>
      <c r="F396" s="89"/>
      <c r="G396" s="89"/>
      <c r="H396" s="89"/>
      <c r="I396" s="89"/>
      <c r="J396" s="89"/>
      <c r="K396" s="89"/>
      <c r="L396" s="89"/>
      <c r="M396" s="89"/>
      <c r="N396" s="89"/>
    </row>
    <row r="397" spans="1:14" x14ac:dyDescent="0.25">
      <c r="A397" s="89"/>
      <c r="B397" s="89"/>
      <c r="C397" s="89"/>
      <c r="D397" s="89"/>
      <c r="E397" s="89"/>
      <c r="F397" s="89"/>
      <c r="G397" s="89"/>
      <c r="H397" s="89"/>
      <c r="I397" s="89"/>
      <c r="J397" s="89"/>
      <c r="K397" s="89"/>
      <c r="L397" s="89"/>
      <c r="M397" s="89"/>
      <c r="N397" s="89"/>
    </row>
    <row r="398" spans="1:14" x14ac:dyDescent="0.25">
      <c r="A398" s="89"/>
      <c r="B398" s="89"/>
      <c r="C398" s="89"/>
      <c r="D398" s="89"/>
      <c r="E398" s="89"/>
      <c r="F398" s="89"/>
      <c r="G398" s="89"/>
      <c r="H398" s="89"/>
      <c r="I398" s="89"/>
      <c r="J398" s="89"/>
      <c r="K398" s="89"/>
      <c r="L398" s="89"/>
      <c r="M398" s="89"/>
      <c r="N398" s="89"/>
    </row>
    <row r="399" spans="1:14" x14ac:dyDescent="0.25">
      <c r="A399" s="89"/>
      <c r="B399" s="89"/>
      <c r="C399" s="89"/>
      <c r="D399" s="89"/>
      <c r="E399" s="89"/>
      <c r="F399" s="89"/>
      <c r="G399" s="89"/>
      <c r="H399" s="89"/>
      <c r="I399" s="89"/>
      <c r="J399" s="89"/>
      <c r="K399" s="89"/>
      <c r="L399" s="89"/>
      <c r="M399" s="89"/>
      <c r="N399" s="89"/>
    </row>
    <row r="400" spans="1:14" x14ac:dyDescent="0.25">
      <c r="A400" s="89"/>
      <c r="B400" s="89"/>
      <c r="C400" s="89"/>
      <c r="D400" s="89"/>
      <c r="E400" s="89"/>
      <c r="F400" s="89"/>
      <c r="G400" s="89"/>
      <c r="H400" s="89"/>
      <c r="I400" s="89"/>
      <c r="J400" s="89"/>
      <c r="K400" s="89"/>
      <c r="L400" s="89"/>
      <c r="M400" s="89"/>
      <c r="N400" s="89"/>
    </row>
    <row r="401" spans="1:14" x14ac:dyDescent="0.25">
      <c r="A401" s="89"/>
      <c r="B401" s="89"/>
      <c r="C401" s="89"/>
      <c r="D401" s="89"/>
      <c r="E401" s="89"/>
      <c r="F401" s="89"/>
      <c r="G401" s="89"/>
      <c r="H401" s="89"/>
      <c r="I401" s="89"/>
      <c r="J401" s="89"/>
      <c r="K401" s="89"/>
      <c r="L401" s="89"/>
      <c r="M401" s="89"/>
      <c r="N401" s="89"/>
    </row>
    <row r="402" spans="1:14" x14ac:dyDescent="0.25">
      <c r="A402" s="89"/>
      <c r="B402" s="89"/>
      <c r="C402" s="89"/>
      <c r="D402" s="89"/>
      <c r="E402" s="89"/>
      <c r="F402" s="89"/>
      <c r="G402" s="89"/>
      <c r="H402" s="89"/>
      <c r="I402" s="89"/>
      <c r="J402" s="89"/>
      <c r="K402" s="89"/>
      <c r="L402" s="89"/>
      <c r="M402" s="89"/>
      <c r="N402" s="89"/>
    </row>
    <row r="403" spans="1:14" x14ac:dyDescent="0.25">
      <c r="A403" s="89"/>
      <c r="B403" s="89"/>
      <c r="C403" s="89"/>
      <c r="D403" s="89"/>
      <c r="E403" s="89"/>
      <c r="F403" s="89"/>
      <c r="G403" s="89"/>
      <c r="H403" s="89"/>
      <c r="I403" s="89"/>
      <c r="J403" s="89"/>
      <c r="K403" s="89"/>
      <c r="L403" s="89"/>
      <c r="M403" s="89"/>
      <c r="N403" s="89"/>
    </row>
    <row r="404" spans="1:14" x14ac:dyDescent="0.25">
      <c r="A404" s="89"/>
      <c r="B404" s="89"/>
      <c r="C404" s="89"/>
      <c r="D404" s="89"/>
      <c r="E404" s="89"/>
      <c r="F404" s="89"/>
      <c r="G404" s="89"/>
      <c r="H404" s="89"/>
      <c r="I404" s="89"/>
      <c r="J404" s="89"/>
      <c r="K404" s="89"/>
      <c r="L404" s="89"/>
      <c r="M404" s="89"/>
      <c r="N404" s="89"/>
    </row>
    <row r="405" spans="1:14" x14ac:dyDescent="0.25">
      <c r="A405" s="89"/>
      <c r="B405" s="89"/>
      <c r="C405" s="89"/>
      <c r="D405" s="89"/>
      <c r="E405" s="89"/>
      <c r="F405" s="89"/>
      <c r="G405" s="89"/>
      <c r="H405" s="89"/>
      <c r="I405" s="89"/>
      <c r="J405" s="89"/>
      <c r="K405" s="89"/>
      <c r="L405" s="89"/>
      <c r="M405" s="89"/>
      <c r="N405" s="89"/>
    </row>
    <row r="406" spans="1:14" x14ac:dyDescent="0.25">
      <c r="A406" s="89"/>
      <c r="B406" s="89"/>
      <c r="C406" s="89"/>
      <c r="D406" s="89"/>
      <c r="E406" s="89"/>
      <c r="F406" s="89"/>
      <c r="G406" s="89"/>
      <c r="H406" s="89"/>
      <c r="I406" s="89"/>
      <c r="J406" s="89"/>
      <c r="K406" s="89"/>
      <c r="L406" s="89"/>
      <c r="M406" s="89"/>
      <c r="N406" s="89"/>
    </row>
    <row r="407" spans="1:14" x14ac:dyDescent="0.25">
      <c r="A407" s="89"/>
      <c r="B407" s="89"/>
      <c r="C407" s="89"/>
      <c r="D407" s="89"/>
      <c r="E407" s="89"/>
      <c r="F407" s="89"/>
      <c r="G407" s="89"/>
      <c r="H407" s="89"/>
      <c r="I407" s="89"/>
      <c r="J407" s="89"/>
      <c r="K407" s="89"/>
      <c r="L407" s="89"/>
      <c r="M407" s="89"/>
      <c r="N407" s="89"/>
    </row>
    <row r="408" spans="1:14" x14ac:dyDescent="0.25">
      <c r="A408" s="89"/>
      <c r="B408" s="89"/>
      <c r="C408" s="89"/>
      <c r="D408" s="89"/>
      <c r="E408" s="89"/>
      <c r="F408" s="89"/>
      <c r="G408" s="89"/>
      <c r="H408" s="89"/>
      <c r="I408" s="89"/>
      <c r="J408" s="89"/>
      <c r="K408" s="89"/>
      <c r="L408" s="89"/>
      <c r="M408" s="89"/>
      <c r="N408" s="89"/>
    </row>
    <row r="409" spans="1:14" x14ac:dyDescent="0.25">
      <c r="A409" s="89"/>
      <c r="B409" s="89"/>
      <c r="C409" s="89"/>
      <c r="D409" s="89"/>
      <c r="E409" s="89"/>
      <c r="F409" s="89"/>
      <c r="G409" s="89"/>
      <c r="H409" s="89"/>
      <c r="I409" s="89"/>
      <c r="J409" s="89"/>
      <c r="K409" s="89"/>
      <c r="L409" s="89"/>
      <c r="M409" s="89"/>
      <c r="N409" s="89"/>
    </row>
    <row r="410" spans="1:14" x14ac:dyDescent="0.25">
      <c r="A410" s="89"/>
      <c r="B410" s="89"/>
      <c r="C410" s="89"/>
      <c r="D410" s="89"/>
      <c r="E410" s="89"/>
      <c r="F410" s="89"/>
      <c r="G410" s="89"/>
      <c r="H410" s="89"/>
      <c r="I410" s="89"/>
      <c r="J410" s="89"/>
      <c r="K410" s="89"/>
      <c r="L410" s="89"/>
      <c r="M410" s="89"/>
      <c r="N410" s="89"/>
    </row>
    <row r="411" spans="1:14" x14ac:dyDescent="0.25">
      <c r="A411" s="89"/>
      <c r="B411" s="89"/>
      <c r="C411" s="89"/>
      <c r="D411" s="89"/>
      <c r="E411" s="89"/>
      <c r="F411" s="89"/>
      <c r="G411" s="89"/>
      <c r="H411" s="89"/>
      <c r="I411" s="89"/>
      <c r="J411" s="89"/>
      <c r="K411" s="89"/>
      <c r="L411" s="89"/>
      <c r="M411" s="89"/>
      <c r="N411" s="89"/>
    </row>
    <row r="412" spans="1:14" x14ac:dyDescent="0.25">
      <c r="A412" s="89"/>
      <c r="B412" s="89"/>
      <c r="C412" s="89"/>
      <c r="D412" s="89"/>
      <c r="E412" s="89"/>
      <c r="F412" s="89"/>
      <c r="G412" s="89"/>
      <c r="H412" s="89"/>
      <c r="I412" s="89"/>
      <c r="J412" s="89"/>
      <c r="K412" s="89"/>
      <c r="L412" s="89"/>
      <c r="M412" s="89"/>
      <c r="N412" s="89"/>
    </row>
    <row r="413" spans="1:14" x14ac:dyDescent="0.25">
      <c r="A413" s="89"/>
      <c r="B413" s="89"/>
      <c r="C413" s="89"/>
      <c r="D413" s="89"/>
      <c r="E413" s="89"/>
      <c r="F413" s="89"/>
      <c r="G413" s="89"/>
      <c r="H413" s="89"/>
      <c r="I413" s="89"/>
      <c r="J413" s="89"/>
      <c r="K413" s="89"/>
      <c r="L413" s="89"/>
      <c r="M413" s="89"/>
      <c r="N413" s="89"/>
    </row>
    <row r="414" spans="1:14" x14ac:dyDescent="0.25">
      <c r="A414" s="89"/>
      <c r="B414" s="89"/>
      <c r="C414" s="89"/>
      <c r="D414" s="89"/>
      <c r="E414" s="89"/>
      <c r="F414" s="89"/>
      <c r="G414" s="89"/>
      <c r="H414" s="89"/>
      <c r="I414" s="89"/>
      <c r="J414" s="89"/>
      <c r="K414" s="89"/>
      <c r="L414" s="89"/>
      <c r="M414" s="89"/>
      <c r="N414" s="89"/>
    </row>
    <row r="415" spans="1:14" x14ac:dyDescent="0.25">
      <c r="A415" s="89"/>
      <c r="B415" s="89"/>
      <c r="C415" s="89"/>
      <c r="D415" s="89"/>
      <c r="E415" s="89"/>
      <c r="F415" s="89"/>
      <c r="G415" s="89"/>
      <c r="H415" s="89"/>
      <c r="I415" s="89"/>
      <c r="J415" s="89"/>
      <c r="K415" s="89"/>
      <c r="L415" s="89"/>
      <c r="M415" s="89"/>
      <c r="N415" s="89"/>
    </row>
    <row r="416" spans="1:14" x14ac:dyDescent="0.25">
      <c r="A416" s="89"/>
      <c r="B416" s="89"/>
      <c r="C416" s="89"/>
      <c r="D416" s="89"/>
      <c r="E416" s="89"/>
      <c r="F416" s="89"/>
      <c r="G416" s="89"/>
      <c r="H416" s="89"/>
      <c r="I416" s="89"/>
      <c r="J416" s="89"/>
      <c r="K416" s="89"/>
      <c r="L416" s="89"/>
      <c r="M416" s="89"/>
      <c r="N416" s="89"/>
    </row>
    <row r="417" spans="1:14" x14ac:dyDescent="0.25">
      <c r="A417" s="89"/>
      <c r="B417" s="89"/>
      <c r="C417" s="89"/>
      <c r="D417" s="89"/>
      <c r="E417" s="89"/>
      <c r="F417" s="89"/>
      <c r="G417" s="89"/>
      <c r="H417" s="89"/>
      <c r="I417" s="89"/>
      <c r="J417" s="89"/>
      <c r="K417" s="89"/>
      <c r="L417" s="89"/>
      <c r="M417" s="89"/>
      <c r="N417" s="89"/>
    </row>
    <row r="418" spans="1:14" x14ac:dyDescent="0.25">
      <c r="A418" s="89"/>
      <c r="B418" s="89"/>
      <c r="C418" s="89"/>
      <c r="D418" s="89"/>
      <c r="E418" s="89"/>
      <c r="F418" s="89"/>
      <c r="G418" s="89"/>
      <c r="H418" s="89"/>
      <c r="I418" s="89"/>
      <c r="J418" s="89"/>
      <c r="K418" s="89"/>
      <c r="L418" s="89"/>
      <c r="M418" s="89"/>
      <c r="N418" s="89"/>
    </row>
    <row r="419" spans="1:14" x14ac:dyDescent="0.25">
      <c r="A419" s="89"/>
      <c r="B419" s="89"/>
      <c r="C419" s="89"/>
      <c r="D419" s="89"/>
      <c r="E419" s="89"/>
      <c r="F419" s="89"/>
      <c r="G419" s="89"/>
      <c r="H419" s="89"/>
      <c r="I419" s="89"/>
      <c r="J419" s="89"/>
      <c r="K419" s="89"/>
      <c r="L419" s="89"/>
      <c r="M419" s="89"/>
      <c r="N419" s="89"/>
    </row>
    <row r="420" spans="1:14" x14ac:dyDescent="0.25">
      <c r="A420" s="89"/>
      <c r="B420" s="89"/>
      <c r="C420" s="89"/>
      <c r="D420" s="89"/>
      <c r="E420" s="89"/>
      <c r="F420" s="89"/>
      <c r="G420" s="89"/>
      <c r="H420" s="89"/>
      <c r="I420" s="89"/>
      <c r="J420" s="89"/>
      <c r="K420" s="89"/>
      <c r="L420" s="89"/>
      <c r="M420" s="89"/>
      <c r="N420" s="89"/>
    </row>
    <row r="421" spans="1:14" x14ac:dyDescent="0.25">
      <c r="A421" s="89"/>
      <c r="B421" s="89"/>
      <c r="C421" s="89"/>
      <c r="D421" s="89"/>
      <c r="E421" s="89"/>
      <c r="F421" s="89"/>
      <c r="G421" s="89"/>
      <c r="H421" s="89"/>
      <c r="I421" s="89"/>
      <c r="J421" s="89"/>
      <c r="K421" s="89"/>
      <c r="L421" s="89"/>
      <c r="M421" s="89"/>
      <c r="N421" s="89"/>
    </row>
    <row r="422" spans="1:14" x14ac:dyDescent="0.25">
      <c r="A422" s="89"/>
      <c r="B422" s="89"/>
      <c r="C422" s="89"/>
      <c r="D422" s="89"/>
      <c r="E422" s="89"/>
      <c r="F422" s="89"/>
      <c r="G422" s="89"/>
      <c r="H422" s="89"/>
      <c r="I422" s="89"/>
      <c r="J422" s="89"/>
      <c r="K422" s="89"/>
      <c r="L422" s="89"/>
      <c r="M422" s="89"/>
      <c r="N422" s="89"/>
    </row>
    <row r="423" spans="1:14" x14ac:dyDescent="0.25">
      <c r="A423" s="89"/>
      <c r="B423" s="89"/>
      <c r="C423" s="89"/>
      <c r="D423" s="89"/>
      <c r="E423" s="89"/>
      <c r="F423" s="89"/>
      <c r="G423" s="89"/>
      <c r="H423" s="89"/>
      <c r="I423" s="89"/>
      <c r="J423" s="89"/>
      <c r="K423" s="89"/>
      <c r="L423" s="89"/>
      <c r="M423" s="89"/>
      <c r="N423" s="89"/>
    </row>
    <row r="424" spans="1:14" x14ac:dyDescent="0.25">
      <c r="A424" s="89"/>
      <c r="B424" s="89"/>
      <c r="C424" s="89"/>
      <c r="D424" s="89"/>
      <c r="E424" s="89"/>
      <c r="F424" s="89"/>
      <c r="G424" s="89"/>
      <c r="H424" s="89"/>
      <c r="I424" s="89"/>
      <c r="J424" s="89"/>
      <c r="K424" s="89"/>
      <c r="L424" s="89"/>
      <c r="M424" s="89"/>
      <c r="N424" s="89"/>
    </row>
    <row r="425" spans="1:14" x14ac:dyDescent="0.25">
      <c r="A425" s="89"/>
      <c r="B425" s="89"/>
      <c r="C425" s="89"/>
      <c r="D425" s="89"/>
      <c r="E425" s="89"/>
      <c r="F425" s="89"/>
      <c r="G425" s="89"/>
      <c r="H425" s="89"/>
      <c r="I425" s="89"/>
      <c r="J425" s="89"/>
      <c r="K425" s="89"/>
      <c r="L425" s="89"/>
      <c r="M425" s="89"/>
      <c r="N425" s="89"/>
    </row>
    <row r="426" spans="1:14" x14ac:dyDescent="0.25">
      <c r="A426" s="89"/>
      <c r="B426" s="89"/>
      <c r="C426" s="89"/>
      <c r="D426" s="89"/>
      <c r="E426" s="89"/>
      <c r="F426" s="89"/>
      <c r="G426" s="89"/>
      <c r="H426" s="89"/>
      <c r="I426" s="89"/>
      <c r="J426" s="89"/>
      <c r="K426" s="89"/>
      <c r="L426" s="89"/>
      <c r="M426" s="89"/>
      <c r="N426" s="89"/>
    </row>
    <row r="427" spans="1:14" x14ac:dyDescent="0.25">
      <c r="A427" s="89"/>
      <c r="B427" s="89"/>
      <c r="C427" s="89"/>
      <c r="D427" s="89"/>
      <c r="E427" s="89"/>
      <c r="F427" s="89"/>
      <c r="G427" s="89"/>
      <c r="H427" s="89"/>
      <c r="I427" s="89"/>
      <c r="J427" s="89"/>
      <c r="K427" s="89"/>
      <c r="L427" s="89"/>
      <c r="M427" s="89"/>
      <c r="N427" s="89"/>
    </row>
    <row r="428" spans="1:14" x14ac:dyDescent="0.25">
      <c r="A428" s="89"/>
      <c r="B428" s="89"/>
      <c r="C428" s="89"/>
      <c r="D428" s="89"/>
      <c r="E428" s="89"/>
      <c r="F428" s="89"/>
      <c r="G428" s="89"/>
      <c r="H428" s="89"/>
      <c r="I428" s="89"/>
      <c r="J428" s="89"/>
      <c r="K428" s="89"/>
      <c r="L428" s="89"/>
      <c r="M428" s="89"/>
      <c r="N428" s="89"/>
    </row>
    <row r="429" spans="1:14" x14ac:dyDescent="0.25">
      <c r="A429" s="89"/>
      <c r="B429" s="89"/>
      <c r="C429" s="89"/>
      <c r="D429" s="89"/>
      <c r="E429" s="89"/>
      <c r="F429" s="89"/>
      <c r="G429" s="89"/>
      <c r="H429" s="89"/>
      <c r="I429" s="89"/>
      <c r="J429" s="89"/>
      <c r="K429" s="89"/>
      <c r="L429" s="89"/>
      <c r="M429" s="89"/>
      <c r="N429" s="89"/>
    </row>
    <row r="430" spans="1:14" x14ac:dyDescent="0.25">
      <c r="A430" s="89"/>
      <c r="B430" s="89"/>
      <c r="C430" s="89"/>
      <c r="D430" s="89"/>
      <c r="E430" s="89"/>
      <c r="F430" s="89"/>
      <c r="G430" s="89"/>
      <c r="H430" s="89"/>
      <c r="I430" s="89"/>
      <c r="J430" s="89"/>
      <c r="K430" s="89"/>
      <c r="L430" s="89"/>
      <c r="M430" s="89"/>
      <c r="N430" s="89"/>
    </row>
    <row r="431" spans="1:14" x14ac:dyDescent="0.25">
      <c r="A431" s="89"/>
      <c r="B431" s="89"/>
      <c r="C431" s="89"/>
      <c r="D431" s="89"/>
      <c r="E431" s="89"/>
      <c r="F431" s="89"/>
      <c r="G431" s="89"/>
      <c r="H431" s="89"/>
      <c r="I431" s="89"/>
      <c r="J431" s="89"/>
      <c r="K431" s="89"/>
      <c r="L431" s="89"/>
      <c r="M431" s="89"/>
      <c r="N431" s="89"/>
    </row>
    <row r="432" spans="1:14" x14ac:dyDescent="0.25">
      <c r="A432" s="89"/>
      <c r="B432" s="89"/>
      <c r="C432" s="89"/>
      <c r="D432" s="89"/>
      <c r="E432" s="89"/>
      <c r="F432" s="89"/>
      <c r="G432" s="89"/>
      <c r="H432" s="89"/>
      <c r="I432" s="89"/>
      <c r="J432" s="89"/>
      <c r="K432" s="89"/>
      <c r="L432" s="89"/>
      <c r="M432" s="89"/>
      <c r="N432" s="89"/>
    </row>
    <row r="433" spans="1:14" x14ac:dyDescent="0.25">
      <c r="A433" s="89"/>
      <c r="B433" s="89"/>
      <c r="C433" s="89"/>
      <c r="D433" s="89"/>
      <c r="E433" s="89"/>
      <c r="F433" s="89"/>
      <c r="G433" s="89"/>
      <c r="H433" s="89"/>
      <c r="I433" s="89"/>
      <c r="J433" s="89"/>
      <c r="K433" s="89"/>
      <c r="L433" s="89"/>
      <c r="M433" s="89"/>
      <c r="N433" s="89"/>
    </row>
    <row r="434" spans="1:14" x14ac:dyDescent="0.25">
      <c r="A434" s="89"/>
      <c r="B434" s="89"/>
      <c r="C434" s="89"/>
      <c r="D434" s="89"/>
      <c r="E434" s="89"/>
      <c r="F434" s="89"/>
      <c r="G434" s="89"/>
      <c r="H434" s="89"/>
      <c r="I434" s="89"/>
      <c r="J434" s="89"/>
      <c r="K434" s="89"/>
      <c r="L434" s="89"/>
      <c r="M434" s="89"/>
      <c r="N434" s="89"/>
    </row>
    <row r="435" spans="1:14" x14ac:dyDescent="0.25">
      <c r="A435" s="89"/>
      <c r="B435" s="89"/>
      <c r="C435" s="89"/>
      <c r="D435" s="89"/>
      <c r="E435" s="89"/>
      <c r="F435" s="89"/>
      <c r="G435" s="89"/>
      <c r="H435" s="89"/>
      <c r="I435" s="89"/>
      <c r="J435" s="89"/>
      <c r="K435" s="89"/>
      <c r="L435" s="89"/>
      <c r="M435" s="89"/>
      <c r="N435" s="89"/>
    </row>
    <row r="436" spans="1:14" x14ac:dyDescent="0.25">
      <c r="A436" s="89"/>
      <c r="B436" s="89"/>
      <c r="C436" s="89"/>
      <c r="D436" s="89"/>
      <c r="E436" s="89"/>
      <c r="F436" s="89"/>
      <c r="G436" s="89"/>
      <c r="H436" s="89"/>
      <c r="I436" s="89"/>
      <c r="J436" s="89"/>
      <c r="K436" s="89"/>
      <c r="L436" s="89"/>
      <c r="M436" s="89"/>
      <c r="N436" s="89"/>
    </row>
    <row r="437" spans="1:14" x14ac:dyDescent="0.25">
      <c r="A437" s="89"/>
      <c r="B437" s="89"/>
      <c r="C437" s="89"/>
      <c r="D437" s="89"/>
      <c r="E437" s="89"/>
      <c r="F437" s="89"/>
      <c r="G437" s="89"/>
      <c r="H437" s="89"/>
      <c r="I437" s="89"/>
      <c r="J437" s="89"/>
      <c r="K437" s="89"/>
      <c r="L437" s="89"/>
      <c r="M437" s="89"/>
      <c r="N437" s="89"/>
    </row>
    <row r="438" spans="1:14" x14ac:dyDescent="0.25">
      <c r="A438" s="89"/>
      <c r="B438" s="89"/>
      <c r="C438" s="89"/>
      <c r="D438" s="89"/>
      <c r="E438" s="89"/>
      <c r="F438" s="89"/>
      <c r="G438" s="89"/>
      <c r="H438" s="89"/>
      <c r="I438" s="89"/>
      <c r="J438" s="89"/>
      <c r="K438" s="89"/>
      <c r="L438" s="89"/>
      <c r="M438" s="89"/>
      <c r="N438" s="89"/>
    </row>
    <row r="439" spans="1:14" x14ac:dyDescent="0.25">
      <c r="A439" s="89"/>
      <c r="B439" s="89"/>
      <c r="C439" s="89"/>
      <c r="D439" s="89"/>
      <c r="E439" s="89"/>
      <c r="F439" s="89"/>
      <c r="G439" s="89"/>
      <c r="H439" s="89"/>
      <c r="I439" s="89"/>
      <c r="J439" s="89"/>
      <c r="K439" s="89"/>
      <c r="L439" s="89"/>
      <c r="M439" s="89"/>
      <c r="N439" s="89"/>
    </row>
    <row r="440" spans="1:14" x14ac:dyDescent="0.25">
      <c r="A440" s="89"/>
      <c r="B440" s="89"/>
      <c r="C440" s="89"/>
      <c r="D440" s="89"/>
      <c r="E440" s="89"/>
      <c r="F440" s="89"/>
      <c r="G440" s="89"/>
      <c r="H440" s="89"/>
      <c r="I440" s="89"/>
      <c r="J440" s="89"/>
      <c r="K440" s="89"/>
      <c r="L440" s="89"/>
      <c r="M440" s="89"/>
      <c r="N440" s="89"/>
    </row>
    <row r="441" spans="1:14" x14ac:dyDescent="0.25">
      <c r="A441" s="89"/>
      <c r="B441" s="89"/>
      <c r="C441" s="89"/>
      <c r="D441" s="89"/>
      <c r="E441" s="89"/>
      <c r="F441" s="89"/>
      <c r="G441" s="89"/>
      <c r="H441" s="89"/>
      <c r="I441" s="89"/>
      <c r="J441" s="89"/>
      <c r="K441" s="89"/>
      <c r="L441" s="89"/>
      <c r="M441" s="89"/>
      <c r="N441" s="89"/>
    </row>
    <row r="442" spans="1:14" x14ac:dyDescent="0.25">
      <c r="A442" s="89"/>
      <c r="B442" s="89"/>
      <c r="C442" s="89"/>
      <c r="D442" s="89"/>
      <c r="E442" s="89"/>
      <c r="F442" s="89"/>
      <c r="G442" s="89"/>
      <c r="H442" s="89"/>
      <c r="I442" s="89"/>
      <c r="J442" s="89"/>
      <c r="K442" s="89"/>
      <c r="L442" s="89"/>
      <c r="M442" s="89"/>
      <c r="N442" s="89"/>
    </row>
    <row r="443" spans="1:14" x14ac:dyDescent="0.25">
      <c r="A443" s="89"/>
      <c r="B443" s="89"/>
      <c r="C443" s="89"/>
      <c r="D443" s="89"/>
      <c r="E443" s="89"/>
      <c r="F443" s="89"/>
      <c r="G443" s="89"/>
      <c r="H443" s="89"/>
      <c r="I443" s="89"/>
      <c r="J443" s="89"/>
      <c r="K443" s="89"/>
      <c r="L443" s="89"/>
      <c r="M443" s="89"/>
      <c r="N443" s="89"/>
    </row>
    <row r="444" spans="1:14" x14ac:dyDescent="0.25">
      <c r="A444" s="89"/>
      <c r="B444" s="89"/>
      <c r="C444" s="89"/>
      <c r="D444" s="89"/>
      <c r="E444" s="89"/>
      <c r="F444" s="89"/>
      <c r="G444" s="89"/>
      <c r="H444" s="89"/>
      <c r="I444" s="89"/>
      <c r="J444" s="89"/>
      <c r="K444" s="89"/>
      <c r="L444" s="89"/>
      <c r="M444" s="89"/>
      <c r="N444" s="89"/>
    </row>
    <row r="445" spans="1:14" x14ac:dyDescent="0.25">
      <c r="A445" s="89"/>
      <c r="B445" s="89"/>
      <c r="C445" s="89"/>
      <c r="D445" s="89"/>
      <c r="E445" s="89"/>
      <c r="F445" s="89"/>
      <c r="G445" s="89"/>
      <c r="H445" s="89"/>
      <c r="I445" s="89"/>
      <c r="J445" s="89"/>
      <c r="K445" s="89"/>
      <c r="L445" s="89"/>
      <c r="M445" s="89"/>
      <c r="N445" s="89"/>
    </row>
    <row r="446" spans="1:14" x14ac:dyDescent="0.25">
      <c r="A446" s="89"/>
      <c r="B446" s="89"/>
      <c r="C446" s="89"/>
      <c r="D446" s="89"/>
      <c r="E446" s="89"/>
      <c r="F446" s="89"/>
      <c r="G446" s="89"/>
      <c r="H446" s="89"/>
      <c r="I446" s="89"/>
      <c r="J446" s="89"/>
      <c r="K446" s="89"/>
      <c r="L446" s="89"/>
      <c r="M446" s="89"/>
      <c r="N446" s="89"/>
    </row>
    <row r="447" spans="1:14" x14ac:dyDescent="0.25">
      <c r="A447" s="89"/>
      <c r="B447" s="89"/>
      <c r="C447" s="89"/>
      <c r="D447" s="89"/>
      <c r="E447" s="89"/>
      <c r="F447" s="89"/>
      <c r="G447" s="89"/>
      <c r="H447" s="89"/>
      <c r="I447" s="89"/>
      <c r="J447" s="89"/>
      <c r="K447" s="89"/>
      <c r="L447" s="89"/>
      <c r="M447" s="89"/>
      <c r="N447" s="89"/>
    </row>
    <row r="448" spans="1:14" x14ac:dyDescent="0.25">
      <c r="A448" s="89"/>
      <c r="B448" s="89"/>
      <c r="C448" s="89"/>
      <c r="D448" s="89"/>
      <c r="E448" s="89"/>
      <c r="F448" s="89"/>
      <c r="G448" s="89"/>
      <c r="H448" s="89"/>
      <c r="I448" s="89"/>
      <c r="J448" s="89"/>
      <c r="K448" s="89"/>
      <c r="L448" s="89"/>
      <c r="M448" s="89"/>
      <c r="N448" s="89"/>
    </row>
    <row r="449" spans="1:14" x14ac:dyDescent="0.25">
      <c r="A449" s="89"/>
      <c r="B449" s="89"/>
      <c r="C449" s="89"/>
      <c r="D449" s="89"/>
      <c r="E449" s="89"/>
      <c r="F449" s="89"/>
      <c r="G449" s="89"/>
      <c r="H449" s="89"/>
      <c r="I449" s="89"/>
      <c r="J449" s="89"/>
      <c r="K449" s="89"/>
      <c r="L449" s="89"/>
      <c r="M449" s="89"/>
      <c r="N449" s="89"/>
    </row>
    <row r="450" spans="1:14" x14ac:dyDescent="0.25">
      <c r="A450" s="89"/>
      <c r="B450" s="89"/>
      <c r="C450" s="89"/>
      <c r="D450" s="89"/>
      <c r="E450" s="89"/>
      <c r="F450" s="89"/>
      <c r="G450" s="89"/>
      <c r="H450" s="89"/>
      <c r="I450" s="89"/>
      <c r="J450" s="89"/>
      <c r="K450" s="89"/>
      <c r="L450" s="89"/>
      <c r="M450" s="89"/>
      <c r="N450" s="89"/>
    </row>
    <row r="451" spans="1:14" x14ac:dyDescent="0.25">
      <c r="A451" s="89"/>
      <c r="B451" s="89"/>
      <c r="C451" s="89"/>
      <c r="D451" s="89"/>
      <c r="E451" s="89"/>
      <c r="F451" s="89"/>
      <c r="G451" s="89"/>
      <c r="H451" s="89"/>
      <c r="I451" s="89"/>
      <c r="J451" s="89"/>
      <c r="K451" s="89"/>
      <c r="L451" s="89"/>
      <c r="M451" s="89"/>
      <c r="N451" s="89"/>
    </row>
    <row r="452" spans="1:14" x14ac:dyDescent="0.25">
      <c r="A452" s="89"/>
      <c r="B452" s="89"/>
      <c r="C452" s="89"/>
      <c r="D452" s="89"/>
      <c r="E452" s="89"/>
      <c r="F452" s="89"/>
      <c r="G452" s="89"/>
      <c r="H452" s="89"/>
      <c r="I452" s="89"/>
      <c r="J452" s="89"/>
      <c r="K452" s="89"/>
      <c r="L452" s="89"/>
      <c r="M452" s="89"/>
      <c r="N452" s="89"/>
    </row>
    <row r="453" spans="1:14" x14ac:dyDescent="0.25">
      <c r="A453" s="89"/>
      <c r="B453" s="89"/>
      <c r="C453" s="89"/>
      <c r="D453" s="89"/>
      <c r="E453" s="89"/>
      <c r="F453" s="89"/>
      <c r="G453" s="89"/>
      <c r="H453" s="89"/>
      <c r="I453" s="89"/>
      <c r="J453" s="89"/>
      <c r="K453" s="89"/>
      <c r="L453" s="89"/>
      <c r="M453" s="89"/>
      <c r="N453" s="89"/>
    </row>
    <row r="454" spans="1:14" x14ac:dyDescent="0.25">
      <c r="A454" s="89"/>
      <c r="B454" s="89"/>
      <c r="C454" s="89"/>
      <c r="D454" s="89"/>
      <c r="E454" s="89"/>
      <c r="F454" s="89"/>
      <c r="G454" s="89"/>
      <c r="H454" s="89"/>
      <c r="I454" s="89"/>
      <c r="J454" s="89"/>
      <c r="K454" s="89"/>
      <c r="L454" s="89"/>
      <c r="M454" s="89"/>
      <c r="N454" s="89"/>
    </row>
    <row r="455" spans="1:14" x14ac:dyDescent="0.25">
      <c r="A455" s="89"/>
      <c r="B455" s="89"/>
      <c r="C455" s="89"/>
      <c r="D455" s="89"/>
      <c r="E455" s="89"/>
      <c r="F455" s="89"/>
      <c r="G455" s="89"/>
      <c r="H455" s="89"/>
      <c r="I455" s="89"/>
      <c r="J455" s="89"/>
      <c r="K455" s="89"/>
      <c r="L455" s="89"/>
      <c r="M455" s="89"/>
      <c r="N455" s="89"/>
    </row>
    <row r="456" spans="1:14" x14ac:dyDescent="0.25">
      <c r="A456" s="89"/>
      <c r="B456" s="89"/>
      <c r="C456" s="89"/>
      <c r="D456" s="89"/>
      <c r="E456" s="89"/>
      <c r="F456" s="89"/>
      <c r="G456" s="89"/>
      <c r="H456" s="89"/>
      <c r="I456" s="89"/>
      <c r="J456" s="89"/>
      <c r="K456" s="89"/>
      <c r="L456" s="89"/>
      <c r="M456" s="89"/>
      <c r="N456" s="89"/>
    </row>
    <row r="457" spans="1:14" x14ac:dyDescent="0.25">
      <c r="A457" s="89"/>
      <c r="B457" s="89"/>
      <c r="C457" s="89"/>
      <c r="D457" s="89"/>
      <c r="E457" s="89"/>
      <c r="F457" s="89"/>
      <c r="G457" s="89"/>
      <c r="H457" s="89"/>
      <c r="I457" s="89"/>
      <c r="J457" s="89"/>
      <c r="K457" s="89"/>
      <c r="L457" s="89"/>
      <c r="M457" s="89"/>
      <c r="N457" s="89"/>
    </row>
    <row r="458" spans="1:14" x14ac:dyDescent="0.25">
      <c r="A458" s="89"/>
      <c r="B458" s="89"/>
      <c r="C458" s="89"/>
      <c r="D458" s="89"/>
      <c r="E458" s="89"/>
      <c r="F458" s="89"/>
      <c r="G458" s="89"/>
      <c r="H458" s="89"/>
      <c r="I458" s="89"/>
      <c r="J458" s="89"/>
      <c r="K458" s="89"/>
      <c r="L458" s="89"/>
      <c r="M458" s="89"/>
      <c r="N458" s="89"/>
    </row>
    <row r="459" spans="1:14" x14ac:dyDescent="0.25">
      <c r="A459" s="89"/>
      <c r="B459" s="89"/>
      <c r="C459" s="89"/>
      <c r="D459" s="89"/>
      <c r="E459" s="89"/>
      <c r="F459" s="89"/>
      <c r="G459" s="89"/>
      <c r="H459" s="89"/>
      <c r="I459" s="89"/>
      <c r="J459" s="89"/>
      <c r="K459" s="89"/>
      <c r="L459" s="89"/>
      <c r="M459" s="89"/>
      <c r="N459" s="89"/>
    </row>
    <row r="460" spans="1:14" x14ac:dyDescent="0.25">
      <c r="A460" s="89"/>
      <c r="B460" s="89"/>
      <c r="C460" s="89"/>
      <c r="D460" s="89"/>
      <c r="E460" s="89"/>
      <c r="F460" s="89"/>
      <c r="G460" s="89"/>
      <c r="H460" s="89"/>
      <c r="I460" s="89"/>
      <c r="J460" s="89"/>
      <c r="K460" s="89"/>
      <c r="L460" s="89"/>
      <c r="M460" s="89"/>
      <c r="N460" s="89"/>
    </row>
    <row r="461" spans="1:14" x14ac:dyDescent="0.25">
      <c r="A461" s="89"/>
      <c r="B461" s="89"/>
      <c r="C461" s="89"/>
      <c r="D461" s="89"/>
      <c r="E461" s="89"/>
      <c r="F461" s="89"/>
      <c r="G461" s="89"/>
      <c r="H461" s="89"/>
      <c r="I461" s="89"/>
      <c r="J461" s="89"/>
      <c r="K461" s="89"/>
      <c r="L461" s="89"/>
      <c r="M461" s="89"/>
      <c r="N461" s="89"/>
    </row>
    <row r="462" spans="1:14" x14ac:dyDescent="0.25">
      <c r="A462" s="89"/>
      <c r="B462" s="89"/>
      <c r="C462" s="89"/>
      <c r="D462" s="89"/>
      <c r="E462" s="89"/>
      <c r="F462" s="89"/>
      <c r="G462" s="89"/>
      <c r="H462" s="89"/>
      <c r="I462" s="89"/>
      <c r="J462" s="89"/>
      <c r="K462" s="89"/>
      <c r="L462" s="89"/>
      <c r="M462" s="89"/>
      <c r="N462" s="89"/>
    </row>
    <row r="463" spans="1:14" x14ac:dyDescent="0.25">
      <c r="A463" s="89"/>
      <c r="B463" s="89"/>
      <c r="C463" s="89"/>
      <c r="D463" s="89"/>
      <c r="E463" s="89"/>
      <c r="F463" s="89"/>
      <c r="G463" s="89"/>
      <c r="H463" s="89"/>
      <c r="I463" s="89"/>
      <c r="J463" s="89"/>
      <c r="K463" s="89"/>
      <c r="L463" s="89"/>
      <c r="M463" s="89"/>
      <c r="N463" s="89"/>
    </row>
    <row r="464" spans="1:14" x14ac:dyDescent="0.25">
      <c r="A464" s="89"/>
      <c r="B464" s="89"/>
      <c r="C464" s="89"/>
      <c r="D464" s="89"/>
      <c r="E464" s="89"/>
      <c r="F464" s="89"/>
      <c r="G464" s="89"/>
      <c r="H464" s="89"/>
      <c r="I464" s="89"/>
      <c r="J464" s="89"/>
      <c r="K464" s="89"/>
      <c r="L464" s="89"/>
      <c r="M464" s="89"/>
      <c r="N464" s="89"/>
    </row>
    <row r="465" spans="1:14" x14ac:dyDescent="0.25">
      <c r="A465" s="89"/>
      <c r="B465" s="89"/>
      <c r="C465" s="89"/>
      <c r="D465" s="89"/>
      <c r="E465" s="89"/>
      <c r="F465" s="89"/>
      <c r="G465" s="89"/>
      <c r="H465" s="89"/>
      <c r="I465" s="89"/>
      <c r="J465" s="89"/>
      <c r="K465" s="89"/>
      <c r="L465" s="89"/>
      <c r="M465" s="89"/>
      <c r="N465" s="89"/>
    </row>
    <row r="466" spans="1:14" x14ac:dyDescent="0.25">
      <c r="A466" s="89"/>
      <c r="B466" s="89"/>
      <c r="C466" s="89"/>
      <c r="D466" s="89"/>
      <c r="E466" s="89"/>
      <c r="F466" s="89"/>
      <c r="G466" s="89"/>
      <c r="H466" s="89"/>
      <c r="I466" s="89"/>
      <c r="J466" s="89"/>
      <c r="K466" s="89"/>
      <c r="L466" s="89"/>
      <c r="M466" s="89"/>
      <c r="N466" s="89"/>
    </row>
    <row r="467" spans="1:14" x14ac:dyDescent="0.25">
      <c r="A467" s="89"/>
      <c r="B467" s="89"/>
      <c r="C467" s="89"/>
      <c r="D467" s="89"/>
      <c r="E467" s="89"/>
      <c r="F467" s="89"/>
      <c r="G467" s="89"/>
      <c r="H467" s="89"/>
      <c r="I467" s="89"/>
      <c r="J467" s="89"/>
      <c r="K467" s="89"/>
      <c r="L467" s="89"/>
      <c r="M467" s="89"/>
      <c r="N467" s="89"/>
    </row>
    <row r="468" spans="1:14" x14ac:dyDescent="0.25">
      <c r="A468" s="89"/>
      <c r="B468" s="89"/>
      <c r="C468" s="89"/>
      <c r="D468" s="89"/>
      <c r="E468" s="89"/>
      <c r="F468" s="89"/>
      <c r="G468" s="89"/>
      <c r="H468" s="89"/>
      <c r="I468" s="89"/>
      <c r="J468" s="89"/>
      <c r="K468" s="89"/>
      <c r="L468" s="89"/>
      <c r="M468" s="89"/>
      <c r="N468" s="89"/>
    </row>
    <row r="469" spans="1:14" x14ac:dyDescent="0.25">
      <c r="A469" s="89"/>
      <c r="B469" s="89"/>
      <c r="C469" s="89"/>
      <c r="D469" s="89"/>
      <c r="E469" s="89"/>
      <c r="F469" s="89"/>
      <c r="G469" s="89"/>
      <c r="H469" s="89"/>
      <c r="I469" s="89"/>
      <c r="J469" s="89"/>
      <c r="K469" s="89"/>
      <c r="L469" s="89"/>
      <c r="M469" s="89"/>
      <c r="N469" s="89"/>
    </row>
    <row r="470" spans="1:14" x14ac:dyDescent="0.25">
      <c r="A470" s="89"/>
      <c r="B470" s="89"/>
      <c r="C470" s="89"/>
      <c r="D470" s="89"/>
      <c r="E470" s="89"/>
      <c r="F470" s="89"/>
      <c r="G470" s="89"/>
      <c r="H470" s="89"/>
      <c r="I470" s="89"/>
      <c r="J470" s="89"/>
      <c r="K470" s="89"/>
      <c r="L470" s="89"/>
      <c r="M470" s="89"/>
      <c r="N470" s="89"/>
    </row>
    <row r="471" spans="1:14" x14ac:dyDescent="0.25">
      <c r="A471" s="89"/>
      <c r="B471" s="89"/>
      <c r="C471" s="89"/>
      <c r="D471" s="89"/>
      <c r="E471" s="89"/>
      <c r="F471" s="89"/>
      <c r="G471" s="89"/>
      <c r="H471" s="89"/>
      <c r="I471" s="89"/>
      <c r="J471" s="89"/>
      <c r="K471" s="89"/>
      <c r="L471" s="89"/>
      <c r="M471" s="89"/>
      <c r="N471" s="89"/>
    </row>
    <row r="472" spans="1:14" x14ac:dyDescent="0.25">
      <c r="A472" s="89"/>
      <c r="B472" s="89"/>
      <c r="C472" s="89"/>
      <c r="D472" s="89"/>
      <c r="E472" s="89"/>
      <c r="F472" s="89"/>
      <c r="G472" s="89"/>
      <c r="H472" s="89"/>
      <c r="I472" s="89"/>
      <c r="J472" s="89"/>
      <c r="K472" s="89"/>
      <c r="L472" s="89"/>
      <c r="M472" s="89"/>
      <c r="N472" s="89"/>
    </row>
    <row r="473" spans="1:14" x14ac:dyDescent="0.25">
      <c r="A473" s="89"/>
      <c r="B473" s="89"/>
      <c r="C473" s="89"/>
      <c r="D473" s="89"/>
      <c r="E473" s="89"/>
      <c r="F473" s="89"/>
      <c r="G473" s="89"/>
      <c r="H473" s="89"/>
      <c r="I473" s="89"/>
      <c r="J473" s="89"/>
      <c r="K473" s="89"/>
      <c r="L473" s="89"/>
      <c r="M473" s="89"/>
      <c r="N473" s="89"/>
    </row>
    <row r="474" spans="1:14" x14ac:dyDescent="0.25">
      <c r="A474" s="89"/>
      <c r="B474" s="89"/>
      <c r="C474" s="89"/>
      <c r="D474" s="89"/>
      <c r="E474" s="89"/>
      <c r="F474" s="89"/>
      <c r="G474" s="89"/>
      <c r="H474" s="89"/>
      <c r="I474" s="89"/>
      <c r="J474" s="89"/>
      <c r="K474" s="89"/>
      <c r="L474" s="89"/>
      <c r="M474" s="89"/>
      <c r="N474" s="89"/>
    </row>
    <row r="475" spans="1:14" x14ac:dyDescent="0.25">
      <c r="A475" s="89"/>
      <c r="B475" s="89"/>
      <c r="C475" s="89"/>
      <c r="D475" s="89"/>
      <c r="E475" s="89"/>
      <c r="F475" s="89"/>
      <c r="G475" s="89"/>
      <c r="H475" s="89"/>
      <c r="I475" s="89"/>
      <c r="J475" s="89"/>
      <c r="K475" s="89"/>
      <c r="L475" s="89"/>
      <c r="M475" s="89"/>
      <c r="N475" s="89"/>
    </row>
    <row r="476" spans="1:14" x14ac:dyDescent="0.25">
      <c r="A476" s="89"/>
      <c r="B476" s="89"/>
      <c r="C476" s="89"/>
      <c r="D476" s="89"/>
      <c r="E476" s="89"/>
      <c r="F476" s="89"/>
      <c r="G476" s="89"/>
      <c r="H476" s="89"/>
      <c r="I476" s="89"/>
      <c r="J476" s="89"/>
      <c r="K476" s="89"/>
      <c r="L476" s="89"/>
      <c r="M476" s="89"/>
      <c r="N476" s="89"/>
    </row>
    <row r="477" spans="1:14" x14ac:dyDescent="0.25">
      <c r="A477" s="89"/>
      <c r="B477" s="89"/>
      <c r="C477" s="89"/>
      <c r="D477" s="89"/>
      <c r="E477" s="89"/>
      <c r="F477" s="89"/>
      <c r="G477" s="89"/>
      <c r="H477" s="89"/>
      <c r="I477" s="89"/>
      <c r="J477" s="89"/>
      <c r="K477" s="89"/>
      <c r="L477" s="89"/>
      <c r="M477" s="89"/>
      <c r="N477" s="89"/>
    </row>
    <row r="478" spans="1:14" x14ac:dyDescent="0.25">
      <c r="A478" s="89"/>
      <c r="B478" s="89"/>
      <c r="C478" s="89"/>
      <c r="D478" s="89"/>
      <c r="E478" s="89"/>
      <c r="F478" s="89"/>
      <c r="G478" s="89"/>
      <c r="H478" s="89"/>
      <c r="I478" s="89"/>
      <c r="J478" s="89"/>
      <c r="K478" s="89"/>
      <c r="L478" s="89"/>
      <c r="M478" s="89"/>
      <c r="N478" s="89"/>
    </row>
    <row r="479" spans="1:14" x14ac:dyDescent="0.25">
      <c r="A479" s="89"/>
      <c r="B479" s="89"/>
      <c r="C479" s="89"/>
      <c r="D479" s="89"/>
      <c r="E479" s="89"/>
      <c r="F479" s="89"/>
      <c r="G479" s="89"/>
      <c r="H479" s="89"/>
      <c r="I479" s="89"/>
      <c r="J479" s="89"/>
      <c r="K479" s="89"/>
      <c r="L479" s="89"/>
      <c r="M479" s="89"/>
      <c r="N479" s="89"/>
    </row>
    <row r="480" spans="1:14" x14ac:dyDescent="0.25">
      <c r="A480" s="89"/>
      <c r="B480" s="89"/>
      <c r="C480" s="89"/>
      <c r="D480" s="89"/>
      <c r="E480" s="89"/>
      <c r="F480" s="89"/>
      <c r="G480" s="89"/>
      <c r="H480" s="89"/>
      <c r="I480" s="89"/>
      <c r="J480" s="89"/>
      <c r="K480" s="89"/>
      <c r="L480" s="89"/>
      <c r="M480" s="89"/>
      <c r="N480" s="89"/>
    </row>
    <row r="481" spans="1:14" x14ac:dyDescent="0.25">
      <c r="A481" s="89"/>
      <c r="B481" s="89"/>
      <c r="C481" s="89"/>
      <c r="D481" s="89"/>
      <c r="E481" s="89"/>
      <c r="F481" s="89"/>
      <c r="G481" s="89"/>
      <c r="H481" s="89"/>
      <c r="I481" s="89"/>
      <c r="J481" s="89"/>
      <c r="K481" s="89"/>
      <c r="L481" s="89"/>
      <c r="M481" s="89"/>
      <c r="N481" s="89"/>
    </row>
    <row r="482" spans="1:14" x14ac:dyDescent="0.25">
      <c r="A482" s="89"/>
      <c r="B482" s="89"/>
      <c r="C482" s="89"/>
      <c r="D482" s="89"/>
      <c r="E482" s="89"/>
      <c r="F482" s="89"/>
      <c r="G482" s="89"/>
      <c r="H482" s="89"/>
      <c r="I482" s="89"/>
      <c r="J482" s="89"/>
      <c r="K482" s="89"/>
      <c r="L482" s="89"/>
      <c r="M482" s="89"/>
      <c r="N482" s="89"/>
    </row>
    <row r="483" spans="1:14" x14ac:dyDescent="0.25">
      <c r="A483" s="89"/>
      <c r="B483" s="89"/>
      <c r="C483" s="89"/>
      <c r="D483" s="89"/>
      <c r="E483" s="89"/>
      <c r="F483" s="89"/>
      <c r="G483" s="89"/>
      <c r="H483" s="89"/>
      <c r="I483" s="89"/>
      <c r="J483" s="89"/>
      <c r="K483" s="89"/>
      <c r="L483" s="89"/>
      <c r="M483" s="89"/>
      <c r="N483" s="89"/>
    </row>
    <row r="484" spans="1:14" x14ac:dyDescent="0.25">
      <c r="A484" s="89"/>
      <c r="B484" s="89"/>
      <c r="C484" s="89"/>
      <c r="D484" s="89"/>
      <c r="E484" s="89"/>
      <c r="F484" s="89"/>
      <c r="G484" s="89"/>
      <c r="H484" s="89"/>
      <c r="I484" s="89"/>
      <c r="J484" s="89"/>
      <c r="K484" s="89"/>
      <c r="L484" s="89"/>
      <c r="M484" s="89"/>
      <c r="N484" s="89"/>
    </row>
    <row r="485" spans="1:14" x14ac:dyDescent="0.25">
      <c r="A485" s="89"/>
      <c r="B485" s="89"/>
      <c r="C485" s="89"/>
      <c r="D485" s="89"/>
      <c r="E485" s="89"/>
      <c r="F485" s="89"/>
      <c r="G485" s="89"/>
      <c r="H485" s="89"/>
      <c r="I485" s="89"/>
      <c r="J485" s="89"/>
      <c r="K485" s="89"/>
      <c r="L485" s="89"/>
      <c r="M485" s="89"/>
      <c r="N485" s="89"/>
    </row>
    <row r="486" spans="1:14" x14ac:dyDescent="0.25">
      <c r="A486" s="89"/>
      <c r="B486" s="89"/>
      <c r="C486" s="89"/>
      <c r="D486" s="89"/>
      <c r="E486" s="89"/>
      <c r="F486" s="89"/>
      <c r="G486" s="89"/>
      <c r="H486" s="89"/>
      <c r="I486" s="89"/>
      <c r="J486" s="89"/>
      <c r="K486" s="89"/>
      <c r="L486" s="89"/>
      <c r="M486" s="89"/>
      <c r="N486" s="89"/>
    </row>
    <row r="487" spans="1:14" x14ac:dyDescent="0.25">
      <c r="A487" s="89"/>
      <c r="B487" s="89"/>
      <c r="C487" s="89"/>
      <c r="D487" s="89"/>
      <c r="E487" s="89"/>
      <c r="F487" s="89"/>
      <c r="G487" s="89"/>
      <c r="H487" s="89"/>
      <c r="I487" s="89"/>
      <c r="J487" s="89"/>
      <c r="K487" s="89"/>
      <c r="L487" s="89"/>
      <c r="M487" s="89"/>
      <c r="N487" s="89"/>
    </row>
    <row r="488" spans="1:14" x14ac:dyDescent="0.25">
      <c r="A488" s="89"/>
      <c r="B488" s="89"/>
      <c r="C488" s="89"/>
      <c r="D488" s="89"/>
      <c r="E488" s="89"/>
      <c r="F488" s="89"/>
      <c r="G488" s="89"/>
      <c r="H488" s="89"/>
      <c r="I488" s="89"/>
      <c r="J488" s="89"/>
      <c r="K488" s="89"/>
      <c r="L488" s="89"/>
      <c r="M488" s="89"/>
      <c r="N488" s="89"/>
    </row>
    <row r="489" spans="1:14" x14ac:dyDescent="0.25">
      <c r="A489" s="89"/>
      <c r="B489" s="89"/>
      <c r="C489" s="89"/>
      <c r="D489" s="89"/>
      <c r="E489" s="89"/>
      <c r="F489" s="89"/>
      <c r="G489" s="89"/>
      <c r="H489" s="89"/>
      <c r="I489" s="89"/>
      <c r="J489" s="89"/>
      <c r="K489" s="89"/>
      <c r="L489" s="89"/>
      <c r="M489" s="89"/>
      <c r="N489" s="89"/>
    </row>
    <row r="490" spans="1:14" x14ac:dyDescent="0.25">
      <c r="A490" s="89"/>
      <c r="B490" s="89"/>
      <c r="C490" s="89"/>
      <c r="D490" s="89"/>
      <c r="E490" s="89"/>
      <c r="F490" s="89"/>
      <c r="G490" s="89"/>
      <c r="H490" s="89"/>
      <c r="I490" s="89"/>
      <c r="J490" s="89"/>
      <c r="K490" s="89"/>
      <c r="L490" s="89"/>
      <c r="M490" s="89"/>
      <c r="N490" s="89"/>
    </row>
    <row r="491" spans="1:14" x14ac:dyDescent="0.25">
      <c r="A491" s="89"/>
      <c r="B491" s="89"/>
      <c r="C491" s="89"/>
      <c r="D491" s="89"/>
      <c r="E491" s="89"/>
      <c r="F491" s="89"/>
      <c r="G491" s="89"/>
      <c r="H491" s="89"/>
      <c r="I491" s="89"/>
      <c r="J491" s="89"/>
      <c r="K491" s="89"/>
      <c r="L491" s="89"/>
      <c r="M491" s="89"/>
      <c r="N491" s="89"/>
    </row>
    <row r="492" spans="1:14" x14ac:dyDescent="0.25">
      <c r="A492" s="89"/>
      <c r="B492" s="89"/>
      <c r="C492" s="89"/>
      <c r="D492" s="89"/>
      <c r="E492" s="89"/>
      <c r="F492" s="89"/>
      <c r="G492" s="89"/>
      <c r="H492" s="89"/>
      <c r="I492" s="89"/>
      <c r="J492" s="89"/>
      <c r="K492" s="89"/>
      <c r="L492" s="89"/>
      <c r="M492" s="89"/>
      <c r="N492" s="89"/>
    </row>
    <row r="493" spans="1:14" x14ac:dyDescent="0.25">
      <c r="A493" s="89"/>
      <c r="B493" s="89"/>
      <c r="C493" s="89"/>
      <c r="D493" s="89"/>
      <c r="E493" s="89"/>
      <c r="F493" s="89"/>
      <c r="G493" s="89"/>
      <c r="H493" s="89"/>
      <c r="I493" s="89"/>
      <c r="J493" s="89"/>
      <c r="K493" s="89"/>
      <c r="L493" s="89"/>
      <c r="M493" s="89"/>
      <c r="N493" s="89"/>
    </row>
    <row r="494" spans="1:14" x14ac:dyDescent="0.25">
      <c r="A494" s="89"/>
      <c r="B494" s="89"/>
      <c r="C494" s="89"/>
      <c r="D494" s="89"/>
      <c r="E494" s="89"/>
      <c r="F494" s="89"/>
      <c r="G494" s="89"/>
      <c r="H494" s="89"/>
      <c r="I494" s="89"/>
      <c r="J494" s="89"/>
      <c r="K494" s="89"/>
      <c r="L494" s="89"/>
      <c r="M494" s="89"/>
      <c r="N494" s="89"/>
    </row>
    <row r="495" spans="1:14" x14ac:dyDescent="0.25">
      <c r="A495" s="89"/>
      <c r="B495" s="89"/>
      <c r="C495" s="89"/>
      <c r="D495" s="89"/>
      <c r="E495" s="89"/>
      <c r="F495" s="89"/>
      <c r="G495" s="89"/>
      <c r="H495" s="89"/>
      <c r="I495" s="89"/>
      <c r="J495" s="89"/>
      <c r="K495" s="89"/>
      <c r="L495" s="89"/>
      <c r="M495" s="89"/>
      <c r="N495" s="89"/>
    </row>
    <row r="496" spans="1:14" x14ac:dyDescent="0.25">
      <c r="A496" s="89"/>
      <c r="B496" s="89"/>
      <c r="C496" s="89"/>
      <c r="D496" s="89"/>
      <c r="E496" s="89"/>
      <c r="F496" s="89"/>
      <c r="G496" s="89"/>
      <c r="H496" s="89"/>
      <c r="I496" s="89"/>
      <c r="J496" s="89"/>
      <c r="K496" s="89"/>
      <c r="L496" s="89"/>
      <c r="M496" s="89"/>
      <c r="N496" s="89"/>
    </row>
    <row r="497" spans="1:14" x14ac:dyDescent="0.25">
      <c r="A497" s="89"/>
      <c r="B497" s="89"/>
      <c r="C497" s="89"/>
      <c r="D497" s="89"/>
      <c r="E497" s="89"/>
      <c r="F497" s="89"/>
      <c r="G497" s="89"/>
      <c r="H497" s="89"/>
      <c r="I497" s="89"/>
      <c r="J497" s="89"/>
      <c r="K497" s="89"/>
      <c r="L497" s="89"/>
      <c r="M497" s="89"/>
      <c r="N497" s="89"/>
    </row>
    <row r="498" spans="1:14" x14ac:dyDescent="0.25">
      <c r="A498" s="89"/>
      <c r="B498" s="89"/>
      <c r="C498" s="89"/>
      <c r="D498" s="89"/>
      <c r="E498" s="89"/>
      <c r="F498" s="89"/>
      <c r="G498" s="89"/>
      <c r="H498" s="89"/>
      <c r="I498" s="89"/>
      <c r="J498" s="89"/>
      <c r="K498" s="89"/>
      <c r="L498" s="89"/>
      <c r="M498" s="89"/>
      <c r="N498" s="89"/>
    </row>
    <row r="499" spans="1:14" x14ac:dyDescent="0.25">
      <c r="A499" s="89"/>
      <c r="B499" s="89"/>
      <c r="C499" s="89"/>
      <c r="D499" s="89"/>
      <c r="E499" s="89"/>
      <c r="F499" s="89"/>
      <c r="G499" s="89"/>
      <c r="H499" s="89"/>
      <c r="I499" s="89"/>
      <c r="J499" s="89"/>
      <c r="K499" s="89"/>
      <c r="L499" s="89"/>
      <c r="M499" s="89"/>
      <c r="N499" s="89"/>
    </row>
    <row r="500" spans="1:14" x14ac:dyDescent="0.25">
      <c r="A500" s="89"/>
      <c r="B500" s="89"/>
      <c r="C500" s="89"/>
      <c r="D500" s="89"/>
      <c r="E500" s="89"/>
      <c r="F500" s="89"/>
      <c r="G500" s="89"/>
      <c r="H500" s="89"/>
      <c r="I500" s="89"/>
      <c r="J500" s="89"/>
      <c r="K500" s="89"/>
      <c r="L500" s="89"/>
      <c r="M500" s="89"/>
      <c r="N500" s="89"/>
    </row>
    <row r="501" spans="1:14" x14ac:dyDescent="0.25">
      <c r="A501" s="89"/>
      <c r="B501" s="89"/>
      <c r="C501" s="89"/>
      <c r="D501" s="89"/>
      <c r="E501" s="89"/>
      <c r="F501" s="89"/>
      <c r="G501" s="89"/>
      <c r="H501" s="89"/>
      <c r="I501" s="89"/>
      <c r="J501" s="89"/>
      <c r="K501" s="89"/>
      <c r="L501" s="89"/>
      <c r="M501" s="89"/>
      <c r="N501" s="89"/>
    </row>
    <row r="502" spans="1:14" x14ac:dyDescent="0.25">
      <c r="A502" s="89"/>
      <c r="B502" s="89"/>
      <c r="C502" s="89"/>
      <c r="D502" s="89"/>
      <c r="E502" s="89"/>
      <c r="F502" s="89"/>
      <c r="G502" s="89"/>
      <c r="H502" s="89"/>
      <c r="I502" s="89"/>
      <c r="J502" s="89"/>
      <c r="K502" s="89"/>
      <c r="L502" s="89"/>
      <c r="M502" s="89"/>
      <c r="N502" s="89"/>
    </row>
    <row r="503" spans="1:14" x14ac:dyDescent="0.25">
      <c r="A503" s="89"/>
      <c r="B503" s="89"/>
      <c r="C503" s="89"/>
      <c r="D503" s="89"/>
      <c r="E503" s="89"/>
      <c r="F503" s="89"/>
      <c r="G503" s="89"/>
      <c r="H503" s="89"/>
      <c r="I503" s="89"/>
      <c r="J503" s="89"/>
      <c r="K503" s="89"/>
      <c r="L503" s="89"/>
      <c r="M503" s="89"/>
      <c r="N503" s="89"/>
    </row>
    <row r="504" spans="1:14" x14ac:dyDescent="0.25">
      <c r="A504" s="89"/>
      <c r="B504" s="89"/>
      <c r="C504" s="89"/>
      <c r="D504" s="89"/>
      <c r="E504" s="89"/>
      <c r="F504" s="89"/>
      <c r="G504" s="89"/>
      <c r="H504" s="89"/>
      <c r="I504" s="89"/>
      <c r="J504" s="89"/>
      <c r="K504" s="89"/>
      <c r="L504" s="89"/>
      <c r="M504" s="89"/>
      <c r="N504" s="89"/>
    </row>
    <row r="505" spans="1:14" x14ac:dyDescent="0.25">
      <c r="A505" s="89"/>
      <c r="B505" s="89"/>
      <c r="C505" s="89"/>
      <c r="D505" s="89"/>
      <c r="E505" s="89"/>
      <c r="F505" s="89"/>
      <c r="G505" s="89"/>
      <c r="H505" s="89"/>
      <c r="I505" s="89"/>
      <c r="J505" s="89"/>
      <c r="K505" s="89"/>
      <c r="L505" s="89"/>
      <c r="M505" s="89"/>
      <c r="N505" s="89"/>
    </row>
    <row r="506" spans="1:14" x14ac:dyDescent="0.25">
      <c r="A506" s="89"/>
      <c r="B506" s="89"/>
      <c r="C506" s="89"/>
      <c r="D506" s="89"/>
      <c r="E506" s="89"/>
      <c r="F506" s="89"/>
      <c r="G506" s="89"/>
      <c r="H506" s="89"/>
      <c r="I506" s="89"/>
      <c r="J506" s="89"/>
      <c r="K506" s="89"/>
      <c r="L506" s="89"/>
      <c r="M506" s="89"/>
      <c r="N506" s="89"/>
    </row>
    <row r="507" spans="1:14" x14ac:dyDescent="0.25">
      <c r="A507" s="89"/>
      <c r="B507" s="89"/>
      <c r="C507" s="89"/>
      <c r="D507" s="89"/>
      <c r="E507" s="89"/>
      <c r="F507" s="89"/>
      <c r="G507" s="89"/>
      <c r="H507" s="89"/>
      <c r="I507" s="89"/>
      <c r="J507" s="89"/>
      <c r="K507" s="89"/>
      <c r="L507" s="89"/>
      <c r="M507" s="89"/>
      <c r="N507" s="89"/>
    </row>
    <row r="508" spans="1:14" x14ac:dyDescent="0.25">
      <c r="A508" s="89"/>
      <c r="B508" s="89"/>
      <c r="C508" s="89"/>
      <c r="D508" s="89"/>
      <c r="E508" s="89"/>
      <c r="F508" s="89"/>
      <c r="G508" s="89"/>
      <c r="H508" s="89"/>
      <c r="I508" s="89"/>
      <c r="J508" s="89"/>
      <c r="K508" s="89"/>
      <c r="L508" s="89"/>
      <c r="M508" s="89"/>
      <c r="N508" s="89"/>
    </row>
    <row r="509" spans="1:14" x14ac:dyDescent="0.25">
      <c r="A509" s="89"/>
      <c r="B509" s="89"/>
      <c r="C509" s="89"/>
      <c r="D509" s="89"/>
      <c r="E509" s="89"/>
      <c r="F509" s="89"/>
      <c r="G509" s="89"/>
      <c r="H509" s="89"/>
      <c r="I509" s="89"/>
      <c r="J509" s="89"/>
      <c r="K509" s="89"/>
      <c r="L509" s="89"/>
      <c r="M509" s="89"/>
      <c r="N509" s="89"/>
    </row>
    <row r="510" spans="1:14" x14ac:dyDescent="0.25">
      <c r="A510" s="89"/>
      <c r="B510" s="89"/>
      <c r="C510" s="89"/>
      <c r="D510" s="89"/>
      <c r="E510" s="89"/>
      <c r="F510" s="89"/>
      <c r="G510" s="89"/>
      <c r="H510" s="89"/>
      <c r="I510" s="89"/>
      <c r="J510" s="89"/>
      <c r="K510" s="89"/>
      <c r="L510" s="89"/>
      <c r="M510" s="89"/>
      <c r="N510" s="89"/>
    </row>
    <row r="511" spans="1:14" x14ac:dyDescent="0.25">
      <c r="A511" s="89"/>
      <c r="B511" s="89"/>
      <c r="C511" s="89"/>
      <c r="D511" s="89"/>
      <c r="E511" s="89"/>
      <c r="F511" s="89"/>
      <c r="G511" s="89"/>
      <c r="H511" s="89"/>
      <c r="I511" s="89"/>
      <c r="J511" s="89"/>
      <c r="K511" s="89"/>
      <c r="L511" s="89"/>
      <c r="M511" s="89"/>
      <c r="N511" s="89"/>
    </row>
    <row r="512" spans="1:14" x14ac:dyDescent="0.25">
      <c r="A512" s="89"/>
      <c r="B512" s="89"/>
      <c r="C512" s="89"/>
      <c r="D512" s="89"/>
      <c r="E512" s="89"/>
      <c r="F512" s="89"/>
      <c r="G512" s="89"/>
      <c r="H512" s="89"/>
      <c r="I512" s="89"/>
      <c r="J512" s="89"/>
      <c r="K512" s="89"/>
      <c r="L512" s="89"/>
      <c r="M512" s="89"/>
      <c r="N512" s="89"/>
    </row>
    <row r="513" spans="1:14" x14ac:dyDescent="0.25">
      <c r="A513" s="89"/>
      <c r="B513" s="89"/>
      <c r="C513" s="89"/>
      <c r="D513" s="89"/>
      <c r="E513" s="89"/>
      <c r="F513" s="89"/>
      <c r="G513" s="89"/>
      <c r="H513" s="89"/>
      <c r="I513" s="89"/>
      <c r="J513" s="89"/>
      <c r="K513" s="89"/>
      <c r="L513" s="89"/>
      <c r="M513" s="89"/>
      <c r="N513" s="89"/>
    </row>
    <row r="514" spans="1:14" x14ac:dyDescent="0.25">
      <c r="A514" s="89"/>
      <c r="B514" s="89"/>
      <c r="C514" s="89"/>
      <c r="D514" s="89"/>
      <c r="E514" s="89"/>
      <c r="F514" s="89"/>
      <c r="G514" s="89"/>
      <c r="H514" s="89"/>
      <c r="I514" s="89"/>
      <c r="J514" s="89"/>
      <c r="K514" s="89"/>
      <c r="L514" s="89"/>
      <c r="M514" s="89"/>
      <c r="N514" s="89"/>
    </row>
    <row r="515" spans="1:14" x14ac:dyDescent="0.25">
      <c r="A515" s="89"/>
      <c r="B515" s="89"/>
      <c r="C515" s="89"/>
      <c r="D515" s="89"/>
      <c r="E515" s="89"/>
      <c r="F515" s="89"/>
      <c r="G515" s="89"/>
      <c r="H515" s="89"/>
      <c r="I515" s="89"/>
      <c r="J515" s="89"/>
      <c r="K515" s="89"/>
      <c r="L515" s="89"/>
      <c r="M515" s="89"/>
      <c r="N515" s="89"/>
    </row>
    <row r="516" spans="1:14" x14ac:dyDescent="0.25">
      <c r="A516" s="89"/>
      <c r="B516" s="89"/>
      <c r="C516" s="89"/>
      <c r="D516" s="89"/>
      <c r="E516" s="89"/>
      <c r="F516" s="89"/>
      <c r="G516" s="89"/>
      <c r="H516" s="89"/>
      <c r="I516" s="89"/>
      <c r="J516" s="89"/>
      <c r="K516" s="89"/>
      <c r="L516" s="89"/>
      <c r="M516" s="89"/>
      <c r="N516" s="89"/>
    </row>
    <row r="517" spans="1:14" x14ac:dyDescent="0.25">
      <c r="A517" s="89"/>
      <c r="B517" s="89"/>
      <c r="C517" s="89"/>
      <c r="D517" s="89"/>
      <c r="E517" s="89"/>
      <c r="F517" s="89"/>
      <c r="G517" s="89"/>
      <c r="H517" s="89"/>
      <c r="I517" s="89"/>
      <c r="J517" s="89"/>
      <c r="K517" s="89"/>
      <c r="L517" s="89"/>
      <c r="M517" s="89"/>
      <c r="N517" s="89"/>
    </row>
    <row r="518" spans="1:14" x14ac:dyDescent="0.25">
      <c r="A518" s="89"/>
      <c r="B518" s="89"/>
      <c r="C518" s="89"/>
      <c r="D518" s="89"/>
      <c r="E518" s="89"/>
      <c r="F518" s="89"/>
      <c r="G518" s="89"/>
      <c r="H518" s="89"/>
      <c r="I518" s="89"/>
      <c r="J518" s="89"/>
      <c r="K518" s="89"/>
      <c r="L518" s="89"/>
      <c r="M518" s="89"/>
      <c r="N518" s="89"/>
    </row>
    <row r="519" spans="1:14" x14ac:dyDescent="0.25">
      <c r="A519" s="89"/>
      <c r="B519" s="89"/>
      <c r="C519" s="89"/>
      <c r="D519" s="89"/>
      <c r="E519" s="89"/>
      <c r="F519" s="89"/>
      <c r="G519" s="89"/>
      <c r="H519" s="89"/>
      <c r="I519" s="89"/>
      <c r="J519" s="89"/>
      <c r="K519" s="89"/>
      <c r="L519" s="89"/>
      <c r="M519" s="89"/>
      <c r="N519" s="89"/>
    </row>
    <row r="520" spans="1:14" x14ac:dyDescent="0.25">
      <c r="A520" s="89"/>
      <c r="B520" s="89"/>
      <c r="C520" s="89"/>
      <c r="D520" s="89"/>
      <c r="E520" s="89"/>
      <c r="F520" s="89"/>
      <c r="G520" s="89"/>
      <c r="H520" s="89"/>
      <c r="I520" s="89"/>
      <c r="J520" s="89"/>
      <c r="K520" s="89"/>
      <c r="L520" s="89"/>
      <c r="M520" s="89"/>
      <c r="N520" s="89"/>
    </row>
    <row r="521" spans="1:14" x14ac:dyDescent="0.25">
      <c r="A521" s="89"/>
      <c r="B521" s="89"/>
      <c r="C521" s="89"/>
      <c r="D521" s="89"/>
      <c r="E521" s="89"/>
      <c r="F521" s="89"/>
      <c r="G521" s="89"/>
      <c r="H521" s="89"/>
      <c r="I521" s="89"/>
      <c r="J521" s="89"/>
      <c r="K521" s="89"/>
      <c r="L521" s="89"/>
      <c r="M521" s="89"/>
      <c r="N521" s="89"/>
    </row>
    <row r="522" spans="1:14" x14ac:dyDescent="0.25">
      <c r="A522" s="89"/>
      <c r="B522" s="89"/>
      <c r="C522" s="89"/>
      <c r="D522" s="89"/>
      <c r="E522" s="89"/>
      <c r="F522" s="89"/>
      <c r="G522" s="89"/>
      <c r="H522" s="89"/>
      <c r="I522" s="89"/>
      <c r="J522" s="89"/>
      <c r="K522" s="89"/>
      <c r="L522" s="89"/>
      <c r="M522" s="89"/>
      <c r="N522" s="89"/>
    </row>
    <row r="523" spans="1:14" x14ac:dyDescent="0.25">
      <c r="A523" s="89"/>
      <c r="B523" s="89"/>
      <c r="C523" s="89"/>
      <c r="D523" s="89"/>
      <c r="E523" s="89"/>
      <c r="F523" s="89"/>
      <c r="G523" s="89"/>
      <c r="H523" s="89"/>
      <c r="I523" s="89"/>
      <c r="J523" s="89"/>
      <c r="K523" s="89"/>
      <c r="L523" s="89"/>
      <c r="M523" s="89"/>
      <c r="N523" s="89"/>
    </row>
    <row r="524" spans="1:14" x14ac:dyDescent="0.25">
      <c r="A524" s="89"/>
      <c r="B524" s="89"/>
      <c r="C524" s="89"/>
      <c r="D524" s="89"/>
      <c r="E524" s="89"/>
      <c r="F524" s="89"/>
      <c r="G524" s="89"/>
      <c r="H524" s="89"/>
      <c r="I524" s="89"/>
      <c r="J524" s="89"/>
      <c r="K524" s="89"/>
      <c r="L524" s="89"/>
      <c r="M524" s="89"/>
      <c r="N524" s="89"/>
    </row>
    <row r="525" spans="1:14" x14ac:dyDescent="0.25">
      <c r="A525" s="89"/>
      <c r="B525" s="89"/>
      <c r="C525" s="89"/>
      <c r="D525" s="89"/>
      <c r="E525" s="89"/>
      <c r="F525" s="89"/>
      <c r="G525" s="89"/>
      <c r="H525" s="89"/>
      <c r="I525" s="89"/>
      <c r="J525" s="89"/>
      <c r="K525" s="89"/>
      <c r="L525" s="89"/>
      <c r="M525" s="89"/>
      <c r="N525" s="89"/>
    </row>
    <row r="526" spans="1:14" x14ac:dyDescent="0.25">
      <c r="A526" s="89"/>
      <c r="B526" s="89"/>
      <c r="C526" s="89"/>
      <c r="D526" s="89"/>
      <c r="E526" s="89"/>
      <c r="F526" s="89"/>
      <c r="G526" s="89"/>
      <c r="H526" s="89"/>
      <c r="I526" s="89"/>
      <c r="J526" s="89"/>
      <c r="K526" s="89"/>
      <c r="L526" s="89"/>
      <c r="M526" s="89"/>
      <c r="N526" s="89"/>
    </row>
    <row r="527" spans="1:14" x14ac:dyDescent="0.25">
      <c r="A527" s="89"/>
      <c r="B527" s="89"/>
      <c r="C527" s="89"/>
      <c r="D527" s="89"/>
      <c r="E527" s="89"/>
      <c r="F527" s="89"/>
      <c r="G527" s="89"/>
      <c r="H527" s="89"/>
      <c r="I527" s="89"/>
      <c r="J527" s="89"/>
      <c r="K527" s="89"/>
      <c r="L527" s="89"/>
      <c r="M527" s="89"/>
      <c r="N527" s="89"/>
    </row>
    <row r="528" spans="1:14" x14ac:dyDescent="0.25">
      <c r="A528" s="89"/>
      <c r="B528" s="89"/>
      <c r="C528" s="89"/>
      <c r="D528" s="89"/>
      <c r="E528" s="89"/>
      <c r="F528" s="89"/>
      <c r="G528" s="89"/>
      <c r="H528" s="89"/>
      <c r="I528" s="89"/>
      <c r="J528" s="89"/>
      <c r="K528" s="89"/>
      <c r="L528" s="89"/>
      <c r="M528" s="89"/>
      <c r="N528" s="89"/>
    </row>
    <row r="529" spans="1:14" x14ac:dyDescent="0.25">
      <c r="A529" s="89"/>
      <c r="B529" s="89"/>
      <c r="C529" s="89"/>
      <c r="D529" s="89"/>
      <c r="E529" s="89"/>
      <c r="F529" s="89"/>
      <c r="G529" s="89"/>
      <c r="H529" s="89"/>
      <c r="I529" s="89"/>
      <c r="J529" s="89"/>
      <c r="K529" s="89"/>
      <c r="L529" s="89"/>
      <c r="M529" s="89"/>
      <c r="N529" s="89"/>
    </row>
    <row r="530" spans="1:14" x14ac:dyDescent="0.25">
      <c r="A530" s="89"/>
      <c r="B530" s="89"/>
      <c r="C530" s="89"/>
      <c r="D530" s="89"/>
      <c r="E530" s="89"/>
      <c r="F530" s="89"/>
      <c r="G530" s="89"/>
      <c r="H530" s="89"/>
      <c r="I530" s="89"/>
      <c r="J530" s="89"/>
      <c r="K530" s="89"/>
      <c r="L530" s="89"/>
      <c r="M530" s="89"/>
      <c r="N530" s="89"/>
    </row>
    <row r="531" spans="1:14" x14ac:dyDescent="0.25">
      <c r="A531" s="89"/>
      <c r="B531" s="89"/>
      <c r="C531" s="89"/>
      <c r="D531" s="89"/>
      <c r="E531" s="89"/>
      <c r="F531" s="89"/>
      <c r="G531" s="89"/>
      <c r="H531" s="89"/>
      <c r="I531" s="89"/>
      <c r="J531" s="89"/>
      <c r="K531" s="89"/>
      <c r="L531" s="89"/>
      <c r="M531" s="89"/>
      <c r="N531" s="89"/>
    </row>
    <row r="532" spans="1:14" x14ac:dyDescent="0.25">
      <c r="A532" s="89"/>
      <c r="B532" s="89"/>
      <c r="C532" s="89"/>
      <c r="D532" s="89"/>
      <c r="E532" s="89"/>
      <c r="F532" s="89"/>
      <c r="G532" s="89"/>
      <c r="H532" s="89"/>
      <c r="I532" s="89"/>
      <c r="J532" s="89"/>
      <c r="K532" s="89"/>
      <c r="L532" s="89"/>
      <c r="M532" s="89"/>
      <c r="N532" s="89"/>
    </row>
    <row r="533" spans="1:14" x14ac:dyDescent="0.25">
      <c r="A533" s="89"/>
      <c r="B533" s="89"/>
      <c r="C533" s="89"/>
      <c r="D533" s="89"/>
      <c r="E533" s="89"/>
      <c r="F533" s="89"/>
      <c r="G533" s="89"/>
      <c r="H533" s="89"/>
      <c r="I533" s="89"/>
      <c r="J533" s="89"/>
      <c r="K533" s="89"/>
      <c r="L533" s="89"/>
      <c r="M533" s="89"/>
      <c r="N533" s="89"/>
    </row>
    <row r="534" spans="1:14" x14ac:dyDescent="0.25">
      <c r="A534" s="89"/>
      <c r="B534" s="89"/>
      <c r="C534" s="89"/>
      <c r="D534" s="89"/>
      <c r="E534" s="89"/>
      <c r="F534" s="89"/>
      <c r="G534" s="89"/>
      <c r="H534" s="89"/>
      <c r="I534" s="89"/>
      <c r="J534" s="89"/>
      <c r="K534" s="89"/>
      <c r="L534" s="89"/>
      <c r="M534" s="89"/>
      <c r="N534" s="89"/>
    </row>
    <row r="535" spans="1:14" x14ac:dyDescent="0.25">
      <c r="A535" s="89"/>
      <c r="B535" s="89"/>
      <c r="C535" s="89"/>
      <c r="D535" s="89"/>
      <c r="E535" s="89"/>
      <c r="F535" s="89"/>
      <c r="G535" s="89"/>
      <c r="H535" s="89"/>
      <c r="I535" s="89"/>
      <c r="J535" s="89"/>
      <c r="K535" s="89"/>
      <c r="L535" s="89"/>
      <c r="M535" s="89"/>
      <c r="N535" s="89"/>
    </row>
    <row r="536" spans="1:14" x14ac:dyDescent="0.25">
      <c r="A536" s="89"/>
      <c r="B536" s="89"/>
      <c r="C536" s="89"/>
      <c r="D536" s="89"/>
      <c r="E536" s="89"/>
      <c r="F536" s="89"/>
      <c r="G536" s="89"/>
      <c r="H536" s="89"/>
      <c r="I536" s="89"/>
      <c r="J536" s="89"/>
      <c r="K536" s="89"/>
      <c r="L536" s="89"/>
      <c r="M536" s="89"/>
      <c r="N536" s="89"/>
    </row>
    <row r="537" spans="1:14" x14ac:dyDescent="0.25">
      <c r="A537" s="89"/>
      <c r="B537" s="89"/>
      <c r="C537" s="89"/>
      <c r="D537" s="89"/>
      <c r="E537" s="89"/>
      <c r="F537" s="89"/>
      <c r="G537" s="89"/>
      <c r="H537" s="89"/>
      <c r="I537" s="89"/>
      <c r="J537" s="89"/>
      <c r="K537" s="89"/>
      <c r="L537" s="89"/>
      <c r="M537" s="89"/>
      <c r="N537" s="89"/>
    </row>
    <row r="538" spans="1:14" x14ac:dyDescent="0.25">
      <c r="A538" s="89"/>
      <c r="B538" s="89"/>
      <c r="C538" s="89"/>
      <c r="D538" s="89"/>
      <c r="E538" s="89"/>
      <c r="F538" s="89"/>
      <c r="G538" s="89"/>
      <c r="H538" s="89"/>
      <c r="I538" s="89"/>
      <c r="J538" s="89"/>
      <c r="K538" s="89"/>
      <c r="L538" s="89"/>
      <c r="M538" s="89"/>
      <c r="N538" s="89"/>
    </row>
    <row r="539" spans="1:14" x14ac:dyDescent="0.25">
      <c r="A539" s="89"/>
      <c r="B539" s="89"/>
      <c r="C539" s="89"/>
      <c r="D539" s="89"/>
      <c r="E539" s="89"/>
      <c r="F539" s="89"/>
      <c r="G539" s="89"/>
      <c r="H539" s="89"/>
      <c r="I539" s="89"/>
      <c r="J539" s="89"/>
      <c r="K539" s="89"/>
      <c r="L539" s="89"/>
      <c r="M539" s="89"/>
      <c r="N539" s="89"/>
    </row>
    <row r="540" spans="1:14" x14ac:dyDescent="0.25">
      <c r="A540" s="89"/>
      <c r="B540" s="89"/>
      <c r="C540" s="89"/>
      <c r="D540" s="89"/>
      <c r="E540" s="89"/>
      <c r="F540" s="89"/>
      <c r="G540" s="89"/>
      <c r="H540" s="89"/>
      <c r="I540" s="89"/>
      <c r="J540" s="89"/>
      <c r="K540" s="89"/>
      <c r="L540" s="89"/>
      <c r="M540" s="89"/>
      <c r="N540" s="89"/>
    </row>
    <row r="541" spans="1:14" x14ac:dyDescent="0.25">
      <c r="A541" s="89"/>
      <c r="B541" s="89"/>
      <c r="C541" s="89"/>
      <c r="D541" s="89"/>
      <c r="E541" s="89"/>
      <c r="F541" s="89"/>
      <c r="G541" s="89"/>
      <c r="H541" s="89"/>
      <c r="I541" s="89"/>
      <c r="J541" s="89"/>
      <c r="K541" s="89"/>
      <c r="L541" s="89"/>
      <c r="M541" s="89"/>
      <c r="N541" s="89"/>
    </row>
    <row r="542" spans="1:14" x14ac:dyDescent="0.25">
      <c r="A542" s="89"/>
      <c r="B542" s="89"/>
      <c r="C542" s="89"/>
      <c r="D542" s="89"/>
      <c r="E542" s="89"/>
      <c r="F542" s="89"/>
      <c r="G542" s="89"/>
      <c r="H542" s="89"/>
      <c r="I542" s="89"/>
      <c r="J542" s="89"/>
      <c r="K542" s="89"/>
      <c r="L542" s="89"/>
      <c r="M542" s="89"/>
      <c r="N542" s="89"/>
    </row>
    <row r="543" spans="1:14" x14ac:dyDescent="0.25">
      <c r="A543" s="89"/>
      <c r="B543" s="89"/>
      <c r="C543" s="89"/>
      <c r="D543" s="89"/>
      <c r="E543" s="89"/>
      <c r="F543" s="89"/>
      <c r="G543" s="89"/>
      <c r="H543" s="89"/>
      <c r="I543" s="89"/>
      <c r="J543" s="89"/>
      <c r="K543" s="89"/>
      <c r="L543" s="89"/>
      <c r="M543" s="89"/>
      <c r="N543" s="89"/>
    </row>
    <row r="544" spans="1:14" x14ac:dyDescent="0.25">
      <c r="A544" s="89"/>
      <c r="B544" s="89"/>
      <c r="C544" s="89"/>
      <c r="D544" s="89"/>
      <c r="E544" s="89"/>
      <c r="F544" s="89"/>
      <c r="G544" s="89"/>
      <c r="H544" s="89"/>
      <c r="I544" s="89"/>
      <c r="J544" s="89"/>
      <c r="K544" s="89"/>
      <c r="L544" s="89"/>
      <c r="M544" s="89"/>
      <c r="N544" s="89"/>
    </row>
    <row r="545" spans="1:14" x14ac:dyDescent="0.25">
      <c r="A545" s="89"/>
      <c r="B545" s="89"/>
      <c r="C545" s="89"/>
      <c r="D545" s="89"/>
      <c r="E545" s="89"/>
      <c r="F545" s="89"/>
      <c r="G545" s="89"/>
      <c r="H545" s="89"/>
      <c r="I545" s="89"/>
      <c r="J545" s="89"/>
      <c r="K545" s="89"/>
      <c r="L545" s="89"/>
      <c r="M545" s="89"/>
      <c r="N545" s="89"/>
    </row>
    <row r="546" spans="1:14" x14ac:dyDescent="0.25">
      <c r="A546" s="89"/>
      <c r="B546" s="89"/>
      <c r="C546" s="89"/>
      <c r="D546" s="89"/>
      <c r="E546" s="89"/>
      <c r="F546" s="89"/>
      <c r="G546" s="89"/>
      <c r="H546" s="89"/>
      <c r="I546" s="89"/>
      <c r="J546" s="89"/>
      <c r="K546" s="89"/>
      <c r="L546" s="89"/>
      <c r="M546" s="89"/>
      <c r="N546" s="89"/>
    </row>
    <row r="547" spans="1:14" x14ac:dyDescent="0.25">
      <c r="A547" s="89"/>
      <c r="B547" s="89"/>
      <c r="C547" s="89"/>
      <c r="D547" s="89"/>
      <c r="E547" s="89"/>
      <c r="F547" s="89"/>
      <c r="G547" s="89"/>
      <c r="H547" s="89"/>
      <c r="I547" s="89"/>
      <c r="J547" s="89"/>
      <c r="K547" s="89"/>
      <c r="L547" s="89"/>
      <c r="M547" s="89"/>
      <c r="N547" s="89"/>
    </row>
    <row r="548" spans="1:14" x14ac:dyDescent="0.25">
      <c r="A548" s="89"/>
      <c r="B548" s="89"/>
      <c r="C548" s="89"/>
      <c r="D548" s="89"/>
      <c r="E548" s="89"/>
      <c r="F548" s="89"/>
      <c r="G548" s="89"/>
      <c r="H548" s="89"/>
      <c r="I548" s="89"/>
      <c r="J548" s="89"/>
      <c r="K548" s="89"/>
      <c r="L548" s="89"/>
      <c r="M548" s="89"/>
      <c r="N548" s="89"/>
    </row>
    <row r="549" spans="1:14" x14ac:dyDescent="0.25">
      <c r="A549" s="89"/>
      <c r="B549" s="89"/>
      <c r="C549" s="89"/>
      <c r="D549" s="89"/>
      <c r="E549" s="89"/>
      <c r="F549" s="89"/>
      <c r="G549" s="89"/>
      <c r="H549" s="89"/>
      <c r="I549" s="89"/>
      <c r="J549" s="89"/>
      <c r="K549" s="89"/>
      <c r="L549" s="89"/>
      <c r="M549" s="89"/>
      <c r="N549" s="89"/>
    </row>
    <row r="550" spans="1:14" x14ac:dyDescent="0.25">
      <c r="A550" s="89"/>
      <c r="B550" s="89"/>
      <c r="C550" s="89"/>
      <c r="D550" s="89"/>
      <c r="E550" s="89"/>
      <c r="F550" s="89"/>
      <c r="G550" s="89"/>
      <c r="H550" s="89"/>
      <c r="I550" s="89"/>
      <c r="J550" s="89"/>
      <c r="K550" s="89"/>
      <c r="L550" s="89"/>
      <c r="M550" s="89"/>
      <c r="N550" s="89"/>
    </row>
    <row r="551" spans="1:14" x14ac:dyDescent="0.25">
      <c r="A551" s="89"/>
      <c r="B551" s="89"/>
      <c r="C551" s="89"/>
      <c r="D551" s="89"/>
      <c r="E551" s="89"/>
      <c r="F551" s="89"/>
      <c r="G551" s="89"/>
      <c r="H551" s="89"/>
      <c r="I551" s="89"/>
      <c r="J551" s="89"/>
      <c r="K551" s="89"/>
      <c r="L551" s="89"/>
      <c r="M551" s="89"/>
      <c r="N551" s="89"/>
    </row>
    <row r="552" spans="1:14" x14ac:dyDescent="0.25">
      <c r="A552" s="89"/>
      <c r="B552" s="89"/>
      <c r="C552" s="89"/>
      <c r="D552" s="89"/>
      <c r="E552" s="89"/>
      <c r="F552" s="89"/>
      <c r="G552" s="89"/>
      <c r="H552" s="89"/>
      <c r="I552" s="89"/>
      <c r="J552" s="89"/>
      <c r="K552" s="89"/>
      <c r="L552" s="89"/>
      <c r="M552" s="89"/>
      <c r="N552" s="89"/>
    </row>
    <row r="553" spans="1:14" x14ac:dyDescent="0.25">
      <c r="A553" s="89"/>
      <c r="B553" s="89"/>
      <c r="C553" s="89"/>
      <c r="D553" s="89"/>
      <c r="E553" s="89"/>
      <c r="F553" s="89"/>
      <c r="G553" s="89"/>
      <c r="H553" s="89"/>
      <c r="I553" s="89"/>
      <c r="J553" s="89"/>
      <c r="K553" s="89"/>
      <c r="L553" s="89"/>
      <c r="M553" s="89"/>
      <c r="N553" s="89"/>
    </row>
    <row r="554" spans="1:14" x14ac:dyDescent="0.25">
      <c r="A554" s="89"/>
      <c r="B554" s="89"/>
      <c r="C554" s="89"/>
      <c r="D554" s="89"/>
      <c r="E554" s="89"/>
      <c r="F554" s="89"/>
      <c r="G554" s="89"/>
      <c r="H554" s="89"/>
      <c r="I554" s="89"/>
      <c r="J554" s="89"/>
      <c r="K554" s="89"/>
      <c r="L554" s="89"/>
      <c r="M554" s="89"/>
      <c r="N554" s="89"/>
    </row>
    <row r="555" spans="1:14" x14ac:dyDescent="0.25">
      <c r="A555" s="89"/>
      <c r="B555" s="89"/>
      <c r="C555" s="89"/>
      <c r="D555" s="89"/>
      <c r="E555" s="89"/>
      <c r="F555" s="89"/>
      <c r="G555" s="89"/>
      <c r="H555" s="89"/>
      <c r="I555" s="89"/>
      <c r="J555" s="89"/>
      <c r="K555" s="89"/>
      <c r="L555" s="89"/>
      <c r="M555" s="89"/>
      <c r="N555" s="89"/>
    </row>
    <row r="556" spans="1:14" x14ac:dyDescent="0.25">
      <c r="A556" s="89"/>
      <c r="B556" s="89"/>
      <c r="C556" s="89"/>
      <c r="D556" s="89"/>
      <c r="E556" s="89"/>
      <c r="F556" s="89"/>
      <c r="G556" s="89"/>
      <c r="H556" s="89"/>
      <c r="I556" s="89"/>
      <c r="J556" s="89"/>
      <c r="K556" s="89"/>
      <c r="L556" s="89"/>
      <c r="M556" s="89"/>
      <c r="N556" s="89"/>
    </row>
    <row r="557" spans="1:14" x14ac:dyDescent="0.25">
      <c r="A557" s="89"/>
      <c r="B557" s="89"/>
      <c r="C557" s="89"/>
      <c r="D557" s="89"/>
      <c r="E557" s="89"/>
      <c r="F557" s="89"/>
      <c r="G557" s="89"/>
      <c r="H557" s="89"/>
      <c r="I557" s="89"/>
      <c r="J557" s="89"/>
      <c r="K557" s="89"/>
      <c r="L557" s="89"/>
      <c r="M557" s="89"/>
      <c r="N557" s="89"/>
    </row>
    <row r="558" spans="1:14" x14ac:dyDescent="0.25">
      <c r="A558" s="89"/>
      <c r="B558" s="89"/>
      <c r="C558" s="89"/>
      <c r="D558" s="89"/>
      <c r="E558" s="89"/>
      <c r="F558" s="89"/>
      <c r="G558" s="89"/>
      <c r="H558" s="89"/>
      <c r="I558" s="89"/>
      <c r="J558" s="89"/>
      <c r="K558" s="89"/>
      <c r="L558" s="89"/>
      <c r="M558" s="89"/>
      <c r="N558" s="89"/>
    </row>
    <row r="559" spans="1:14" x14ac:dyDescent="0.25">
      <c r="A559" s="89"/>
      <c r="B559" s="89"/>
      <c r="C559" s="89"/>
      <c r="D559" s="89"/>
      <c r="E559" s="89"/>
      <c r="F559" s="89"/>
      <c r="G559" s="89"/>
      <c r="H559" s="89"/>
      <c r="I559" s="89"/>
      <c r="J559" s="89"/>
      <c r="K559" s="89"/>
      <c r="L559" s="89"/>
      <c r="M559" s="89"/>
      <c r="N559" s="89"/>
    </row>
    <row r="560" spans="1:14" x14ac:dyDescent="0.25">
      <c r="A560" s="89"/>
      <c r="B560" s="89"/>
      <c r="C560" s="89"/>
      <c r="D560" s="89"/>
      <c r="E560" s="89"/>
      <c r="F560" s="89"/>
      <c r="G560" s="89"/>
      <c r="H560" s="89"/>
      <c r="I560" s="89"/>
      <c r="J560" s="89"/>
      <c r="K560" s="89"/>
      <c r="L560" s="89"/>
      <c r="M560" s="89"/>
      <c r="N560" s="89"/>
    </row>
    <row r="561" spans="1:14" x14ac:dyDescent="0.25">
      <c r="A561" s="89"/>
      <c r="B561" s="89"/>
      <c r="C561" s="89"/>
      <c r="D561" s="89"/>
      <c r="E561" s="89"/>
      <c r="F561" s="89"/>
      <c r="G561" s="89"/>
      <c r="H561" s="89"/>
      <c r="I561" s="89"/>
      <c r="J561" s="89"/>
      <c r="K561" s="89"/>
      <c r="L561" s="89"/>
      <c r="M561" s="89"/>
      <c r="N561" s="89"/>
    </row>
    <row r="562" spans="1:14" x14ac:dyDescent="0.25">
      <c r="A562" s="89"/>
      <c r="B562" s="89"/>
      <c r="C562" s="89"/>
      <c r="D562" s="89"/>
      <c r="E562" s="89"/>
      <c r="F562" s="89"/>
      <c r="G562" s="89"/>
      <c r="H562" s="89"/>
      <c r="I562" s="89"/>
      <c r="J562" s="89"/>
      <c r="K562" s="89"/>
      <c r="L562" s="89"/>
      <c r="M562" s="89"/>
      <c r="N562" s="89"/>
    </row>
    <row r="563" spans="1:14" x14ac:dyDescent="0.25">
      <c r="A563" s="89"/>
      <c r="B563" s="89"/>
      <c r="C563" s="89"/>
      <c r="D563" s="89"/>
      <c r="E563" s="89"/>
      <c r="F563" s="89"/>
      <c r="G563" s="89"/>
      <c r="H563" s="89"/>
      <c r="I563" s="89"/>
      <c r="J563" s="89"/>
      <c r="K563" s="89"/>
      <c r="L563" s="89"/>
      <c r="M563" s="89"/>
      <c r="N563" s="89"/>
    </row>
    <row r="564" spans="1:14" x14ac:dyDescent="0.25">
      <c r="A564" s="89"/>
      <c r="B564" s="89"/>
      <c r="C564" s="89"/>
      <c r="D564" s="89"/>
      <c r="E564" s="89"/>
      <c r="F564" s="89"/>
      <c r="G564" s="89"/>
      <c r="H564" s="89"/>
      <c r="I564" s="89"/>
      <c r="J564" s="89"/>
      <c r="K564" s="89"/>
      <c r="L564" s="89"/>
      <c r="M564" s="89"/>
      <c r="N564" s="89"/>
    </row>
    <row r="565" spans="1:14" x14ac:dyDescent="0.25">
      <c r="A565" s="89"/>
      <c r="B565" s="89"/>
      <c r="C565" s="89"/>
      <c r="D565" s="89"/>
      <c r="E565" s="89"/>
      <c r="F565" s="89"/>
      <c r="G565" s="89"/>
      <c r="H565" s="89"/>
      <c r="I565" s="89"/>
      <c r="J565" s="89"/>
      <c r="K565" s="89"/>
      <c r="L565" s="89"/>
      <c r="M565" s="89"/>
      <c r="N565" s="89"/>
    </row>
    <row r="566" spans="1:14" x14ac:dyDescent="0.25">
      <c r="A566" s="89"/>
      <c r="B566" s="89"/>
      <c r="C566" s="89"/>
      <c r="D566" s="89"/>
      <c r="E566" s="89"/>
      <c r="F566" s="89"/>
      <c r="G566" s="89"/>
      <c r="H566" s="89"/>
      <c r="I566" s="89"/>
      <c r="J566" s="89"/>
      <c r="K566" s="89"/>
      <c r="L566" s="89"/>
      <c r="M566" s="89"/>
      <c r="N566" s="89"/>
    </row>
    <row r="567" spans="1:14" x14ac:dyDescent="0.25">
      <c r="A567" s="89"/>
      <c r="B567" s="89"/>
      <c r="C567" s="89"/>
      <c r="D567" s="89"/>
      <c r="E567" s="89"/>
      <c r="F567" s="89"/>
      <c r="G567" s="89"/>
      <c r="H567" s="89"/>
      <c r="I567" s="89"/>
      <c r="J567" s="89"/>
      <c r="K567" s="89"/>
      <c r="L567" s="89"/>
      <c r="M567" s="89"/>
      <c r="N567" s="89"/>
    </row>
    <row r="568" spans="1:14" x14ac:dyDescent="0.25">
      <c r="A568" s="89"/>
      <c r="B568" s="89"/>
      <c r="C568" s="89"/>
      <c r="D568" s="89"/>
      <c r="E568" s="89"/>
      <c r="F568" s="89"/>
      <c r="G568" s="89"/>
      <c r="H568" s="89"/>
      <c r="I568" s="89"/>
      <c r="J568" s="89"/>
      <c r="K568" s="89"/>
      <c r="L568" s="89"/>
      <c r="M568" s="89"/>
      <c r="N568" s="89"/>
    </row>
    <row r="569" spans="1:14" x14ac:dyDescent="0.25">
      <c r="A569" s="89"/>
      <c r="B569" s="89"/>
      <c r="C569" s="89"/>
      <c r="D569" s="89"/>
      <c r="E569" s="89"/>
      <c r="F569" s="89"/>
      <c r="G569" s="89"/>
      <c r="H569" s="89"/>
      <c r="I569" s="89"/>
      <c r="J569" s="89"/>
      <c r="K569" s="89"/>
      <c r="L569" s="89"/>
      <c r="M569" s="89"/>
      <c r="N569" s="89"/>
    </row>
    <row r="570" spans="1:14" x14ac:dyDescent="0.25">
      <c r="A570" s="89"/>
      <c r="B570" s="89"/>
      <c r="C570" s="89"/>
      <c r="D570" s="89"/>
      <c r="E570" s="89"/>
      <c r="F570" s="89"/>
      <c r="G570" s="89"/>
      <c r="H570" s="89"/>
      <c r="I570" s="89"/>
      <c r="J570" s="89"/>
      <c r="K570" s="89"/>
      <c r="L570" s="89"/>
      <c r="M570" s="89"/>
      <c r="N570" s="89"/>
    </row>
    <row r="571" spans="1:14" x14ac:dyDescent="0.25">
      <c r="A571" s="89"/>
      <c r="B571" s="89"/>
      <c r="C571" s="89"/>
      <c r="D571" s="89"/>
      <c r="E571" s="89"/>
      <c r="F571" s="89"/>
      <c r="G571" s="89"/>
      <c r="H571" s="89"/>
      <c r="I571" s="89"/>
      <c r="J571" s="89"/>
      <c r="K571" s="89"/>
      <c r="L571" s="89"/>
      <c r="M571" s="89"/>
      <c r="N571" s="89"/>
    </row>
    <row r="572" spans="1:14" x14ac:dyDescent="0.25">
      <c r="A572" s="89"/>
      <c r="B572" s="89"/>
      <c r="C572" s="89"/>
      <c r="D572" s="89"/>
      <c r="E572" s="89"/>
      <c r="F572" s="89"/>
      <c r="G572" s="89"/>
      <c r="H572" s="89"/>
      <c r="I572" s="89"/>
      <c r="J572" s="89"/>
      <c r="K572" s="89"/>
      <c r="L572" s="89"/>
      <c r="M572" s="89"/>
      <c r="N572" s="89"/>
    </row>
    <row r="573" spans="1:14" x14ac:dyDescent="0.25">
      <c r="A573" s="89"/>
      <c r="B573" s="89"/>
      <c r="C573" s="89"/>
      <c r="D573" s="89"/>
      <c r="E573" s="89"/>
      <c r="F573" s="89"/>
      <c r="G573" s="89"/>
      <c r="H573" s="89"/>
      <c r="I573" s="89"/>
      <c r="J573" s="89"/>
      <c r="K573" s="89"/>
      <c r="L573" s="89"/>
      <c r="M573" s="89"/>
      <c r="N573" s="89"/>
    </row>
    <row r="574" spans="1:14" x14ac:dyDescent="0.25">
      <c r="A574" s="89"/>
      <c r="B574" s="89"/>
      <c r="C574" s="89"/>
      <c r="D574" s="89"/>
      <c r="E574" s="89"/>
      <c r="F574" s="89"/>
      <c r="G574" s="89"/>
      <c r="H574" s="89"/>
      <c r="I574" s="89"/>
      <c r="J574" s="89"/>
      <c r="K574" s="89"/>
      <c r="L574" s="89"/>
      <c r="M574" s="89"/>
      <c r="N574" s="89"/>
    </row>
    <row r="575" spans="1:14" x14ac:dyDescent="0.25">
      <c r="A575" s="89"/>
      <c r="B575" s="89"/>
      <c r="C575" s="89"/>
      <c r="D575" s="89"/>
      <c r="E575" s="89"/>
      <c r="F575" s="89"/>
      <c r="G575" s="89"/>
      <c r="H575" s="89"/>
      <c r="I575" s="89"/>
      <c r="J575" s="89"/>
      <c r="K575" s="89"/>
      <c r="L575" s="89"/>
      <c r="M575" s="89"/>
      <c r="N575" s="89"/>
    </row>
    <row r="576" spans="1:14" x14ac:dyDescent="0.25">
      <c r="A576" s="89"/>
      <c r="B576" s="89"/>
      <c r="C576" s="89"/>
      <c r="D576" s="89"/>
      <c r="E576" s="89"/>
      <c r="F576" s="89"/>
      <c r="G576" s="89"/>
      <c r="H576" s="89"/>
      <c r="I576" s="89"/>
      <c r="J576" s="89"/>
      <c r="K576" s="89"/>
      <c r="L576" s="89"/>
      <c r="M576" s="89"/>
      <c r="N576" s="89"/>
    </row>
    <row r="577" spans="1:14" x14ac:dyDescent="0.25">
      <c r="A577" s="89"/>
      <c r="B577" s="89"/>
      <c r="C577" s="89"/>
      <c r="D577" s="89"/>
      <c r="E577" s="89"/>
      <c r="F577" s="89"/>
      <c r="G577" s="89"/>
      <c r="H577" s="89"/>
      <c r="I577" s="89"/>
      <c r="J577" s="89"/>
      <c r="K577" s="89"/>
      <c r="L577" s="89"/>
      <c r="M577" s="89"/>
      <c r="N577" s="89"/>
    </row>
    <row r="578" spans="1:14" x14ac:dyDescent="0.25">
      <c r="A578" s="89"/>
      <c r="B578" s="89"/>
      <c r="C578" s="89"/>
      <c r="D578" s="89"/>
      <c r="E578" s="89"/>
      <c r="F578" s="89"/>
      <c r="G578" s="89"/>
      <c r="H578" s="89"/>
      <c r="I578" s="89"/>
      <c r="J578" s="89"/>
      <c r="K578" s="89"/>
      <c r="L578" s="89"/>
      <c r="M578" s="89"/>
      <c r="N578" s="89"/>
    </row>
    <row r="579" spans="1:14" x14ac:dyDescent="0.25">
      <c r="A579" s="89"/>
      <c r="B579" s="89"/>
      <c r="C579" s="89"/>
      <c r="D579" s="89"/>
      <c r="E579" s="89"/>
      <c r="F579" s="89"/>
      <c r="G579" s="89"/>
      <c r="H579" s="89"/>
      <c r="I579" s="89"/>
      <c r="J579" s="89"/>
      <c r="K579" s="89"/>
      <c r="L579" s="89"/>
      <c r="M579" s="89"/>
      <c r="N579" s="89"/>
    </row>
    <row r="580" spans="1:14" x14ac:dyDescent="0.25">
      <c r="A580" s="89"/>
      <c r="B580" s="89"/>
      <c r="C580" s="89"/>
      <c r="D580" s="89"/>
      <c r="E580" s="89"/>
      <c r="F580" s="89"/>
      <c r="G580" s="89"/>
      <c r="H580" s="89"/>
      <c r="I580" s="89"/>
      <c r="J580" s="89"/>
      <c r="K580" s="89"/>
      <c r="L580" s="89"/>
      <c r="M580" s="89"/>
      <c r="N580" s="89"/>
    </row>
    <row r="581" spans="1:14" x14ac:dyDescent="0.25">
      <c r="A581" s="89"/>
      <c r="B581" s="89"/>
      <c r="C581" s="89"/>
      <c r="D581" s="89"/>
      <c r="E581" s="89"/>
      <c r="F581" s="89"/>
      <c r="G581" s="89"/>
      <c r="H581" s="89"/>
      <c r="I581" s="89"/>
      <c r="J581" s="89"/>
      <c r="K581" s="89"/>
      <c r="L581" s="89"/>
      <c r="M581" s="89"/>
      <c r="N581" s="89"/>
    </row>
    <row r="582" spans="1:14" x14ac:dyDescent="0.25">
      <c r="A582" s="89"/>
      <c r="B582" s="89"/>
      <c r="C582" s="89"/>
      <c r="D582" s="89"/>
      <c r="E582" s="89"/>
      <c r="F582" s="89"/>
      <c r="G582" s="89"/>
      <c r="H582" s="89"/>
      <c r="I582" s="89"/>
      <c r="J582" s="89"/>
      <c r="K582" s="89"/>
      <c r="L582" s="89"/>
      <c r="M582" s="89"/>
      <c r="N582" s="89"/>
    </row>
    <row r="583" spans="1:14" x14ac:dyDescent="0.25">
      <c r="A583" s="89"/>
      <c r="B583" s="89"/>
      <c r="C583" s="89"/>
      <c r="D583" s="89"/>
      <c r="E583" s="89"/>
      <c r="F583" s="89"/>
      <c r="G583" s="89"/>
      <c r="H583" s="89"/>
      <c r="I583" s="89"/>
      <c r="J583" s="89"/>
      <c r="K583" s="89"/>
      <c r="L583" s="89"/>
      <c r="M583" s="89"/>
      <c r="N583" s="89"/>
    </row>
    <row r="584" spans="1:14" x14ac:dyDescent="0.25">
      <c r="A584" s="89"/>
      <c r="B584" s="89"/>
      <c r="C584" s="89"/>
      <c r="D584" s="89"/>
      <c r="E584" s="89"/>
      <c r="F584" s="89"/>
      <c r="G584" s="89"/>
      <c r="H584" s="89"/>
      <c r="I584" s="89"/>
      <c r="J584" s="89"/>
      <c r="K584" s="89"/>
      <c r="L584" s="89"/>
      <c r="M584" s="89"/>
      <c r="N584" s="89"/>
    </row>
    <row r="585" spans="1:14" x14ac:dyDescent="0.25">
      <c r="A585" s="89"/>
      <c r="B585" s="89"/>
      <c r="C585" s="89"/>
      <c r="D585" s="89"/>
      <c r="E585" s="89"/>
      <c r="F585" s="89"/>
      <c r="G585" s="89"/>
      <c r="H585" s="89"/>
      <c r="I585" s="89"/>
      <c r="J585" s="89"/>
      <c r="K585" s="89"/>
      <c r="L585" s="89"/>
      <c r="M585" s="89"/>
      <c r="N585" s="89"/>
    </row>
    <row r="586" spans="1:14" x14ac:dyDescent="0.25">
      <c r="A586" s="89"/>
      <c r="B586" s="89"/>
      <c r="C586" s="89"/>
      <c r="D586" s="89"/>
      <c r="E586" s="89"/>
      <c r="F586" s="89"/>
      <c r="G586" s="89"/>
      <c r="H586" s="89"/>
      <c r="I586" s="89"/>
      <c r="J586" s="89"/>
      <c r="K586" s="89"/>
      <c r="L586" s="89"/>
      <c r="M586" s="89"/>
      <c r="N586" s="89"/>
    </row>
    <row r="587" spans="1:14" x14ac:dyDescent="0.25">
      <c r="A587" s="89"/>
      <c r="B587" s="89"/>
      <c r="C587" s="89"/>
      <c r="D587" s="89"/>
      <c r="E587" s="89"/>
      <c r="F587" s="89"/>
      <c r="G587" s="89"/>
      <c r="H587" s="89"/>
      <c r="I587" s="89"/>
      <c r="J587" s="89"/>
      <c r="K587" s="89"/>
      <c r="L587" s="89"/>
      <c r="M587" s="89"/>
      <c r="N587" s="89"/>
    </row>
    <row r="588" spans="1:14" x14ac:dyDescent="0.25">
      <c r="A588" s="89"/>
      <c r="B588" s="89"/>
      <c r="C588" s="89"/>
      <c r="D588" s="89"/>
      <c r="E588" s="89"/>
      <c r="F588" s="89"/>
      <c r="G588" s="89"/>
      <c r="H588" s="89"/>
      <c r="I588" s="89"/>
      <c r="J588" s="89"/>
      <c r="K588" s="89"/>
      <c r="L588" s="89"/>
      <c r="M588" s="89"/>
      <c r="N588" s="89"/>
    </row>
    <row r="589" spans="1:14" x14ac:dyDescent="0.25">
      <c r="A589" s="89"/>
      <c r="B589" s="89"/>
      <c r="C589" s="89"/>
      <c r="D589" s="89"/>
      <c r="E589" s="89"/>
      <c r="F589" s="89"/>
      <c r="G589" s="89"/>
      <c r="H589" s="89"/>
      <c r="I589" s="89"/>
      <c r="J589" s="89"/>
      <c r="K589" s="89"/>
      <c r="L589" s="89"/>
      <c r="M589" s="89"/>
      <c r="N589" s="89"/>
    </row>
    <row r="590" spans="1:14" x14ac:dyDescent="0.25">
      <c r="A590" s="89"/>
      <c r="B590" s="89"/>
      <c r="C590" s="89"/>
      <c r="D590" s="89"/>
      <c r="E590" s="89"/>
      <c r="F590" s="89"/>
      <c r="G590" s="89"/>
      <c r="H590" s="89"/>
      <c r="I590" s="89"/>
      <c r="J590" s="89"/>
      <c r="K590" s="89"/>
      <c r="L590" s="89"/>
      <c r="M590" s="89"/>
      <c r="N590" s="89"/>
    </row>
    <row r="591" spans="1:14" x14ac:dyDescent="0.25">
      <c r="A591" s="89"/>
      <c r="B591" s="89"/>
      <c r="C591" s="89"/>
      <c r="D591" s="89"/>
      <c r="E591" s="89"/>
      <c r="F591" s="89"/>
      <c r="G591" s="89"/>
      <c r="H591" s="89"/>
      <c r="I591" s="89"/>
      <c r="J591" s="89"/>
      <c r="K591" s="89"/>
      <c r="L591" s="89"/>
      <c r="M591" s="89"/>
      <c r="N591" s="89"/>
    </row>
    <row r="592" spans="1:14" x14ac:dyDescent="0.25">
      <c r="A592" s="89"/>
      <c r="B592" s="89"/>
      <c r="C592" s="89"/>
      <c r="D592" s="89"/>
      <c r="E592" s="89"/>
      <c r="F592" s="89"/>
      <c r="G592" s="89"/>
      <c r="H592" s="89"/>
      <c r="I592" s="89"/>
      <c r="J592" s="89"/>
      <c r="K592" s="89"/>
      <c r="L592" s="89"/>
      <c r="M592" s="89"/>
      <c r="N592" s="89"/>
    </row>
    <row r="593" spans="1:14" x14ac:dyDescent="0.25">
      <c r="A593" s="89"/>
      <c r="B593" s="89"/>
      <c r="C593" s="89"/>
      <c r="D593" s="89"/>
      <c r="E593" s="89"/>
      <c r="F593" s="89"/>
      <c r="G593" s="89"/>
      <c r="H593" s="89"/>
      <c r="I593" s="89"/>
      <c r="J593" s="89"/>
      <c r="K593" s="89"/>
      <c r="L593" s="89"/>
      <c r="M593" s="89"/>
      <c r="N593" s="89"/>
    </row>
    <row r="594" spans="1:14" x14ac:dyDescent="0.25">
      <c r="A594" s="89"/>
      <c r="B594" s="89"/>
      <c r="C594" s="89"/>
      <c r="D594" s="89"/>
      <c r="E594" s="89"/>
      <c r="F594" s="89"/>
      <c r="G594" s="89"/>
      <c r="H594" s="89"/>
      <c r="I594" s="89"/>
      <c r="J594" s="89"/>
      <c r="K594" s="89"/>
      <c r="L594" s="89"/>
      <c r="M594" s="89"/>
      <c r="N594" s="89"/>
    </row>
    <row r="595" spans="1:14" x14ac:dyDescent="0.25">
      <c r="A595" s="89"/>
      <c r="B595" s="89"/>
      <c r="C595" s="89"/>
      <c r="D595" s="89"/>
      <c r="E595" s="89"/>
      <c r="F595" s="89"/>
      <c r="G595" s="89"/>
      <c r="H595" s="89"/>
      <c r="I595" s="89"/>
      <c r="J595" s="89"/>
      <c r="K595" s="89"/>
      <c r="L595" s="89"/>
      <c r="M595" s="89"/>
      <c r="N595" s="89"/>
    </row>
    <row r="596" spans="1:14" x14ac:dyDescent="0.25">
      <c r="A596" s="89"/>
      <c r="B596" s="89"/>
      <c r="C596" s="89"/>
      <c r="D596" s="89"/>
      <c r="E596" s="89"/>
      <c r="F596" s="89"/>
      <c r="G596" s="89"/>
      <c r="H596" s="89"/>
      <c r="I596" s="89"/>
      <c r="J596" s="89"/>
      <c r="K596" s="89"/>
      <c r="L596" s="89"/>
      <c r="M596" s="89"/>
      <c r="N596" s="89"/>
    </row>
    <row r="597" spans="1:14" x14ac:dyDescent="0.25">
      <c r="A597" s="89"/>
      <c r="B597" s="89"/>
      <c r="C597" s="89"/>
      <c r="D597" s="89"/>
      <c r="E597" s="89"/>
      <c r="F597" s="89"/>
      <c r="G597" s="89"/>
      <c r="H597" s="89"/>
      <c r="I597" s="89"/>
      <c r="J597" s="89"/>
      <c r="K597" s="89"/>
      <c r="L597" s="89"/>
      <c r="M597" s="89"/>
      <c r="N597" s="89"/>
    </row>
    <row r="598" spans="1:14" x14ac:dyDescent="0.25">
      <c r="A598" s="89"/>
      <c r="B598" s="89"/>
      <c r="C598" s="89"/>
      <c r="D598" s="89"/>
      <c r="E598" s="89"/>
      <c r="F598" s="89"/>
      <c r="G598" s="89"/>
      <c r="H598" s="89"/>
      <c r="I598" s="89"/>
      <c r="J598" s="89"/>
      <c r="K598" s="89"/>
      <c r="L598" s="89"/>
      <c r="M598" s="89"/>
      <c r="N598" s="89"/>
    </row>
    <row r="599" spans="1:14" x14ac:dyDescent="0.25">
      <c r="A599" s="89"/>
      <c r="B599" s="89"/>
      <c r="C599" s="89"/>
      <c r="D599" s="89"/>
      <c r="E599" s="89"/>
      <c r="F599" s="89"/>
      <c r="G599" s="89"/>
      <c r="H599" s="89"/>
      <c r="I599" s="89"/>
      <c r="J599" s="89"/>
      <c r="K599" s="89"/>
      <c r="L599" s="89"/>
      <c r="M599" s="89"/>
      <c r="N599" s="89"/>
    </row>
    <row r="600" spans="1:14" x14ac:dyDescent="0.25">
      <c r="A600" s="89"/>
      <c r="B600" s="89"/>
      <c r="C600" s="89"/>
      <c r="D600" s="89"/>
      <c r="E600" s="89"/>
      <c r="F600" s="89"/>
      <c r="G600" s="89"/>
      <c r="H600" s="89"/>
      <c r="I600" s="89"/>
      <c r="J600" s="89"/>
      <c r="K600" s="89"/>
      <c r="L600" s="89"/>
      <c r="M600" s="89"/>
      <c r="N600" s="89"/>
    </row>
    <row r="601" spans="1:14" x14ac:dyDescent="0.25">
      <c r="A601" s="89"/>
      <c r="B601" s="89"/>
      <c r="C601" s="89"/>
      <c r="D601" s="89"/>
      <c r="E601" s="89"/>
      <c r="F601" s="89"/>
      <c r="G601" s="89"/>
      <c r="H601" s="89"/>
      <c r="I601" s="89"/>
      <c r="J601" s="89"/>
      <c r="K601" s="89"/>
      <c r="L601" s="89"/>
      <c r="M601" s="89"/>
      <c r="N601" s="89"/>
    </row>
    <row r="602" spans="1:14" x14ac:dyDescent="0.25">
      <c r="A602" s="89"/>
      <c r="B602" s="89"/>
      <c r="C602" s="89"/>
      <c r="D602" s="89"/>
      <c r="E602" s="89"/>
      <c r="F602" s="89"/>
      <c r="G602" s="89"/>
      <c r="H602" s="89"/>
      <c r="I602" s="89"/>
      <c r="J602" s="89"/>
      <c r="K602" s="89"/>
      <c r="L602" s="89"/>
      <c r="M602" s="89"/>
      <c r="N602" s="89"/>
    </row>
    <row r="603" spans="1:14" x14ac:dyDescent="0.25">
      <c r="A603" s="89"/>
      <c r="B603" s="89"/>
      <c r="C603" s="89"/>
      <c r="D603" s="89"/>
      <c r="E603" s="89"/>
      <c r="F603" s="89"/>
      <c r="G603" s="89"/>
      <c r="H603" s="89"/>
      <c r="I603" s="89"/>
      <c r="J603" s="89"/>
      <c r="K603" s="89"/>
      <c r="L603" s="89"/>
      <c r="M603" s="89"/>
      <c r="N603" s="89"/>
    </row>
    <row r="604" spans="1:14" x14ac:dyDescent="0.25">
      <c r="A604" s="89"/>
      <c r="B604" s="89"/>
      <c r="C604" s="89"/>
      <c r="D604" s="89"/>
      <c r="E604" s="89"/>
      <c r="F604" s="89"/>
      <c r="G604" s="89"/>
      <c r="H604" s="89"/>
      <c r="I604" s="89"/>
      <c r="J604" s="89"/>
      <c r="K604" s="89"/>
      <c r="L604" s="89"/>
      <c r="M604" s="89"/>
      <c r="N604" s="89"/>
    </row>
    <row r="605" spans="1:14" x14ac:dyDescent="0.25">
      <c r="A605" s="89"/>
      <c r="B605" s="89"/>
      <c r="C605" s="89"/>
      <c r="D605" s="89"/>
      <c r="E605" s="89"/>
      <c r="F605" s="89"/>
      <c r="G605" s="89"/>
      <c r="H605" s="89"/>
      <c r="I605" s="89"/>
      <c r="J605" s="89"/>
      <c r="K605" s="89"/>
      <c r="L605" s="89"/>
      <c r="M605" s="89"/>
      <c r="N605" s="89"/>
    </row>
    <row r="606" spans="1:14" x14ac:dyDescent="0.25">
      <c r="A606" s="89"/>
      <c r="B606" s="89"/>
      <c r="C606" s="89"/>
      <c r="D606" s="89"/>
      <c r="E606" s="89"/>
      <c r="F606" s="89"/>
      <c r="G606" s="89"/>
      <c r="H606" s="89"/>
      <c r="I606" s="89"/>
      <c r="J606" s="89"/>
      <c r="K606" s="89"/>
      <c r="L606" s="89"/>
      <c r="M606" s="89"/>
      <c r="N606" s="89"/>
    </row>
  </sheetData>
  <printOptions horizontalCentered="1"/>
  <pageMargins left="0.75" right="0.25" top="0.52" bottom="0.49" header="0.5" footer="0.5"/>
  <pageSetup scale="47" orientation="portrait" r:id="rId1"/>
  <headerFooter alignWithMargins="0"/>
  <colBreaks count="1" manualBreakCount="1">
    <brk id="13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workbookViewId="0"/>
  </sheetViews>
  <sheetFormatPr defaultColWidth="9.33203125" defaultRowHeight="12.75" x14ac:dyDescent="0.2"/>
  <cols>
    <col min="1" max="1" width="9.33203125" style="122"/>
    <col min="2" max="2" width="54" style="122" bestFit="1" customWidth="1"/>
    <col min="3" max="3" width="10.5" style="122" bestFit="1" customWidth="1"/>
    <col min="4" max="16384" width="9.33203125" style="122"/>
  </cols>
  <sheetData>
    <row r="1" spans="1:5" ht="15.75" x14ac:dyDescent="0.25">
      <c r="A1" s="213" t="s">
        <v>139</v>
      </c>
    </row>
    <row r="3" spans="1:5" ht="15.75" x14ac:dyDescent="0.25">
      <c r="A3" s="214" t="s">
        <v>140</v>
      </c>
    </row>
    <row r="5" spans="1:5" ht="15.75" x14ac:dyDescent="0.25">
      <c r="A5" s="215"/>
      <c r="B5" s="215"/>
      <c r="C5" s="216" t="s">
        <v>141</v>
      </c>
    </row>
    <row r="6" spans="1:5" ht="15.75" x14ac:dyDescent="0.25">
      <c r="A6" s="215"/>
      <c r="B6" s="215"/>
      <c r="C6" s="216" t="s">
        <v>142</v>
      </c>
    </row>
    <row r="7" spans="1:5" ht="15.75" x14ac:dyDescent="0.25">
      <c r="A7" s="565" t="s">
        <v>143</v>
      </c>
      <c r="B7" s="565"/>
      <c r="C7" s="217" t="s">
        <v>144</v>
      </c>
    </row>
    <row r="8" spans="1:5" ht="15.75" x14ac:dyDescent="0.25">
      <c r="A8" s="218"/>
      <c r="B8" s="218"/>
      <c r="C8" s="219"/>
    </row>
    <row r="9" spans="1:5" ht="15.75" x14ac:dyDescent="0.25">
      <c r="A9" s="151"/>
      <c r="B9" s="215"/>
      <c r="C9" s="215"/>
    </row>
    <row r="10" spans="1:5" ht="15.75" x14ac:dyDescent="0.25">
      <c r="A10" s="220" t="s">
        <v>145</v>
      </c>
      <c r="B10" s="215"/>
      <c r="C10" s="221"/>
    </row>
    <row r="11" spans="1:5" ht="15.75" x14ac:dyDescent="0.25">
      <c r="A11" s="215"/>
      <c r="B11" s="215" t="s">
        <v>146</v>
      </c>
      <c r="C11" s="516">
        <v>9.7999999999999997E-3</v>
      </c>
      <c r="E11" s="200"/>
    </row>
    <row r="12" spans="1:5" ht="15.75" x14ac:dyDescent="0.25">
      <c r="A12" s="215"/>
      <c r="B12" s="215" t="s">
        <v>147</v>
      </c>
      <c r="C12" s="516">
        <v>0</v>
      </c>
      <c r="E12" s="200"/>
    </row>
    <row r="13" spans="1:5" ht="15.75" x14ac:dyDescent="0.25">
      <c r="A13" s="215"/>
      <c r="B13" s="215" t="s">
        <v>148</v>
      </c>
      <c r="C13" s="221">
        <v>1.54E-2</v>
      </c>
      <c r="E13" s="201"/>
    </row>
    <row r="14" spans="1:5" ht="15.75" x14ac:dyDescent="0.25">
      <c r="A14" s="215"/>
      <c r="B14" s="215" t="s">
        <v>149</v>
      </c>
      <c r="C14" s="221">
        <v>1.43E-2</v>
      </c>
      <c r="E14" s="201"/>
    </row>
    <row r="15" spans="1:5" ht="15.75" x14ac:dyDescent="0.25">
      <c r="A15" s="215"/>
      <c r="B15" s="215" t="s">
        <v>150</v>
      </c>
      <c r="C15" s="221">
        <v>1.9800000000000002E-2</v>
      </c>
      <c r="E15" s="200"/>
    </row>
    <row r="16" spans="1:5" ht="15.75" x14ac:dyDescent="0.25">
      <c r="A16" s="215"/>
      <c r="B16" s="215" t="s">
        <v>151</v>
      </c>
      <c r="C16" s="221">
        <v>4.5999999999999999E-3</v>
      </c>
      <c r="E16" s="200"/>
    </row>
    <row r="17" spans="1:5" ht="15.75" x14ac:dyDescent="0.25">
      <c r="A17" s="215"/>
      <c r="B17" s="222" t="s">
        <v>152</v>
      </c>
      <c r="C17" s="221">
        <v>1.21E-2</v>
      </c>
      <c r="E17" s="200"/>
    </row>
    <row r="18" spans="1:5" ht="15.75" x14ac:dyDescent="0.25">
      <c r="A18" s="215"/>
      <c r="B18" s="222" t="s">
        <v>153</v>
      </c>
      <c r="C18" s="221">
        <v>2.2800000000000001E-2</v>
      </c>
      <c r="E18" s="200"/>
    </row>
    <row r="19" spans="1:5" ht="15.75" x14ac:dyDescent="0.25">
      <c r="A19" s="215"/>
      <c r="B19" s="215" t="s">
        <v>154</v>
      </c>
      <c r="C19" s="221">
        <v>1.7899999999999999E-2</v>
      </c>
      <c r="E19" s="200"/>
    </row>
    <row r="20" spans="1:5" ht="15.75" x14ac:dyDescent="0.25">
      <c r="A20" s="215"/>
      <c r="B20" s="215" t="s">
        <v>155</v>
      </c>
      <c r="C20" s="221">
        <v>2.5999999999999999E-2</v>
      </c>
      <c r="E20" s="200"/>
    </row>
    <row r="21" spans="1:5" ht="15.75" x14ac:dyDescent="0.25">
      <c r="A21" s="215"/>
      <c r="B21" s="222" t="s">
        <v>156</v>
      </c>
      <c r="C21" s="221">
        <v>1.26E-2</v>
      </c>
      <c r="E21" s="200"/>
    </row>
    <row r="22" spans="1:5" ht="15.75" x14ac:dyDescent="0.25">
      <c r="A22" s="215"/>
      <c r="B22" s="230" t="s">
        <v>423</v>
      </c>
      <c r="C22" s="223"/>
    </row>
    <row r="23" spans="1:5" ht="15.75" x14ac:dyDescent="0.25">
      <c r="A23" s="215"/>
      <c r="B23" s="220" t="s">
        <v>157</v>
      </c>
      <c r="C23" s="221"/>
    </row>
    <row r="26" spans="1:5" ht="15.75" x14ac:dyDescent="0.25">
      <c r="A26" s="214" t="s">
        <v>158</v>
      </c>
    </row>
    <row r="28" spans="1:5" ht="15.75" x14ac:dyDescent="0.25">
      <c r="A28" s="224"/>
      <c r="B28" s="224"/>
      <c r="C28" s="216" t="s">
        <v>141</v>
      </c>
    </row>
    <row r="29" spans="1:5" ht="15.75" x14ac:dyDescent="0.25">
      <c r="A29" s="224"/>
      <c r="B29" s="212"/>
      <c r="C29" s="216" t="s">
        <v>142</v>
      </c>
    </row>
    <row r="30" spans="1:5" ht="15.75" x14ac:dyDescent="0.25">
      <c r="A30" s="565" t="s">
        <v>143</v>
      </c>
      <c r="B30" s="565"/>
      <c r="C30" s="217" t="s">
        <v>144</v>
      </c>
    </row>
    <row r="31" spans="1:5" ht="15.75" x14ac:dyDescent="0.25">
      <c r="A31" s="224"/>
      <c r="B31" s="224"/>
      <c r="C31" s="219"/>
    </row>
    <row r="32" spans="1:5" ht="15.75" x14ac:dyDescent="0.25">
      <c r="A32" s="225" t="s">
        <v>159</v>
      </c>
      <c r="B32" s="224"/>
      <c r="C32" s="226"/>
    </row>
    <row r="33" spans="1:5" ht="15.75" x14ac:dyDescent="0.25">
      <c r="A33" s="227" t="s">
        <v>160</v>
      </c>
      <c r="B33" s="228"/>
      <c r="C33" s="229"/>
    </row>
    <row r="34" spans="1:5" ht="15.75" x14ac:dyDescent="0.25">
      <c r="A34" s="224"/>
      <c r="B34" s="230" t="s">
        <v>161</v>
      </c>
      <c r="C34" s="231">
        <v>0</v>
      </c>
      <c r="E34" s="202"/>
    </row>
    <row r="35" spans="1:5" ht="15.75" x14ac:dyDescent="0.25">
      <c r="A35" s="224"/>
      <c r="B35" s="230" t="s">
        <v>146</v>
      </c>
      <c r="C35" s="232">
        <v>3.9199999999999999E-2</v>
      </c>
      <c r="E35" s="202"/>
    </row>
    <row r="36" spans="1:5" ht="15.75" x14ac:dyDescent="0.25">
      <c r="A36" s="224"/>
      <c r="B36" s="230" t="s">
        <v>162</v>
      </c>
      <c r="C36" s="232">
        <v>1.17E-2</v>
      </c>
      <c r="E36" s="202"/>
    </row>
    <row r="37" spans="1:5" ht="15.75" x14ac:dyDescent="0.25">
      <c r="A37" s="224"/>
      <c r="B37" s="230" t="s">
        <v>150</v>
      </c>
      <c r="C37" s="517">
        <v>1.32E-2</v>
      </c>
      <c r="E37" s="202"/>
    </row>
    <row r="38" spans="1:5" ht="15.75" x14ac:dyDescent="0.25">
      <c r="A38" s="224"/>
      <c r="B38" s="230" t="s">
        <v>152</v>
      </c>
      <c r="C38" s="232">
        <v>1.38E-2</v>
      </c>
      <c r="E38" s="202"/>
    </row>
    <row r="39" spans="1:5" ht="15.75" x14ac:dyDescent="0.25">
      <c r="A39" s="224"/>
      <c r="B39" s="230" t="s">
        <v>153</v>
      </c>
      <c r="C39" s="232">
        <v>2.9499999999999998E-2</v>
      </c>
      <c r="E39" s="202"/>
    </row>
    <row r="40" spans="1:5" ht="15.75" x14ac:dyDescent="0.25">
      <c r="A40" s="224"/>
      <c r="B40" s="230" t="s">
        <v>163</v>
      </c>
      <c r="C40" s="232">
        <v>2.52E-2</v>
      </c>
      <c r="E40" s="202"/>
    </row>
    <row r="41" spans="1:5" ht="15.75" x14ac:dyDescent="0.25">
      <c r="A41" s="224"/>
      <c r="B41" s="230" t="s">
        <v>155</v>
      </c>
      <c r="C41" s="232">
        <v>1.8499999999999999E-2</v>
      </c>
      <c r="E41" s="202"/>
    </row>
    <row r="42" spans="1:5" ht="15.75" x14ac:dyDescent="0.25">
      <c r="A42" s="224"/>
      <c r="B42" s="230" t="s">
        <v>156</v>
      </c>
      <c r="C42" s="232">
        <v>3.6499999999999998E-2</v>
      </c>
      <c r="E42" s="202"/>
    </row>
    <row r="43" spans="1:5" ht="15.75" x14ac:dyDescent="0.25">
      <c r="A43" s="224"/>
      <c r="B43" s="230" t="s">
        <v>423</v>
      </c>
      <c r="C43" s="232"/>
    </row>
    <row r="44" spans="1:5" ht="15.75" x14ac:dyDescent="0.25">
      <c r="A44" s="228"/>
      <c r="B44" s="220" t="s">
        <v>157</v>
      </c>
      <c r="C44" s="231"/>
    </row>
    <row r="47" spans="1:5" x14ac:dyDescent="0.2">
      <c r="B47" s="233" t="s">
        <v>1015</v>
      </c>
    </row>
    <row r="48" spans="1:5" x14ac:dyDescent="0.2">
      <c r="B48" s="122" t="s">
        <v>424</v>
      </c>
    </row>
    <row r="49" spans="2:2" x14ac:dyDescent="0.2">
      <c r="B49" s="122" t="s">
        <v>425</v>
      </c>
    </row>
  </sheetData>
  <mergeCells count="2">
    <mergeCell ref="A7:B7"/>
    <mergeCell ref="A30:B30"/>
  </mergeCells>
  <pageMargins left="0.7" right="0.7" top="0.75" bottom="0.75" header="0.3" footer="0.3"/>
  <pageSetup scale="91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F196"/>
  <sheetViews>
    <sheetView workbookViewId="0"/>
  </sheetViews>
  <sheetFormatPr defaultColWidth="9.33203125" defaultRowHeight="15" x14ac:dyDescent="0.25"/>
  <cols>
    <col min="1" max="1" width="9.33203125" style="554"/>
    <col min="2" max="2" width="61" style="327" customWidth="1"/>
    <col min="3" max="3" width="20.83203125" style="309" bestFit="1" customWidth="1"/>
    <col min="4" max="4" width="12.1640625" style="309" customWidth="1"/>
    <col min="5" max="5" width="15.6640625" style="309" customWidth="1"/>
    <col min="6" max="6" width="14.33203125" style="309" customWidth="1"/>
    <col min="7" max="16384" width="9.33203125" style="309"/>
  </cols>
  <sheetData>
    <row r="3" spans="1:6" x14ac:dyDescent="0.25">
      <c r="A3" s="554" t="s">
        <v>130</v>
      </c>
      <c r="B3" s="518"/>
      <c r="C3" s="308"/>
      <c r="D3" s="308"/>
      <c r="E3" s="308"/>
      <c r="F3" s="308"/>
    </row>
    <row r="4" spans="1:6" x14ac:dyDescent="0.25">
      <c r="A4" s="555" t="s">
        <v>886</v>
      </c>
      <c r="B4" s="518"/>
      <c r="C4" s="308"/>
      <c r="D4" s="308"/>
      <c r="E4" s="308"/>
      <c r="F4" s="308"/>
    </row>
    <row r="5" spans="1:6" x14ac:dyDescent="0.25">
      <c r="B5" s="518"/>
      <c r="C5" s="308"/>
      <c r="D5" s="308"/>
      <c r="E5" s="308"/>
      <c r="F5" s="308"/>
    </row>
    <row r="8" spans="1:6" x14ac:dyDescent="0.25">
      <c r="B8" s="518"/>
      <c r="C8" s="308"/>
      <c r="D8" s="308"/>
      <c r="E8" s="308"/>
      <c r="F8" s="308"/>
    </row>
    <row r="9" spans="1:6" x14ac:dyDescent="0.25">
      <c r="A9" s="554" t="s">
        <v>887</v>
      </c>
      <c r="B9" s="556" t="s">
        <v>888</v>
      </c>
      <c r="C9" s="557" t="s">
        <v>889</v>
      </c>
      <c r="D9" s="557" t="s">
        <v>6</v>
      </c>
    </row>
    <row r="10" spans="1:6" x14ac:dyDescent="0.25">
      <c r="A10" s="554" t="s">
        <v>890</v>
      </c>
      <c r="C10" s="309" t="s">
        <v>891</v>
      </c>
    </row>
    <row r="11" spans="1:6" x14ac:dyDescent="0.25">
      <c r="A11" s="558">
        <v>1</v>
      </c>
      <c r="B11" s="327" t="s">
        <v>892</v>
      </c>
      <c r="C11" s="313"/>
      <c r="D11" s="311"/>
    </row>
    <row r="12" spans="1:6" x14ac:dyDescent="0.25">
      <c r="A12" s="558">
        <v>2</v>
      </c>
      <c r="B12" s="310" t="s">
        <v>893</v>
      </c>
      <c r="C12" s="313" t="s">
        <v>894</v>
      </c>
      <c r="D12" s="311">
        <f>'OATT Input Data'!E257</f>
        <v>775075</v>
      </c>
    </row>
    <row r="13" spans="1:6" ht="16.5" customHeight="1" x14ac:dyDescent="0.25">
      <c r="A13" s="558">
        <v>3</v>
      </c>
      <c r="B13" s="310" t="s">
        <v>895</v>
      </c>
      <c r="C13" s="313" t="s">
        <v>896</v>
      </c>
      <c r="D13" s="311">
        <f>'OATT Input Data'!E258</f>
        <v>3038365</v>
      </c>
    </row>
    <row r="14" spans="1:6" x14ac:dyDescent="0.25">
      <c r="A14" s="558">
        <v>4</v>
      </c>
      <c r="B14" s="310" t="s">
        <v>897</v>
      </c>
      <c r="C14" s="313" t="s">
        <v>898</v>
      </c>
      <c r="D14" s="311">
        <f>'OATT Input Data'!E259</f>
        <v>1074136</v>
      </c>
    </row>
    <row r="15" spans="1:6" x14ac:dyDescent="0.25">
      <c r="A15" s="558">
        <v>5</v>
      </c>
      <c r="B15" s="310" t="s">
        <v>899</v>
      </c>
      <c r="C15" s="313" t="s">
        <v>900</v>
      </c>
      <c r="D15" s="311">
        <f>'OATT Input Data'!E260</f>
        <v>0</v>
      </c>
    </row>
    <row r="16" spans="1:6" x14ac:dyDescent="0.25">
      <c r="A16" s="558">
        <v>6</v>
      </c>
      <c r="B16" s="310" t="s">
        <v>901</v>
      </c>
      <c r="C16" s="313" t="s">
        <v>902</v>
      </c>
      <c r="D16" s="311">
        <f>'OATT Input Data'!E261</f>
        <v>1379186</v>
      </c>
    </row>
    <row r="17" spans="1:6" x14ac:dyDescent="0.25">
      <c r="A17" s="558">
        <v>7</v>
      </c>
      <c r="B17" s="310" t="s">
        <v>903</v>
      </c>
      <c r="C17" s="313" t="s">
        <v>904</v>
      </c>
      <c r="D17" s="311">
        <f>'OATT Input Data'!E262</f>
        <v>8149</v>
      </c>
    </row>
    <row r="18" spans="1:6" x14ac:dyDescent="0.25">
      <c r="A18" s="558">
        <v>8</v>
      </c>
      <c r="B18" s="310" t="s">
        <v>905</v>
      </c>
      <c r="C18" s="313" t="s">
        <v>906</v>
      </c>
      <c r="D18" s="311">
        <f>'OATT Input Data'!E263</f>
        <v>0</v>
      </c>
    </row>
    <row r="19" spans="1:6" ht="12.75" customHeight="1" x14ac:dyDescent="0.25">
      <c r="A19" s="558">
        <v>9</v>
      </c>
      <c r="B19" s="310" t="s">
        <v>907</v>
      </c>
      <c r="C19" s="313" t="s">
        <v>908</v>
      </c>
      <c r="D19" s="311">
        <f>'OATT Input Data'!E264</f>
        <v>0</v>
      </c>
    </row>
    <row r="20" spans="1:6" x14ac:dyDescent="0.25">
      <c r="A20" s="558"/>
      <c r="B20" s="310"/>
      <c r="C20" s="308"/>
      <c r="D20" s="311"/>
    </row>
    <row r="21" spans="1:6" x14ac:dyDescent="0.25">
      <c r="A21" s="558">
        <v>10</v>
      </c>
      <c r="B21" s="310" t="s">
        <v>909</v>
      </c>
      <c r="C21" s="313"/>
      <c r="D21" s="311">
        <f>SUM(D11:D19)</f>
        <v>6274911</v>
      </c>
    </row>
    <row r="22" spans="1:6" x14ac:dyDescent="0.25">
      <c r="A22" s="554" t="s">
        <v>821</v>
      </c>
      <c r="B22" s="310"/>
      <c r="C22" s="518"/>
      <c r="D22" s="311"/>
      <c r="E22" s="311"/>
      <c r="F22" s="311"/>
    </row>
    <row r="23" spans="1:6" x14ac:dyDescent="0.25">
      <c r="A23" s="558">
        <v>11</v>
      </c>
      <c r="B23" s="310" t="s">
        <v>822</v>
      </c>
      <c r="C23" s="313">
        <v>398</v>
      </c>
      <c r="D23" s="311">
        <f>'OATT Input Data'!E459</f>
        <v>863504</v>
      </c>
    </row>
    <row r="24" spans="1:6" x14ac:dyDescent="0.25">
      <c r="A24" s="558">
        <v>12</v>
      </c>
      <c r="B24" s="310" t="s">
        <v>824</v>
      </c>
      <c r="C24" s="518"/>
      <c r="D24" s="311">
        <f>'OATT Input Data'!E460</f>
        <v>-801658</v>
      </c>
    </row>
    <row r="25" spans="1:6" x14ac:dyDescent="0.25">
      <c r="A25" s="558"/>
      <c r="B25" s="310"/>
      <c r="C25" s="313"/>
      <c r="D25" s="311"/>
    </row>
    <row r="26" spans="1:6" x14ac:dyDescent="0.25">
      <c r="A26" s="558">
        <v>13</v>
      </c>
      <c r="B26" s="310" t="s">
        <v>827</v>
      </c>
      <c r="C26" s="313" t="s">
        <v>910</v>
      </c>
      <c r="D26" s="311">
        <f>SUM(D23:D24)</f>
        <v>61846</v>
      </c>
    </row>
    <row r="27" spans="1:6" x14ac:dyDescent="0.25">
      <c r="A27" s="558"/>
      <c r="B27" s="310"/>
      <c r="C27" s="313"/>
      <c r="D27" s="311"/>
      <c r="E27" s="311"/>
      <c r="F27" s="311"/>
    </row>
    <row r="28" spans="1:6" x14ac:dyDescent="0.25">
      <c r="A28" s="558">
        <v>14</v>
      </c>
      <c r="B28" s="310" t="s">
        <v>911</v>
      </c>
      <c r="C28" s="313" t="s">
        <v>912</v>
      </c>
      <c r="D28" s="519">
        <f>D21-D26</f>
        <v>6213065</v>
      </c>
      <c r="E28" s="519"/>
      <c r="F28" s="519"/>
    </row>
    <row r="29" spans="1:6" x14ac:dyDescent="0.25">
      <c r="A29" s="558"/>
      <c r="B29" s="310"/>
      <c r="C29" s="313"/>
      <c r="F29" s="311"/>
    </row>
    <row r="30" spans="1:6" x14ac:dyDescent="0.25">
      <c r="A30" s="558">
        <v>15</v>
      </c>
      <c r="B30" s="310" t="s">
        <v>913</v>
      </c>
      <c r="C30" s="308" t="s">
        <v>914</v>
      </c>
      <c r="D30" s="311">
        <f>'NITS Pg 1 of 5'!$J$30</f>
        <v>6638500</v>
      </c>
      <c r="E30" s="311"/>
      <c r="F30" s="311"/>
    </row>
    <row r="31" spans="1:6" x14ac:dyDescent="0.25">
      <c r="A31" s="558"/>
      <c r="B31" s="312"/>
      <c r="C31" s="313"/>
      <c r="E31" s="314"/>
      <c r="F31" s="311"/>
    </row>
    <row r="32" spans="1:6" x14ac:dyDescent="0.25">
      <c r="A32" s="558">
        <v>16</v>
      </c>
      <c r="B32" s="310" t="s">
        <v>915</v>
      </c>
      <c r="C32" s="308" t="s">
        <v>916</v>
      </c>
      <c r="D32" s="520">
        <f>D28/D30</f>
        <v>0.93591398659335689</v>
      </c>
    </row>
    <row r="33" spans="1:6" x14ac:dyDescent="0.25">
      <c r="A33" s="558">
        <v>17</v>
      </c>
      <c r="B33" s="310" t="s">
        <v>917</v>
      </c>
      <c r="C33" s="313" t="s">
        <v>918</v>
      </c>
      <c r="D33" s="520">
        <f>ROUND(D32/12,4)</f>
        <v>7.8E-2</v>
      </c>
    </row>
    <row r="34" spans="1:6" x14ac:dyDescent="0.25">
      <c r="A34" s="558"/>
      <c r="B34" s="312"/>
      <c r="C34" s="313"/>
      <c r="F34" s="311"/>
    </row>
    <row r="35" spans="1:6" x14ac:dyDescent="0.25">
      <c r="A35" s="558"/>
      <c r="B35" s="312"/>
      <c r="C35" s="313"/>
      <c r="E35" s="314"/>
      <c r="F35" s="311"/>
    </row>
    <row r="36" spans="1:6" x14ac:dyDescent="0.25">
      <c r="A36" s="558"/>
      <c r="B36" s="310"/>
      <c r="C36" s="313"/>
      <c r="E36" s="311"/>
      <c r="F36" s="311"/>
    </row>
    <row r="37" spans="1:6" x14ac:dyDescent="0.25">
      <c r="A37" s="558"/>
      <c r="B37" s="315"/>
      <c r="C37" s="316"/>
      <c r="D37" s="317"/>
      <c r="E37" s="317"/>
      <c r="F37" s="318"/>
    </row>
    <row r="38" spans="1:6" x14ac:dyDescent="0.25">
      <c r="A38" s="558"/>
      <c r="B38" s="319"/>
      <c r="C38" s="316"/>
      <c r="D38" s="317"/>
      <c r="E38" s="320"/>
      <c r="F38" s="318"/>
    </row>
    <row r="39" spans="1:6" x14ac:dyDescent="0.25">
      <c r="A39" s="558"/>
      <c r="B39" s="310"/>
      <c r="C39" s="313"/>
      <c r="F39" s="311"/>
    </row>
    <row r="40" spans="1:6" x14ac:dyDescent="0.25">
      <c r="A40" s="558"/>
      <c r="B40" s="310"/>
      <c r="C40" s="313"/>
      <c r="D40" s="311"/>
      <c r="E40" s="311"/>
      <c r="F40" s="311"/>
    </row>
    <row r="41" spans="1:6" x14ac:dyDescent="0.25">
      <c r="A41" s="558"/>
      <c r="B41" s="310"/>
      <c r="C41" s="313"/>
      <c r="D41" s="311"/>
      <c r="E41" s="311"/>
      <c r="F41" s="311"/>
    </row>
    <row r="42" spans="1:6" x14ac:dyDescent="0.25">
      <c r="A42" s="558"/>
      <c r="B42" s="310"/>
      <c r="C42" s="313"/>
      <c r="D42" s="311"/>
      <c r="E42" s="311"/>
      <c r="F42" s="311"/>
    </row>
    <row r="43" spans="1:6" x14ac:dyDescent="0.25">
      <c r="A43" s="558"/>
      <c r="B43" s="310"/>
      <c r="C43" s="313"/>
      <c r="D43" s="311"/>
      <c r="E43" s="311"/>
      <c r="F43" s="311"/>
    </row>
    <row r="44" spans="1:6" x14ac:dyDescent="0.25">
      <c r="A44" s="558"/>
      <c r="B44" s="310"/>
      <c r="C44" s="308"/>
      <c r="D44" s="321"/>
      <c r="E44" s="321"/>
      <c r="F44" s="321"/>
    </row>
    <row r="45" spans="1:6" x14ac:dyDescent="0.25">
      <c r="A45" s="558"/>
      <c r="B45" s="310"/>
      <c r="C45" s="308"/>
      <c r="D45" s="322"/>
      <c r="E45" s="322"/>
      <c r="F45" s="322"/>
    </row>
    <row r="46" spans="1:6" x14ac:dyDescent="0.25">
      <c r="A46" s="558"/>
      <c r="B46" s="310"/>
      <c r="C46" s="313"/>
    </row>
    <row r="47" spans="1:6" x14ac:dyDescent="0.25">
      <c r="A47" s="558"/>
      <c r="B47" s="310"/>
      <c r="C47" s="308"/>
      <c r="D47" s="311"/>
      <c r="E47" s="311"/>
      <c r="F47" s="311"/>
    </row>
    <row r="48" spans="1:6" x14ac:dyDescent="0.25">
      <c r="A48" s="558"/>
      <c r="B48" s="310"/>
      <c r="C48" s="308"/>
      <c r="D48" s="311"/>
      <c r="E48" s="311"/>
      <c r="F48" s="311"/>
    </row>
    <row r="49" spans="1:6" x14ac:dyDescent="0.25">
      <c r="A49" s="558"/>
      <c r="B49" s="310"/>
      <c r="C49" s="308"/>
      <c r="D49" s="311"/>
      <c r="E49" s="311"/>
      <c r="F49" s="311"/>
    </row>
    <row r="50" spans="1:6" x14ac:dyDescent="0.25">
      <c r="A50" s="558"/>
      <c r="B50" s="310"/>
      <c r="C50" s="308"/>
      <c r="D50" s="311"/>
      <c r="E50" s="311"/>
      <c r="F50" s="311"/>
    </row>
    <row r="51" spans="1:6" x14ac:dyDescent="0.25">
      <c r="A51" s="558"/>
      <c r="B51" s="310"/>
      <c r="C51" s="308"/>
      <c r="D51" s="321"/>
      <c r="E51" s="321"/>
      <c r="F51" s="321"/>
    </row>
    <row r="52" spans="1:6" x14ac:dyDescent="0.25">
      <c r="A52" s="558"/>
      <c r="B52" s="310"/>
      <c r="C52" s="313"/>
      <c r="D52" s="311"/>
      <c r="E52" s="311"/>
      <c r="F52" s="311"/>
    </row>
    <row r="53" spans="1:6" x14ac:dyDescent="0.25">
      <c r="A53" s="558"/>
      <c r="B53" s="310"/>
      <c r="C53" s="313"/>
    </row>
    <row r="54" spans="1:6" x14ac:dyDescent="0.25">
      <c r="A54" s="558"/>
      <c r="B54" s="310"/>
      <c r="C54" s="313"/>
      <c r="D54" s="311"/>
      <c r="E54" s="311"/>
      <c r="F54" s="311"/>
    </row>
    <row r="55" spans="1:6" x14ac:dyDescent="0.25">
      <c r="A55" s="558"/>
      <c r="B55" s="310"/>
      <c r="C55" s="313"/>
      <c r="D55" s="311"/>
      <c r="E55" s="311"/>
      <c r="F55" s="311"/>
    </row>
    <row r="56" spans="1:6" x14ac:dyDescent="0.25">
      <c r="A56" s="558"/>
      <c r="B56" s="310"/>
      <c r="C56" s="313"/>
      <c r="D56" s="311"/>
      <c r="E56" s="311"/>
      <c r="F56" s="311"/>
    </row>
    <row r="57" spans="1:6" x14ac:dyDescent="0.25">
      <c r="A57" s="558"/>
      <c r="B57" s="310"/>
      <c r="C57" s="313"/>
      <c r="D57" s="311"/>
      <c r="E57" s="311"/>
      <c r="F57" s="311"/>
    </row>
    <row r="58" spans="1:6" x14ac:dyDescent="0.25">
      <c r="A58" s="558"/>
      <c r="B58" s="310"/>
      <c r="C58" s="313"/>
      <c r="D58" s="321"/>
      <c r="E58" s="321"/>
      <c r="F58" s="321"/>
    </row>
    <row r="59" spans="1:6" x14ac:dyDescent="0.25">
      <c r="A59" s="558"/>
      <c r="B59" s="312"/>
      <c r="C59" s="313"/>
      <c r="D59" s="311"/>
      <c r="E59" s="311"/>
      <c r="F59" s="311"/>
    </row>
    <row r="60" spans="1:6" x14ac:dyDescent="0.25">
      <c r="A60" s="558"/>
      <c r="B60" s="310"/>
      <c r="C60" s="313"/>
    </row>
    <row r="61" spans="1:6" x14ac:dyDescent="0.25">
      <c r="A61" s="558"/>
      <c r="B61" s="312"/>
      <c r="C61" s="308"/>
      <c r="D61" s="311"/>
      <c r="E61" s="311"/>
      <c r="F61" s="311"/>
    </row>
    <row r="62" spans="1:6" x14ac:dyDescent="0.25">
      <c r="A62" s="558"/>
      <c r="B62" s="310"/>
      <c r="C62" s="308"/>
      <c r="D62" s="311"/>
      <c r="E62" s="311"/>
      <c r="F62" s="311"/>
    </row>
    <row r="63" spans="1:6" x14ac:dyDescent="0.25">
      <c r="A63" s="558"/>
      <c r="B63" s="310"/>
      <c r="C63" s="308"/>
      <c r="D63" s="311"/>
      <c r="E63" s="311"/>
      <c r="F63" s="311"/>
    </row>
    <row r="64" spans="1:6" x14ac:dyDescent="0.25">
      <c r="A64" s="558"/>
      <c r="B64" s="310"/>
      <c r="C64" s="308"/>
      <c r="D64" s="311"/>
      <c r="E64" s="311"/>
      <c r="F64" s="311"/>
    </row>
    <row r="65" spans="1:6" x14ac:dyDescent="0.25">
      <c r="A65" s="558"/>
      <c r="B65" s="310"/>
      <c r="C65" s="308"/>
      <c r="D65" s="321"/>
      <c r="E65" s="321"/>
      <c r="F65" s="321"/>
    </row>
    <row r="66" spans="1:6" x14ac:dyDescent="0.25">
      <c r="A66" s="558"/>
      <c r="B66" s="310"/>
      <c r="C66" s="313"/>
      <c r="D66" s="311"/>
      <c r="E66" s="311"/>
      <c r="F66" s="311"/>
    </row>
    <row r="67" spans="1:6" x14ac:dyDescent="0.25">
      <c r="A67" s="558"/>
      <c r="B67" s="310"/>
      <c r="C67" s="308"/>
      <c r="D67" s="311"/>
      <c r="E67" s="311"/>
      <c r="F67" s="311"/>
    </row>
    <row r="68" spans="1:6" x14ac:dyDescent="0.25">
      <c r="A68" s="558"/>
      <c r="B68" s="310"/>
      <c r="C68" s="313"/>
    </row>
    <row r="69" spans="1:6" x14ac:dyDescent="0.25">
      <c r="A69" s="558"/>
      <c r="B69" s="310"/>
      <c r="C69" s="308"/>
      <c r="D69" s="311"/>
      <c r="E69" s="311"/>
      <c r="F69" s="311"/>
    </row>
    <row r="70" spans="1:6" x14ac:dyDescent="0.25">
      <c r="A70" s="558"/>
      <c r="B70" s="310"/>
      <c r="C70" s="308"/>
      <c r="D70" s="311"/>
      <c r="E70" s="311"/>
      <c r="F70" s="311"/>
    </row>
    <row r="71" spans="1:6" ht="17.25" x14ac:dyDescent="0.4">
      <c r="A71" s="558"/>
      <c r="B71" s="310"/>
      <c r="C71" s="308"/>
      <c r="D71" s="321"/>
      <c r="E71" s="321"/>
      <c r="F71" s="323"/>
    </row>
    <row r="72" spans="1:6" x14ac:dyDescent="0.25">
      <c r="A72" s="558"/>
      <c r="B72" s="310"/>
      <c r="C72" s="313"/>
      <c r="D72" s="322"/>
      <c r="E72" s="322"/>
      <c r="F72" s="322"/>
    </row>
    <row r="73" spans="1:6" ht="15.75" thickBot="1" x14ac:dyDescent="0.3">
      <c r="A73" s="558"/>
      <c r="B73" s="324"/>
      <c r="C73" s="325"/>
      <c r="D73" s="326"/>
      <c r="E73" s="326"/>
      <c r="F73" s="326"/>
    </row>
    <row r="75" spans="1:6" x14ac:dyDescent="0.25">
      <c r="A75" s="558"/>
      <c r="B75" s="310"/>
      <c r="D75" s="311"/>
      <c r="E75" s="311"/>
      <c r="F75" s="311"/>
    </row>
    <row r="76" spans="1:6" x14ac:dyDescent="0.25">
      <c r="A76" s="558"/>
      <c r="B76" s="310"/>
      <c r="D76" s="311"/>
      <c r="E76" s="311"/>
      <c r="F76" s="311"/>
    </row>
    <row r="77" spans="1:6" x14ac:dyDescent="0.25">
      <c r="A77" s="558"/>
      <c r="B77" s="310"/>
      <c r="D77" s="311"/>
      <c r="E77" s="311"/>
      <c r="F77" s="311"/>
    </row>
    <row r="78" spans="1:6" x14ac:dyDescent="0.25">
      <c r="A78" s="558"/>
      <c r="B78" s="310"/>
      <c r="D78" s="311"/>
      <c r="E78" s="311"/>
      <c r="F78" s="311"/>
    </row>
    <row r="79" spans="1:6" x14ac:dyDescent="0.25">
      <c r="A79" s="558"/>
      <c r="B79" s="310"/>
      <c r="D79" s="311"/>
      <c r="E79" s="311"/>
      <c r="F79" s="311"/>
    </row>
    <row r="80" spans="1:6" x14ac:dyDescent="0.25">
      <c r="A80" s="558"/>
      <c r="B80" s="310"/>
      <c r="D80" s="311"/>
      <c r="E80" s="311"/>
      <c r="F80" s="311"/>
    </row>
    <row r="81" spans="1:6" x14ac:dyDescent="0.25">
      <c r="A81" s="558"/>
      <c r="B81" s="310"/>
      <c r="D81" s="311"/>
      <c r="E81" s="311"/>
      <c r="F81" s="311"/>
    </row>
    <row r="82" spans="1:6" ht="17.25" x14ac:dyDescent="0.4">
      <c r="A82" s="558"/>
      <c r="B82" s="310"/>
      <c r="D82" s="323"/>
      <c r="E82" s="323"/>
      <c r="F82" s="323"/>
    </row>
    <row r="83" spans="1:6" x14ac:dyDescent="0.25">
      <c r="A83" s="558"/>
      <c r="B83" s="310"/>
      <c r="D83" s="322"/>
      <c r="E83" s="322"/>
      <c r="F83" s="322"/>
    </row>
    <row r="84" spans="1:6" x14ac:dyDescent="0.25">
      <c r="B84" s="310"/>
    </row>
    <row r="85" spans="1:6" x14ac:dyDescent="0.25">
      <c r="A85" s="558"/>
      <c r="B85" s="312"/>
      <c r="D85" s="311"/>
      <c r="E85" s="311"/>
      <c r="F85" s="311"/>
    </row>
    <row r="86" spans="1:6" x14ac:dyDescent="0.25">
      <c r="A86" s="558"/>
      <c r="B86" s="310"/>
      <c r="D86" s="311"/>
      <c r="E86" s="311"/>
      <c r="F86" s="311"/>
    </row>
    <row r="87" spans="1:6" ht="17.25" x14ac:dyDescent="0.4">
      <c r="A87" s="558"/>
      <c r="B87" s="310"/>
      <c r="D87" s="321"/>
      <c r="E87" s="323"/>
      <c r="F87" s="323"/>
    </row>
    <row r="88" spans="1:6" x14ac:dyDescent="0.25">
      <c r="A88" s="558"/>
      <c r="B88" s="310"/>
      <c r="D88" s="322"/>
      <c r="E88" s="322"/>
      <c r="F88" s="322"/>
    </row>
    <row r="89" spans="1:6" x14ac:dyDescent="0.25">
      <c r="A89" s="558"/>
      <c r="B89" s="310"/>
    </row>
    <row r="90" spans="1:6" x14ac:dyDescent="0.25">
      <c r="B90" s="310"/>
    </row>
    <row r="91" spans="1:6" x14ac:dyDescent="0.25">
      <c r="A91" s="558"/>
      <c r="B91" s="310"/>
      <c r="D91" s="311"/>
      <c r="E91" s="311"/>
      <c r="F91" s="311"/>
    </row>
    <row r="92" spans="1:6" x14ac:dyDescent="0.25">
      <c r="A92" s="558"/>
      <c r="B92" s="310"/>
      <c r="D92" s="311"/>
      <c r="E92" s="311"/>
      <c r="F92" s="311"/>
    </row>
    <row r="93" spans="1:6" x14ac:dyDescent="0.25">
      <c r="A93" s="558"/>
      <c r="B93" s="310"/>
    </row>
    <row r="94" spans="1:6" x14ac:dyDescent="0.25">
      <c r="A94" s="558"/>
      <c r="B94" s="310"/>
      <c r="D94" s="311"/>
      <c r="E94" s="311"/>
      <c r="F94" s="311"/>
    </row>
    <row r="95" spans="1:6" x14ac:dyDescent="0.25">
      <c r="A95" s="558"/>
      <c r="B95" s="310"/>
      <c r="D95" s="311"/>
      <c r="E95" s="311"/>
      <c r="F95" s="311"/>
    </row>
    <row r="96" spans="1:6" x14ac:dyDescent="0.25">
      <c r="A96" s="558"/>
      <c r="B96" s="310"/>
      <c r="D96" s="311"/>
      <c r="E96" s="311"/>
      <c r="F96" s="311"/>
    </row>
    <row r="97" spans="1:6" ht="17.25" x14ac:dyDescent="0.4">
      <c r="A97" s="558"/>
      <c r="B97" s="310"/>
      <c r="D97" s="321"/>
      <c r="E97" s="321"/>
      <c r="F97" s="323"/>
    </row>
    <row r="98" spans="1:6" x14ac:dyDescent="0.25">
      <c r="A98" s="558"/>
      <c r="B98" s="310"/>
      <c r="D98" s="311"/>
      <c r="E98" s="311"/>
      <c r="F98" s="311"/>
    </row>
    <row r="99" spans="1:6" x14ac:dyDescent="0.25">
      <c r="B99" s="310"/>
    </row>
    <row r="100" spans="1:6" x14ac:dyDescent="0.25">
      <c r="A100" s="558"/>
      <c r="B100" s="312"/>
    </row>
    <row r="101" spans="1:6" x14ac:dyDescent="0.25">
      <c r="A101" s="558"/>
      <c r="B101" s="312"/>
    </row>
    <row r="102" spans="1:6" x14ac:dyDescent="0.25">
      <c r="A102" s="558"/>
      <c r="B102" s="310"/>
    </row>
    <row r="103" spans="1:6" x14ac:dyDescent="0.25">
      <c r="A103" s="558"/>
      <c r="B103" s="310"/>
      <c r="D103" s="311"/>
      <c r="E103" s="311"/>
      <c r="F103" s="311"/>
    </row>
    <row r="104" spans="1:6" x14ac:dyDescent="0.25">
      <c r="A104" s="558"/>
      <c r="B104" s="310"/>
      <c r="D104" s="311"/>
      <c r="E104" s="311"/>
      <c r="F104" s="311"/>
    </row>
    <row r="105" spans="1:6" x14ac:dyDescent="0.25">
      <c r="A105" s="558"/>
      <c r="B105" s="310"/>
      <c r="D105" s="311"/>
      <c r="E105" s="311"/>
      <c r="F105" s="311"/>
    </row>
    <row r="106" spans="1:6" x14ac:dyDescent="0.25">
      <c r="A106" s="558"/>
      <c r="B106" s="310"/>
      <c r="D106" s="311"/>
      <c r="E106" s="311"/>
      <c r="F106" s="311"/>
    </row>
    <row r="107" spans="1:6" x14ac:dyDescent="0.25">
      <c r="A107" s="558"/>
      <c r="B107" s="312"/>
      <c r="C107" s="313"/>
      <c r="D107" s="311"/>
      <c r="E107" s="311"/>
      <c r="F107" s="311"/>
    </row>
    <row r="108" spans="1:6" x14ac:dyDescent="0.25">
      <c r="A108" s="558"/>
      <c r="B108" s="310"/>
      <c r="D108" s="322"/>
      <c r="E108" s="322"/>
      <c r="F108" s="322"/>
    </row>
    <row r="109" spans="1:6" x14ac:dyDescent="0.25">
      <c r="B109" s="310"/>
    </row>
    <row r="110" spans="1:6" x14ac:dyDescent="0.25">
      <c r="A110" s="558"/>
      <c r="B110" s="310"/>
      <c r="C110" s="313"/>
      <c r="D110" s="322"/>
      <c r="E110" s="322"/>
      <c r="F110" s="322"/>
    </row>
    <row r="111" spans="1:6" x14ac:dyDescent="0.25">
      <c r="A111" s="558"/>
      <c r="B111" s="310"/>
    </row>
    <row r="112" spans="1:6" ht="17.25" x14ac:dyDescent="0.4">
      <c r="A112" s="558"/>
      <c r="B112" s="310"/>
      <c r="D112" s="321"/>
      <c r="E112" s="323"/>
      <c r="F112" s="323"/>
    </row>
    <row r="113" spans="1:6" x14ac:dyDescent="0.25">
      <c r="A113" s="558"/>
      <c r="B113" s="310"/>
      <c r="D113" s="311"/>
      <c r="E113" s="311"/>
      <c r="F113" s="311"/>
    </row>
    <row r="114" spans="1:6" x14ac:dyDescent="0.25">
      <c r="A114" s="558"/>
      <c r="B114" s="310"/>
    </row>
    <row r="115" spans="1:6" x14ac:dyDescent="0.25">
      <c r="B115" s="310"/>
    </row>
    <row r="116" spans="1:6" x14ac:dyDescent="0.25">
      <c r="A116" s="558"/>
      <c r="B116" s="312"/>
      <c r="C116" s="313"/>
      <c r="D116" s="322"/>
      <c r="E116" s="322"/>
      <c r="F116" s="322"/>
    </row>
    <row r="117" spans="1:6" x14ac:dyDescent="0.25">
      <c r="A117" s="558"/>
      <c r="B117" s="310"/>
      <c r="D117" s="328"/>
      <c r="E117" s="321"/>
      <c r="F117" s="321"/>
    </row>
    <row r="118" spans="1:6" x14ac:dyDescent="0.25">
      <c r="A118" s="558"/>
      <c r="B118" s="310"/>
      <c r="C118" s="329"/>
      <c r="D118" s="322"/>
      <c r="E118" s="322"/>
      <c r="F118" s="322"/>
    </row>
    <row r="119" spans="1:6" x14ac:dyDescent="0.25">
      <c r="A119" s="558"/>
      <c r="B119" s="310"/>
    </row>
    <row r="120" spans="1:6" x14ac:dyDescent="0.25">
      <c r="A120" s="558"/>
      <c r="B120" s="310"/>
    </row>
    <row r="121" spans="1:6" x14ac:dyDescent="0.25">
      <c r="A121" s="558"/>
      <c r="B121" s="310"/>
    </row>
    <row r="122" spans="1:6" x14ac:dyDescent="0.25">
      <c r="B122" s="310"/>
    </row>
    <row r="123" spans="1:6" x14ac:dyDescent="0.25">
      <c r="A123" s="558"/>
      <c r="B123" s="310"/>
      <c r="D123" s="311"/>
      <c r="E123" s="311"/>
      <c r="F123" s="311"/>
    </row>
    <row r="124" spans="1:6" x14ac:dyDescent="0.25">
      <c r="A124" s="558"/>
      <c r="B124" s="310"/>
      <c r="D124" s="311"/>
      <c r="E124" s="311"/>
      <c r="F124" s="311"/>
    </row>
    <row r="125" spans="1:6" x14ac:dyDescent="0.25">
      <c r="A125" s="558"/>
      <c r="B125" s="310"/>
      <c r="D125" s="311"/>
      <c r="E125" s="311"/>
      <c r="F125" s="311"/>
    </row>
    <row r="126" spans="1:6" ht="17.25" x14ac:dyDescent="0.4">
      <c r="A126" s="558"/>
      <c r="B126" s="310"/>
      <c r="D126" s="323"/>
      <c r="E126" s="323"/>
      <c r="F126" s="323"/>
    </row>
    <row r="127" spans="1:6" x14ac:dyDescent="0.25">
      <c r="A127" s="558"/>
      <c r="B127" s="310"/>
      <c r="D127" s="311"/>
      <c r="E127" s="311"/>
      <c r="F127" s="311"/>
    </row>
    <row r="128" spans="1:6" x14ac:dyDescent="0.25">
      <c r="B128" s="312"/>
    </row>
    <row r="129" spans="1:6" x14ac:dyDescent="0.25">
      <c r="B129" s="310"/>
    </row>
    <row r="130" spans="1:6" x14ac:dyDescent="0.25">
      <c r="A130" s="558"/>
      <c r="B130" s="310"/>
      <c r="D130" s="311"/>
      <c r="E130" s="311"/>
      <c r="F130" s="311"/>
    </row>
    <row r="131" spans="1:6" x14ac:dyDescent="0.25">
      <c r="A131" s="558"/>
      <c r="B131" s="310"/>
      <c r="D131" s="311"/>
      <c r="E131" s="311"/>
      <c r="F131" s="311"/>
    </row>
    <row r="132" spans="1:6" ht="17.25" x14ac:dyDescent="0.4">
      <c r="A132" s="558"/>
      <c r="B132" s="310"/>
      <c r="D132" s="321"/>
      <c r="E132" s="323"/>
      <c r="F132" s="323"/>
    </row>
    <row r="133" spans="1:6" x14ac:dyDescent="0.25">
      <c r="A133" s="558"/>
      <c r="B133" s="310"/>
      <c r="D133" s="311"/>
      <c r="E133" s="311"/>
      <c r="F133" s="311"/>
    </row>
    <row r="135" spans="1:6" x14ac:dyDescent="0.25">
      <c r="A135" s="558"/>
      <c r="D135" s="311"/>
      <c r="E135" s="311"/>
      <c r="F135" s="311"/>
    </row>
    <row r="136" spans="1:6" x14ac:dyDescent="0.25">
      <c r="A136" s="558"/>
      <c r="C136" s="329"/>
      <c r="D136" s="311"/>
      <c r="E136" s="311"/>
      <c r="F136" s="311"/>
    </row>
    <row r="137" spans="1:6" x14ac:dyDescent="0.25">
      <c r="B137" s="310"/>
    </row>
    <row r="138" spans="1:6" x14ac:dyDescent="0.25">
      <c r="A138" s="558"/>
      <c r="B138" s="310"/>
      <c r="C138" s="329"/>
      <c r="D138" s="311"/>
      <c r="E138" s="311"/>
      <c r="F138" s="311"/>
    </row>
    <row r="139" spans="1:6" x14ac:dyDescent="0.25">
      <c r="A139" s="558"/>
      <c r="B139" s="310"/>
      <c r="D139" s="311"/>
      <c r="E139" s="311"/>
      <c r="F139" s="311"/>
    </row>
    <row r="140" spans="1:6" ht="17.25" x14ac:dyDescent="0.4">
      <c r="A140" s="558"/>
      <c r="B140" s="312"/>
      <c r="D140" s="321"/>
      <c r="E140" s="323"/>
      <c r="F140" s="323"/>
    </row>
    <row r="141" spans="1:6" x14ac:dyDescent="0.25">
      <c r="A141" s="558"/>
      <c r="B141" s="310"/>
      <c r="D141" s="311"/>
      <c r="E141" s="311"/>
      <c r="F141" s="311"/>
    </row>
    <row r="142" spans="1:6" x14ac:dyDescent="0.25">
      <c r="B142" s="310"/>
    </row>
    <row r="143" spans="1:6" x14ac:dyDescent="0.25">
      <c r="A143" s="558"/>
      <c r="B143" s="310"/>
      <c r="D143" s="311"/>
      <c r="E143" s="311"/>
      <c r="F143" s="311"/>
    </row>
    <row r="144" spans="1:6" x14ac:dyDescent="0.25">
      <c r="A144" s="558"/>
      <c r="B144" s="310"/>
      <c r="D144" s="311"/>
      <c r="E144" s="311"/>
      <c r="F144" s="311"/>
    </row>
    <row r="145" spans="1:6" ht="17.25" x14ac:dyDescent="0.4">
      <c r="A145" s="558"/>
      <c r="B145" s="310"/>
      <c r="D145" s="321"/>
      <c r="E145" s="323"/>
      <c r="F145" s="323"/>
    </row>
    <row r="146" spans="1:6" x14ac:dyDescent="0.25">
      <c r="A146" s="558"/>
      <c r="B146" s="310"/>
      <c r="D146" s="311"/>
      <c r="E146" s="311"/>
      <c r="F146" s="311"/>
    </row>
    <row r="147" spans="1:6" x14ac:dyDescent="0.25">
      <c r="B147" s="310"/>
    </row>
    <row r="148" spans="1:6" x14ac:dyDescent="0.25">
      <c r="B148" s="310"/>
    </row>
    <row r="149" spans="1:6" x14ac:dyDescent="0.25">
      <c r="A149" s="558"/>
      <c r="B149" s="310"/>
    </row>
    <row r="150" spans="1:6" x14ac:dyDescent="0.25">
      <c r="A150" s="558"/>
      <c r="B150" s="310"/>
      <c r="D150" s="311"/>
      <c r="E150" s="311"/>
      <c r="F150" s="311"/>
    </row>
    <row r="151" spans="1:6" ht="17.25" x14ac:dyDescent="0.4">
      <c r="A151" s="558"/>
      <c r="B151" s="310"/>
      <c r="D151" s="323"/>
      <c r="E151" s="323"/>
      <c r="F151" s="323"/>
    </row>
    <row r="152" spans="1:6" x14ac:dyDescent="0.25">
      <c r="A152" s="558"/>
      <c r="B152" s="310"/>
      <c r="D152" s="311"/>
      <c r="E152" s="311"/>
      <c r="F152" s="311"/>
    </row>
    <row r="153" spans="1:6" x14ac:dyDescent="0.25">
      <c r="A153" s="558"/>
      <c r="B153" s="310"/>
      <c r="D153" s="311"/>
      <c r="E153" s="311"/>
      <c r="F153" s="311"/>
    </row>
    <row r="154" spans="1:6" x14ac:dyDescent="0.25">
      <c r="A154" s="558"/>
      <c r="B154" s="310"/>
    </row>
    <row r="155" spans="1:6" x14ac:dyDescent="0.25">
      <c r="A155" s="558"/>
      <c r="B155" s="310"/>
      <c r="D155" s="311"/>
      <c r="E155" s="311"/>
      <c r="F155" s="311"/>
    </row>
    <row r="156" spans="1:6" ht="17.25" x14ac:dyDescent="0.4">
      <c r="A156" s="558"/>
      <c r="B156" s="310"/>
      <c r="D156" s="323"/>
      <c r="E156" s="323"/>
      <c r="F156" s="323"/>
    </row>
    <row r="157" spans="1:6" x14ac:dyDescent="0.25">
      <c r="A157" s="558"/>
      <c r="B157" s="310"/>
      <c r="D157" s="311"/>
      <c r="E157" s="311"/>
      <c r="F157" s="311"/>
    </row>
    <row r="158" spans="1:6" x14ac:dyDescent="0.25">
      <c r="B158" s="312"/>
    </row>
    <row r="159" spans="1:6" x14ac:dyDescent="0.25">
      <c r="B159" s="310"/>
    </row>
    <row r="160" spans="1:6" x14ac:dyDescent="0.25">
      <c r="B160" s="312"/>
    </row>
    <row r="161" spans="2:2" x14ac:dyDescent="0.25">
      <c r="B161" s="310"/>
    </row>
    <row r="162" spans="2:2" x14ac:dyDescent="0.25">
      <c r="B162" s="310"/>
    </row>
    <row r="163" spans="2:2" x14ac:dyDescent="0.25">
      <c r="B163" s="312"/>
    </row>
    <row r="164" spans="2:2" x14ac:dyDescent="0.25">
      <c r="B164" s="310"/>
    </row>
    <row r="165" spans="2:2" x14ac:dyDescent="0.25">
      <c r="B165" s="312"/>
    </row>
    <row r="166" spans="2:2" x14ac:dyDescent="0.25">
      <c r="B166" s="312"/>
    </row>
    <row r="167" spans="2:2" x14ac:dyDescent="0.25">
      <c r="B167" s="310"/>
    </row>
    <row r="168" spans="2:2" x14ac:dyDescent="0.25">
      <c r="B168" s="312"/>
    </row>
    <row r="169" spans="2:2" x14ac:dyDescent="0.25">
      <c r="B169" s="310"/>
    </row>
    <row r="170" spans="2:2" x14ac:dyDescent="0.25">
      <c r="B170" s="312"/>
    </row>
    <row r="171" spans="2:2" x14ac:dyDescent="0.25">
      <c r="B171" s="312"/>
    </row>
    <row r="172" spans="2:2" x14ac:dyDescent="0.25">
      <c r="B172" s="312"/>
    </row>
    <row r="173" spans="2:2" x14ac:dyDescent="0.25">
      <c r="B173" s="312"/>
    </row>
    <row r="174" spans="2:2" x14ac:dyDescent="0.25">
      <c r="B174" s="310"/>
    </row>
    <row r="175" spans="2:2" x14ac:dyDescent="0.25">
      <c r="B175" s="312"/>
    </row>
    <row r="176" spans="2:2" x14ac:dyDescent="0.25">
      <c r="B176" s="310"/>
    </row>
    <row r="177" spans="2:2" x14ac:dyDescent="0.25">
      <c r="B177" s="310"/>
    </row>
    <row r="178" spans="2:2" x14ac:dyDescent="0.25">
      <c r="B178" s="312"/>
    </row>
    <row r="179" spans="2:2" x14ac:dyDescent="0.25">
      <c r="B179" s="310"/>
    </row>
    <row r="180" spans="2:2" x14ac:dyDescent="0.25">
      <c r="B180" s="312"/>
    </row>
    <row r="181" spans="2:2" x14ac:dyDescent="0.25">
      <c r="B181" s="312"/>
    </row>
    <row r="182" spans="2:2" x14ac:dyDescent="0.25">
      <c r="B182" s="310"/>
    </row>
    <row r="183" spans="2:2" x14ac:dyDescent="0.25">
      <c r="B183" s="312"/>
    </row>
    <row r="184" spans="2:2" x14ac:dyDescent="0.25">
      <c r="B184" s="310"/>
    </row>
    <row r="185" spans="2:2" x14ac:dyDescent="0.25">
      <c r="B185" s="312"/>
    </row>
    <row r="186" spans="2:2" x14ac:dyDescent="0.25">
      <c r="B186" s="312"/>
    </row>
    <row r="187" spans="2:2" x14ac:dyDescent="0.25">
      <c r="B187" s="310"/>
    </row>
    <row r="188" spans="2:2" x14ac:dyDescent="0.25">
      <c r="B188" s="312"/>
    </row>
    <row r="189" spans="2:2" x14ac:dyDescent="0.25">
      <c r="B189" s="310"/>
    </row>
    <row r="190" spans="2:2" x14ac:dyDescent="0.25">
      <c r="B190" s="312"/>
    </row>
    <row r="191" spans="2:2" x14ac:dyDescent="0.25">
      <c r="B191" s="312"/>
    </row>
    <row r="192" spans="2:2" x14ac:dyDescent="0.25">
      <c r="B192" s="310"/>
    </row>
    <row r="193" spans="2:2" x14ac:dyDescent="0.25">
      <c r="B193" s="312"/>
    </row>
    <row r="194" spans="2:2" x14ac:dyDescent="0.25">
      <c r="B194" s="310"/>
    </row>
    <row r="195" spans="2:2" x14ac:dyDescent="0.25">
      <c r="B195" s="312"/>
    </row>
    <row r="196" spans="2:2" x14ac:dyDescent="0.25">
      <c r="B196" s="312"/>
    </row>
  </sheetData>
  <printOptions horizontalCentered="1"/>
  <pageMargins left="0.75" right="0.75" top="1" bottom="1" header="0.5" footer="0.5"/>
  <pageSetup scale="96" orientation="portrait" r:id="rId1"/>
  <headerFooter alignWithMargins="0"/>
  <rowBreaks count="1" manualBreakCount="1">
    <brk id="105" min="3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1"/>
  <sheetViews>
    <sheetView showGridLines="0" zoomScaleNormal="100" workbookViewId="0"/>
  </sheetViews>
  <sheetFormatPr defaultColWidth="9.33203125" defaultRowHeight="12.75" x14ac:dyDescent="0.2"/>
  <cols>
    <col min="1" max="1" width="39.1640625" style="287" customWidth="1"/>
    <col min="2" max="3" width="16.1640625" style="286" bestFit="1" customWidth="1"/>
    <col min="4" max="4" width="14.1640625" style="286" bestFit="1" customWidth="1"/>
    <col min="5" max="5" width="15.83203125" style="286" bestFit="1" customWidth="1"/>
    <col min="6" max="6" width="16.83203125" style="286" bestFit="1" customWidth="1"/>
    <col min="7" max="7" width="15.83203125" style="286" bestFit="1" customWidth="1"/>
    <col min="8" max="8" width="2.5" style="287" customWidth="1"/>
    <col min="9" max="10" width="15.83203125" style="287" bestFit="1" customWidth="1"/>
    <col min="11" max="16384" width="9.33203125" style="287"/>
  </cols>
  <sheetData>
    <row r="1" spans="1:10" ht="15.75" x14ac:dyDescent="0.25">
      <c r="A1" s="361" t="s">
        <v>940</v>
      </c>
      <c r="B1" s="291"/>
      <c r="C1" s="291"/>
    </row>
    <row r="2" spans="1:10" ht="15.75" x14ac:dyDescent="0.25">
      <c r="A2" s="361" t="s">
        <v>837</v>
      </c>
      <c r="B2" s="291"/>
      <c r="C2" s="291"/>
      <c r="D2" s="291"/>
      <c r="E2" s="291"/>
      <c r="F2" s="291"/>
      <c r="G2" s="291"/>
      <c r="H2" s="290"/>
    </row>
    <row r="3" spans="1:10" ht="15.75" x14ac:dyDescent="0.25">
      <c r="A3" s="362" t="s">
        <v>838</v>
      </c>
      <c r="B3" s="289"/>
      <c r="C3" s="289"/>
      <c r="D3" s="289"/>
      <c r="E3" s="289"/>
      <c r="F3" s="289"/>
      <c r="G3" s="289"/>
      <c r="H3" s="290"/>
    </row>
    <row r="4" spans="1:10" ht="15.75" x14ac:dyDescent="0.25">
      <c r="A4" s="377">
        <f>'OATT Input Data'!B4</f>
        <v>42369</v>
      </c>
      <c r="C4" s="292"/>
      <c r="D4" s="292"/>
      <c r="E4" s="292"/>
    </row>
    <row r="5" spans="1:10" ht="15.75" x14ac:dyDescent="0.25">
      <c r="A5" s="377"/>
      <c r="C5" s="292"/>
      <c r="D5" s="292"/>
      <c r="E5" s="292"/>
    </row>
    <row r="6" spans="1:10" x14ac:dyDescent="0.2">
      <c r="A6" s="367" t="s">
        <v>946</v>
      </c>
      <c r="B6" s="368"/>
      <c r="C6" s="368"/>
      <c r="D6" s="368"/>
      <c r="E6" s="368"/>
    </row>
    <row r="7" spans="1:10" x14ac:dyDescent="0.2">
      <c r="A7" s="369" t="s">
        <v>948</v>
      </c>
      <c r="B7" s="368"/>
      <c r="C7" s="368"/>
      <c r="D7" s="368"/>
      <c r="E7" s="368"/>
    </row>
    <row r="8" spans="1:10" x14ac:dyDescent="0.2">
      <c r="A8" s="369"/>
      <c r="B8" s="368"/>
      <c r="C8" s="368"/>
      <c r="D8" s="368"/>
      <c r="E8" s="368"/>
    </row>
    <row r="9" spans="1:10" ht="15.75" x14ac:dyDescent="0.25">
      <c r="A9" s="360" t="s">
        <v>839</v>
      </c>
      <c r="C9" s="292"/>
      <c r="D9" s="292"/>
      <c r="E9" s="292"/>
      <c r="I9" s="365"/>
      <c r="J9" s="365"/>
    </row>
    <row r="10" spans="1:10" x14ac:dyDescent="0.2">
      <c r="B10" s="288" t="s">
        <v>829</v>
      </c>
      <c r="C10" s="289"/>
      <c r="D10" s="289"/>
      <c r="E10" s="288" t="s">
        <v>830</v>
      </c>
      <c r="F10" s="289"/>
      <c r="G10" s="288" t="s">
        <v>831</v>
      </c>
      <c r="I10" s="288" t="s">
        <v>942</v>
      </c>
      <c r="J10" s="288"/>
    </row>
    <row r="11" spans="1:10" ht="15" x14ac:dyDescent="0.35">
      <c r="A11" s="290"/>
      <c r="B11" s="359" t="s">
        <v>832</v>
      </c>
      <c r="C11" s="359" t="s">
        <v>833</v>
      </c>
      <c r="D11" s="359" t="s">
        <v>834</v>
      </c>
      <c r="E11" s="359" t="s">
        <v>835</v>
      </c>
      <c r="F11" s="359" t="s">
        <v>836</v>
      </c>
      <c r="G11" s="359" t="s">
        <v>832</v>
      </c>
      <c r="H11" s="290"/>
      <c r="I11" s="359" t="s">
        <v>941</v>
      </c>
      <c r="J11" s="359" t="s">
        <v>943</v>
      </c>
    </row>
    <row r="12" spans="1:10" x14ac:dyDescent="0.2">
      <c r="A12" s="287" t="s">
        <v>840</v>
      </c>
      <c r="B12" s="354">
        <v>2118631.2200000002</v>
      </c>
      <c r="C12" s="355">
        <v>0</v>
      </c>
      <c r="D12" s="355">
        <v>0</v>
      </c>
      <c r="E12" s="355">
        <v>0</v>
      </c>
      <c r="F12" s="286">
        <f t="shared" ref="F12:F20" si="0">SUM(C12:E12)</f>
        <v>0</v>
      </c>
      <c r="G12" s="286">
        <f>B12+F12</f>
        <v>2118631.2200000002</v>
      </c>
      <c r="I12" s="355">
        <v>2118631.2200000002</v>
      </c>
      <c r="J12" s="366">
        <f>I12-G12</f>
        <v>0</v>
      </c>
    </row>
    <row r="13" spans="1:10" x14ac:dyDescent="0.2">
      <c r="A13" s="287" t="s">
        <v>841</v>
      </c>
      <c r="B13" s="354">
        <v>45700.5</v>
      </c>
      <c r="C13" s="356">
        <v>0</v>
      </c>
      <c r="D13" s="355">
        <v>0</v>
      </c>
      <c r="E13" s="355">
        <v>0</v>
      </c>
      <c r="F13" s="286">
        <f t="shared" si="0"/>
        <v>0</v>
      </c>
      <c r="G13" s="286">
        <f t="shared" ref="G13:G20" si="1">B13+F13</f>
        <v>45700.5</v>
      </c>
      <c r="I13" s="355">
        <v>45700.5</v>
      </c>
      <c r="J13" s="366">
        <f t="shared" ref="J13:J19" si="2">I13-G13</f>
        <v>0</v>
      </c>
    </row>
    <row r="14" spans="1:10" x14ac:dyDescent="0.2">
      <c r="A14" s="287" t="s">
        <v>842</v>
      </c>
      <c r="B14" s="354">
        <v>1618031.92</v>
      </c>
      <c r="C14" s="354">
        <v>0</v>
      </c>
      <c r="D14" s="354">
        <v>-111.76</v>
      </c>
      <c r="E14" s="354">
        <v>0</v>
      </c>
      <c r="F14" s="286">
        <f t="shared" si="0"/>
        <v>-111.76</v>
      </c>
      <c r="G14" s="286">
        <f t="shared" si="1"/>
        <v>1617920.16</v>
      </c>
      <c r="I14" s="354">
        <v>1617920.16</v>
      </c>
      <c r="J14" s="366">
        <f t="shared" si="2"/>
        <v>0</v>
      </c>
    </row>
    <row r="15" spans="1:10" x14ac:dyDescent="0.2">
      <c r="A15" s="287" t="s">
        <v>843</v>
      </c>
      <c r="B15" s="357">
        <v>20730624.779999997</v>
      </c>
      <c r="C15" s="354">
        <v>965189.57000000007</v>
      </c>
      <c r="D15" s="354">
        <v>-116717.44</v>
      </c>
      <c r="E15" s="354">
        <v>291019.11</v>
      </c>
      <c r="F15" s="286">
        <f t="shared" si="0"/>
        <v>1139491.2400000002</v>
      </c>
      <c r="G15" s="286">
        <f t="shared" si="1"/>
        <v>21870116.019999996</v>
      </c>
      <c r="I15" s="354">
        <v>21870116.02</v>
      </c>
      <c r="J15" s="366">
        <f t="shared" si="2"/>
        <v>0</v>
      </c>
    </row>
    <row r="16" spans="1:10" x14ac:dyDescent="0.2">
      <c r="A16" s="287" t="s">
        <v>844</v>
      </c>
      <c r="B16" s="357">
        <v>7181081.3000000007</v>
      </c>
      <c r="C16" s="354">
        <v>0</v>
      </c>
      <c r="D16" s="354">
        <v>0</v>
      </c>
      <c r="E16" s="354">
        <v>0</v>
      </c>
      <c r="F16" s="286">
        <f t="shared" si="0"/>
        <v>0</v>
      </c>
      <c r="G16" s="286">
        <f t="shared" si="1"/>
        <v>7181081.3000000007</v>
      </c>
      <c r="I16" s="354">
        <v>7181081.3000000007</v>
      </c>
      <c r="J16" s="366">
        <f t="shared" si="2"/>
        <v>0</v>
      </c>
    </row>
    <row r="17" spans="1:10" x14ac:dyDescent="0.2">
      <c r="A17" s="287" t="s">
        <v>845</v>
      </c>
      <c r="B17" s="357">
        <v>9932648.6699999999</v>
      </c>
      <c r="C17" s="354">
        <v>1309887.1599999999</v>
      </c>
      <c r="D17" s="354">
        <v>-28951.64</v>
      </c>
      <c r="E17" s="354">
        <v>0</v>
      </c>
      <c r="F17" s="286">
        <f t="shared" si="0"/>
        <v>1280935.52</v>
      </c>
      <c r="G17" s="286">
        <f t="shared" si="1"/>
        <v>11213584.189999999</v>
      </c>
      <c r="I17" s="354">
        <v>11213584.189999999</v>
      </c>
      <c r="J17" s="366">
        <f t="shared" si="2"/>
        <v>0</v>
      </c>
    </row>
    <row r="18" spans="1:10" x14ac:dyDescent="0.2">
      <c r="A18" s="287" t="s">
        <v>846</v>
      </c>
      <c r="B18" s="357">
        <v>16964093.09</v>
      </c>
      <c r="C18" s="354">
        <v>-133733.38</v>
      </c>
      <c r="D18" s="354">
        <v>-4168.16</v>
      </c>
      <c r="E18" s="354">
        <v>0</v>
      </c>
      <c r="F18" s="286">
        <f t="shared" si="0"/>
        <v>-137901.54</v>
      </c>
      <c r="G18" s="286">
        <f t="shared" si="1"/>
        <v>16826191.550000001</v>
      </c>
      <c r="I18" s="354">
        <v>16826191.550000001</v>
      </c>
      <c r="J18" s="366">
        <f t="shared" si="2"/>
        <v>0</v>
      </c>
    </row>
    <row r="19" spans="1:10" x14ac:dyDescent="0.2">
      <c r="A19" s="287" t="s">
        <v>847</v>
      </c>
      <c r="B19" s="357">
        <v>0</v>
      </c>
      <c r="C19" s="354">
        <v>0</v>
      </c>
      <c r="D19" s="354">
        <v>0</v>
      </c>
      <c r="E19" s="354">
        <v>0</v>
      </c>
      <c r="F19" s="286">
        <f t="shared" si="0"/>
        <v>0</v>
      </c>
      <c r="G19" s="286">
        <f t="shared" si="1"/>
        <v>0</v>
      </c>
      <c r="I19" s="354">
        <v>0</v>
      </c>
      <c r="J19" s="366">
        <f t="shared" si="2"/>
        <v>0</v>
      </c>
    </row>
    <row r="20" spans="1:10" x14ac:dyDescent="0.2">
      <c r="A20" s="287" t="s">
        <v>848</v>
      </c>
      <c r="B20" s="357">
        <v>0</v>
      </c>
      <c r="C20" s="354">
        <v>0</v>
      </c>
      <c r="D20" s="354">
        <v>0</v>
      </c>
      <c r="E20" s="354">
        <v>0</v>
      </c>
      <c r="F20" s="286">
        <f t="shared" si="0"/>
        <v>0</v>
      </c>
      <c r="G20" s="286">
        <f t="shared" si="1"/>
        <v>0</v>
      </c>
      <c r="I20" s="354">
        <v>0</v>
      </c>
      <c r="J20" s="366">
        <f>I20-G20</f>
        <v>0</v>
      </c>
    </row>
    <row r="21" spans="1:10" ht="13.5" thickBot="1" x14ac:dyDescent="0.25">
      <c r="A21" s="376" t="s">
        <v>6</v>
      </c>
      <c r="B21" s="363">
        <f>SUM(B12:B20)</f>
        <v>58590811.480000004</v>
      </c>
      <c r="C21" s="363">
        <f t="shared" ref="C21:G21" si="3">SUM(C12:C20)</f>
        <v>2141343.35</v>
      </c>
      <c r="D21" s="363">
        <f t="shared" si="3"/>
        <v>-149949</v>
      </c>
      <c r="E21" s="363">
        <f t="shared" si="3"/>
        <v>291019.11</v>
      </c>
      <c r="F21" s="363">
        <f>SUM(F12:F20)</f>
        <v>2282413.46</v>
      </c>
      <c r="G21" s="363">
        <f t="shared" si="3"/>
        <v>60873224.939999998</v>
      </c>
      <c r="I21" s="371">
        <v>60873224.939999998</v>
      </c>
      <c r="J21" s="372">
        <f>I21-G21</f>
        <v>0</v>
      </c>
    </row>
    <row r="22" spans="1:10" ht="13.5" thickTop="1" x14ac:dyDescent="0.2">
      <c r="B22" s="293"/>
    </row>
    <row r="23" spans="1:10" x14ac:dyDescent="0.2">
      <c r="B23" s="293"/>
    </row>
    <row r="24" spans="1:10" x14ac:dyDescent="0.2">
      <c r="A24" s="367" t="s">
        <v>945</v>
      </c>
      <c r="B24" s="370"/>
      <c r="C24" s="290"/>
    </row>
    <row r="25" spans="1:10" x14ac:dyDescent="0.2">
      <c r="A25" s="358" t="s">
        <v>944</v>
      </c>
      <c r="B25" s="293"/>
      <c r="C25" s="358"/>
    </row>
    <row r="26" spans="1:10" x14ac:dyDescent="0.2">
      <c r="A26" s="373" t="s">
        <v>936</v>
      </c>
      <c r="B26" s="293"/>
      <c r="C26" s="287"/>
    </row>
    <row r="27" spans="1:10" x14ac:dyDescent="0.2">
      <c r="A27" s="374" t="s">
        <v>937</v>
      </c>
      <c r="B27" s="293"/>
      <c r="C27" s="287"/>
    </row>
    <row r="28" spans="1:10" x14ac:dyDescent="0.2">
      <c r="A28" s="373" t="s">
        <v>938</v>
      </c>
      <c r="B28" s="293"/>
      <c r="C28" s="287"/>
    </row>
    <row r="29" spans="1:10" x14ac:dyDescent="0.2">
      <c r="A29" s="358"/>
      <c r="B29" s="293"/>
      <c r="C29" s="287"/>
    </row>
    <row r="30" spans="1:10" ht="15.75" x14ac:dyDescent="0.25">
      <c r="A30" s="360" t="s">
        <v>849</v>
      </c>
      <c r="C30" s="292"/>
      <c r="D30" s="292"/>
      <c r="E30" s="292"/>
    </row>
    <row r="31" spans="1:10" x14ac:dyDescent="0.2">
      <c r="B31" s="288" t="s">
        <v>829</v>
      </c>
      <c r="C31" s="289"/>
      <c r="D31" s="289"/>
      <c r="E31" s="288" t="s">
        <v>830</v>
      </c>
      <c r="F31" s="289"/>
      <c r="G31" s="288" t="s">
        <v>831</v>
      </c>
    </row>
    <row r="32" spans="1:10" ht="15" x14ac:dyDescent="0.35">
      <c r="A32" s="290"/>
      <c r="B32" s="359" t="s">
        <v>832</v>
      </c>
      <c r="C32" s="359" t="s">
        <v>833</v>
      </c>
      <c r="D32" s="359" t="s">
        <v>834</v>
      </c>
      <c r="E32" s="359" t="s">
        <v>835</v>
      </c>
      <c r="F32" s="359" t="s">
        <v>836</v>
      </c>
      <c r="G32" s="359" t="s">
        <v>832</v>
      </c>
      <c r="H32" s="290"/>
      <c r="J32" s="359" t="s">
        <v>943</v>
      </c>
    </row>
    <row r="33" spans="1:10" x14ac:dyDescent="0.2">
      <c r="A33" s="287" t="s">
        <v>840</v>
      </c>
      <c r="B33" s="354">
        <v>280370.75</v>
      </c>
      <c r="C33" s="355">
        <v>0</v>
      </c>
      <c r="D33" s="355">
        <v>0</v>
      </c>
      <c r="E33" s="355">
        <v>0</v>
      </c>
      <c r="F33" s="286">
        <f t="shared" ref="F33:F41" si="4">SUM(C33:E33)</f>
        <v>0</v>
      </c>
      <c r="G33" s="286">
        <f t="shared" ref="G33:G41" si="5">B33+F33</f>
        <v>280370.75</v>
      </c>
    </row>
    <row r="34" spans="1:10" x14ac:dyDescent="0.2">
      <c r="A34" s="287" t="s">
        <v>841</v>
      </c>
      <c r="B34" s="354">
        <v>0</v>
      </c>
      <c r="C34" s="355">
        <v>0</v>
      </c>
      <c r="D34" s="355">
        <v>0</v>
      </c>
      <c r="E34" s="355">
        <v>0</v>
      </c>
      <c r="F34" s="286">
        <f t="shared" si="4"/>
        <v>0</v>
      </c>
      <c r="G34" s="286">
        <f t="shared" si="5"/>
        <v>0</v>
      </c>
    </row>
    <row r="35" spans="1:10" x14ac:dyDescent="0.2">
      <c r="A35" s="287" t="s">
        <v>842</v>
      </c>
      <c r="B35" s="354">
        <v>0</v>
      </c>
      <c r="C35" s="355">
        <v>0</v>
      </c>
      <c r="D35" s="355">
        <v>0</v>
      </c>
      <c r="E35" s="355">
        <v>0</v>
      </c>
      <c r="F35" s="286">
        <f t="shared" si="4"/>
        <v>0</v>
      </c>
      <c r="G35" s="286">
        <f t="shared" si="5"/>
        <v>0</v>
      </c>
    </row>
    <row r="36" spans="1:10" x14ac:dyDescent="0.2">
      <c r="A36" s="287" t="s">
        <v>843</v>
      </c>
      <c r="B36" s="357">
        <v>0</v>
      </c>
      <c r="C36" s="355">
        <v>0</v>
      </c>
      <c r="D36" s="355">
        <v>0</v>
      </c>
      <c r="E36" s="355">
        <v>0</v>
      </c>
      <c r="F36" s="286">
        <f t="shared" si="4"/>
        <v>0</v>
      </c>
      <c r="G36" s="286">
        <f t="shared" si="5"/>
        <v>0</v>
      </c>
    </row>
    <row r="37" spans="1:10" x14ac:dyDescent="0.2">
      <c r="A37" s="287" t="s">
        <v>844</v>
      </c>
      <c r="B37" s="357">
        <v>4769322.87</v>
      </c>
      <c r="C37" s="355">
        <v>0</v>
      </c>
      <c r="D37" s="355">
        <v>0</v>
      </c>
      <c r="E37" s="355">
        <v>0</v>
      </c>
      <c r="F37" s="286">
        <f t="shared" si="4"/>
        <v>0</v>
      </c>
      <c r="G37" s="286">
        <f t="shared" si="5"/>
        <v>4769322.87</v>
      </c>
    </row>
    <row r="38" spans="1:10" x14ac:dyDescent="0.2">
      <c r="A38" s="287" t="s">
        <v>845</v>
      </c>
      <c r="B38" s="357">
        <v>51357.98</v>
      </c>
      <c r="C38" s="355">
        <v>0</v>
      </c>
      <c r="D38" s="355">
        <v>0</v>
      </c>
      <c r="E38" s="355">
        <v>0</v>
      </c>
      <c r="F38" s="286">
        <f t="shared" si="4"/>
        <v>0</v>
      </c>
      <c r="G38" s="286">
        <f t="shared" si="5"/>
        <v>51357.98</v>
      </c>
    </row>
    <row r="39" spans="1:10" x14ac:dyDescent="0.2">
      <c r="A39" s="287" t="s">
        <v>846</v>
      </c>
      <c r="B39" s="357">
        <v>3129377.81</v>
      </c>
      <c r="C39" s="355">
        <v>0</v>
      </c>
      <c r="D39" s="355">
        <v>0</v>
      </c>
      <c r="E39" s="355">
        <v>0</v>
      </c>
      <c r="F39" s="286">
        <f t="shared" si="4"/>
        <v>0</v>
      </c>
      <c r="G39" s="286">
        <f t="shared" si="5"/>
        <v>3129377.81</v>
      </c>
    </row>
    <row r="40" spans="1:10" x14ac:dyDescent="0.2">
      <c r="A40" s="287" t="s">
        <v>847</v>
      </c>
      <c r="B40" s="357">
        <v>0</v>
      </c>
      <c r="C40" s="355">
        <v>0</v>
      </c>
      <c r="D40" s="355">
        <v>0</v>
      </c>
      <c r="E40" s="355">
        <v>0</v>
      </c>
      <c r="F40" s="286">
        <f t="shared" si="4"/>
        <v>0</v>
      </c>
      <c r="G40" s="286">
        <f t="shared" si="5"/>
        <v>0</v>
      </c>
    </row>
    <row r="41" spans="1:10" x14ac:dyDescent="0.2">
      <c r="A41" s="287" t="s">
        <v>848</v>
      </c>
      <c r="B41" s="357">
        <v>0</v>
      </c>
      <c r="C41" s="355">
        <v>0</v>
      </c>
      <c r="D41" s="355">
        <v>0</v>
      </c>
      <c r="E41" s="355">
        <v>0</v>
      </c>
      <c r="F41" s="286">
        <f t="shared" si="4"/>
        <v>0</v>
      </c>
      <c r="G41" s="286">
        <f t="shared" si="5"/>
        <v>0</v>
      </c>
    </row>
    <row r="42" spans="1:10" ht="13.5" thickBot="1" x14ac:dyDescent="0.25">
      <c r="A42" s="376" t="s">
        <v>6</v>
      </c>
      <c r="B42" s="364">
        <f t="shared" ref="B42:G42" si="6">SUM(B33:B41)</f>
        <v>8230429.4100000001</v>
      </c>
      <c r="C42" s="364">
        <f t="shared" si="6"/>
        <v>0</v>
      </c>
      <c r="D42" s="364">
        <f t="shared" si="6"/>
        <v>0</v>
      </c>
      <c r="E42" s="364">
        <f t="shared" si="6"/>
        <v>0</v>
      </c>
      <c r="F42" s="364">
        <f t="shared" si="6"/>
        <v>0</v>
      </c>
      <c r="G42" s="364">
        <f t="shared" si="6"/>
        <v>8230429.4100000001</v>
      </c>
      <c r="I42" s="371">
        <v>8230429.4099999992</v>
      </c>
      <c r="J42" s="372">
        <f>I42-G42</f>
        <v>0</v>
      </c>
    </row>
    <row r="43" spans="1:10" ht="13.5" thickTop="1" x14ac:dyDescent="0.2"/>
    <row r="44" spans="1:10" x14ac:dyDescent="0.2">
      <c r="B44" s="293"/>
    </row>
    <row r="45" spans="1:10" x14ac:dyDescent="0.2">
      <c r="A45" s="353" t="s">
        <v>947</v>
      </c>
    </row>
    <row r="46" spans="1:10" s="296" customFormat="1" x14ac:dyDescent="0.2">
      <c r="A46" s="375" t="s">
        <v>939</v>
      </c>
      <c r="B46" s="295"/>
      <c r="C46" s="295"/>
      <c r="D46" s="295"/>
      <c r="E46" s="295"/>
      <c r="F46" s="295"/>
      <c r="G46" s="295"/>
      <c r="H46" s="295"/>
    </row>
    <row r="48" spans="1:10" ht="15.75" x14ac:dyDescent="0.25">
      <c r="A48" s="360" t="s">
        <v>850</v>
      </c>
      <c r="C48" s="292"/>
      <c r="D48" s="292"/>
      <c r="E48" s="292"/>
    </row>
    <row r="49" spans="1:8" x14ac:dyDescent="0.2">
      <c r="B49" s="288" t="s">
        <v>829</v>
      </c>
      <c r="C49" s="289"/>
      <c r="D49" s="289"/>
      <c r="E49" s="288" t="s">
        <v>830</v>
      </c>
      <c r="F49" s="289"/>
      <c r="G49" s="288" t="s">
        <v>831</v>
      </c>
    </row>
    <row r="50" spans="1:8" ht="15" x14ac:dyDescent="0.35">
      <c r="A50" s="290"/>
      <c r="B50" s="359" t="s">
        <v>832</v>
      </c>
      <c r="C50" s="359" t="s">
        <v>833</v>
      </c>
      <c r="D50" s="359" t="s">
        <v>834</v>
      </c>
      <c r="E50" s="359" t="s">
        <v>835</v>
      </c>
      <c r="F50" s="359" t="s">
        <v>836</v>
      </c>
      <c r="G50" s="359" t="s">
        <v>832</v>
      </c>
      <c r="H50" s="290"/>
    </row>
    <row r="51" spans="1:8" x14ac:dyDescent="0.2">
      <c r="A51" s="287" t="s">
        <v>840</v>
      </c>
      <c r="B51" s="286">
        <f t="shared" ref="B51:F59" si="7">B12-B33</f>
        <v>1838260.4700000002</v>
      </c>
      <c r="C51" s="286">
        <f t="shared" si="7"/>
        <v>0</v>
      </c>
      <c r="D51" s="286">
        <f t="shared" si="7"/>
        <v>0</v>
      </c>
      <c r="E51" s="286">
        <f t="shared" si="7"/>
        <v>0</v>
      </c>
      <c r="F51" s="286">
        <f t="shared" si="7"/>
        <v>0</v>
      </c>
      <c r="G51" s="286">
        <f t="shared" ref="G51:G59" si="8">B51+F51</f>
        <v>1838260.4700000002</v>
      </c>
    </row>
    <row r="52" spans="1:8" x14ac:dyDescent="0.2">
      <c r="A52" s="287" t="s">
        <v>841</v>
      </c>
      <c r="B52" s="286">
        <f t="shared" si="7"/>
        <v>45700.5</v>
      </c>
      <c r="C52" s="286">
        <f t="shared" si="7"/>
        <v>0</v>
      </c>
      <c r="D52" s="286">
        <f t="shared" si="7"/>
        <v>0</v>
      </c>
      <c r="E52" s="286">
        <f t="shared" si="7"/>
        <v>0</v>
      </c>
      <c r="F52" s="286">
        <f t="shared" si="7"/>
        <v>0</v>
      </c>
      <c r="G52" s="286">
        <f t="shared" si="8"/>
        <v>45700.5</v>
      </c>
    </row>
    <row r="53" spans="1:8" x14ac:dyDescent="0.2">
      <c r="A53" s="287" t="s">
        <v>842</v>
      </c>
      <c r="B53" s="286">
        <f t="shared" si="7"/>
        <v>1618031.92</v>
      </c>
      <c r="C53" s="286">
        <f t="shared" si="7"/>
        <v>0</v>
      </c>
      <c r="D53" s="286">
        <f t="shared" si="7"/>
        <v>-111.76</v>
      </c>
      <c r="E53" s="286">
        <f t="shared" si="7"/>
        <v>0</v>
      </c>
      <c r="F53" s="286">
        <f t="shared" si="7"/>
        <v>-111.76</v>
      </c>
      <c r="G53" s="286">
        <f t="shared" si="8"/>
        <v>1617920.16</v>
      </c>
    </row>
    <row r="54" spans="1:8" x14ac:dyDescent="0.2">
      <c r="A54" s="287" t="s">
        <v>843</v>
      </c>
      <c r="B54" s="286">
        <f t="shared" si="7"/>
        <v>20730624.779999997</v>
      </c>
      <c r="C54" s="286">
        <f t="shared" si="7"/>
        <v>965189.57000000007</v>
      </c>
      <c r="D54" s="286">
        <f t="shared" si="7"/>
        <v>-116717.44</v>
      </c>
      <c r="E54" s="286">
        <f t="shared" si="7"/>
        <v>291019.11</v>
      </c>
      <c r="F54" s="286">
        <f t="shared" si="7"/>
        <v>1139491.2400000002</v>
      </c>
      <c r="G54" s="286">
        <f t="shared" si="8"/>
        <v>21870116.019999996</v>
      </c>
    </row>
    <row r="55" spans="1:8" x14ac:dyDescent="0.2">
      <c r="A55" s="287" t="s">
        <v>844</v>
      </c>
      <c r="B55" s="286">
        <f t="shared" si="7"/>
        <v>2411758.4300000006</v>
      </c>
      <c r="C55" s="286">
        <f t="shared" si="7"/>
        <v>0</v>
      </c>
      <c r="D55" s="286">
        <f t="shared" si="7"/>
        <v>0</v>
      </c>
      <c r="E55" s="286">
        <f t="shared" si="7"/>
        <v>0</v>
      </c>
      <c r="F55" s="286">
        <f t="shared" si="7"/>
        <v>0</v>
      </c>
      <c r="G55" s="286">
        <f t="shared" si="8"/>
        <v>2411758.4300000006</v>
      </c>
    </row>
    <row r="56" spans="1:8" x14ac:dyDescent="0.2">
      <c r="A56" s="287" t="s">
        <v>845</v>
      </c>
      <c r="B56" s="286">
        <f t="shared" si="7"/>
        <v>9881290.6899999995</v>
      </c>
      <c r="C56" s="286">
        <f t="shared" si="7"/>
        <v>1309887.1599999999</v>
      </c>
      <c r="D56" s="286">
        <f t="shared" si="7"/>
        <v>-28951.64</v>
      </c>
      <c r="E56" s="286">
        <f t="shared" si="7"/>
        <v>0</v>
      </c>
      <c r="F56" s="286">
        <f t="shared" si="7"/>
        <v>1280935.52</v>
      </c>
      <c r="G56" s="286">
        <f t="shared" si="8"/>
        <v>11162226.209999999</v>
      </c>
    </row>
    <row r="57" spans="1:8" x14ac:dyDescent="0.2">
      <c r="A57" s="287" t="s">
        <v>846</v>
      </c>
      <c r="B57" s="286">
        <f t="shared" si="7"/>
        <v>13834715.279999999</v>
      </c>
      <c r="C57" s="286">
        <f t="shared" si="7"/>
        <v>-133733.38</v>
      </c>
      <c r="D57" s="286">
        <f t="shared" si="7"/>
        <v>-4168.16</v>
      </c>
      <c r="E57" s="286">
        <f t="shared" si="7"/>
        <v>0</v>
      </c>
      <c r="F57" s="286">
        <f t="shared" si="7"/>
        <v>-137901.54</v>
      </c>
      <c r="G57" s="286">
        <f t="shared" si="8"/>
        <v>13696813.74</v>
      </c>
    </row>
    <row r="58" spans="1:8" x14ac:dyDescent="0.2">
      <c r="A58" s="287" t="s">
        <v>847</v>
      </c>
      <c r="B58" s="286">
        <f t="shared" si="7"/>
        <v>0</v>
      </c>
      <c r="C58" s="286">
        <f t="shared" si="7"/>
        <v>0</v>
      </c>
      <c r="D58" s="286">
        <f t="shared" si="7"/>
        <v>0</v>
      </c>
      <c r="E58" s="286">
        <f t="shared" si="7"/>
        <v>0</v>
      </c>
      <c r="F58" s="286">
        <f t="shared" si="7"/>
        <v>0</v>
      </c>
      <c r="G58" s="286">
        <f t="shared" si="8"/>
        <v>0</v>
      </c>
    </row>
    <row r="59" spans="1:8" x14ac:dyDescent="0.2">
      <c r="A59" s="287" t="s">
        <v>848</v>
      </c>
      <c r="B59" s="286">
        <f t="shared" si="7"/>
        <v>0</v>
      </c>
      <c r="C59" s="286">
        <f t="shared" si="7"/>
        <v>0</v>
      </c>
      <c r="D59" s="286">
        <f t="shared" si="7"/>
        <v>0</v>
      </c>
      <c r="E59" s="286">
        <f t="shared" si="7"/>
        <v>0</v>
      </c>
      <c r="F59" s="286">
        <f t="shared" si="7"/>
        <v>0</v>
      </c>
      <c r="G59" s="286">
        <f t="shared" si="8"/>
        <v>0</v>
      </c>
    </row>
    <row r="60" spans="1:8" ht="13.5" thickBot="1" x14ac:dyDescent="0.25">
      <c r="A60" s="376" t="s">
        <v>6</v>
      </c>
      <c r="B60" s="364">
        <f>SUM(B51:B59)</f>
        <v>50360382.07</v>
      </c>
      <c r="C60" s="364">
        <f t="shared" ref="C60:F60" si="9">SUM(C51:C59)</f>
        <v>2141343.35</v>
      </c>
      <c r="D60" s="364">
        <f t="shared" si="9"/>
        <v>-149949</v>
      </c>
      <c r="E60" s="364">
        <f t="shared" si="9"/>
        <v>291019.11</v>
      </c>
      <c r="F60" s="364">
        <f t="shared" si="9"/>
        <v>2282413.46</v>
      </c>
      <c r="G60" s="364">
        <f>SUM(G51:G59)</f>
        <v>52642795.529999994</v>
      </c>
    </row>
    <row r="61" spans="1:8" ht="13.5" thickTop="1" x14ac:dyDescent="0.2">
      <c r="F61" s="332" t="s">
        <v>926</v>
      </c>
      <c r="G61" s="333" t="str">
        <f>IF(ROUND(G60,0)='NITS Pg 4 of 5'!J12,"ok","err on NITS pg 4")</f>
        <v>ok</v>
      </c>
    </row>
    <row r="62" spans="1:8" x14ac:dyDescent="0.2">
      <c r="F62" s="332" t="s">
        <v>927</v>
      </c>
      <c r="G62" s="333" t="str">
        <f>IF(ROUND(G60,0)='PTP Pg 4 of 5'!J12,"ok","err on PTP pg 4")</f>
        <v>ok</v>
      </c>
    </row>
    <row r="63" spans="1:8" x14ac:dyDescent="0.2">
      <c r="B63" s="293"/>
    </row>
    <row r="64" spans="1:8" s="296" customFormat="1" x14ac:dyDescent="0.2">
      <c r="A64" s="297"/>
      <c r="B64" s="295"/>
      <c r="C64" s="295"/>
      <c r="D64" s="295"/>
      <c r="E64" s="295"/>
      <c r="F64" s="295"/>
      <c r="G64" s="295"/>
      <c r="H64" s="295"/>
    </row>
    <row r="65" spans="1:8" s="296" customFormat="1" x14ac:dyDescent="0.2">
      <c r="A65" s="294"/>
      <c r="B65" s="295"/>
      <c r="C65" s="295"/>
      <c r="D65" s="295"/>
      <c r="E65" s="295"/>
      <c r="F65" s="295"/>
      <c r="G65" s="295"/>
      <c r="H65" s="295"/>
    </row>
    <row r="66" spans="1:8" s="296" customFormat="1" x14ac:dyDescent="0.2">
      <c r="A66" s="298"/>
      <c r="B66" s="295"/>
      <c r="C66" s="295"/>
      <c r="D66" s="295"/>
      <c r="E66" s="295"/>
      <c r="F66" s="295"/>
      <c r="G66" s="295"/>
      <c r="H66" s="295"/>
    </row>
    <row r="67" spans="1:8" s="296" customFormat="1" x14ac:dyDescent="0.2">
      <c r="A67" s="299"/>
      <c r="B67" s="300"/>
      <c r="C67" s="300"/>
      <c r="D67" s="300"/>
      <c r="E67" s="300"/>
      <c r="F67" s="300"/>
      <c r="G67" s="300"/>
      <c r="H67" s="300"/>
    </row>
    <row r="68" spans="1:8" s="296" customFormat="1" x14ac:dyDescent="0.2">
      <c r="A68" s="299"/>
      <c r="B68" s="301"/>
      <c r="C68" s="301"/>
      <c r="D68" s="301"/>
      <c r="E68" s="301"/>
      <c r="F68" s="302"/>
      <c r="G68" s="301"/>
    </row>
    <row r="69" spans="1:8" s="296" customFormat="1" x14ac:dyDescent="0.2">
      <c r="A69" s="299"/>
      <c r="B69" s="300"/>
      <c r="C69" s="300"/>
      <c r="D69" s="300"/>
      <c r="E69" s="300"/>
      <c r="F69" s="302"/>
      <c r="G69" s="300"/>
    </row>
    <row r="70" spans="1:8" s="296" customFormat="1" x14ac:dyDescent="0.2">
      <c r="A70" s="303"/>
      <c r="B70" s="300"/>
      <c r="C70" s="300"/>
      <c r="D70" s="300"/>
      <c r="E70" s="300"/>
      <c r="F70" s="302"/>
      <c r="G70" s="300"/>
    </row>
    <row r="71" spans="1:8" s="296" customFormat="1" x14ac:dyDescent="0.2">
      <c r="A71" s="299"/>
      <c r="B71" s="300"/>
      <c r="C71" s="300"/>
      <c r="D71" s="300"/>
      <c r="E71" s="300"/>
      <c r="F71" s="302"/>
      <c r="G71" s="300"/>
    </row>
    <row r="72" spans="1:8" s="296" customFormat="1" x14ac:dyDescent="0.2">
      <c r="A72" s="299"/>
      <c r="B72" s="300"/>
      <c r="C72" s="300"/>
      <c r="D72" s="300"/>
      <c r="E72" s="300"/>
      <c r="F72" s="302"/>
      <c r="G72" s="300"/>
    </row>
    <row r="73" spans="1:8" s="296" customFormat="1" x14ac:dyDescent="0.2">
      <c r="A73" s="299"/>
      <c r="B73" s="300"/>
      <c r="C73" s="300"/>
      <c r="D73" s="300"/>
      <c r="E73" s="300"/>
      <c r="F73" s="302"/>
      <c r="G73" s="300"/>
    </row>
    <row r="74" spans="1:8" s="296" customFormat="1" x14ac:dyDescent="0.2">
      <c r="A74" s="299"/>
      <c r="B74" s="300"/>
      <c r="C74" s="300"/>
      <c r="D74" s="300"/>
      <c r="E74" s="300"/>
      <c r="F74" s="302"/>
      <c r="G74" s="300"/>
    </row>
    <row r="75" spans="1:8" s="296" customFormat="1" x14ac:dyDescent="0.2">
      <c r="A75" s="299"/>
      <c r="B75" s="300"/>
      <c r="C75" s="300"/>
      <c r="D75" s="300"/>
      <c r="E75" s="300"/>
      <c r="F75" s="302"/>
      <c r="G75" s="300"/>
    </row>
    <row r="76" spans="1:8" s="296" customFormat="1" x14ac:dyDescent="0.2">
      <c r="A76" s="299"/>
      <c r="B76" s="300"/>
      <c r="C76" s="300"/>
      <c r="D76" s="300"/>
      <c r="E76" s="300"/>
      <c r="F76" s="302"/>
      <c r="G76" s="300"/>
    </row>
    <row r="77" spans="1:8" s="296" customFormat="1" x14ac:dyDescent="0.2">
      <c r="A77" s="299"/>
      <c r="B77" s="300"/>
      <c r="C77" s="300"/>
      <c r="D77" s="300"/>
      <c r="E77" s="300"/>
      <c r="F77" s="302"/>
      <c r="G77" s="300"/>
    </row>
    <row r="78" spans="1:8" s="296" customFormat="1" x14ac:dyDescent="0.2">
      <c r="A78" s="299"/>
      <c r="B78" s="300"/>
      <c r="C78" s="300"/>
      <c r="D78" s="300"/>
      <c r="E78" s="300"/>
      <c r="F78" s="302"/>
      <c r="G78" s="300"/>
    </row>
    <row r="79" spans="1:8" s="296" customFormat="1" x14ac:dyDescent="0.2">
      <c r="A79" s="299"/>
      <c r="B79" s="300"/>
      <c r="C79" s="300"/>
      <c r="D79" s="300"/>
      <c r="E79" s="300"/>
      <c r="F79" s="302"/>
      <c r="G79" s="300"/>
    </row>
    <row r="80" spans="1:8" s="296" customFormat="1" x14ac:dyDescent="0.2">
      <c r="A80" s="299"/>
      <c r="B80" s="300"/>
      <c r="C80" s="300"/>
      <c r="D80" s="300"/>
      <c r="E80" s="300"/>
      <c r="F80" s="302"/>
      <c r="G80" s="300"/>
    </row>
    <row r="81" spans="1:8" s="296" customFormat="1" x14ac:dyDescent="0.2">
      <c r="A81" s="299"/>
      <c r="B81" s="300"/>
      <c r="C81" s="300"/>
      <c r="D81" s="300"/>
      <c r="E81" s="300"/>
      <c r="F81" s="302"/>
      <c r="G81" s="300"/>
    </row>
    <row r="82" spans="1:8" s="296" customFormat="1" x14ac:dyDescent="0.2">
      <c r="A82" s="299"/>
      <c r="B82" s="300"/>
      <c r="C82" s="300"/>
      <c r="D82" s="300"/>
      <c r="E82" s="300"/>
      <c r="F82" s="302"/>
      <c r="G82" s="300"/>
    </row>
    <row r="83" spans="1:8" s="296" customFormat="1" x14ac:dyDescent="0.2">
      <c r="A83" s="299"/>
      <c r="B83" s="300"/>
      <c r="C83" s="300"/>
      <c r="D83" s="300"/>
      <c r="E83" s="300"/>
      <c r="F83" s="302"/>
      <c r="G83" s="300"/>
    </row>
    <row r="84" spans="1:8" s="296" customFormat="1" x14ac:dyDescent="0.2">
      <c r="A84" s="299"/>
      <c r="B84" s="300"/>
      <c r="C84" s="300"/>
      <c r="D84" s="300"/>
      <c r="E84" s="300"/>
      <c r="F84" s="302"/>
      <c r="G84" s="300"/>
    </row>
    <row r="85" spans="1:8" s="296" customFormat="1" x14ac:dyDescent="0.2">
      <c r="A85" s="299"/>
      <c r="B85" s="300"/>
      <c r="C85" s="300"/>
      <c r="D85" s="300"/>
      <c r="E85" s="300"/>
      <c r="F85" s="302"/>
      <c r="G85" s="300"/>
    </row>
    <row r="86" spans="1:8" s="296" customFormat="1" x14ac:dyDescent="0.2">
      <c r="A86" s="299"/>
      <c r="B86" s="300"/>
      <c r="C86" s="300"/>
      <c r="D86" s="300"/>
      <c r="E86" s="300"/>
      <c r="F86" s="302"/>
      <c r="G86" s="300"/>
    </row>
    <row r="87" spans="1:8" s="296" customFormat="1" x14ac:dyDescent="0.2">
      <c r="A87" s="299"/>
      <c r="B87" s="300"/>
      <c r="C87" s="300"/>
      <c r="D87" s="300"/>
      <c r="E87" s="300"/>
      <c r="F87" s="302"/>
      <c r="G87" s="300"/>
    </row>
    <row r="88" spans="1:8" s="296" customFormat="1" x14ac:dyDescent="0.2">
      <c r="A88" s="299"/>
      <c r="B88" s="300"/>
      <c r="C88" s="300"/>
      <c r="D88" s="300"/>
      <c r="E88" s="300"/>
      <c r="F88" s="302"/>
      <c r="G88" s="300"/>
    </row>
    <row r="89" spans="1:8" s="296" customFormat="1" x14ac:dyDescent="0.2">
      <c r="A89" s="299"/>
      <c r="B89" s="300"/>
      <c r="C89" s="300"/>
      <c r="D89" s="300"/>
      <c r="E89" s="300"/>
      <c r="F89" s="302"/>
      <c r="G89" s="300"/>
    </row>
    <row r="90" spans="1:8" s="296" customFormat="1" x14ac:dyDescent="0.2">
      <c r="A90" s="299"/>
      <c r="B90" s="300"/>
      <c r="C90" s="300"/>
      <c r="D90" s="300"/>
      <c r="E90" s="300"/>
      <c r="F90" s="302"/>
      <c r="G90" s="300"/>
    </row>
    <row r="91" spans="1:8" s="296" customFormat="1" x14ac:dyDescent="0.2">
      <c r="A91" s="299"/>
      <c r="B91" s="300"/>
      <c r="C91" s="300"/>
      <c r="D91" s="300"/>
      <c r="E91" s="300"/>
      <c r="F91" s="300"/>
      <c r="G91" s="300"/>
      <c r="H91" s="300"/>
    </row>
  </sheetData>
  <printOptions headings="1"/>
  <pageMargins left="0.7" right="0.7" top="0.75" bottom="0.75" header="0.3" footer="0.3"/>
  <pageSetup scale="58" orientation="landscape" r:id="rId1"/>
  <headerFooter>
    <oddFooter>&amp;L&amp;Z&amp;F
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showGridLines="0" workbookViewId="0">
      <selection activeCell="C2" sqref="C2"/>
    </sheetView>
  </sheetViews>
  <sheetFormatPr defaultRowHeight="12.75" x14ac:dyDescent="0.2"/>
  <cols>
    <col min="1" max="1" width="25.33203125" bestFit="1" customWidth="1"/>
    <col min="2" max="2" width="25.83203125" bestFit="1" customWidth="1"/>
    <col min="3" max="3" width="28" bestFit="1" customWidth="1"/>
    <col min="4" max="4" width="20.83203125" customWidth="1"/>
  </cols>
  <sheetData>
    <row r="1" spans="1:4" ht="45" x14ac:dyDescent="0.2">
      <c r="A1" s="279" t="s">
        <v>851</v>
      </c>
      <c r="B1" s="280" t="s">
        <v>852</v>
      </c>
      <c r="C1" s="307" t="str">
        <f>TEXT(EOMONTH('OATT Input Data'!$B$4,5)+1,"mmmm d, yyyy")&amp;" Point to Point"</f>
        <v>June 1, 2016 Point to Point</v>
      </c>
      <c r="D1" s="307" t="str">
        <f>TEXT(EOMONTH('OATT Input Data'!$B$4,5)+1,"mmmm d, yyyy")&amp;" NITS"</f>
        <v>June 1, 2016 NITS</v>
      </c>
    </row>
    <row r="2" spans="1:4" ht="21.75" x14ac:dyDescent="0.2">
      <c r="A2" s="281" t="s">
        <v>853</v>
      </c>
      <c r="B2" s="282" t="s">
        <v>854</v>
      </c>
      <c r="C2" s="283">
        <f>'PTP Pg 1 of 5'!$E$38</f>
        <v>4.875</v>
      </c>
      <c r="D2" s="284" t="s">
        <v>885</v>
      </c>
    </row>
    <row r="3" spans="1:4" ht="21.75" x14ac:dyDescent="0.2">
      <c r="A3" s="281" t="s">
        <v>855</v>
      </c>
      <c r="B3" s="282" t="s">
        <v>854</v>
      </c>
      <c r="C3" s="283">
        <f>'PTP Pg 1 of 5'!$J$38</f>
        <v>2.2919999999999998</v>
      </c>
      <c r="D3" s="284" t="s">
        <v>885</v>
      </c>
    </row>
    <row r="4" spans="1:4" ht="21.75" x14ac:dyDescent="0.2">
      <c r="A4" s="281" t="s">
        <v>856</v>
      </c>
      <c r="B4" s="282" t="s">
        <v>857</v>
      </c>
      <c r="C4" s="283">
        <f>'PTP Pg 1 of 5'!$E$37*1000</f>
        <v>78</v>
      </c>
      <c r="D4" s="284" t="s">
        <v>885</v>
      </c>
    </row>
    <row r="5" spans="1:4" ht="21.75" x14ac:dyDescent="0.2">
      <c r="A5" s="281" t="s">
        <v>858</v>
      </c>
      <c r="B5" s="282" t="s">
        <v>857</v>
      </c>
      <c r="C5" s="283">
        <f>'PTP Pg 1 of 5'!$J$37*1000</f>
        <v>55</v>
      </c>
      <c r="D5" s="284" t="s">
        <v>885</v>
      </c>
    </row>
    <row r="6" spans="1:4" ht="21.75" x14ac:dyDescent="0.2">
      <c r="A6" s="281" t="s">
        <v>859</v>
      </c>
      <c r="B6" s="282" t="s">
        <v>860</v>
      </c>
      <c r="C6" s="284">
        <f>'PTP Pg 1 of 5'!$E$36*1000</f>
        <v>388</v>
      </c>
      <c r="D6" s="284" t="s">
        <v>885</v>
      </c>
    </row>
    <row r="7" spans="1:4" ht="21.75" x14ac:dyDescent="0.2">
      <c r="A7" s="281" t="s">
        <v>861</v>
      </c>
      <c r="B7" s="282" t="s">
        <v>862</v>
      </c>
      <c r="C7" s="284">
        <f>'PTP Pg 1 of 5'!$E$33*1000</f>
        <v>1683</v>
      </c>
      <c r="D7" s="284">
        <f>'NITS Pg 1 of 5'!E33*1000</f>
        <v>1725.1666666666667</v>
      </c>
    </row>
    <row r="8" spans="1:4" ht="21.75" x14ac:dyDescent="0.2">
      <c r="A8" s="281" t="s">
        <v>863</v>
      </c>
      <c r="B8" s="282" t="s">
        <v>864</v>
      </c>
      <c r="C8" s="285">
        <f>'Sch 1'!D32/8760*1000</f>
        <v>0.10683949618645626</v>
      </c>
      <c r="D8" s="285">
        <f>C8</f>
        <v>0.10683949618645626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pageSetUpPr fitToPage="1"/>
  </sheetPr>
  <dimension ref="A1:U344"/>
  <sheetViews>
    <sheetView workbookViewId="0"/>
  </sheetViews>
  <sheetFormatPr defaultColWidth="9.33203125" defaultRowHeight="15.75" x14ac:dyDescent="0.25"/>
  <cols>
    <col min="1" max="1" width="9" style="1" customWidth="1"/>
    <col min="2" max="2" width="2.1640625" style="1" customWidth="1"/>
    <col min="3" max="3" width="41.6640625" style="1" customWidth="1"/>
    <col min="4" max="4" width="31.1640625" style="1" customWidth="1"/>
    <col min="5" max="5" width="23" style="1" customWidth="1"/>
    <col min="6" max="6" width="15" style="1" customWidth="1"/>
    <col min="7" max="7" width="20.6640625" style="1" customWidth="1"/>
    <col min="8" max="8" width="18.5" style="1" customWidth="1"/>
    <col min="9" max="9" width="8.6640625" style="1" customWidth="1"/>
    <col min="10" max="10" width="23" style="1" customWidth="1"/>
    <col min="11" max="11" width="16.5" style="1" customWidth="1"/>
    <col min="12" max="12" width="11.6640625" style="1" customWidth="1"/>
    <col min="13" max="13" width="2.83203125" style="1" customWidth="1"/>
    <col min="14" max="14" width="41" style="1" customWidth="1"/>
    <col min="15" max="15" width="48.83203125" style="1" customWidth="1"/>
    <col min="16" max="16" width="23.5" style="1" customWidth="1"/>
    <col min="17" max="17" width="20.5" style="1" customWidth="1"/>
    <col min="18" max="18" width="20.83203125" style="1" customWidth="1"/>
    <col min="19" max="19" width="23.6640625" style="1" bestFit="1" customWidth="1"/>
    <col min="20" max="20" width="22.1640625" style="1" bestFit="1" customWidth="1"/>
    <col min="21" max="21" width="23" style="1" bestFit="1" customWidth="1"/>
    <col min="22" max="22" width="19.83203125" style="1" customWidth="1"/>
    <col min="23" max="23" width="20.33203125" style="1" customWidth="1"/>
    <col min="24" max="24" width="23.5" style="1" bestFit="1" customWidth="1"/>
    <col min="25" max="25" width="21.6640625" style="1" bestFit="1" customWidth="1"/>
    <col min="26" max="26" width="16.1640625" style="1" customWidth="1"/>
    <col min="27" max="28" width="23.5" style="1" bestFit="1" customWidth="1"/>
    <col min="29" max="29" width="21.33203125" style="1" bestFit="1" customWidth="1"/>
    <col min="30" max="30" width="23.5" style="1" bestFit="1" customWidth="1"/>
    <col min="31" max="31" width="21.33203125" style="1" bestFit="1" customWidth="1"/>
    <col min="32" max="32" width="20.6640625" style="1" bestFit="1" customWidth="1"/>
    <col min="33" max="16384" width="9.33203125" style="1"/>
  </cols>
  <sheetData>
    <row r="1" spans="1:16" x14ac:dyDescent="0.25">
      <c r="A1" s="190" t="s">
        <v>185</v>
      </c>
      <c r="B1" s="191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79"/>
      <c r="N1" s="4"/>
      <c r="O1" s="4"/>
      <c r="P1" s="4"/>
    </row>
    <row r="2" spans="1:16" x14ac:dyDescent="0.25">
      <c r="A2" s="190" t="s">
        <v>427</v>
      </c>
      <c r="B2" s="191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88"/>
      <c r="N2" s="4"/>
      <c r="O2" s="4"/>
      <c r="P2" s="4"/>
    </row>
    <row r="3" spans="1:16" x14ac:dyDescent="0.25">
      <c r="C3" s="6"/>
      <c r="D3" s="2"/>
      <c r="E3" s="3"/>
      <c r="F3" s="2"/>
      <c r="G3" s="2"/>
      <c r="H3" s="2"/>
      <c r="I3" s="4"/>
      <c r="J3" s="4"/>
      <c r="K3" s="4"/>
      <c r="L3" s="4"/>
      <c r="M3" s="4"/>
      <c r="N3" s="4"/>
      <c r="O3" s="4"/>
      <c r="P3" s="4"/>
    </row>
    <row r="4" spans="1:16" x14ac:dyDescent="0.25">
      <c r="A4" s="1" t="s">
        <v>186</v>
      </c>
      <c r="C4" s="2"/>
      <c r="D4" s="2"/>
      <c r="E4" s="7"/>
      <c r="F4" s="2"/>
      <c r="G4" s="2"/>
      <c r="H4" s="2"/>
      <c r="I4" s="4"/>
      <c r="J4" s="206" t="str">
        <f>"For the 12 months ended "&amp;TEXT('OATT Input Data'!B4,"MM/DD/YYYY")</f>
        <v>For the 12 months ended 12/31/2015</v>
      </c>
      <c r="L4" s="4"/>
      <c r="M4" s="4"/>
      <c r="N4" s="4"/>
      <c r="O4" s="5"/>
      <c r="P4" s="4"/>
    </row>
    <row r="5" spans="1:16" x14ac:dyDescent="0.25">
      <c r="A5" s="207" t="s">
        <v>187</v>
      </c>
      <c r="B5" s="192"/>
      <c r="C5" s="2"/>
      <c r="E5" s="2"/>
      <c r="F5" s="2"/>
      <c r="G5" s="2"/>
      <c r="H5" s="2"/>
      <c r="I5" s="2"/>
      <c r="J5" s="206" t="s">
        <v>382</v>
      </c>
      <c r="L5" s="192"/>
      <c r="M5" s="4"/>
      <c r="N5" s="4"/>
      <c r="O5" s="4"/>
      <c r="P5" s="4"/>
    </row>
    <row r="6" spans="1:16" x14ac:dyDescent="0.25"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x14ac:dyDescent="0.25">
      <c r="A7" s="209" t="s">
        <v>130</v>
      </c>
      <c r="B7" s="191"/>
      <c r="C7" s="192"/>
      <c r="D7" s="192"/>
      <c r="E7" s="191"/>
      <c r="F7" s="192"/>
      <c r="G7" s="192"/>
      <c r="H7" s="192"/>
      <c r="I7" s="192"/>
      <c r="J7" s="192"/>
      <c r="K7" s="192"/>
      <c r="L7" s="192"/>
      <c r="M7" s="4"/>
      <c r="N7" s="4"/>
      <c r="O7" s="4"/>
      <c r="P7" s="4"/>
    </row>
    <row r="8" spans="1:16" x14ac:dyDescent="0.25">
      <c r="A8" s="5"/>
      <c r="C8" s="4"/>
      <c r="D8" s="4"/>
      <c r="E8" s="9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 x14ac:dyDescent="0.25">
      <c r="A9" s="5" t="s">
        <v>1</v>
      </c>
      <c r="C9" s="4"/>
      <c r="D9" s="4"/>
      <c r="E9" s="9"/>
      <c r="F9" s="4"/>
      <c r="G9" s="4"/>
      <c r="H9" s="4"/>
      <c r="I9" s="4"/>
      <c r="J9" s="5" t="s">
        <v>2</v>
      </c>
      <c r="K9" s="4"/>
      <c r="L9" s="4"/>
      <c r="M9" s="4"/>
      <c r="N9" s="4"/>
      <c r="O9" s="4"/>
      <c r="P9" s="4"/>
    </row>
    <row r="10" spans="1:16" ht="16.5" thickBot="1" x14ac:dyDescent="0.3">
      <c r="A10" s="10" t="s">
        <v>3</v>
      </c>
      <c r="C10" s="4"/>
      <c r="D10" s="4"/>
      <c r="E10" s="4"/>
      <c r="F10" s="4"/>
      <c r="G10" s="4"/>
      <c r="H10" s="4"/>
      <c r="I10" s="4"/>
      <c r="J10" s="10" t="s">
        <v>4</v>
      </c>
      <c r="K10" s="4"/>
      <c r="L10" s="4"/>
      <c r="M10" s="4"/>
      <c r="N10" s="4"/>
      <c r="O10" s="4"/>
      <c r="P10" s="4"/>
    </row>
    <row r="11" spans="1:16" x14ac:dyDescent="0.25">
      <c r="A11" s="5">
        <v>1</v>
      </c>
      <c r="C11" s="7" t="s">
        <v>127</v>
      </c>
      <c r="D11" s="186" t="s">
        <v>409</v>
      </c>
      <c r="E11" s="11"/>
      <c r="F11" s="4"/>
      <c r="G11" s="4"/>
      <c r="H11" s="4"/>
      <c r="I11" s="4"/>
      <c r="J11" s="486">
        <f>ROUND('NITS Pg 3 of 5'!$J$56,0)</f>
        <v>139666779</v>
      </c>
      <c r="K11" s="4"/>
      <c r="L11" s="4"/>
      <c r="M11" s="4"/>
      <c r="N11" s="4"/>
      <c r="O11" s="4"/>
      <c r="P11" s="4"/>
    </row>
    <row r="12" spans="1:16" x14ac:dyDescent="0.25">
      <c r="A12" s="5"/>
      <c r="C12" s="4"/>
      <c r="D12" s="4"/>
      <c r="E12" s="4"/>
      <c r="F12" s="4"/>
      <c r="G12" s="4"/>
      <c r="H12" s="4"/>
      <c r="I12" s="4"/>
      <c r="J12" s="11"/>
      <c r="K12" s="4"/>
      <c r="L12" s="4"/>
      <c r="M12" s="4"/>
      <c r="N12" s="4"/>
      <c r="O12" s="4"/>
      <c r="P12" s="4"/>
    </row>
    <row r="13" spans="1:16" ht="16.5" thickBot="1" x14ac:dyDescent="0.3">
      <c r="A13" s="5" t="s">
        <v>0</v>
      </c>
      <c r="C13" s="2" t="s">
        <v>5</v>
      </c>
      <c r="D13" s="187" t="s">
        <v>242</v>
      </c>
      <c r="E13" s="10" t="s">
        <v>6</v>
      </c>
      <c r="F13" s="8"/>
      <c r="G13" s="12" t="s">
        <v>7</v>
      </c>
      <c r="H13" s="12"/>
      <c r="I13" s="4"/>
      <c r="J13" s="11"/>
      <c r="K13" s="4"/>
      <c r="L13" s="4"/>
      <c r="M13" s="4"/>
      <c r="N13" s="4"/>
      <c r="O13" s="4"/>
      <c r="P13" s="4"/>
    </row>
    <row r="14" spans="1:16" x14ac:dyDescent="0.25">
      <c r="A14" s="5">
        <v>2</v>
      </c>
      <c r="C14" s="2" t="s">
        <v>8</v>
      </c>
      <c r="D14" s="184" t="s">
        <v>378</v>
      </c>
      <c r="E14" s="487">
        <f>'NITS Pg 4 of 5'!$J$64</f>
        <v>0</v>
      </c>
      <c r="F14" s="8"/>
      <c r="G14" s="8" t="s">
        <v>9</v>
      </c>
      <c r="H14" s="13">
        <f>'NITS Pg 4 of 5'!$J$16</f>
        <v>0.95574999999999999</v>
      </c>
      <c r="I14" s="8"/>
      <c r="J14" s="488">
        <f>ROUND(H14*E14,0)</f>
        <v>0</v>
      </c>
      <c r="K14" s="4"/>
      <c r="L14" s="142"/>
      <c r="M14" s="4"/>
      <c r="N14" s="4"/>
      <c r="O14" s="4"/>
      <c r="P14" s="4"/>
    </row>
    <row r="15" spans="1:16" x14ac:dyDescent="0.25">
      <c r="A15" s="5">
        <v>3</v>
      </c>
      <c r="C15" s="2" t="s">
        <v>10</v>
      </c>
      <c r="D15" s="184" t="s">
        <v>379</v>
      </c>
      <c r="E15" s="489">
        <f>'NITS Pg 4 of 5'!$J$68</f>
        <v>2140641</v>
      </c>
      <c r="F15" s="8"/>
      <c r="G15" s="8" t="str">
        <f t="shared" ref="G15:G17" si="0">+G14</f>
        <v>TP</v>
      </c>
      <c r="H15" s="13">
        <f>'NITS Pg 4 of 5'!$J$16</f>
        <v>0.95574999999999999</v>
      </c>
      <c r="I15" s="8"/>
      <c r="J15" s="490">
        <f t="shared" ref="J15:J17" si="1">ROUND(H15*E15,0)</f>
        <v>2045918</v>
      </c>
      <c r="K15" s="4"/>
      <c r="L15" s="4"/>
      <c r="M15" s="4"/>
      <c r="N15" s="4"/>
      <c r="O15" s="4"/>
      <c r="P15" s="4"/>
    </row>
    <row r="16" spans="1:16" x14ac:dyDescent="0.25">
      <c r="A16" s="5">
        <v>4</v>
      </c>
      <c r="C16" s="14" t="s">
        <v>11</v>
      </c>
      <c r="D16" s="8"/>
      <c r="E16" s="489">
        <v>0</v>
      </c>
      <c r="F16" s="8"/>
      <c r="G16" s="8" t="str">
        <f t="shared" si="0"/>
        <v>TP</v>
      </c>
      <c r="H16" s="13">
        <f>'NITS Pg 4 of 5'!$J$16</f>
        <v>0.95574999999999999</v>
      </c>
      <c r="I16" s="8"/>
      <c r="J16" s="489">
        <f t="shared" si="1"/>
        <v>0</v>
      </c>
      <c r="K16" s="4"/>
      <c r="L16" s="4"/>
      <c r="M16" s="4"/>
      <c r="N16" s="4"/>
      <c r="P16" s="15"/>
    </row>
    <row r="17" spans="1:16" ht="18" x14ac:dyDescent="0.4">
      <c r="A17" s="5">
        <v>5</v>
      </c>
      <c r="C17" s="563" t="s">
        <v>188</v>
      </c>
      <c r="D17" s="564"/>
      <c r="E17" s="489">
        <v>0</v>
      </c>
      <c r="F17" s="8"/>
      <c r="G17" s="8" t="str">
        <f t="shared" si="0"/>
        <v>TP</v>
      </c>
      <c r="H17" s="13">
        <f>'NITS Pg 4 of 5'!$J$16</f>
        <v>0.95574999999999999</v>
      </c>
      <c r="I17" s="8"/>
      <c r="J17" s="491">
        <f t="shared" si="1"/>
        <v>0</v>
      </c>
      <c r="K17" s="243"/>
      <c r="L17" s="4"/>
      <c r="M17" s="4"/>
      <c r="N17" s="4"/>
      <c r="P17" s="15"/>
    </row>
    <row r="18" spans="1:16" x14ac:dyDescent="0.25">
      <c r="A18" s="5">
        <v>6</v>
      </c>
      <c r="C18" s="7" t="s">
        <v>128</v>
      </c>
      <c r="D18" s="185" t="s">
        <v>243</v>
      </c>
      <c r="E18" s="17" t="s">
        <v>0</v>
      </c>
      <c r="F18" s="8"/>
      <c r="G18" s="8"/>
      <c r="H18" s="13"/>
      <c r="I18" s="8"/>
      <c r="J18" s="492">
        <f>ROUND(SUM(J14:J17),0)</f>
        <v>2045918</v>
      </c>
      <c r="K18" s="4"/>
      <c r="L18" s="4"/>
      <c r="M18" s="4"/>
      <c r="N18" s="4"/>
      <c r="P18" s="4"/>
    </row>
    <row r="19" spans="1:16" x14ac:dyDescent="0.25">
      <c r="A19" s="5"/>
      <c r="C19" s="2"/>
      <c r="D19" s="4"/>
      <c r="J19" s="8"/>
      <c r="K19" s="4"/>
      <c r="L19" s="4"/>
      <c r="M19" s="4"/>
      <c r="N19" s="4"/>
      <c r="P19" s="4"/>
    </row>
    <row r="20" spans="1:16" ht="18" x14ac:dyDescent="0.4">
      <c r="A20" s="5">
        <v>7</v>
      </c>
      <c r="C20" s="2" t="s">
        <v>12</v>
      </c>
      <c r="D20" s="185" t="s">
        <v>244</v>
      </c>
      <c r="E20" s="17" t="s">
        <v>0</v>
      </c>
      <c r="F20" s="8"/>
      <c r="G20" s="8"/>
      <c r="H20" s="8"/>
      <c r="I20" s="8"/>
      <c r="J20" s="523">
        <f>J11-J18-190151</f>
        <v>137430710</v>
      </c>
      <c r="K20" s="4"/>
      <c r="L20" s="4"/>
      <c r="M20" s="4"/>
      <c r="N20" s="4"/>
      <c r="P20" s="4"/>
    </row>
    <row r="21" spans="1:16" x14ac:dyDescent="0.25">
      <c r="A21" s="5"/>
      <c r="D21" s="4"/>
      <c r="E21" s="17"/>
      <c r="F21" s="8"/>
      <c r="G21" s="8"/>
      <c r="H21" s="8"/>
      <c r="I21" s="8"/>
      <c r="K21" s="4"/>
      <c r="L21" s="4"/>
      <c r="M21" s="4"/>
      <c r="N21" s="4"/>
      <c r="P21" s="4"/>
    </row>
    <row r="22" spans="1:16" x14ac:dyDescent="0.25">
      <c r="A22" s="5"/>
      <c r="C22" s="2" t="s">
        <v>13</v>
      </c>
      <c r="D22" s="4"/>
      <c r="E22" s="11"/>
      <c r="F22" s="4"/>
      <c r="G22" s="4"/>
      <c r="H22" s="4"/>
      <c r="I22" s="4"/>
      <c r="J22" s="11"/>
      <c r="K22" s="4"/>
      <c r="L22" s="4"/>
      <c r="M22" s="4"/>
      <c r="N22" s="4"/>
      <c r="P22" s="4"/>
    </row>
    <row r="23" spans="1:16" x14ac:dyDescent="0.25">
      <c r="A23" s="5">
        <v>8</v>
      </c>
      <c r="C23" s="7" t="s">
        <v>133</v>
      </c>
      <c r="E23" s="11"/>
      <c r="F23" s="185" t="s">
        <v>245</v>
      </c>
      <c r="G23" s="4"/>
      <c r="H23" s="185"/>
      <c r="I23" s="4"/>
      <c r="J23" s="493">
        <f>'OATT Input Data'!$E$25</f>
        <v>5778000</v>
      </c>
      <c r="K23" s="4"/>
      <c r="L23" s="4"/>
      <c r="M23" s="4"/>
      <c r="P23" s="18"/>
    </row>
    <row r="24" spans="1:16" x14ac:dyDescent="0.25">
      <c r="A24" s="5">
        <v>9</v>
      </c>
      <c r="C24" s="7" t="s">
        <v>134</v>
      </c>
      <c r="D24" s="8"/>
      <c r="E24" s="8"/>
      <c r="F24" s="187" t="s">
        <v>246</v>
      </c>
      <c r="G24" s="8"/>
      <c r="H24" s="187"/>
      <c r="I24" s="8"/>
      <c r="J24" s="493">
        <f>'OATT Input Data'!$E$43</f>
        <v>0</v>
      </c>
      <c r="K24" s="4"/>
      <c r="L24" s="4"/>
      <c r="M24" s="4"/>
      <c r="O24" s="4"/>
      <c r="P24" s="4"/>
    </row>
    <row r="25" spans="1:16" x14ac:dyDescent="0.25">
      <c r="A25" s="5">
        <v>10</v>
      </c>
      <c r="C25" s="81" t="s">
        <v>135</v>
      </c>
      <c r="D25" s="4"/>
      <c r="E25" s="4"/>
      <c r="F25" s="184" t="s">
        <v>247</v>
      </c>
      <c r="H25" s="185"/>
      <c r="I25" s="4"/>
      <c r="J25" s="493">
        <f>'OATT Input Data'!$F$61</f>
        <v>678000</v>
      </c>
      <c r="K25" s="4"/>
      <c r="L25" s="4"/>
      <c r="M25" s="4"/>
      <c r="O25" s="4"/>
      <c r="P25" s="4"/>
    </row>
    <row r="26" spans="1:16" x14ac:dyDescent="0.25">
      <c r="A26" s="5">
        <v>11</v>
      </c>
      <c r="C26" s="7" t="s">
        <v>136</v>
      </c>
      <c r="D26" s="4"/>
      <c r="E26" s="4"/>
      <c r="F26" s="185" t="s">
        <v>248</v>
      </c>
      <c r="H26" s="185"/>
      <c r="I26" s="4"/>
      <c r="J26" s="489">
        <f>'OATT Input Data'!$E$79*-1</f>
        <v>0</v>
      </c>
      <c r="K26" s="4"/>
      <c r="L26" s="4"/>
      <c r="M26" s="4"/>
      <c r="O26" s="4"/>
      <c r="P26" s="4"/>
    </row>
    <row r="27" spans="1:16" x14ac:dyDescent="0.25">
      <c r="A27" s="5">
        <v>12</v>
      </c>
      <c r="C27" s="81" t="s">
        <v>137</v>
      </c>
      <c r="D27" s="4"/>
      <c r="E27" s="4"/>
      <c r="F27" s="4"/>
      <c r="G27" s="4"/>
      <c r="H27" s="178"/>
      <c r="I27" s="4"/>
      <c r="J27" s="493">
        <f>'OATT Input Data'!$E$98</f>
        <v>609500</v>
      </c>
      <c r="K27" s="4"/>
      <c r="L27" s="4"/>
      <c r="M27" s="4"/>
      <c r="O27" s="4"/>
      <c r="P27" s="4"/>
    </row>
    <row r="28" spans="1:16" x14ac:dyDescent="0.25">
      <c r="A28" s="5">
        <v>13</v>
      </c>
      <c r="C28" s="81" t="s">
        <v>168</v>
      </c>
      <c r="D28" s="4"/>
      <c r="E28" s="4"/>
      <c r="F28" s="4"/>
      <c r="G28" s="4"/>
      <c r="H28" s="4"/>
      <c r="I28" s="4"/>
      <c r="J28" s="489">
        <v>0</v>
      </c>
      <c r="K28" s="4"/>
      <c r="L28" s="4"/>
      <c r="M28" s="4"/>
      <c r="O28" s="4"/>
      <c r="P28" s="4"/>
    </row>
    <row r="29" spans="1:16" ht="18" x14ac:dyDescent="0.4">
      <c r="A29" s="5">
        <v>14</v>
      </c>
      <c r="C29" s="81" t="s">
        <v>189</v>
      </c>
      <c r="D29" s="4"/>
      <c r="E29" s="4"/>
      <c r="F29" s="4"/>
      <c r="G29" s="4"/>
      <c r="H29" s="4"/>
      <c r="I29" s="4"/>
      <c r="J29" s="494">
        <f>'OATT Input Data'!$E$105*-1</f>
        <v>-427000</v>
      </c>
      <c r="K29" s="4"/>
      <c r="L29" s="4"/>
      <c r="M29" s="4"/>
      <c r="O29" s="4"/>
      <c r="P29" s="4"/>
    </row>
    <row r="30" spans="1:16" x14ac:dyDescent="0.25">
      <c r="A30" s="5">
        <v>15</v>
      </c>
      <c r="C30" s="7" t="s">
        <v>289</v>
      </c>
      <c r="D30" s="185" t="s">
        <v>288</v>
      </c>
      <c r="E30" s="4"/>
      <c r="F30" s="4"/>
      <c r="G30" s="4"/>
      <c r="H30" s="4"/>
      <c r="I30" s="4"/>
      <c r="J30" s="493">
        <f>ROUND(SUM(J23:J29),0)</f>
        <v>6638500</v>
      </c>
      <c r="K30" s="4"/>
      <c r="L30" s="4"/>
      <c r="M30" s="4"/>
      <c r="N30" s="4"/>
      <c r="O30" s="4"/>
      <c r="P30" s="4"/>
    </row>
    <row r="31" spans="1:16" x14ac:dyDescent="0.25">
      <c r="A31" s="5"/>
      <c r="C31" s="2"/>
      <c r="D31" s="4"/>
      <c r="E31" s="4"/>
      <c r="F31" s="4"/>
      <c r="G31" s="4"/>
      <c r="H31" s="4"/>
      <c r="I31" s="4"/>
      <c r="J31" s="11"/>
      <c r="K31" s="4"/>
      <c r="L31" s="4"/>
      <c r="M31" s="4"/>
      <c r="O31" s="4"/>
      <c r="P31" s="4"/>
    </row>
    <row r="32" spans="1:16" ht="21" x14ac:dyDescent="0.35">
      <c r="A32" s="5">
        <v>16</v>
      </c>
      <c r="C32" s="19" t="s">
        <v>14</v>
      </c>
      <c r="D32" s="203" t="s">
        <v>295</v>
      </c>
      <c r="E32" s="204">
        <f>IF(J30&gt;0.01,ROUND(J20/J30,3),0.0001)</f>
        <v>20.702000000000002</v>
      </c>
      <c r="F32" s="22"/>
      <c r="G32" s="4"/>
      <c r="H32" s="4"/>
      <c r="I32" s="4"/>
      <c r="K32" s="4"/>
      <c r="L32" s="4"/>
      <c r="M32" s="4"/>
      <c r="N32" s="4"/>
      <c r="O32" s="4"/>
      <c r="P32" s="4"/>
    </row>
    <row r="33" spans="1:16" x14ac:dyDescent="0.25">
      <c r="A33" s="5">
        <v>17</v>
      </c>
      <c r="C33" s="31" t="s">
        <v>301</v>
      </c>
      <c r="D33" s="203" t="s">
        <v>296</v>
      </c>
      <c r="E33" s="204">
        <f>E32/12</f>
        <v>1.7251666666666667</v>
      </c>
      <c r="G33" s="23"/>
      <c r="H33" s="24"/>
      <c r="I33" s="4"/>
      <c r="K33" s="4"/>
      <c r="L33" s="4"/>
      <c r="M33" s="4"/>
      <c r="N33" s="24"/>
      <c r="O33" s="4"/>
      <c r="P33" s="4"/>
    </row>
    <row r="34" spans="1:16" x14ac:dyDescent="0.25">
      <c r="A34" s="5"/>
      <c r="C34" s="31"/>
      <c r="D34" s="203"/>
      <c r="E34" s="204"/>
      <c r="G34" s="23"/>
      <c r="H34" s="24"/>
      <c r="I34" s="4"/>
      <c r="K34" s="4"/>
      <c r="L34" s="4"/>
      <c r="M34" s="4"/>
      <c r="N34" s="24"/>
      <c r="O34" s="4"/>
      <c r="P34" s="4"/>
    </row>
    <row r="35" spans="1:16" x14ac:dyDescent="0.25">
      <c r="A35" s="5"/>
      <c r="C35" s="19"/>
      <c r="D35" s="20"/>
      <c r="E35" s="21"/>
      <c r="F35" s="24"/>
      <c r="G35" s="4"/>
      <c r="H35" s="4"/>
      <c r="I35" s="4"/>
      <c r="K35" s="4"/>
      <c r="L35" s="4"/>
      <c r="M35" s="4"/>
      <c r="N35" s="4"/>
      <c r="O35" s="4"/>
      <c r="P35" s="4"/>
    </row>
    <row r="36" spans="1:16" x14ac:dyDescent="0.25">
      <c r="A36" s="5">
        <v>18</v>
      </c>
      <c r="C36" s="14" t="s">
        <v>131</v>
      </c>
      <c r="D36" s="27"/>
      <c r="E36" s="21"/>
      <c r="F36" s="4"/>
      <c r="G36" s="4"/>
      <c r="H36" s="4"/>
      <c r="I36" s="4"/>
      <c r="J36" s="28"/>
      <c r="K36" s="4"/>
      <c r="L36" s="4"/>
      <c r="M36" s="4"/>
      <c r="N36" s="4"/>
      <c r="O36" s="4"/>
      <c r="P36" s="4"/>
    </row>
    <row r="37" spans="1:16" x14ac:dyDescent="0.25">
      <c r="A37" s="5">
        <v>19</v>
      </c>
      <c r="C37" s="14" t="s">
        <v>131</v>
      </c>
      <c r="D37" s="27"/>
      <c r="E37" s="21"/>
      <c r="F37" s="4"/>
      <c r="H37" s="4"/>
      <c r="I37" s="4"/>
      <c r="J37" s="28"/>
      <c r="K37" s="4"/>
      <c r="L37" s="4"/>
      <c r="M37" s="4"/>
      <c r="N37" s="4"/>
      <c r="O37" s="4"/>
      <c r="P37" s="4"/>
    </row>
    <row r="38" spans="1:16" x14ac:dyDescent="0.25">
      <c r="A38" s="5">
        <v>20</v>
      </c>
      <c r="C38" s="14" t="s">
        <v>131</v>
      </c>
      <c r="D38" s="27"/>
      <c r="E38" s="21"/>
      <c r="F38" s="4"/>
      <c r="H38" s="4"/>
      <c r="I38" s="4"/>
      <c r="J38" s="28"/>
      <c r="K38" s="4"/>
      <c r="L38" s="4" t="s">
        <v>0</v>
      </c>
      <c r="M38" s="4"/>
      <c r="N38" s="4"/>
      <c r="O38" s="4"/>
      <c r="P38" s="4"/>
    </row>
    <row r="39" spans="1:16" x14ac:dyDescent="0.25">
      <c r="A39" s="5"/>
      <c r="C39" s="2"/>
      <c r="D39" s="4"/>
      <c r="E39" s="4"/>
      <c r="F39" s="4"/>
      <c r="H39" s="4"/>
      <c r="I39" s="4"/>
      <c r="K39" s="4"/>
      <c r="L39" s="4" t="s">
        <v>0</v>
      </c>
      <c r="M39" s="4"/>
      <c r="N39" s="4"/>
      <c r="O39" s="4"/>
      <c r="P39" s="4"/>
    </row>
    <row r="40" spans="1:16" x14ac:dyDescent="0.25">
      <c r="A40" s="5">
        <v>21</v>
      </c>
      <c r="C40" s="2" t="s">
        <v>15</v>
      </c>
      <c r="D40" s="7" t="s">
        <v>298</v>
      </c>
      <c r="E40" s="495">
        <v>1E-4</v>
      </c>
      <c r="F40" s="208" t="s">
        <v>16</v>
      </c>
      <c r="G40" s="208"/>
      <c r="H40" s="208"/>
      <c r="I40" s="208"/>
      <c r="J40" s="495">
        <v>1E-4</v>
      </c>
      <c r="K40" s="529"/>
      <c r="L40" s="4"/>
      <c r="M40" s="4"/>
      <c r="N40" s="4"/>
      <c r="O40" s="4"/>
      <c r="P40" s="4"/>
    </row>
    <row r="41" spans="1:16" x14ac:dyDescent="0.25">
      <c r="A41" s="5">
        <v>22</v>
      </c>
      <c r="C41" s="2"/>
      <c r="D41" s="4"/>
      <c r="E41" s="495">
        <v>1E-4</v>
      </c>
      <c r="F41" s="208" t="s">
        <v>17</v>
      </c>
      <c r="G41" s="208"/>
      <c r="H41" s="208"/>
      <c r="I41" s="208"/>
      <c r="J41" s="495">
        <v>1E-4</v>
      </c>
      <c r="K41" s="529"/>
      <c r="L41" s="4"/>
      <c r="M41" s="4"/>
      <c r="N41" s="4"/>
      <c r="O41" s="4"/>
      <c r="P41" s="4"/>
    </row>
    <row r="42" spans="1:16" x14ac:dyDescent="0.25">
      <c r="K42" s="4"/>
      <c r="L42" s="4"/>
      <c r="M42" s="4"/>
      <c r="N42" s="4"/>
      <c r="O42" s="4"/>
      <c r="P42" s="4"/>
    </row>
    <row r="43" spans="1:16" x14ac:dyDescent="0.25">
      <c r="A43" s="29"/>
      <c r="B43" s="30"/>
      <c r="C43" s="31"/>
      <c r="D43" s="30"/>
      <c r="E43" s="30"/>
      <c r="F43" s="30"/>
      <c r="G43" s="30"/>
      <c r="H43" s="30"/>
      <c r="I43" s="30"/>
      <c r="J43" s="14"/>
      <c r="K43" s="20"/>
      <c r="L43" s="20"/>
      <c r="M43" s="20"/>
      <c r="N43" s="4"/>
      <c r="O43" s="4"/>
      <c r="P43" s="4"/>
    </row>
    <row r="44" spans="1:16" x14ac:dyDescent="0.25">
      <c r="A44" s="29"/>
      <c r="B44" s="30"/>
      <c r="C44" s="31"/>
      <c r="D44" s="20"/>
      <c r="E44" s="20"/>
      <c r="F44" s="20"/>
      <c r="G44" s="20"/>
      <c r="H44" s="20"/>
      <c r="I44" s="20"/>
      <c r="J44" s="32"/>
      <c r="K44" s="20"/>
      <c r="L44" s="20"/>
      <c r="M44" s="20"/>
      <c r="N44" s="4"/>
      <c r="O44" s="4"/>
      <c r="P44" s="4"/>
    </row>
    <row r="45" spans="1:16" x14ac:dyDescent="0.25">
      <c r="A45" s="29"/>
      <c r="B45" s="30"/>
      <c r="C45" s="19"/>
      <c r="D45" s="20"/>
      <c r="E45" s="20"/>
      <c r="F45" s="20"/>
      <c r="G45" s="20"/>
      <c r="H45" s="20"/>
      <c r="I45" s="20"/>
      <c r="J45" s="33"/>
      <c r="K45" s="20"/>
      <c r="L45" s="20"/>
      <c r="M45" s="20"/>
      <c r="N45" s="4"/>
      <c r="O45" s="4"/>
      <c r="P45" s="4"/>
    </row>
    <row r="46" spans="1:16" x14ac:dyDescent="0.25">
      <c r="A46" s="29"/>
      <c r="B46" s="30"/>
      <c r="C46" s="31"/>
      <c r="D46" s="20"/>
      <c r="E46" s="20"/>
      <c r="F46" s="20"/>
      <c r="G46" s="20"/>
      <c r="H46" s="20"/>
      <c r="I46" s="20"/>
      <c r="J46" s="33"/>
      <c r="K46" s="20"/>
      <c r="L46" s="20"/>
      <c r="M46" s="20"/>
      <c r="N46" s="4"/>
      <c r="O46" s="4"/>
      <c r="P46" s="34"/>
    </row>
    <row r="47" spans="1:16" s="30" customFormat="1" x14ac:dyDescent="0.25">
      <c r="A47" s="29"/>
      <c r="C47" s="31"/>
      <c r="D47" s="19"/>
      <c r="E47" s="27"/>
      <c r="F47" s="19"/>
      <c r="G47" s="19"/>
      <c r="H47" s="19"/>
      <c r="I47" s="20"/>
      <c r="J47" s="33"/>
      <c r="K47" s="29"/>
      <c r="L47" s="29"/>
      <c r="M47" s="525"/>
      <c r="N47" s="20"/>
      <c r="O47" s="35"/>
      <c r="P47" s="36"/>
    </row>
    <row r="48" spans="1:16" s="30" customFormat="1" x14ac:dyDescent="0.25">
      <c r="A48" s="29"/>
      <c r="C48" s="31"/>
      <c r="D48" s="20"/>
      <c r="E48" s="20"/>
      <c r="F48" s="20"/>
      <c r="G48" s="20"/>
      <c r="H48" s="20"/>
      <c r="I48" s="20"/>
      <c r="J48" s="33"/>
      <c r="K48" s="525"/>
      <c r="L48" s="525"/>
      <c r="M48" s="525"/>
      <c r="N48" s="20"/>
      <c r="O48" s="20"/>
      <c r="P48" s="37"/>
    </row>
    <row r="49" spans="1:21" s="30" customFormat="1" x14ac:dyDescent="0.25">
      <c r="A49" s="29"/>
      <c r="C49" s="31"/>
      <c r="D49" s="19"/>
      <c r="E49" s="27"/>
      <c r="F49" s="19"/>
      <c r="G49" s="19"/>
      <c r="H49" s="19"/>
      <c r="I49" s="20"/>
      <c r="J49" s="38"/>
      <c r="K49" s="562"/>
      <c r="L49" s="562"/>
      <c r="M49" s="562"/>
      <c r="N49" s="20"/>
      <c r="O49" s="20"/>
      <c r="P49" s="36"/>
    </row>
    <row r="50" spans="1:21" s="30" customFormat="1" x14ac:dyDescent="0.25">
      <c r="A50" s="29"/>
      <c r="C50" s="31"/>
      <c r="D50" s="19"/>
      <c r="E50" s="27"/>
      <c r="F50" s="19"/>
      <c r="G50" s="19"/>
      <c r="H50" s="19"/>
      <c r="I50" s="20"/>
      <c r="J50" s="39"/>
      <c r="K50" s="525"/>
      <c r="L50" s="525"/>
      <c r="M50" s="525"/>
      <c r="N50" s="20"/>
      <c r="O50" s="20"/>
      <c r="P50" s="36"/>
    </row>
    <row r="51" spans="1:21" s="30" customFormat="1" x14ac:dyDescent="0.25">
      <c r="A51" s="29"/>
      <c r="C51" s="31"/>
      <c r="D51" s="19"/>
      <c r="E51" s="27"/>
      <c r="F51" s="19"/>
      <c r="G51" s="19"/>
      <c r="H51" s="19"/>
      <c r="I51" s="20"/>
      <c r="J51" s="33"/>
      <c r="K51" s="525"/>
      <c r="L51" s="525"/>
      <c r="M51" s="525"/>
      <c r="N51" s="20"/>
      <c r="O51" s="20"/>
      <c r="P51" s="36"/>
    </row>
    <row r="52" spans="1:21" s="30" customFormat="1" x14ac:dyDescent="0.25">
      <c r="A52" s="29"/>
      <c r="C52" s="31"/>
      <c r="D52" s="19"/>
      <c r="E52" s="27"/>
      <c r="F52" s="19"/>
      <c r="G52" s="19"/>
      <c r="H52" s="19"/>
      <c r="I52" s="20"/>
      <c r="J52" s="40"/>
      <c r="K52" s="20"/>
      <c r="L52" s="562"/>
      <c r="M52" s="562"/>
      <c r="N52" s="20"/>
      <c r="O52" s="20"/>
      <c r="P52" s="36"/>
    </row>
    <row r="53" spans="1:21" s="30" customFormat="1" x14ac:dyDescent="0.25">
      <c r="C53" s="19"/>
      <c r="D53" s="19"/>
      <c r="E53" s="27"/>
      <c r="F53" s="19"/>
      <c r="G53" s="19"/>
      <c r="H53" s="19"/>
      <c r="I53" s="20"/>
      <c r="J53" s="20"/>
      <c r="K53" s="20"/>
      <c r="L53" s="525"/>
      <c r="M53" s="525"/>
      <c r="N53" s="20"/>
      <c r="O53" s="20"/>
      <c r="P53" s="37"/>
    </row>
    <row r="54" spans="1:21" s="30" customFormat="1" ht="21" x14ac:dyDescent="0.35">
      <c r="A54" s="29"/>
      <c r="C54" s="19"/>
      <c r="D54" s="31"/>
      <c r="E54" s="21"/>
      <c r="F54" s="41"/>
      <c r="G54" s="20"/>
      <c r="H54" s="20"/>
      <c r="I54" s="20"/>
      <c r="K54" s="20"/>
      <c r="L54" s="20"/>
      <c r="M54" s="20"/>
      <c r="N54" s="20"/>
      <c r="O54" s="20"/>
      <c r="P54" s="20"/>
    </row>
    <row r="55" spans="1:21" s="30" customFormat="1" x14ac:dyDescent="0.25">
      <c r="A55" s="29"/>
      <c r="C55" s="19"/>
      <c r="D55" s="31"/>
      <c r="E55" s="21"/>
      <c r="G55" s="42"/>
      <c r="H55" s="21"/>
      <c r="I55" s="20"/>
      <c r="K55" s="43"/>
      <c r="M55" s="44"/>
      <c r="N55" s="44"/>
      <c r="O55" s="44"/>
      <c r="P55" s="29"/>
      <c r="Q55" s="45"/>
      <c r="R55" s="46"/>
      <c r="S55" s="46"/>
      <c r="T55" s="46"/>
      <c r="U55" s="46"/>
    </row>
    <row r="56" spans="1:21" s="30" customFormat="1" x14ac:dyDescent="0.25">
      <c r="A56" s="29"/>
      <c r="C56" s="19"/>
      <c r="D56" s="20"/>
      <c r="E56" s="21"/>
      <c r="F56" s="21"/>
      <c r="G56" s="20"/>
      <c r="H56" s="20"/>
      <c r="I56" s="20"/>
      <c r="K56" s="44"/>
      <c r="M56" s="44"/>
      <c r="N56" s="44"/>
      <c r="O56" s="44"/>
      <c r="P56" s="29"/>
      <c r="Q56" s="45"/>
      <c r="R56" s="46"/>
      <c r="S56" s="46"/>
      <c r="T56" s="46"/>
      <c r="U56" s="46"/>
    </row>
    <row r="57" spans="1:21" s="30" customFormat="1" x14ac:dyDescent="0.25">
      <c r="A57" s="29"/>
      <c r="C57" s="19"/>
      <c r="D57" s="20"/>
      <c r="E57" s="25"/>
      <c r="F57" s="20"/>
      <c r="G57" s="20"/>
      <c r="H57" s="20"/>
      <c r="I57" s="20"/>
      <c r="J57" s="45"/>
      <c r="K57" s="44"/>
      <c r="M57" s="44"/>
      <c r="N57" s="44"/>
      <c r="O57" s="43"/>
      <c r="P57" s="47"/>
      <c r="Q57" s="47"/>
      <c r="R57" s="46"/>
      <c r="S57" s="46"/>
      <c r="T57" s="46"/>
      <c r="U57" s="46"/>
    </row>
    <row r="58" spans="1:21" s="30" customFormat="1" x14ac:dyDescent="0.25">
      <c r="A58" s="29"/>
      <c r="C58" s="19"/>
      <c r="D58" s="20"/>
      <c r="E58" s="21"/>
      <c r="F58" s="20"/>
      <c r="G58" s="20"/>
      <c r="H58" s="20"/>
      <c r="I58" s="20"/>
      <c r="K58" s="43"/>
      <c r="M58" s="44"/>
      <c r="N58" s="44"/>
      <c r="O58" s="43"/>
      <c r="P58" s="47"/>
      <c r="Q58" s="47"/>
      <c r="R58" s="46"/>
      <c r="S58" s="46"/>
      <c r="T58" s="46"/>
      <c r="U58" s="46"/>
    </row>
    <row r="59" spans="1:21" s="30" customFormat="1" x14ac:dyDescent="0.25">
      <c r="A59" s="29"/>
      <c r="C59" s="19"/>
      <c r="D59" s="27"/>
      <c r="E59" s="21"/>
      <c r="F59" s="20"/>
      <c r="G59" s="20"/>
      <c r="H59" s="20"/>
      <c r="I59" s="20"/>
      <c r="J59" s="48"/>
      <c r="M59" s="44"/>
      <c r="N59" s="44"/>
      <c r="O59" s="43"/>
      <c r="P59" s="47"/>
      <c r="Q59" s="47"/>
      <c r="R59" s="46"/>
      <c r="S59" s="46"/>
      <c r="T59" s="46"/>
      <c r="U59" s="46"/>
    </row>
    <row r="60" spans="1:21" s="30" customFormat="1" x14ac:dyDescent="0.25">
      <c r="A60" s="29"/>
      <c r="C60" s="19"/>
      <c r="D60" s="27"/>
      <c r="E60" s="21"/>
      <c r="F60" s="20"/>
      <c r="H60" s="20"/>
      <c r="I60" s="20"/>
      <c r="J60" s="48"/>
      <c r="L60" s="44"/>
      <c r="M60" s="44"/>
      <c r="N60" s="44"/>
      <c r="O60" s="43"/>
      <c r="P60" s="44"/>
      <c r="Q60" s="44"/>
      <c r="R60" s="49"/>
      <c r="S60" s="46"/>
      <c r="T60" s="49"/>
      <c r="U60" s="49"/>
    </row>
    <row r="61" spans="1:21" s="30" customFormat="1" x14ac:dyDescent="0.25">
      <c r="A61" s="29"/>
      <c r="C61" s="19"/>
      <c r="D61" s="27"/>
      <c r="E61" s="21"/>
      <c r="F61" s="20"/>
      <c r="H61" s="20"/>
      <c r="I61" s="20"/>
      <c r="J61" s="48"/>
      <c r="K61" s="20"/>
      <c r="L61" s="20"/>
      <c r="M61" s="44"/>
      <c r="N61" s="50"/>
      <c r="P61" s="47"/>
      <c r="Q61" s="51"/>
    </row>
    <row r="62" spans="1:21" s="30" customFormat="1" x14ac:dyDescent="0.25">
      <c r="A62" s="29"/>
      <c r="C62" s="19"/>
      <c r="D62" s="20"/>
      <c r="E62" s="20"/>
      <c r="F62" s="20"/>
      <c r="H62" s="20"/>
      <c r="I62" s="20"/>
      <c r="K62" s="29"/>
      <c r="O62" s="44"/>
      <c r="P62" s="44"/>
      <c r="Q62" s="44"/>
    </row>
    <row r="63" spans="1:21" s="30" customFormat="1" x14ac:dyDescent="0.25">
      <c r="A63" s="29"/>
      <c r="C63" s="19"/>
      <c r="D63" s="20"/>
      <c r="E63" s="20"/>
      <c r="F63" s="20"/>
      <c r="G63" s="20"/>
      <c r="H63" s="52"/>
      <c r="I63" s="53"/>
      <c r="O63" s="44"/>
      <c r="P63" s="54"/>
      <c r="Q63" s="50"/>
    </row>
    <row r="64" spans="1:21" s="30" customFormat="1" x14ac:dyDescent="0.25">
      <c r="A64" s="29"/>
      <c r="D64" s="20"/>
      <c r="E64" s="20"/>
      <c r="G64" s="20"/>
      <c r="I64" s="53"/>
      <c r="J64" s="55"/>
      <c r="K64" s="56"/>
      <c r="O64" s="44"/>
      <c r="P64" s="19"/>
    </row>
    <row r="65" spans="1:17" s="30" customFormat="1" x14ac:dyDescent="0.25">
      <c r="A65" s="29"/>
      <c r="D65" s="20"/>
      <c r="F65" s="20"/>
      <c r="G65" s="20"/>
      <c r="H65" s="20"/>
      <c r="I65" s="20"/>
      <c r="J65" s="55"/>
      <c r="K65" s="56"/>
      <c r="O65" s="44"/>
      <c r="P65" s="19"/>
    </row>
    <row r="66" spans="1:17" s="30" customFormat="1" x14ac:dyDescent="0.25">
      <c r="A66" s="29"/>
      <c r="D66" s="20"/>
      <c r="F66" s="20"/>
      <c r="G66" s="20"/>
      <c r="H66" s="20"/>
      <c r="I66" s="20"/>
      <c r="J66" s="55"/>
      <c r="K66" s="56"/>
      <c r="O66" s="44"/>
      <c r="P66" s="19"/>
    </row>
    <row r="67" spans="1:17" s="30" customFormat="1" x14ac:dyDescent="0.25">
      <c r="A67" s="29"/>
      <c r="D67" s="20"/>
      <c r="F67" s="20"/>
      <c r="G67" s="20"/>
      <c r="H67" s="57"/>
      <c r="I67" s="20"/>
      <c r="J67" s="58"/>
      <c r="L67" s="59"/>
      <c r="M67" s="44"/>
      <c r="N67" s="50"/>
      <c r="O67" s="44"/>
      <c r="P67" s="19"/>
    </row>
    <row r="68" spans="1:17" s="30" customFormat="1" x14ac:dyDescent="0.25">
      <c r="A68" s="29"/>
      <c r="C68" s="19"/>
      <c r="D68" s="20"/>
      <c r="F68" s="20"/>
      <c r="G68" s="20"/>
      <c r="H68" s="21"/>
      <c r="I68" s="20"/>
      <c r="J68" s="58"/>
      <c r="L68" s="59"/>
      <c r="M68" s="44"/>
      <c r="N68" s="50"/>
      <c r="O68" s="44"/>
      <c r="P68" s="19"/>
    </row>
    <row r="69" spans="1:17" s="30" customFormat="1" x14ac:dyDescent="0.25">
      <c r="A69" s="29"/>
      <c r="D69" s="20"/>
      <c r="E69" s="20"/>
      <c r="F69" s="20"/>
      <c r="G69" s="20"/>
      <c r="H69" s="20"/>
      <c r="I69" s="20"/>
      <c r="J69" s="58"/>
      <c r="L69" s="59"/>
      <c r="M69" s="44"/>
      <c r="N69" s="50"/>
      <c r="O69" s="44"/>
      <c r="P69" s="60"/>
    </row>
    <row r="70" spans="1:17" s="30" customFormat="1" x14ac:dyDescent="0.25">
      <c r="C70" s="19"/>
      <c r="D70" s="20"/>
      <c r="E70" s="20"/>
      <c r="F70" s="20"/>
      <c r="G70" s="20"/>
      <c r="H70" s="20"/>
      <c r="I70" s="20"/>
      <c r="L70" s="61"/>
      <c r="M70" s="44"/>
      <c r="N70" s="50"/>
      <c r="O70" s="20"/>
      <c r="P70" s="50"/>
    </row>
    <row r="71" spans="1:17" s="30" customFormat="1" x14ac:dyDescent="0.25">
      <c r="A71" s="29"/>
      <c r="C71" s="19"/>
      <c r="D71" s="44"/>
      <c r="E71" s="44"/>
      <c r="F71" s="44"/>
      <c r="G71" s="44"/>
      <c r="H71" s="44"/>
      <c r="I71" s="44"/>
      <c r="J71" s="62"/>
      <c r="K71" s="44"/>
      <c r="L71" s="61"/>
      <c r="M71" s="44"/>
      <c r="N71" s="50"/>
      <c r="O71" s="20"/>
      <c r="P71" s="63"/>
      <c r="Q71" s="63"/>
    </row>
    <row r="72" spans="1:17" s="30" customFormat="1" x14ac:dyDescent="0.25">
      <c r="A72" s="29"/>
      <c r="C72" s="19"/>
      <c r="D72" s="20"/>
      <c r="E72" s="20"/>
      <c r="F72" s="20"/>
      <c r="G72" s="20"/>
      <c r="H72" s="20"/>
      <c r="I72" s="20"/>
      <c r="J72" s="62"/>
      <c r="L72" s="64"/>
      <c r="M72" s="20"/>
      <c r="N72" s="29"/>
      <c r="O72" s="20"/>
      <c r="P72" s="60"/>
    </row>
    <row r="73" spans="1:17" s="30" customFormat="1" x14ac:dyDescent="0.25">
      <c r="A73" s="29"/>
      <c r="D73" s="29"/>
      <c r="E73" s="44"/>
      <c r="F73" s="44"/>
      <c r="G73" s="44"/>
      <c r="H73" s="44"/>
      <c r="I73" s="20"/>
      <c r="J73" s="62"/>
      <c r="K73" s="44"/>
      <c r="L73" s="44"/>
      <c r="M73" s="20"/>
      <c r="N73" s="29"/>
      <c r="O73" s="20"/>
      <c r="P73" s="60"/>
    </row>
    <row r="74" spans="1:17" s="30" customFormat="1" x14ac:dyDescent="0.25">
      <c r="C74" s="19"/>
      <c r="D74" s="19"/>
      <c r="E74" s="27"/>
      <c r="F74" s="19"/>
      <c r="G74" s="19"/>
      <c r="H74" s="19"/>
      <c r="I74" s="20"/>
      <c r="J74" s="29"/>
      <c r="K74" s="29"/>
      <c r="L74" s="29"/>
      <c r="M74" s="525"/>
      <c r="N74" s="20"/>
      <c r="O74" s="20"/>
      <c r="P74" s="19"/>
    </row>
    <row r="75" spans="1:17" s="30" customFormat="1" x14ac:dyDescent="0.25">
      <c r="C75" s="19"/>
      <c r="D75" s="19"/>
      <c r="E75" s="27"/>
      <c r="F75" s="19"/>
      <c r="G75" s="19"/>
      <c r="H75" s="19"/>
      <c r="I75" s="20"/>
      <c r="J75" s="525"/>
      <c r="K75" s="525"/>
      <c r="L75" s="525"/>
      <c r="M75" s="525"/>
      <c r="N75" s="20"/>
      <c r="O75" s="20"/>
      <c r="P75" s="20"/>
    </row>
    <row r="76" spans="1:17" s="30" customFormat="1" x14ac:dyDescent="0.25">
      <c r="C76" s="19"/>
      <c r="D76" s="19"/>
      <c r="E76" s="27"/>
      <c r="F76" s="19"/>
      <c r="G76" s="19"/>
      <c r="H76" s="19"/>
      <c r="I76" s="20"/>
      <c r="J76" s="20"/>
      <c r="K76" s="562"/>
      <c r="L76" s="562"/>
      <c r="M76" s="562"/>
      <c r="N76" s="20"/>
      <c r="O76" s="20"/>
      <c r="P76" s="20"/>
    </row>
    <row r="77" spans="1:17" s="30" customFormat="1" x14ac:dyDescent="0.25">
      <c r="C77" s="19"/>
      <c r="D77" s="19"/>
      <c r="E77" s="27"/>
      <c r="F77" s="19"/>
      <c r="G77" s="19"/>
      <c r="H77" s="19"/>
      <c r="I77" s="20"/>
      <c r="J77" s="20"/>
      <c r="K77" s="20"/>
      <c r="L77" s="562"/>
      <c r="M77" s="562"/>
      <c r="N77" s="20"/>
      <c r="O77" s="20"/>
      <c r="P77" s="20"/>
    </row>
    <row r="78" spans="1:17" s="30" customFormat="1" x14ac:dyDescent="0.25">
      <c r="C78" s="19"/>
      <c r="D78" s="19"/>
      <c r="E78" s="27"/>
      <c r="F78" s="19"/>
      <c r="G78" s="19"/>
      <c r="H78" s="19"/>
      <c r="I78" s="20"/>
      <c r="J78" s="20"/>
      <c r="K78" s="20"/>
      <c r="L78" s="525"/>
      <c r="M78" s="525"/>
      <c r="N78" s="20"/>
      <c r="O78" s="20"/>
      <c r="P78" s="20"/>
    </row>
    <row r="79" spans="1:17" s="30" customFormat="1" x14ac:dyDescent="0.25">
      <c r="C79" s="19"/>
      <c r="D79" s="19"/>
      <c r="E79" s="27"/>
      <c r="F79" s="19"/>
      <c r="G79" s="19"/>
      <c r="H79" s="19"/>
      <c r="I79" s="20"/>
      <c r="J79" s="20"/>
      <c r="K79" s="20"/>
      <c r="L79" s="20"/>
      <c r="M79" s="20"/>
      <c r="N79" s="20"/>
      <c r="O79" s="20"/>
      <c r="P79" s="20"/>
    </row>
    <row r="80" spans="1:17" s="30" customFormat="1" x14ac:dyDescent="0.25">
      <c r="C80" s="19"/>
      <c r="D80" s="44"/>
      <c r="E80" s="44"/>
      <c r="F80" s="44"/>
      <c r="G80" s="44"/>
      <c r="H80" s="44"/>
      <c r="I80" s="20"/>
      <c r="J80" s="20"/>
      <c r="K80" s="20"/>
      <c r="L80" s="20"/>
      <c r="M80" s="20"/>
      <c r="N80" s="20"/>
      <c r="O80" s="20"/>
      <c r="P80" s="20"/>
    </row>
    <row r="81" spans="1:16" s="30" customFormat="1" x14ac:dyDescent="0.25">
      <c r="A81" s="29"/>
      <c r="B81" s="20"/>
      <c r="D81" s="29"/>
      <c r="E81" s="44"/>
      <c r="F81" s="44"/>
      <c r="G81" s="44"/>
      <c r="H81" s="44"/>
      <c r="I81" s="20"/>
      <c r="J81" s="58"/>
      <c r="L81" s="44"/>
      <c r="M81" s="20"/>
      <c r="N81" s="29"/>
      <c r="O81" s="20"/>
      <c r="P81" s="20"/>
    </row>
    <row r="82" spans="1:16" s="30" customFormat="1" x14ac:dyDescent="0.25">
      <c r="A82" s="29"/>
      <c r="B82" s="20"/>
      <c r="D82" s="29"/>
      <c r="E82" s="44"/>
      <c r="F82" s="44"/>
      <c r="G82" s="44"/>
      <c r="H82" s="44"/>
      <c r="I82" s="20"/>
      <c r="J82" s="58"/>
      <c r="L82" s="44"/>
      <c r="M82" s="20"/>
      <c r="N82" s="29"/>
      <c r="O82" s="20"/>
      <c r="P82" s="20"/>
    </row>
    <row r="83" spans="1:16" s="30" customFormat="1" x14ac:dyDescent="0.25">
      <c r="A83" s="29"/>
      <c r="B83" s="20"/>
      <c r="D83" s="29"/>
      <c r="E83" s="44"/>
      <c r="F83" s="44"/>
      <c r="G83" s="44"/>
      <c r="H83" s="44"/>
      <c r="I83" s="20"/>
      <c r="J83" s="58"/>
      <c r="L83" s="44"/>
      <c r="M83" s="20"/>
      <c r="N83" s="29"/>
      <c r="O83" s="20"/>
      <c r="P83" s="20"/>
    </row>
    <row r="84" spans="1:16" s="30" customFormat="1" ht="21" x14ac:dyDescent="0.35">
      <c r="A84" s="65"/>
      <c r="B84" s="66"/>
      <c r="C84" s="67"/>
      <c r="D84" s="65"/>
      <c r="E84" s="68"/>
      <c r="F84" s="68"/>
      <c r="G84" s="68"/>
      <c r="H84" s="68"/>
      <c r="I84" s="66"/>
      <c r="J84" s="68"/>
      <c r="K84" s="69"/>
      <c r="L84" s="70"/>
      <c r="M84" s="69"/>
      <c r="N84" s="65"/>
      <c r="O84" s="20"/>
      <c r="P84" s="20"/>
    </row>
    <row r="85" spans="1:16" s="30" customFormat="1" ht="21" x14ac:dyDescent="0.35">
      <c r="A85" s="65"/>
      <c r="B85" s="66"/>
      <c r="C85" s="67"/>
      <c r="D85" s="65"/>
      <c r="E85" s="68"/>
      <c r="F85" s="68"/>
      <c r="G85" s="68"/>
      <c r="H85" s="68"/>
      <c r="I85" s="66"/>
      <c r="J85" s="68"/>
      <c r="K85" s="69"/>
      <c r="L85" s="70"/>
      <c r="M85" s="69"/>
      <c r="N85" s="65"/>
      <c r="O85" s="20"/>
      <c r="P85" s="20"/>
    </row>
    <row r="86" spans="1:16" s="30" customFormat="1" ht="21" x14ac:dyDescent="0.35">
      <c r="A86" s="65"/>
      <c r="B86" s="66"/>
      <c r="C86" s="67"/>
      <c r="D86" s="66"/>
      <c r="E86" s="68"/>
      <c r="F86" s="68"/>
      <c r="G86" s="68"/>
      <c r="H86" s="68"/>
      <c r="I86" s="66"/>
      <c r="J86" s="68"/>
      <c r="K86" s="69"/>
      <c r="L86" s="70"/>
      <c r="M86" s="69"/>
      <c r="N86" s="65"/>
      <c r="O86" s="20"/>
      <c r="P86" s="20"/>
    </row>
    <row r="87" spans="1:16" s="30" customFormat="1" ht="21" x14ac:dyDescent="0.35">
      <c r="A87" s="65"/>
      <c r="B87" s="66"/>
      <c r="C87" s="67"/>
      <c r="D87" s="66"/>
      <c r="E87" s="68"/>
      <c r="F87" s="68"/>
      <c r="G87" s="68"/>
      <c r="H87" s="68"/>
      <c r="I87" s="66"/>
      <c r="J87" s="68"/>
      <c r="K87" s="69"/>
      <c r="L87" s="70"/>
      <c r="M87" s="69"/>
      <c r="N87" s="65"/>
      <c r="O87" s="20"/>
      <c r="P87" s="20"/>
    </row>
    <row r="88" spans="1:16" s="30" customFormat="1" ht="21" x14ac:dyDescent="0.35">
      <c r="A88" s="65"/>
      <c r="B88" s="66"/>
      <c r="C88" s="67"/>
      <c r="D88" s="66"/>
      <c r="E88" s="68"/>
      <c r="F88" s="68"/>
      <c r="G88" s="68"/>
      <c r="H88" s="68"/>
      <c r="I88" s="66"/>
      <c r="J88" s="68"/>
      <c r="K88" s="69"/>
      <c r="L88" s="70"/>
      <c r="M88" s="69"/>
      <c r="N88" s="65"/>
      <c r="O88" s="20"/>
      <c r="P88" s="20"/>
    </row>
    <row r="89" spans="1:16" s="30" customFormat="1" ht="21" x14ac:dyDescent="0.35">
      <c r="A89" s="65"/>
      <c r="B89" s="66"/>
      <c r="C89" s="67"/>
      <c r="D89" s="66"/>
      <c r="E89" s="68"/>
      <c r="F89" s="68"/>
      <c r="G89" s="68"/>
      <c r="H89" s="68"/>
      <c r="I89" s="66"/>
      <c r="J89" s="68"/>
      <c r="K89" s="69"/>
      <c r="L89" s="70"/>
      <c r="M89" s="69"/>
      <c r="N89" s="65"/>
      <c r="O89" s="20"/>
      <c r="P89" s="20"/>
    </row>
    <row r="90" spans="1:16" s="30" customFormat="1" ht="21" x14ac:dyDescent="0.35">
      <c r="A90" s="65"/>
      <c r="B90" s="66"/>
      <c r="C90" s="67"/>
      <c r="D90" s="66"/>
      <c r="E90" s="66"/>
      <c r="F90" s="66"/>
      <c r="G90" s="66"/>
      <c r="H90" s="66"/>
      <c r="I90" s="66"/>
      <c r="J90" s="68"/>
      <c r="K90" s="69"/>
      <c r="L90" s="69"/>
      <c r="M90" s="69"/>
      <c r="N90" s="71"/>
      <c r="O90" s="20"/>
      <c r="P90" s="20"/>
    </row>
    <row r="91" spans="1:16" s="30" customFormat="1" ht="21" x14ac:dyDescent="0.35">
      <c r="A91" s="65"/>
      <c r="B91" s="66"/>
      <c r="C91" s="67"/>
      <c r="D91" s="66"/>
      <c r="E91" s="66"/>
      <c r="F91" s="66"/>
      <c r="G91" s="66"/>
      <c r="H91" s="66"/>
      <c r="I91" s="66"/>
      <c r="J91" s="68"/>
      <c r="K91" s="69"/>
      <c r="L91" s="69"/>
      <c r="M91" s="69"/>
      <c r="N91" s="71"/>
      <c r="O91" s="20"/>
      <c r="P91" s="20"/>
    </row>
    <row r="92" spans="1:16" s="30" customFormat="1" ht="21" x14ac:dyDescent="0.35">
      <c r="A92" s="65"/>
      <c r="B92" s="66"/>
      <c r="C92" s="66"/>
      <c r="D92" s="66"/>
      <c r="E92" s="66"/>
      <c r="F92" s="66"/>
      <c r="G92" s="66"/>
      <c r="H92" s="66"/>
      <c r="I92" s="66"/>
      <c r="J92" s="66"/>
      <c r="K92" s="69"/>
      <c r="L92" s="69"/>
      <c r="M92" s="69"/>
      <c r="N92" s="65"/>
      <c r="O92" s="20"/>
      <c r="P92" s="20"/>
    </row>
    <row r="93" spans="1:16" s="30" customFormat="1" ht="21" x14ac:dyDescent="0.35">
      <c r="A93" s="65"/>
      <c r="B93" s="66"/>
      <c r="C93" s="66"/>
      <c r="D93" s="66"/>
      <c r="E93" s="66"/>
      <c r="F93" s="66"/>
      <c r="G93" s="66"/>
      <c r="H93" s="66"/>
      <c r="I93" s="66"/>
      <c r="J93" s="66"/>
      <c r="K93" s="69"/>
      <c r="L93" s="69"/>
      <c r="M93" s="69"/>
      <c r="N93" s="65"/>
      <c r="O93" s="20"/>
      <c r="P93" s="20"/>
    </row>
    <row r="94" spans="1:16" s="30" customFormat="1" ht="21" x14ac:dyDescent="0.35">
      <c r="A94" s="65"/>
      <c r="B94" s="66"/>
      <c r="C94" s="66"/>
      <c r="D94" s="66"/>
      <c r="E94" s="66"/>
      <c r="F94" s="66"/>
      <c r="G94" s="66"/>
      <c r="H94" s="66"/>
      <c r="I94" s="66"/>
      <c r="J94" s="66"/>
      <c r="K94" s="69"/>
      <c r="L94" s="69"/>
      <c r="M94" s="69"/>
      <c r="N94" s="65"/>
      <c r="O94" s="20"/>
      <c r="P94" s="20"/>
    </row>
    <row r="95" spans="1:16" s="30" customFormat="1" ht="21" x14ac:dyDescent="0.35">
      <c r="A95" s="65"/>
      <c r="B95" s="66"/>
      <c r="C95" s="66"/>
      <c r="D95" s="66"/>
      <c r="E95" s="66"/>
      <c r="F95" s="66"/>
      <c r="G95" s="66"/>
      <c r="H95" s="66"/>
      <c r="I95" s="66"/>
      <c r="J95" s="66"/>
      <c r="K95" s="69"/>
      <c r="L95" s="69"/>
      <c r="M95" s="69"/>
      <c r="N95" s="65"/>
      <c r="O95" s="20"/>
      <c r="P95" s="20"/>
    </row>
    <row r="96" spans="1:16" s="30" customFormat="1" ht="21" x14ac:dyDescent="0.35">
      <c r="A96" s="65"/>
      <c r="B96" s="66"/>
      <c r="C96" s="66"/>
      <c r="D96" s="66"/>
      <c r="E96" s="66"/>
      <c r="F96" s="66"/>
      <c r="G96" s="66"/>
      <c r="H96" s="66"/>
      <c r="I96" s="66"/>
      <c r="J96" s="66"/>
      <c r="K96" s="69"/>
      <c r="L96" s="69"/>
      <c r="M96" s="69"/>
      <c r="N96" s="65"/>
      <c r="O96" s="20"/>
      <c r="P96" s="20"/>
    </row>
    <row r="97" spans="1:17" s="30" customFormat="1" ht="21" x14ac:dyDescent="0.35">
      <c r="A97" s="65"/>
      <c r="B97" s="66"/>
      <c r="C97" s="66"/>
      <c r="D97" s="66"/>
      <c r="E97" s="66"/>
      <c r="F97" s="66"/>
      <c r="G97" s="66"/>
      <c r="H97" s="66"/>
      <c r="I97" s="66"/>
      <c r="J97" s="66"/>
      <c r="K97" s="69"/>
      <c r="L97" s="69"/>
      <c r="M97" s="69"/>
      <c r="N97" s="65"/>
      <c r="O97" s="20"/>
      <c r="P97" s="20"/>
    </row>
    <row r="98" spans="1:17" s="30" customFormat="1" ht="21" x14ac:dyDescent="0.35">
      <c r="A98" s="65"/>
      <c r="B98" s="66"/>
      <c r="C98" s="66"/>
      <c r="D98" s="66"/>
      <c r="E98" s="66"/>
      <c r="F98" s="66"/>
      <c r="G98" s="66"/>
      <c r="H98" s="66"/>
      <c r="I98" s="66"/>
      <c r="J98" s="66"/>
      <c r="K98" s="69"/>
      <c r="L98" s="69"/>
      <c r="M98" s="69"/>
      <c r="N98" s="65"/>
      <c r="O98" s="20"/>
      <c r="P98" s="20"/>
    </row>
    <row r="99" spans="1:17" s="30" customFormat="1" ht="21" x14ac:dyDescent="0.35">
      <c r="A99" s="65"/>
      <c r="B99" s="66"/>
      <c r="C99" s="66"/>
      <c r="D99" s="66"/>
      <c r="E99" s="66"/>
      <c r="F99" s="66"/>
      <c r="G99" s="66"/>
      <c r="H99" s="66"/>
      <c r="I99" s="66"/>
      <c r="J99" s="66"/>
      <c r="K99" s="69"/>
      <c r="L99" s="69"/>
      <c r="M99" s="69"/>
      <c r="N99" s="65"/>
      <c r="O99" s="20"/>
      <c r="P99" s="20"/>
    </row>
    <row r="100" spans="1:17" s="30" customFormat="1" ht="21" x14ac:dyDescent="0.35">
      <c r="A100" s="65"/>
      <c r="B100" s="66"/>
      <c r="C100" s="72"/>
      <c r="D100" s="66"/>
      <c r="E100" s="66"/>
      <c r="F100" s="66"/>
      <c r="G100" s="66"/>
      <c r="H100" s="66"/>
      <c r="I100" s="66"/>
      <c r="J100" s="66"/>
      <c r="K100" s="69"/>
      <c r="L100" s="69"/>
      <c r="M100" s="69"/>
      <c r="N100" s="65"/>
      <c r="P100" s="20"/>
    </row>
    <row r="101" spans="1:17" s="30" customFormat="1" ht="21" x14ac:dyDescent="0.35">
      <c r="A101" s="65"/>
      <c r="B101" s="66"/>
      <c r="C101" s="66"/>
      <c r="D101" s="66"/>
      <c r="E101" s="66"/>
      <c r="F101" s="66"/>
      <c r="G101" s="66"/>
      <c r="H101" s="66"/>
      <c r="I101" s="66"/>
      <c r="J101" s="66"/>
      <c r="K101" s="69"/>
      <c r="L101" s="69"/>
      <c r="M101" s="69"/>
      <c r="N101" s="65"/>
      <c r="O101" s="20"/>
      <c r="P101" s="73"/>
      <c r="Q101" s="73"/>
    </row>
    <row r="102" spans="1:17" s="30" customFormat="1" ht="21" x14ac:dyDescent="0.35">
      <c r="A102" s="65"/>
      <c r="B102" s="66"/>
      <c r="C102" s="66"/>
      <c r="D102" s="66"/>
      <c r="E102" s="66"/>
      <c r="F102" s="66"/>
      <c r="G102" s="66"/>
      <c r="H102" s="66"/>
      <c r="I102" s="66"/>
      <c r="J102" s="66"/>
      <c r="K102" s="69"/>
      <c r="L102" s="69"/>
      <c r="M102" s="69"/>
      <c r="N102" s="65"/>
      <c r="O102" s="20"/>
      <c r="P102" s="20"/>
    </row>
    <row r="103" spans="1:17" s="30" customFormat="1" ht="21" x14ac:dyDescent="0.35">
      <c r="A103" s="65"/>
      <c r="B103" s="66"/>
      <c r="C103" s="66"/>
      <c r="D103" s="66"/>
      <c r="E103" s="66"/>
      <c r="F103" s="66"/>
      <c r="G103" s="66"/>
      <c r="H103" s="66"/>
      <c r="I103" s="66"/>
      <c r="J103" s="66"/>
      <c r="K103" s="69"/>
      <c r="L103" s="69"/>
      <c r="M103" s="69"/>
      <c r="N103" s="65"/>
      <c r="O103" s="20"/>
      <c r="P103" s="20"/>
    </row>
    <row r="104" spans="1:17" s="30" customFormat="1" ht="21" x14ac:dyDescent="0.35">
      <c r="A104" s="65"/>
      <c r="B104" s="66"/>
      <c r="C104" s="66"/>
      <c r="D104" s="66"/>
      <c r="E104" s="66"/>
      <c r="F104" s="66"/>
      <c r="G104" s="66"/>
      <c r="H104" s="66"/>
      <c r="I104" s="66"/>
      <c r="J104" s="66"/>
      <c r="K104" s="69"/>
      <c r="L104" s="69"/>
      <c r="M104" s="69"/>
      <c r="N104" s="65"/>
      <c r="O104" s="20"/>
      <c r="P104" s="20"/>
    </row>
    <row r="105" spans="1:17" s="30" customFormat="1" ht="21" x14ac:dyDescent="0.35">
      <c r="A105" s="65"/>
      <c r="B105" s="66"/>
      <c r="C105" s="66"/>
      <c r="D105" s="66"/>
      <c r="E105" s="66"/>
      <c r="F105" s="66"/>
      <c r="G105" s="66"/>
      <c r="H105" s="66"/>
      <c r="I105" s="66"/>
      <c r="J105" s="66"/>
      <c r="K105" s="69"/>
      <c r="L105" s="69"/>
      <c r="M105" s="69"/>
      <c r="N105" s="65"/>
      <c r="O105" s="20"/>
      <c r="P105" s="20"/>
    </row>
    <row r="106" spans="1:17" s="30" customFormat="1" ht="21" x14ac:dyDescent="0.35">
      <c r="A106" s="65"/>
      <c r="B106" s="66"/>
      <c r="C106" s="66"/>
      <c r="D106" s="66"/>
      <c r="E106" s="66"/>
      <c r="F106" s="66"/>
      <c r="G106" s="66"/>
      <c r="H106" s="66"/>
      <c r="I106" s="66"/>
      <c r="J106" s="66"/>
      <c r="K106" s="69"/>
      <c r="L106" s="69"/>
      <c r="M106" s="69"/>
      <c r="N106" s="65"/>
      <c r="O106" s="20"/>
      <c r="P106" s="20"/>
    </row>
    <row r="107" spans="1:17" s="30" customFormat="1" ht="21" x14ac:dyDescent="0.35">
      <c r="A107" s="65"/>
      <c r="B107" s="66"/>
      <c r="C107" s="66"/>
      <c r="D107" s="66"/>
      <c r="E107" s="66"/>
      <c r="F107" s="66"/>
      <c r="G107" s="66"/>
      <c r="H107" s="66"/>
      <c r="I107" s="66"/>
      <c r="J107" s="66"/>
      <c r="K107" s="69"/>
      <c r="L107" s="69"/>
      <c r="M107" s="69"/>
      <c r="N107" s="65"/>
      <c r="O107" s="20"/>
      <c r="P107" s="20"/>
    </row>
    <row r="108" spans="1:17" s="30" customFormat="1" ht="21" x14ac:dyDescent="0.35">
      <c r="A108" s="65"/>
      <c r="B108" s="66"/>
      <c r="C108" s="66"/>
      <c r="D108" s="66"/>
      <c r="E108" s="66"/>
      <c r="F108" s="66"/>
      <c r="G108" s="66"/>
      <c r="H108" s="66"/>
      <c r="I108" s="66"/>
      <c r="J108" s="66"/>
      <c r="K108" s="69"/>
      <c r="L108" s="69"/>
      <c r="M108" s="69"/>
      <c r="N108" s="65"/>
      <c r="O108" s="20"/>
      <c r="P108" s="20"/>
    </row>
    <row r="109" spans="1:17" s="30" customFormat="1" ht="21" x14ac:dyDescent="0.35">
      <c r="A109" s="65"/>
      <c r="B109" s="66"/>
      <c r="C109" s="66"/>
      <c r="D109" s="66"/>
      <c r="E109" s="66"/>
      <c r="F109" s="66"/>
      <c r="G109" s="66"/>
      <c r="H109" s="66"/>
      <c r="I109" s="66"/>
      <c r="J109" s="66"/>
      <c r="K109" s="69"/>
      <c r="L109" s="69"/>
      <c r="M109" s="69"/>
      <c r="N109" s="65"/>
      <c r="O109" s="20"/>
      <c r="P109" s="20"/>
    </row>
    <row r="110" spans="1:17" s="30" customFormat="1" ht="21" x14ac:dyDescent="0.35">
      <c r="A110" s="65"/>
      <c r="B110" s="66"/>
      <c r="C110" s="66"/>
      <c r="D110" s="66"/>
      <c r="E110" s="66"/>
      <c r="F110" s="66"/>
      <c r="G110" s="66"/>
      <c r="H110" s="66"/>
      <c r="I110" s="66"/>
      <c r="J110" s="66"/>
      <c r="K110" s="69"/>
      <c r="L110" s="69"/>
      <c r="M110" s="69"/>
      <c r="N110" s="65"/>
      <c r="O110" s="20"/>
      <c r="P110" s="20"/>
    </row>
    <row r="111" spans="1:17" s="30" customFormat="1" ht="21" x14ac:dyDescent="0.35">
      <c r="A111" s="65"/>
      <c r="B111" s="66"/>
      <c r="C111" s="66"/>
      <c r="D111" s="66"/>
      <c r="E111" s="74"/>
      <c r="F111" s="66"/>
      <c r="G111" s="66"/>
      <c r="H111" s="66"/>
      <c r="I111" s="66"/>
      <c r="J111" s="66"/>
      <c r="K111" s="69"/>
      <c r="L111" s="69"/>
      <c r="M111" s="69"/>
      <c r="N111" s="65"/>
      <c r="O111" s="20"/>
      <c r="P111" s="20"/>
    </row>
    <row r="112" spans="1:17" s="30" customFormat="1" ht="21" x14ac:dyDescent="0.35">
      <c r="A112" s="65"/>
      <c r="B112" s="66"/>
      <c r="C112" s="66"/>
      <c r="D112" s="66"/>
      <c r="E112" s="74"/>
      <c r="F112" s="66"/>
      <c r="G112" s="66"/>
      <c r="H112" s="66"/>
      <c r="I112" s="66"/>
      <c r="J112" s="66"/>
      <c r="K112" s="69"/>
      <c r="L112" s="69"/>
      <c r="M112" s="69"/>
      <c r="N112" s="65"/>
      <c r="O112" s="20"/>
      <c r="P112" s="20"/>
    </row>
    <row r="113" spans="1:16" s="30" customFormat="1" ht="21" x14ac:dyDescent="0.35">
      <c r="A113" s="65"/>
      <c r="B113" s="66"/>
      <c r="C113" s="66"/>
      <c r="D113" s="66"/>
      <c r="E113" s="74"/>
      <c r="F113" s="66"/>
      <c r="G113" s="66"/>
      <c r="H113" s="66"/>
      <c r="I113" s="66"/>
      <c r="J113" s="66"/>
      <c r="K113" s="69"/>
      <c r="L113" s="69"/>
      <c r="M113" s="69"/>
      <c r="N113" s="65"/>
      <c r="O113" s="20"/>
      <c r="P113" s="75"/>
    </row>
    <row r="114" spans="1:16" s="30" customFormat="1" ht="21" x14ac:dyDescent="0.35">
      <c r="A114" s="65"/>
      <c r="B114" s="66"/>
      <c r="C114" s="66"/>
      <c r="D114" s="66"/>
      <c r="E114" s="66"/>
      <c r="F114" s="66"/>
      <c r="G114" s="66"/>
      <c r="H114" s="66"/>
      <c r="I114" s="66"/>
      <c r="J114" s="66"/>
      <c r="K114" s="69"/>
      <c r="L114" s="69"/>
      <c r="M114" s="69"/>
      <c r="N114" s="65"/>
      <c r="O114" s="20"/>
      <c r="P114" s="20"/>
    </row>
    <row r="115" spans="1:16" s="30" customFormat="1" ht="21" x14ac:dyDescent="0.35">
      <c r="A115" s="65"/>
      <c r="B115" s="66"/>
      <c r="C115" s="66"/>
      <c r="D115" s="66"/>
      <c r="E115" s="66"/>
      <c r="F115" s="66"/>
      <c r="G115" s="66"/>
      <c r="H115" s="66"/>
      <c r="I115" s="66"/>
      <c r="J115" s="66"/>
      <c r="K115" s="69"/>
      <c r="L115" s="69"/>
      <c r="M115" s="69"/>
      <c r="N115" s="65"/>
      <c r="O115" s="20"/>
      <c r="P115" s="20"/>
    </row>
    <row r="116" spans="1:16" s="30" customFormat="1" ht="21" x14ac:dyDescent="0.35">
      <c r="A116" s="65"/>
      <c r="B116" s="66"/>
      <c r="C116" s="66"/>
      <c r="D116" s="66"/>
      <c r="E116" s="66"/>
      <c r="F116" s="66"/>
      <c r="G116" s="66"/>
      <c r="H116" s="66"/>
      <c r="I116" s="66"/>
      <c r="J116" s="66"/>
      <c r="K116" s="69"/>
      <c r="L116" s="69"/>
      <c r="M116" s="69"/>
      <c r="N116" s="65"/>
      <c r="O116" s="20"/>
      <c r="P116" s="20"/>
    </row>
    <row r="117" spans="1:16" s="30" customFormat="1" ht="21" x14ac:dyDescent="0.35">
      <c r="A117" s="65"/>
      <c r="B117" s="66"/>
      <c r="C117" s="66"/>
      <c r="D117" s="66"/>
      <c r="E117" s="66"/>
      <c r="F117" s="66"/>
      <c r="G117" s="66"/>
      <c r="H117" s="66"/>
      <c r="I117" s="66"/>
      <c r="J117" s="66"/>
      <c r="K117" s="69"/>
      <c r="L117" s="69"/>
      <c r="M117" s="69"/>
      <c r="N117" s="65"/>
      <c r="O117" s="20"/>
      <c r="P117" s="20"/>
    </row>
    <row r="118" spans="1:16" s="30" customFormat="1" ht="21" x14ac:dyDescent="0.35">
      <c r="A118" s="65"/>
      <c r="B118" s="66"/>
      <c r="C118" s="66"/>
      <c r="D118" s="66"/>
      <c r="E118" s="66"/>
      <c r="F118" s="66"/>
      <c r="G118" s="66"/>
      <c r="H118" s="66"/>
      <c r="I118" s="66"/>
      <c r="J118" s="66"/>
      <c r="K118" s="69"/>
      <c r="L118" s="69"/>
      <c r="M118" s="69"/>
      <c r="N118" s="65"/>
      <c r="O118" s="20"/>
      <c r="P118" s="20"/>
    </row>
    <row r="119" spans="1:16" s="30" customFormat="1" ht="21" x14ac:dyDescent="0.35">
      <c r="A119" s="65"/>
      <c r="B119" s="66"/>
      <c r="C119" s="66"/>
      <c r="D119" s="66"/>
      <c r="E119" s="66"/>
      <c r="F119" s="66"/>
      <c r="G119" s="66"/>
      <c r="H119" s="66"/>
      <c r="I119" s="66"/>
      <c r="J119" s="66"/>
      <c r="K119" s="69"/>
      <c r="L119" s="69"/>
      <c r="M119" s="69"/>
      <c r="N119" s="65"/>
      <c r="O119" s="20"/>
      <c r="P119" s="20"/>
    </row>
    <row r="120" spans="1:16" s="30" customFormat="1" ht="21" x14ac:dyDescent="0.35">
      <c r="A120" s="65"/>
      <c r="B120" s="66"/>
      <c r="C120" s="66"/>
      <c r="D120" s="66"/>
      <c r="E120" s="66"/>
      <c r="F120" s="66"/>
      <c r="G120" s="66"/>
      <c r="H120" s="66"/>
      <c r="I120" s="66"/>
      <c r="J120" s="66"/>
      <c r="K120" s="69"/>
      <c r="L120" s="69"/>
      <c r="M120" s="69"/>
      <c r="N120" s="65"/>
      <c r="O120" s="20"/>
      <c r="P120" s="20"/>
    </row>
    <row r="121" spans="1:16" s="30" customFormat="1" ht="21" x14ac:dyDescent="0.35">
      <c r="A121" s="65"/>
      <c r="B121" s="66"/>
      <c r="C121" s="66"/>
      <c r="D121" s="66"/>
      <c r="E121" s="66"/>
      <c r="F121" s="66"/>
      <c r="G121" s="66"/>
      <c r="H121" s="66"/>
      <c r="I121" s="66"/>
      <c r="J121" s="66"/>
      <c r="K121" s="69"/>
      <c r="L121" s="69"/>
      <c r="M121" s="69"/>
      <c r="N121" s="65"/>
      <c r="O121" s="20"/>
      <c r="P121" s="20"/>
    </row>
    <row r="122" spans="1:16" s="30" customFormat="1" ht="21" x14ac:dyDescent="0.35">
      <c r="A122" s="65"/>
      <c r="B122" s="66"/>
      <c r="C122" s="66"/>
      <c r="D122" s="66"/>
      <c r="E122" s="66"/>
      <c r="F122" s="66"/>
      <c r="G122" s="66"/>
      <c r="H122" s="66"/>
      <c r="I122" s="66"/>
      <c r="J122" s="66"/>
      <c r="K122" s="69"/>
      <c r="L122" s="69"/>
      <c r="M122" s="69"/>
      <c r="N122" s="65"/>
      <c r="O122" s="20"/>
      <c r="P122" s="20"/>
    </row>
    <row r="123" spans="1:16" s="30" customFormat="1" ht="21" x14ac:dyDescent="0.35">
      <c r="A123" s="65"/>
      <c r="B123" s="66"/>
      <c r="C123" s="66"/>
      <c r="D123" s="66"/>
      <c r="E123" s="66"/>
      <c r="F123" s="66"/>
      <c r="G123" s="66"/>
      <c r="H123" s="66"/>
      <c r="I123" s="66"/>
      <c r="J123" s="66"/>
      <c r="K123" s="69"/>
      <c r="L123" s="69"/>
      <c r="M123" s="69"/>
      <c r="N123" s="65"/>
      <c r="O123" s="20"/>
      <c r="P123" s="20"/>
    </row>
    <row r="124" spans="1:16" s="30" customFormat="1" ht="21" x14ac:dyDescent="0.35">
      <c r="A124" s="65"/>
      <c r="B124" s="66"/>
      <c r="C124" s="66"/>
      <c r="D124" s="66"/>
      <c r="E124" s="66"/>
      <c r="F124" s="66"/>
      <c r="G124" s="66"/>
      <c r="H124" s="66"/>
      <c r="I124" s="66"/>
      <c r="J124" s="66"/>
      <c r="K124" s="69"/>
      <c r="L124" s="69"/>
      <c r="M124" s="69"/>
      <c r="N124" s="65"/>
      <c r="O124" s="20"/>
      <c r="P124" s="20"/>
    </row>
    <row r="125" spans="1:16" s="30" customFormat="1" ht="21" x14ac:dyDescent="0.35">
      <c r="A125" s="65"/>
      <c r="B125" s="66"/>
      <c r="C125" s="66"/>
      <c r="D125" s="66"/>
      <c r="E125" s="66"/>
      <c r="F125" s="66"/>
      <c r="G125" s="66"/>
      <c r="H125" s="66"/>
      <c r="I125" s="66"/>
      <c r="J125" s="66"/>
      <c r="K125" s="69"/>
      <c r="L125" s="69"/>
      <c r="M125" s="69"/>
      <c r="N125" s="65"/>
      <c r="O125" s="20"/>
      <c r="P125" s="20"/>
    </row>
    <row r="126" spans="1:16" s="30" customFormat="1" ht="21" x14ac:dyDescent="0.35">
      <c r="A126" s="65"/>
      <c r="B126" s="66"/>
      <c r="C126" s="66"/>
      <c r="D126" s="66"/>
      <c r="E126" s="66"/>
      <c r="F126" s="66"/>
      <c r="G126" s="66"/>
      <c r="H126" s="66"/>
      <c r="I126" s="66"/>
      <c r="J126" s="66"/>
      <c r="K126" s="69"/>
      <c r="L126" s="69"/>
      <c r="M126" s="69"/>
      <c r="N126" s="65"/>
      <c r="O126" s="20"/>
      <c r="P126" s="20"/>
    </row>
    <row r="127" spans="1:16" s="30" customFormat="1" ht="18.75" x14ac:dyDescent="0.3">
      <c r="A127" s="65"/>
      <c r="B127" s="20"/>
      <c r="C127" s="66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9"/>
      <c r="O127" s="20"/>
      <c r="P127" s="20"/>
    </row>
    <row r="128" spans="1:16" s="30" customFormat="1" ht="18.75" x14ac:dyDescent="0.3">
      <c r="B128" s="20"/>
      <c r="C128" s="66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9"/>
      <c r="O128" s="20"/>
      <c r="P128" s="20"/>
    </row>
    <row r="129" spans="1:19" s="30" customFormat="1" ht="18.75" x14ac:dyDescent="0.3">
      <c r="C129" s="66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</row>
    <row r="130" spans="1:19" s="30" customFormat="1" ht="18.75" x14ac:dyDescent="0.3">
      <c r="A130" s="76"/>
      <c r="B130" s="72"/>
      <c r="C130" s="66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</row>
    <row r="131" spans="1:19" s="30" customFormat="1" ht="18.75" x14ac:dyDescent="0.3">
      <c r="A131" s="72"/>
      <c r="B131" s="72"/>
      <c r="C131" s="66"/>
      <c r="D131" s="42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</row>
    <row r="132" spans="1:19" s="30" customFormat="1" ht="18.75" x14ac:dyDescent="0.3">
      <c r="A132" s="72"/>
      <c r="B132" s="72"/>
      <c r="C132" s="66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20"/>
    </row>
    <row r="133" spans="1:19" s="30" customFormat="1" ht="18.75" x14ac:dyDescent="0.3">
      <c r="A133" s="72"/>
      <c r="B133" s="72"/>
      <c r="C133" s="66"/>
      <c r="D133" s="77"/>
      <c r="E133" s="78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79"/>
      <c r="R133" s="79"/>
      <c r="S133" s="79"/>
    </row>
    <row r="134" spans="1:19" s="30" customFormat="1" ht="18.75" x14ac:dyDescent="0.3">
      <c r="A134" s="76"/>
      <c r="B134" s="72"/>
      <c r="C134" s="66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P134" s="77"/>
      <c r="Q134" s="79"/>
      <c r="R134" s="79"/>
      <c r="S134" s="79"/>
    </row>
    <row r="135" spans="1:19" s="30" customFormat="1" ht="18.75" x14ac:dyDescent="0.3">
      <c r="A135" s="76"/>
      <c r="B135" s="72"/>
      <c r="C135" s="66"/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/>
    </row>
    <row r="136" spans="1:19" s="30" customFormat="1" ht="18.75" x14ac:dyDescent="0.3">
      <c r="A136" s="72"/>
      <c r="B136" s="72"/>
      <c r="C136" s="66"/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7"/>
      <c r="P136" s="77"/>
      <c r="Q136" s="79"/>
      <c r="R136" s="79"/>
      <c r="S136" s="79"/>
    </row>
    <row r="137" spans="1:19" s="30" customFormat="1" ht="18.75" x14ac:dyDescent="0.3">
      <c r="A137" s="72"/>
      <c r="B137" s="72"/>
      <c r="C137" s="66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9"/>
      <c r="R137" s="79"/>
      <c r="S137" s="79"/>
    </row>
    <row r="138" spans="1:19" s="30" customFormat="1" ht="18.75" x14ac:dyDescent="0.3">
      <c r="A138" s="72"/>
      <c r="B138" s="72"/>
      <c r="C138" s="66"/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9"/>
      <c r="R138" s="79"/>
      <c r="S138" s="79"/>
    </row>
    <row r="139" spans="1:19" s="30" customFormat="1" ht="18.75" x14ac:dyDescent="0.3">
      <c r="A139" s="72"/>
      <c r="B139" s="72"/>
      <c r="C139" s="72"/>
      <c r="D139" s="79"/>
      <c r="E139" s="79"/>
      <c r="F139" s="79"/>
      <c r="G139" s="79"/>
      <c r="H139" s="79"/>
      <c r="I139" s="79"/>
      <c r="J139" s="79"/>
      <c r="K139" s="79"/>
      <c r="L139" s="79"/>
      <c r="M139" s="79"/>
      <c r="N139" s="79"/>
      <c r="O139" s="79"/>
      <c r="P139" s="77"/>
      <c r="Q139" s="79"/>
      <c r="R139" s="79"/>
      <c r="S139" s="79"/>
    </row>
    <row r="140" spans="1:19" s="30" customFormat="1" ht="18.75" x14ac:dyDescent="0.3">
      <c r="A140" s="72"/>
      <c r="B140" s="72"/>
      <c r="C140" s="72"/>
      <c r="D140" s="79"/>
      <c r="E140" s="79"/>
      <c r="F140" s="79"/>
      <c r="G140" s="79"/>
      <c r="H140" s="79"/>
      <c r="I140" s="79"/>
      <c r="J140" s="79"/>
      <c r="K140" s="79"/>
      <c r="L140" s="79"/>
      <c r="M140" s="79"/>
      <c r="N140" s="79"/>
      <c r="O140" s="79"/>
      <c r="P140" s="79"/>
      <c r="Q140" s="79"/>
      <c r="R140" s="79"/>
      <c r="S140" s="79"/>
    </row>
    <row r="141" spans="1:19" s="30" customFormat="1" ht="18.75" x14ac:dyDescent="0.3">
      <c r="A141" s="72"/>
      <c r="B141" s="72"/>
      <c r="C141" s="72"/>
      <c r="D141" s="79"/>
      <c r="E141" s="79"/>
      <c r="F141" s="79"/>
      <c r="G141" s="79"/>
      <c r="H141" s="79"/>
      <c r="I141" s="79"/>
      <c r="J141" s="79"/>
      <c r="K141" s="79"/>
      <c r="L141" s="79"/>
      <c r="M141" s="79"/>
      <c r="N141" s="79"/>
      <c r="O141" s="79"/>
      <c r="P141" s="79"/>
      <c r="Q141" s="79"/>
      <c r="R141" s="79"/>
      <c r="S141" s="79"/>
    </row>
    <row r="142" spans="1:19" s="30" customFormat="1" ht="18.75" x14ac:dyDescent="0.3">
      <c r="A142" s="72"/>
      <c r="B142" s="72"/>
      <c r="C142" s="72"/>
      <c r="D142" s="79"/>
      <c r="E142" s="79"/>
      <c r="F142" s="79"/>
      <c r="G142" s="79"/>
      <c r="H142" s="79"/>
      <c r="I142" s="79"/>
      <c r="J142" s="79"/>
      <c r="K142" s="79"/>
      <c r="L142" s="79"/>
      <c r="M142" s="79"/>
      <c r="N142" s="79"/>
      <c r="O142" s="79"/>
      <c r="P142" s="79"/>
      <c r="Q142" s="79"/>
      <c r="R142" s="79"/>
      <c r="S142" s="79"/>
    </row>
    <row r="143" spans="1:19" s="30" customFormat="1" ht="18.75" x14ac:dyDescent="0.3">
      <c r="A143" s="72"/>
      <c r="B143" s="72"/>
      <c r="C143" s="72"/>
      <c r="D143" s="79"/>
      <c r="E143" s="79"/>
      <c r="F143" s="79"/>
      <c r="G143" s="79"/>
      <c r="H143" s="79"/>
      <c r="I143" s="79"/>
      <c r="J143" s="79"/>
      <c r="K143" s="79"/>
      <c r="L143" s="79"/>
      <c r="M143" s="79"/>
      <c r="N143" s="79"/>
      <c r="O143" s="79"/>
      <c r="P143" s="79"/>
      <c r="Q143" s="79"/>
      <c r="R143" s="79"/>
      <c r="S143" s="79"/>
    </row>
    <row r="144" spans="1:19" s="30" customFormat="1" ht="18.75" x14ac:dyDescent="0.3">
      <c r="A144" s="72"/>
      <c r="B144" s="72"/>
      <c r="C144" s="72"/>
      <c r="D144" s="79"/>
      <c r="E144" s="79"/>
      <c r="F144" s="79"/>
      <c r="G144" s="79"/>
      <c r="H144" s="79"/>
      <c r="I144" s="79"/>
      <c r="J144" s="79"/>
      <c r="K144" s="79"/>
      <c r="L144" s="79"/>
      <c r="M144" s="79"/>
      <c r="N144" s="79"/>
      <c r="O144" s="79"/>
      <c r="P144" s="79"/>
      <c r="Q144" s="79"/>
      <c r="R144" s="79"/>
      <c r="S144" s="79"/>
    </row>
    <row r="145" spans="1:19" s="30" customFormat="1" ht="18.75" x14ac:dyDescent="0.3">
      <c r="A145" s="72"/>
      <c r="B145" s="72"/>
      <c r="P145" s="79"/>
      <c r="Q145" s="79"/>
      <c r="R145" s="79"/>
      <c r="S145" s="79"/>
    </row>
    <row r="146" spans="1:19" s="30" customFormat="1" x14ac:dyDescent="0.25">
      <c r="Q146" s="79"/>
      <c r="R146" s="79"/>
      <c r="S146" s="79"/>
    </row>
    <row r="147" spans="1:19" s="30" customFormat="1" ht="149.25" customHeight="1" x14ac:dyDescent="0.25">
      <c r="Q147" s="79"/>
      <c r="R147" s="79"/>
      <c r="S147" s="79"/>
    </row>
    <row r="148" spans="1:19" s="30" customFormat="1" x14ac:dyDescent="0.25">
      <c r="Q148" s="79"/>
      <c r="R148" s="79"/>
      <c r="S148" s="79"/>
    </row>
    <row r="149" spans="1:19" s="30" customFormat="1" x14ac:dyDescent="0.25">
      <c r="Q149" s="79"/>
      <c r="R149" s="79"/>
      <c r="S149" s="79"/>
    </row>
    <row r="150" spans="1:19" s="30" customFormat="1" x14ac:dyDescent="0.25">
      <c r="Q150" s="79"/>
      <c r="R150" s="79"/>
      <c r="S150" s="79"/>
    </row>
    <row r="151" spans="1:19" s="30" customFormat="1" x14ac:dyDescent="0.25">
      <c r="Q151" s="79"/>
      <c r="R151" s="79"/>
      <c r="S151" s="79"/>
    </row>
    <row r="152" spans="1:19" s="30" customFormat="1" x14ac:dyDescent="0.25">
      <c r="Q152" s="79"/>
      <c r="R152" s="79"/>
      <c r="S152" s="79"/>
    </row>
    <row r="153" spans="1:19" s="30" customFormat="1" x14ac:dyDescent="0.25">
      <c r="Q153" s="79"/>
      <c r="R153" s="79"/>
      <c r="S153" s="79"/>
    </row>
    <row r="154" spans="1:19" s="30" customFormat="1" x14ac:dyDescent="0.25">
      <c r="Q154" s="79"/>
      <c r="R154" s="79"/>
      <c r="S154" s="79"/>
    </row>
    <row r="155" spans="1:19" s="30" customFormat="1" x14ac:dyDescent="0.25">
      <c r="Q155" s="79"/>
      <c r="R155" s="79"/>
      <c r="S155" s="79"/>
    </row>
    <row r="156" spans="1:19" s="30" customFormat="1" x14ac:dyDescent="0.25">
      <c r="Q156" s="79"/>
      <c r="R156" s="79"/>
      <c r="S156" s="79"/>
    </row>
    <row r="157" spans="1:19" s="30" customFormat="1" x14ac:dyDescent="0.25">
      <c r="Q157" s="79"/>
      <c r="R157" s="79"/>
      <c r="S157" s="79"/>
    </row>
    <row r="158" spans="1:19" s="30" customFormat="1" x14ac:dyDescent="0.25">
      <c r="Q158" s="79"/>
      <c r="R158" s="79"/>
      <c r="S158" s="79"/>
    </row>
    <row r="159" spans="1:19" s="30" customFormat="1" x14ac:dyDescent="0.25">
      <c r="Q159" s="79"/>
      <c r="R159" s="79"/>
      <c r="S159" s="79"/>
    </row>
    <row r="160" spans="1:19" s="30" customFormat="1" x14ac:dyDescent="0.25">
      <c r="Q160" s="79"/>
      <c r="R160" s="79"/>
      <c r="S160" s="79"/>
    </row>
    <row r="161" spans="17:19" s="30" customFormat="1" x14ac:dyDescent="0.25">
      <c r="Q161" s="79"/>
      <c r="R161" s="79"/>
      <c r="S161" s="79"/>
    </row>
    <row r="162" spans="17:19" s="30" customFormat="1" x14ac:dyDescent="0.25">
      <c r="Q162" s="79"/>
      <c r="R162" s="79"/>
      <c r="S162" s="79"/>
    </row>
    <row r="163" spans="17:19" s="30" customFormat="1" x14ac:dyDescent="0.25">
      <c r="Q163" s="79"/>
      <c r="R163" s="79"/>
      <c r="S163" s="79"/>
    </row>
    <row r="164" spans="17:19" s="30" customFormat="1" x14ac:dyDescent="0.25">
      <c r="Q164" s="79"/>
      <c r="R164" s="79"/>
      <c r="S164" s="79"/>
    </row>
    <row r="165" spans="17:19" x14ac:dyDescent="0.25">
      <c r="Q165" s="80"/>
      <c r="R165" s="80"/>
      <c r="S165" s="80"/>
    </row>
    <row r="166" spans="17:19" x14ac:dyDescent="0.25">
      <c r="Q166" s="80"/>
      <c r="R166" s="80"/>
      <c r="S166" s="80"/>
    </row>
    <row r="167" spans="17:19" x14ac:dyDescent="0.25">
      <c r="Q167" s="80"/>
      <c r="R167" s="80"/>
      <c r="S167" s="80"/>
    </row>
    <row r="168" spans="17:19" x14ac:dyDescent="0.25">
      <c r="Q168" s="80"/>
      <c r="R168" s="80"/>
      <c r="S168" s="80"/>
    </row>
    <row r="169" spans="17:19" x14ac:dyDescent="0.25">
      <c r="Q169" s="80"/>
      <c r="R169" s="80"/>
      <c r="S169" s="80"/>
    </row>
    <row r="170" spans="17:19" x14ac:dyDescent="0.25">
      <c r="Q170" s="80"/>
      <c r="R170" s="80"/>
      <c r="S170" s="80"/>
    </row>
    <row r="171" spans="17:19" x14ac:dyDescent="0.25">
      <c r="Q171" s="80"/>
      <c r="R171" s="80"/>
      <c r="S171" s="80"/>
    </row>
    <row r="172" spans="17:19" x14ac:dyDescent="0.25">
      <c r="Q172" s="80"/>
      <c r="R172" s="80"/>
      <c r="S172" s="80"/>
    </row>
    <row r="173" spans="17:19" x14ac:dyDescent="0.25">
      <c r="Q173" s="80"/>
      <c r="R173" s="80"/>
      <c r="S173" s="80"/>
    </row>
    <row r="174" spans="17:19" x14ac:dyDescent="0.25">
      <c r="Q174" s="80"/>
      <c r="R174" s="80"/>
      <c r="S174" s="80"/>
    </row>
    <row r="175" spans="17:19" x14ac:dyDescent="0.25">
      <c r="Q175" s="80"/>
      <c r="R175" s="80"/>
      <c r="S175" s="80"/>
    </row>
    <row r="176" spans="17:19" x14ac:dyDescent="0.25">
      <c r="Q176" s="80"/>
      <c r="R176" s="80"/>
      <c r="S176" s="80"/>
    </row>
    <row r="177" spans="17:19" x14ac:dyDescent="0.25">
      <c r="Q177" s="80"/>
      <c r="R177" s="80"/>
      <c r="S177" s="80"/>
    </row>
    <row r="178" spans="17:19" x14ac:dyDescent="0.25">
      <c r="Q178" s="80"/>
      <c r="R178" s="80"/>
      <c r="S178" s="80"/>
    </row>
    <row r="179" spans="17:19" x14ac:dyDescent="0.25">
      <c r="Q179" s="80"/>
      <c r="R179" s="80"/>
      <c r="S179" s="80"/>
    </row>
    <row r="180" spans="17:19" x14ac:dyDescent="0.25">
      <c r="Q180" s="80"/>
      <c r="R180" s="80"/>
      <c r="S180" s="80"/>
    </row>
    <row r="181" spans="17:19" x14ac:dyDescent="0.25">
      <c r="Q181" s="80"/>
      <c r="R181" s="80"/>
      <c r="S181" s="80"/>
    </row>
    <row r="182" spans="17:19" x14ac:dyDescent="0.25">
      <c r="Q182" s="80"/>
      <c r="R182" s="80"/>
      <c r="S182" s="80"/>
    </row>
    <row r="183" spans="17:19" x14ac:dyDescent="0.25">
      <c r="Q183" s="80"/>
      <c r="R183" s="80"/>
      <c r="S183" s="80"/>
    </row>
    <row r="184" spans="17:19" x14ac:dyDescent="0.25">
      <c r="Q184" s="80"/>
      <c r="R184" s="80"/>
      <c r="S184" s="80"/>
    </row>
    <row r="185" spans="17:19" x14ac:dyDescent="0.25">
      <c r="Q185" s="80"/>
      <c r="R185" s="80"/>
      <c r="S185" s="80"/>
    </row>
    <row r="186" spans="17:19" x14ac:dyDescent="0.25">
      <c r="Q186" s="80"/>
      <c r="R186" s="80"/>
      <c r="S186" s="80"/>
    </row>
    <row r="187" spans="17:19" x14ac:dyDescent="0.25">
      <c r="Q187" s="80"/>
      <c r="R187" s="80"/>
      <c r="S187" s="80"/>
    </row>
    <row r="188" spans="17:19" x14ac:dyDescent="0.25">
      <c r="Q188" s="80"/>
      <c r="R188" s="80"/>
      <c r="S188" s="80"/>
    </row>
    <row r="189" spans="17:19" x14ac:dyDescent="0.25">
      <c r="Q189" s="80"/>
      <c r="R189" s="80"/>
      <c r="S189" s="80"/>
    </row>
    <row r="190" spans="17:19" x14ac:dyDescent="0.25">
      <c r="Q190" s="80"/>
      <c r="R190" s="80"/>
      <c r="S190" s="80"/>
    </row>
    <row r="191" spans="17:19" x14ac:dyDescent="0.25">
      <c r="Q191" s="80"/>
      <c r="R191" s="80"/>
      <c r="S191" s="80"/>
    </row>
    <row r="192" spans="17:19" x14ac:dyDescent="0.25">
      <c r="Q192" s="80"/>
      <c r="R192" s="80"/>
      <c r="S192" s="80"/>
    </row>
    <row r="193" spans="17:19" x14ac:dyDescent="0.25">
      <c r="Q193" s="80"/>
      <c r="R193" s="80"/>
      <c r="S193" s="80"/>
    </row>
    <row r="194" spans="17:19" x14ac:dyDescent="0.25">
      <c r="Q194" s="80"/>
      <c r="R194" s="80"/>
      <c r="S194" s="80"/>
    </row>
    <row r="195" spans="17:19" x14ac:dyDescent="0.25">
      <c r="Q195" s="80"/>
      <c r="R195" s="80"/>
      <c r="S195" s="80"/>
    </row>
    <row r="196" spans="17:19" x14ac:dyDescent="0.25">
      <c r="Q196" s="80"/>
      <c r="R196" s="80"/>
      <c r="S196" s="80"/>
    </row>
    <row r="197" spans="17:19" x14ac:dyDescent="0.25">
      <c r="Q197" s="80"/>
      <c r="R197" s="80"/>
      <c r="S197" s="80"/>
    </row>
    <row r="198" spans="17:19" x14ac:dyDescent="0.25">
      <c r="Q198" s="80"/>
      <c r="R198" s="80"/>
      <c r="S198" s="80"/>
    </row>
    <row r="199" spans="17:19" x14ac:dyDescent="0.25">
      <c r="Q199" s="80"/>
      <c r="R199" s="80"/>
      <c r="S199" s="80"/>
    </row>
    <row r="200" spans="17:19" x14ac:dyDescent="0.25">
      <c r="Q200" s="80"/>
      <c r="R200" s="80"/>
      <c r="S200" s="80"/>
    </row>
    <row r="201" spans="17:19" x14ac:dyDescent="0.25">
      <c r="Q201" s="80"/>
      <c r="R201" s="80"/>
      <c r="S201" s="80"/>
    </row>
    <row r="202" spans="17:19" x14ac:dyDescent="0.25">
      <c r="Q202" s="80"/>
      <c r="R202" s="80"/>
      <c r="S202" s="80"/>
    </row>
    <row r="203" spans="17:19" x14ac:dyDescent="0.25">
      <c r="Q203" s="80"/>
      <c r="R203" s="80"/>
      <c r="S203" s="80"/>
    </row>
    <row r="204" spans="17:19" x14ac:dyDescent="0.25">
      <c r="Q204" s="80"/>
      <c r="R204" s="80"/>
      <c r="S204" s="80"/>
    </row>
    <row r="205" spans="17:19" x14ac:dyDescent="0.25">
      <c r="Q205" s="80"/>
      <c r="R205" s="80"/>
      <c r="S205" s="80"/>
    </row>
    <row r="206" spans="17:19" x14ac:dyDescent="0.25">
      <c r="Q206" s="80"/>
      <c r="R206" s="80"/>
      <c r="S206" s="80"/>
    </row>
    <row r="207" spans="17:19" x14ac:dyDescent="0.25">
      <c r="Q207" s="80"/>
      <c r="R207" s="80"/>
      <c r="S207" s="80"/>
    </row>
    <row r="208" spans="17:19" x14ac:dyDescent="0.25">
      <c r="Q208" s="80"/>
      <c r="R208" s="80"/>
      <c r="S208" s="80"/>
    </row>
    <row r="209" spans="17:19" x14ac:dyDescent="0.25">
      <c r="Q209" s="80"/>
      <c r="R209" s="80"/>
      <c r="S209" s="80"/>
    </row>
    <row r="210" spans="17:19" x14ac:dyDescent="0.25">
      <c r="Q210" s="80"/>
      <c r="R210" s="80"/>
      <c r="S210" s="80"/>
    </row>
    <row r="211" spans="17:19" x14ac:dyDescent="0.25">
      <c r="Q211" s="80"/>
      <c r="R211" s="80"/>
      <c r="S211" s="80"/>
    </row>
    <row r="212" spans="17:19" x14ac:dyDescent="0.25">
      <c r="Q212" s="80"/>
      <c r="R212" s="80"/>
      <c r="S212" s="80"/>
    </row>
    <row r="213" spans="17:19" x14ac:dyDescent="0.25">
      <c r="Q213" s="80"/>
      <c r="R213" s="80"/>
      <c r="S213" s="80"/>
    </row>
    <row r="214" spans="17:19" x14ac:dyDescent="0.25">
      <c r="Q214" s="80"/>
      <c r="R214" s="80"/>
      <c r="S214" s="80"/>
    </row>
    <row r="215" spans="17:19" x14ac:dyDescent="0.25">
      <c r="Q215" s="80"/>
      <c r="R215" s="80"/>
      <c r="S215" s="80"/>
    </row>
    <row r="216" spans="17:19" x14ac:dyDescent="0.25">
      <c r="Q216" s="80"/>
      <c r="R216" s="80"/>
      <c r="S216" s="80"/>
    </row>
    <row r="217" spans="17:19" x14ac:dyDescent="0.25">
      <c r="Q217" s="80"/>
      <c r="R217" s="80"/>
      <c r="S217" s="80"/>
    </row>
    <row r="218" spans="17:19" x14ac:dyDescent="0.25">
      <c r="Q218" s="80"/>
      <c r="R218" s="80"/>
      <c r="S218" s="80"/>
    </row>
    <row r="219" spans="17:19" x14ac:dyDescent="0.25">
      <c r="Q219" s="80"/>
      <c r="R219" s="80"/>
      <c r="S219" s="80"/>
    </row>
    <row r="220" spans="17:19" x14ac:dyDescent="0.25">
      <c r="Q220" s="80"/>
      <c r="R220" s="80"/>
      <c r="S220" s="80"/>
    </row>
    <row r="221" spans="17:19" x14ac:dyDescent="0.25">
      <c r="Q221" s="80"/>
      <c r="R221" s="80"/>
      <c r="S221" s="80"/>
    </row>
    <row r="222" spans="17:19" x14ac:dyDescent="0.25">
      <c r="Q222" s="80"/>
      <c r="R222" s="80"/>
      <c r="S222" s="80"/>
    </row>
    <row r="223" spans="17:19" x14ac:dyDescent="0.25">
      <c r="Q223" s="80"/>
      <c r="R223" s="80"/>
      <c r="S223" s="80"/>
    </row>
    <row r="224" spans="17:19" x14ac:dyDescent="0.25">
      <c r="Q224" s="80"/>
      <c r="R224" s="80"/>
      <c r="S224" s="80"/>
    </row>
    <row r="225" spans="17:19" x14ac:dyDescent="0.25">
      <c r="Q225" s="80"/>
      <c r="R225" s="80"/>
      <c r="S225" s="80"/>
    </row>
    <row r="226" spans="17:19" x14ac:dyDescent="0.25">
      <c r="Q226" s="80"/>
      <c r="R226" s="80"/>
      <c r="S226" s="80"/>
    </row>
    <row r="227" spans="17:19" x14ac:dyDescent="0.25">
      <c r="Q227" s="80"/>
      <c r="R227" s="80"/>
      <c r="S227" s="80"/>
    </row>
    <row r="228" spans="17:19" x14ac:dyDescent="0.25">
      <c r="Q228" s="80"/>
      <c r="R228" s="80"/>
      <c r="S228" s="80"/>
    </row>
    <row r="229" spans="17:19" x14ac:dyDescent="0.25">
      <c r="Q229" s="80"/>
      <c r="R229" s="80"/>
      <c r="S229" s="80"/>
    </row>
    <row r="230" spans="17:19" x14ac:dyDescent="0.25">
      <c r="Q230" s="80"/>
      <c r="R230" s="80"/>
      <c r="S230" s="80"/>
    </row>
    <row r="231" spans="17:19" x14ac:dyDescent="0.25">
      <c r="Q231" s="80"/>
      <c r="R231" s="80"/>
      <c r="S231" s="80"/>
    </row>
    <row r="232" spans="17:19" x14ac:dyDescent="0.25">
      <c r="Q232" s="80"/>
      <c r="R232" s="80"/>
      <c r="S232" s="80"/>
    </row>
    <row r="233" spans="17:19" x14ac:dyDescent="0.25">
      <c r="Q233" s="80"/>
      <c r="R233" s="80"/>
      <c r="S233" s="80"/>
    </row>
    <row r="234" spans="17:19" x14ac:dyDescent="0.25">
      <c r="Q234" s="80"/>
      <c r="R234" s="80"/>
      <c r="S234" s="80"/>
    </row>
    <row r="235" spans="17:19" x14ac:dyDescent="0.25">
      <c r="Q235" s="80"/>
      <c r="R235" s="80"/>
      <c r="S235" s="80"/>
    </row>
    <row r="236" spans="17:19" x14ac:dyDescent="0.25">
      <c r="Q236" s="80"/>
      <c r="R236" s="80"/>
      <c r="S236" s="80"/>
    </row>
    <row r="237" spans="17:19" x14ac:dyDescent="0.25">
      <c r="Q237" s="80"/>
      <c r="R237" s="80"/>
      <c r="S237" s="80"/>
    </row>
    <row r="238" spans="17:19" x14ac:dyDescent="0.25">
      <c r="Q238" s="80"/>
      <c r="R238" s="80"/>
      <c r="S238" s="80"/>
    </row>
    <row r="239" spans="17:19" x14ac:dyDescent="0.25">
      <c r="Q239" s="80"/>
      <c r="R239" s="80"/>
      <c r="S239" s="80"/>
    </row>
    <row r="240" spans="17:19" x14ac:dyDescent="0.25">
      <c r="Q240" s="80"/>
      <c r="R240" s="80"/>
      <c r="S240" s="80"/>
    </row>
    <row r="241" spans="17:19" x14ac:dyDescent="0.25">
      <c r="Q241" s="80"/>
      <c r="R241" s="80"/>
      <c r="S241" s="80"/>
    </row>
    <row r="242" spans="17:19" x14ac:dyDescent="0.25">
      <c r="Q242" s="80"/>
      <c r="R242" s="80"/>
      <c r="S242" s="80"/>
    </row>
    <row r="243" spans="17:19" x14ac:dyDescent="0.25">
      <c r="Q243" s="80"/>
      <c r="R243" s="80"/>
      <c r="S243" s="80"/>
    </row>
    <row r="244" spans="17:19" x14ac:dyDescent="0.25">
      <c r="Q244" s="80"/>
      <c r="R244" s="80"/>
      <c r="S244" s="80"/>
    </row>
    <row r="245" spans="17:19" x14ac:dyDescent="0.25">
      <c r="Q245" s="80"/>
      <c r="R245" s="80"/>
      <c r="S245" s="80"/>
    </row>
    <row r="246" spans="17:19" x14ac:dyDescent="0.25">
      <c r="Q246" s="80"/>
      <c r="R246" s="80"/>
      <c r="S246" s="80"/>
    </row>
    <row r="247" spans="17:19" x14ac:dyDescent="0.25">
      <c r="Q247" s="80"/>
      <c r="R247" s="80"/>
      <c r="S247" s="80"/>
    </row>
    <row r="248" spans="17:19" x14ac:dyDescent="0.25">
      <c r="Q248" s="80"/>
      <c r="R248" s="80"/>
      <c r="S248" s="80"/>
    </row>
    <row r="249" spans="17:19" x14ac:dyDescent="0.25">
      <c r="Q249" s="80"/>
      <c r="R249" s="80"/>
      <c r="S249" s="80"/>
    </row>
    <row r="250" spans="17:19" x14ac:dyDescent="0.25">
      <c r="Q250" s="80"/>
      <c r="R250" s="80"/>
      <c r="S250" s="80"/>
    </row>
    <row r="251" spans="17:19" x14ac:dyDescent="0.25">
      <c r="Q251" s="80"/>
      <c r="R251" s="80"/>
      <c r="S251" s="80"/>
    </row>
    <row r="252" spans="17:19" x14ac:dyDescent="0.25">
      <c r="Q252" s="80"/>
      <c r="R252" s="80"/>
      <c r="S252" s="80"/>
    </row>
    <row r="253" spans="17:19" x14ac:dyDescent="0.25">
      <c r="Q253" s="80"/>
      <c r="R253" s="80"/>
      <c r="S253" s="80"/>
    </row>
    <row r="254" spans="17:19" x14ac:dyDescent="0.25">
      <c r="Q254" s="80"/>
      <c r="R254" s="80"/>
      <c r="S254" s="80"/>
    </row>
    <row r="255" spans="17:19" x14ac:dyDescent="0.25">
      <c r="Q255" s="80"/>
      <c r="R255" s="80"/>
      <c r="S255" s="80"/>
    </row>
    <row r="256" spans="17:19" x14ac:dyDescent="0.25">
      <c r="Q256" s="80"/>
      <c r="R256" s="80"/>
      <c r="S256" s="80"/>
    </row>
    <row r="257" spans="17:19" x14ac:dyDescent="0.25">
      <c r="Q257" s="80"/>
      <c r="R257" s="80"/>
      <c r="S257" s="80"/>
    </row>
    <row r="258" spans="17:19" x14ac:dyDescent="0.25">
      <c r="Q258" s="80"/>
      <c r="R258" s="80"/>
      <c r="S258" s="80"/>
    </row>
    <row r="259" spans="17:19" x14ac:dyDescent="0.25">
      <c r="Q259" s="80"/>
      <c r="R259" s="80"/>
      <c r="S259" s="80"/>
    </row>
    <row r="260" spans="17:19" x14ac:dyDescent="0.25">
      <c r="Q260" s="80"/>
      <c r="R260" s="80"/>
      <c r="S260" s="80"/>
    </row>
    <row r="261" spans="17:19" x14ac:dyDescent="0.25">
      <c r="Q261" s="80"/>
      <c r="R261" s="80"/>
      <c r="S261" s="80"/>
    </row>
    <row r="262" spans="17:19" x14ac:dyDescent="0.25">
      <c r="Q262" s="80"/>
      <c r="R262" s="80"/>
      <c r="S262" s="80"/>
    </row>
    <row r="263" spans="17:19" x14ac:dyDescent="0.25">
      <c r="Q263" s="80"/>
      <c r="R263" s="80"/>
      <c r="S263" s="80"/>
    </row>
    <row r="264" spans="17:19" x14ac:dyDescent="0.25">
      <c r="Q264" s="80"/>
      <c r="R264" s="80"/>
      <c r="S264" s="80"/>
    </row>
    <row r="265" spans="17:19" x14ac:dyDescent="0.25">
      <c r="Q265" s="80"/>
      <c r="R265" s="80"/>
      <c r="S265" s="80"/>
    </row>
    <row r="266" spans="17:19" x14ac:dyDescent="0.25">
      <c r="Q266" s="80"/>
      <c r="R266" s="80"/>
      <c r="S266" s="80"/>
    </row>
    <row r="267" spans="17:19" x14ac:dyDescent="0.25">
      <c r="Q267" s="80"/>
      <c r="R267" s="80"/>
      <c r="S267" s="80"/>
    </row>
    <row r="268" spans="17:19" x14ac:dyDescent="0.25">
      <c r="Q268" s="80"/>
      <c r="R268" s="80"/>
      <c r="S268" s="80"/>
    </row>
    <row r="269" spans="17:19" x14ac:dyDescent="0.25">
      <c r="Q269" s="80"/>
      <c r="R269" s="80"/>
      <c r="S269" s="80"/>
    </row>
    <row r="270" spans="17:19" x14ac:dyDescent="0.25">
      <c r="Q270" s="80"/>
      <c r="R270" s="80"/>
      <c r="S270" s="80"/>
    </row>
    <row r="271" spans="17:19" x14ac:dyDescent="0.25">
      <c r="Q271" s="80"/>
      <c r="R271" s="80"/>
      <c r="S271" s="80"/>
    </row>
    <row r="272" spans="17:19" x14ac:dyDescent="0.25">
      <c r="Q272" s="80"/>
      <c r="R272" s="80"/>
      <c r="S272" s="80"/>
    </row>
    <row r="273" spans="3:19" x14ac:dyDescent="0.25">
      <c r="Q273" s="80"/>
      <c r="R273" s="80"/>
      <c r="S273" s="80"/>
    </row>
    <row r="274" spans="3:19" x14ac:dyDescent="0.25">
      <c r="Q274" s="80"/>
      <c r="R274" s="80"/>
      <c r="S274" s="80"/>
    </row>
    <row r="275" spans="3:19" x14ac:dyDescent="0.25">
      <c r="Q275" s="80"/>
      <c r="R275" s="80"/>
      <c r="S275" s="80"/>
    </row>
    <row r="276" spans="3:19" x14ac:dyDescent="0.25">
      <c r="Q276" s="80"/>
      <c r="R276" s="80"/>
      <c r="S276" s="80"/>
    </row>
    <row r="277" spans="3:19" x14ac:dyDescent="0.25">
      <c r="Q277" s="80"/>
      <c r="R277" s="80"/>
      <c r="S277" s="80"/>
    </row>
    <row r="278" spans="3:19" x14ac:dyDescent="0.25">
      <c r="Q278" s="80"/>
      <c r="R278" s="80"/>
      <c r="S278" s="80"/>
    </row>
    <row r="279" spans="3:19" x14ac:dyDescent="0.25">
      <c r="Q279" s="80"/>
      <c r="R279" s="80"/>
      <c r="S279" s="80"/>
    </row>
    <row r="280" spans="3:19" x14ac:dyDescent="0.25">
      <c r="Q280" s="80"/>
      <c r="R280" s="80"/>
      <c r="S280" s="80"/>
    </row>
    <row r="281" spans="3:19" x14ac:dyDescent="0.25">
      <c r="Q281" s="80"/>
      <c r="R281" s="80"/>
      <c r="S281" s="80"/>
    </row>
    <row r="282" spans="3:19" x14ac:dyDescent="0.25">
      <c r="Q282" s="80"/>
      <c r="R282" s="80"/>
      <c r="S282" s="80"/>
    </row>
    <row r="283" spans="3:19" x14ac:dyDescent="0.25">
      <c r="Q283" s="80"/>
      <c r="R283" s="80"/>
      <c r="S283" s="80"/>
    </row>
    <row r="284" spans="3:19" x14ac:dyDescent="0.25">
      <c r="Q284" s="80"/>
      <c r="R284" s="80"/>
      <c r="S284" s="80"/>
    </row>
    <row r="285" spans="3:19" x14ac:dyDescent="0.25">
      <c r="Q285" s="80"/>
      <c r="R285" s="80"/>
      <c r="S285" s="80"/>
    </row>
    <row r="286" spans="3:19" x14ac:dyDescent="0.25">
      <c r="Q286" s="80"/>
      <c r="R286" s="80"/>
      <c r="S286" s="80"/>
    </row>
    <row r="287" spans="3:19" x14ac:dyDescent="0.25">
      <c r="Q287" s="80"/>
      <c r="R287" s="80"/>
      <c r="S287" s="80"/>
    </row>
    <row r="288" spans="3:19" x14ac:dyDescent="0.25">
      <c r="C288" s="80"/>
      <c r="D288" s="80"/>
      <c r="E288" s="80"/>
      <c r="F288" s="80"/>
      <c r="G288" s="80"/>
      <c r="H288" s="80"/>
      <c r="I288" s="80"/>
      <c r="J288" s="80"/>
      <c r="K288" s="80"/>
      <c r="L288" s="80"/>
      <c r="M288" s="80"/>
      <c r="N288" s="80"/>
      <c r="O288" s="80"/>
      <c r="Q288" s="80"/>
      <c r="R288" s="80"/>
      <c r="S288" s="80"/>
    </row>
    <row r="289" spans="3:19" x14ac:dyDescent="0.25">
      <c r="C289" s="80"/>
      <c r="D289" s="80"/>
      <c r="E289" s="80"/>
      <c r="F289" s="80"/>
      <c r="G289" s="80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</row>
    <row r="290" spans="3:19" x14ac:dyDescent="0.25">
      <c r="C290" s="80"/>
      <c r="D290" s="80"/>
      <c r="E290" s="80"/>
      <c r="F290" s="80"/>
      <c r="G290" s="80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</row>
    <row r="291" spans="3:19" x14ac:dyDescent="0.25">
      <c r="C291" s="80"/>
      <c r="D291" s="80"/>
      <c r="E291" s="80"/>
      <c r="F291" s="80"/>
      <c r="G291" s="80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</row>
    <row r="292" spans="3:19" x14ac:dyDescent="0.25">
      <c r="C292" s="80"/>
      <c r="D292" s="80"/>
      <c r="E292" s="80"/>
      <c r="F292" s="80"/>
      <c r="G292" s="80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</row>
    <row r="293" spans="3:19" x14ac:dyDescent="0.25">
      <c r="C293" s="80"/>
      <c r="D293" s="80"/>
      <c r="E293" s="80"/>
      <c r="F293" s="80"/>
      <c r="G293" s="80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</row>
    <row r="294" spans="3:19" x14ac:dyDescent="0.25">
      <c r="C294" s="80"/>
      <c r="D294" s="80"/>
      <c r="E294" s="80"/>
      <c r="F294" s="80"/>
      <c r="G294" s="80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</row>
    <row r="295" spans="3:19" x14ac:dyDescent="0.25">
      <c r="C295" s="80"/>
      <c r="D295" s="80"/>
      <c r="E295" s="80"/>
      <c r="F295" s="80"/>
      <c r="G295" s="80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</row>
    <row r="296" spans="3:19" x14ac:dyDescent="0.25">
      <c r="C296" s="80"/>
      <c r="D296" s="80"/>
      <c r="E296" s="80"/>
      <c r="F296" s="80"/>
      <c r="G296" s="80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</row>
    <row r="297" spans="3:19" x14ac:dyDescent="0.25">
      <c r="C297" s="80"/>
      <c r="D297" s="80"/>
      <c r="E297" s="80"/>
      <c r="F297" s="80"/>
      <c r="G297" s="80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</row>
    <row r="298" spans="3:19" x14ac:dyDescent="0.25">
      <c r="C298" s="80"/>
      <c r="D298" s="80"/>
      <c r="E298" s="80"/>
      <c r="F298" s="80"/>
      <c r="G298" s="80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</row>
    <row r="299" spans="3:19" x14ac:dyDescent="0.25">
      <c r="C299" s="80"/>
      <c r="D299" s="80"/>
      <c r="E299" s="80"/>
      <c r="F299" s="80"/>
      <c r="G299" s="80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</row>
    <row r="300" spans="3:19" x14ac:dyDescent="0.25">
      <c r="C300" s="80"/>
      <c r="D300" s="80"/>
      <c r="E300" s="80"/>
      <c r="F300" s="80"/>
      <c r="G300" s="80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</row>
    <row r="301" spans="3:19" x14ac:dyDescent="0.25">
      <c r="C301" s="80"/>
      <c r="D301" s="80"/>
      <c r="E301" s="80"/>
      <c r="F301" s="80"/>
      <c r="G301" s="80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</row>
    <row r="302" spans="3:19" x14ac:dyDescent="0.25">
      <c r="C302" s="80"/>
      <c r="D302" s="80"/>
      <c r="E302" s="80"/>
      <c r="F302" s="80"/>
      <c r="G302" s="80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</row>
    <row r="303" spans="3:19" x14ac:dyDescent="0.25">
      <c r="C303" s="80"/>
      <c r="D303" s="80"/>
      <c r="E303" s="80"/>
      <c r="F303" s="80"/>
      <c r="G303" s="80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</row>
    <row r="304" spans="3:19" x14ac:dyDescent="0.25">
      <c r="C304" s="80"/>
      <c r="D304" s="80"/>
      <c r="E304" s="80"/>
      <c r="F304" s="80"/>
      <c r="G304" s="80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</row>
    <row r="305" spans="3:19" x14ac:dyDescent="0.25">
      <c r="C305" s="80"/>
      <c r="D305" s="80"/>
      <c r="E305" s="80"/>
      <c r="F305" s="80"/>
      <c r="G305" s="80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</row>
    <row r="306" spans="3:19" x14ac:dyDescent="0.25">
      <c r="C306" s="80"/>
      <c r="D306" s="80"/>
      <c r="E306" s="80"/>
      <c r="F306" s="80"/>
      <c r="G306" s="80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</row>
    <row r="307" spans="3:19" x14ac:dyDescent="0.25">
      <c r="C307" s="80"/>
      <c r="D307" s="80"/>
      <c r="E307" s="80"/>
      <c r="F307" s="80"/>
      <c r="G307" s="80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</row>
    <row r="308" spans="3:19" x14ac:dyDescent="0.25">
      <c r="C308" s="80"/>
      <c r="D308" s="80"/>
      <c r="E308" s="80"/>
      <c r="F308" s="80"/>
      <c r="G308" s="80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</row>
    <row r="309" spans="3:19" x14ac:dyDescent="0.25">
      <c r="C309" s="80"/>
      <c r="D309" s="80"/>
      <c r="E309" s="80"/>
      <c r="F309" s="80"/>
      <c r="G309" s="80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</row>
    <row r="310" spans="3:19" x14ac:dyDescent="0.25">
      <c r="C310" s="80"/>
      <c r="D310" s="80"/>
      <c r="E310" s="80"/>
      <c r="F310" s="80"/>
      <c r="G310" s="80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</row>
    <row r="311" spans="3:19" x14ac:dyDescent="0.25">
      <c r="C311" s="80"/>
      <c r="D311" s="80"/>
      <c r="E311" s="80"/>
      <c r="F311" s="80"/>
      <c r="G311" s="80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</row>
    <row r="312" spans="3:19" x14ac:dyDescent="0.25">
      <c r="C312" s="80"/>
      <c r="D312" s="80"/>
      <c r="E312" s="80"/>
      <c r="F312" s="80"/>
      <c r="G312" s="80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</row>
    <row r="313" spans="3:19" x14ac:dyDescent="0.25">
      <c r="C313" s="80"/>
      <c r="D313" s="80"/>
      <c r="E313" s="80"/>
      <c r="F313" s="80"/>
      <c r="G313" s="80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</row>
    <row r="314" spans="3:19" x14ac:dyDescent="0.25">
      <c r="C314" s="80"/>
      <c r="D314" s="80"/>
      <c r="E314" s="80"/>
      <c r="F314" s="80"/>
      <c r="G314" s="80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</row>
    <row r="315" spans="3:19" x14ac:dyDescent="0.25">
      <c r="C315" s="80"/>
      <c r="D315" s="80"/>
      <c r="E315" s="80"/>
      <c r="F315" s="80"/>
      <c r="G315" s="80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</row>
    <row r="316" spans="3:19" x14ac:dyDescent="0.25">
      <c r="C316" s="80"/>
      <c r="D316" s="80"/>
      <c r="E316" s="80"/>
      <c r="F316" s="80"/>
      <c r="G316" s="80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</row>
    <row r="317" spans="3:19" x14ac:dyDescent="0.25">
      <c r="C317" s="80"/>
      <c r="D317" s="80"/>
      <c r="E317" s="80"/>
      <c r="F317" s="80"/>
      <c r="G317" s="80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</row>
    <row r="318" spans="3:19" x14ac:dyDescent="0.25">
      <c r="C318" s="80"/>
      <c r="D318" s="80"/>
      <c r="E318" s="80"/>
      <c r="F318" s="80"/>
      <c r="G318" s="80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</row>
    <row r="319" spans="3:19" x14ac:dyDescent="0.25">
      <c r="C319" s="80"/>
      <c r="D319" s="80"/>
      <c r="E319" s="80"/>
      <c r="F319" s="80"/>
      <c r="G319" s="80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</row>
    <row r="320" spans="3:19" x14ac:dyDescent="0.25">
      <c r="C320" s="80"/>
      <c r="D320" s="80"/>
      <c r="E320" s="80"/>
      <c r="F320" s="80"/>
      <c r="G320" s="80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</row>
    <row r="321" spans="3:19" x14ac:dyDescent="0.25">
      <c r="C321" s="80"/>
      <c r="D321" s="80"/>
      <c r="E321" s="80"/>
      <c r="F321" s="80"/>
      <c r="G321" s="80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</row>
    <row r="322" spans="3:19" x14ac:dyDescent="0.25">
      <c r="C322" s="80"/>
      <c r="D322" s="80"/>
      <c r="E322" s="80"/>
      <c r="F322" s="80"/>
      <c r="G322" s="80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</row>
    <row r="323" spans="3:19" x14ac:dyDescent="0.25">
      <c r="C323" s="80"/>
      <c r="D323" s="80"/>
      <c r="E323" s="80"/>
      <c r="F323" s="80"/>
      <c r="G323" s="80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</row>
    <row r="324" spans="3:19" x14ac:dyDescent="0.25">
      <c r="C324" s="80"/>
      <c r="D324" s="80"/>
      <c r="E324" s="80"/>
      <c r="F324" s="80"/>
      <c r="G324" s="80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</row>
    <row r="325" spans="3:19" x14ac:dyDescent="0.25">
      <c r="C325" s="80"/>
      <c r="D325" s="80"/>
      <c r="E325" s="80"/>
      <c r="F325" s="80"/>
      <c r="G325" s="80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</row>
    <row r="326" spans="3:19" x14ac:dyDescent="0.25">
      <c r="C326" s="80"/>
      <c r="D326" s="80"/>
      <c r="E326" s="80"/>
      <c r="F326" s="80"/>
      <c r="G326" s="80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</row>
    <row r="327" spans="3:19" x14ac:dyDescent="0.25">
      <c r="C327" s="80"/>
      <c r="D327" s="80"/>
      <c r="E327" s="80"/>
      <c r="F327" s="80"/>
      <c r="G327" s="80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</row>
    <row r="328" spans="3:19" x14ac:dyDescent="0.25">
      <c r="C328" s="80"/>
      <c r="D328" s="80"/>
      <c r="E328" s="80"/>
      <c r="F328" s="80"/>
      <c r="G328" s="80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</row>
    <row r="329" spans="3:19" x14ac:dyDescent="0.25">
      <c r="C329" s="80"/>
      <c r="D329" s="80"/>
      <c r="E329" s="80"/>
      <c r="F329" s="80"/>
      <c r="G329" s="80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</row>
    <row r="330" spans="3:19" x14ac:dyDescent="0.25">
      <c r="C330" s="80"/>
      <c r="D330" s="80"/>
      <c r="E330" s="80"/>
      <c r="F330" s="80"/>
      <c r="G330" s="80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</row>
    <row r="331" spans="3:19" x14ac:dyDescent="0.25">
      <c r="C331" s="80"/>
      <c r="D331" s="80"/>
      <c r="E331" s="80"/>
      <c r="F331" s="80"/>
      <c r="G331" s="80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</row>
    <row r="332" spans="3:19" x14ac:dyDescent="0.25">
      <c r="C332" s="80"/>
      <c r="D332" s="80"/>
      <c r="E332" s="80"/>
      <c r="F332" s="80"/>
      <c r="G332" s="80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</row>
    <row r="333" spans="3:19" x14ac:dyDescent="0.25">
      <c r="C333" s="80"/>
      <c r="D333" s="80"/>
      <c r="E333" s="80"/>
      <c r="F333" s="80"/>
      <c r="G333" s="80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</row>
    <row r="334" spans="3:19" x14ac:dyDescent="0.25">
      <c r="C334" s="80"/>
      <c r="D334" s="80"/>
      <c r="E334" s="80"/>
      <c r="F334" s="80"/>
      <c r="G334" s="80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</row>
    <row r="335" spans="3:19" x14ac:dyDescent="0.25">
      <c r="C335" s="80"/>
      <c r="D335" s="80"/>
      <c r="E335" s="80"/>
      <c r="F335" s="80"/>
      <c r="G335" s="80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</row>
    <row r="336" spans="3:19" x14ac:dyDescent="0.25">
      <c r="C336" s="80"/>
      <c r="D336" s="80"/>
      <c r="E336" s="80"/>
      <c r="F336" s="80"/>
      <c r="G336" s="80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</row>
    <row r="337" spans="3:19" x14ac:dyDescent="0.25">
      <c r="C337" s="80"/>
      <c r="D337" s="80"/>
      <c r="E337" s="80"/>
      <c r="F337" s="80"/>
      <c r="G337" s="80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</row>
    <row r="338" spans="3:19" x14ac:dyDescent="0.25">
      <c r="C338" s="80"/>
      <c r="D338" s="80"/>
      <c r="E338" s="80"/>
      <c r="F338" s="80"/>
      <c r="G338" s="80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x14ac:dyDescent="0.25">
      <c r="C339" s="80"/>
      <c r="D339" s="80"/>
      <c r="E339" s="80"/>
      <c r="F339" s="80"/>
      <c r="G339" s="80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x14ac:dyDescent="0.25">
      <c r="C340" s="80"/>
      <c r="D340" s="80"/>
      <c r="E340" s="80"/>
      <c r="F340" s="80"/>
      <c r="G340" s="80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x14ac:dyDescent="0.25">
      <c r="C341" s="80"/>
      <c r="D341" s="80"/>
      <c r="E341" s="80"/>
      <c r="F341" s="80"/>
      <c r="G341" s="80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x14ac:dyDescent="0.25">
      <c r="C342" s="80"/>
      <c r="D342" s="80"/>
      <c r="E342" s="80"/>
      <c r="F342" s="80"/>
      <c r="G342" s="80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x14ac:dyDescent="0.25">
      <c r="C343" s="80"/>
      <c r="D343" s="80"/>
      <c r="E343" s="80"/>
      <c r="F343" s="80"/>
      <c r="G343" s="80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x14ac:dyDescent="0.25">
      <c r="P344" s="80"/>
      <c r="Q344" s="80"/>
      <c r="R344" s="80"/>
      <c r="S344" s="80"/>
    </row>
  </sheetData>
  <mergeCells count="5">
    <mergeCell ref="K76:M76"/>
    <mergeCell ref="L77:M77"/>
    <mergeCell ref="C17:D17"/>
    <mergeCell ref="K49:M49"/>
    <mergeCell ref="L52:M52"/>
  </mergeCells>
  <printOptions horizontalCentered="1"/>
  <pageMargins left="0.75" right="0.75" top="0.9" bottom="0.48" header="0.5" footer="0.5"/>
  <pageSetup scale="64" orientation="landscape" r:id="rId1"/>
  <headerFooter alignWithMargins="0"/>
  <rowBreaks count="1" manualBreakCount="1">
    <brk id="42" max="12" man="1"/>
  </rowBreaks>
  <colBreaks count="1" manualBreakCount="1">
    <brk id="13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pageSetUpPr fitToPage="1"/>
  </sheetPr>
  <dimension ref="A1:AQ575"/>
  <sheetViews>
    <sheetView workbookViewId="0"/>
  </sheetViews>
  <sheetFormatPr defaultColWidth="9.33203125" defaultRowHeight="15.75" x14ac:dyDescent="0.25"/>
  <cols>
    <col min="1" max="1" width="9" style="1" customWidth="1"/>
    <col min="2" max="2" width="2.1640625" style="1" customWidth="1"/>
    <col min="3" max="3" width="75.5" style="1" bestFit="1" customWidth="1"/>
    <col min="4" max="4" width="31.1640625" style="1" customWidth="1"/>
    <col min="5" max="5" width="24.1640625" style="1" customWidth="1"/>
    <col min="6" max="6" width="15" style="1" customWidth="1"/>
    <col min="7" max="7" width="20.6640625" style="1" customWidth="1"/>
    <col min="8" max="8" width="18.5" style="1" customWidth="1"/>
    <col min="9" max="9" width="8.6640625" style="1" customWidth="1"/>
    <col min="10" max="10" width="23" style="1" customWidth="1"/>
    <col min="11" max="11" width="9.33203125" style="1" customWidth="1"/>
    <col min="12" max="12" width="11.6640625" style="1" customWidth="1"/>
    <col min="13" max="13" width="2.83203125" style="1" customWidth="1"/>
    <col min="14" max="14" width="41" style="30" customWidth="1"/>
    <col min="15" max="15" width="48.83203125" style="30" customWidth="1"/>
    <col min="16" max="16" width="23.5" style="30" customWidth="1"/>
    <col min="17" max="17" width="20.5" style="30" customWidth="1"/>
    <col min="18" max="18" width="20.83203125" style="30" customWidth="1"/>
    <col min="19" max="19" width="23.6640625" style="30" bestFit="1" customWidth="1"/>
    <col min="20" max="20" width="22.1640625" style="30" bestFit="1" customWidth="1"/>
    <col min="21" max="21" width="23" style="30" bestFit="1" customWidth="1"/>
    <col min="22" max="22" width="19.83203125" style="30" customWidth="1"/>
    <col min="23" max="23" width="20.33203125" style="30" customWidth="1"/>
    <col min="24" max="24" width="23.5" style="30" bestFit="1" customWidth="1"/>
    <col min="25" max="25" width="21.6640625" style="30" bestFit="1" customWidth="1"/>
    <col min="26" max="26" width="16.1640625" style="30" customWidth="1"/>
    <col min="27" max="28" width="23.5" style="30" bestFit="1" customWidth="1"/>
    <col min="29" max="29" width="21.33203125" style="30" bestFit="1" customWidth="1"/>
    <col min="30" max="30" width="23.5" style="30" bestFit="1" customWidth="1"/>
    <col min="31" max="31" width="21.33203125" style="30" bestFit="1" customWidth="1"/>
    <col min="32" max="32" width="20.6640625" style="30" bestFit="1" customWidth="1"/>
    <col min="33" max="43" width="9.33203125" style="30"/>
    <col min="44" max="16384" width="9.33203125" style="1"/>
  </cols>
  <sheetData>
    <row r="1" spans="1:32" s="1" customFormat="1" x14ac:dyDescent="0.25">
      <c r="A1" s="190" t="s">
        <v>185</v>
      </c>
      <c r="B1" s="191"/>
      <c r="C1" s="192"/>
      <c r="D1" s="192"/>
      <c r="E1" s="192"/>
      <c r="F1" s="192"/>
      <c r="G1" s="192"/>
      <c r="H1" s="192"/>
      <c r="I1" s="192"/>
      <c r="J1" s="192"/>
      <c r="K1" s="2"/>
      <c r="L1" s="2"/>
      <c r="M1" s="188"/>
      <c r="N1" s="20"/>
      <c r="O1" s="35"/>
      <c r="P1" s="36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</row>
    <row r="2" spans="1:32" s="1" customFormat="1" x14ac:dyDescent="0.25">
      <c r="A2" s="190" t="s">
        <v>427</v>
      </c>
      <c r="B2" s="191"/>
      <c r="C2" s="192"/>
      <c r="D2" s="192"/>
      <c r="E2" s="192"/>
      <c r="F2" s="192"/>
      <c r="G2" s="192"/>
      <c r="H2" s="192"/>
      <c r="I2" s="192"/>
      <c r="J2" s="192"/>
      <c r="K2" s="2"/>
      <c r="L2" s="2"/>
      <c r="M2" s="188"/>
      <c r="N2" s="20"/>
      <c r="O2" s="20"/>
      <c r="P2" s="37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</row>
    <row r="3" spans="1:32" s="1" customFormat="1" x14ac:dyDescent="0.25">
      <c r="C3" s="6"/>
      <c r="D3" s="2"/>
      <c r="E3" s="3"/>
      <c r="F3" s="2"/>
      <c r="G3" s="2"/>
      <c r="H3" s="2"/>
      <c r="I3" s="4"/>
      <c r="J3" s="4"/>
      <c r="K3" s="4"/>
      <c r="L3" s="4"/>
      <c r="M3" s="4"/>
      <c r="N3" s="20"/>
      <c r="O3" s="20"/>
      <c r="P3" s="37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</row>
    <row r="4" spans="1:32" s="1" customFormat="1" x14ac:dyDescent="0.25">
      <c r="A4" s="1" t="s">
        <v>186</v>
      </c>
      <c r="C4" s="2"/>
      <c r="D4" s="2"/>
      <c r="E4" s="7"/>
      <c r="F4" s="2"/>
      <c r="G4" s="2"/>
      <c r="H4" s="2"/>
      <c r="I4" s="4"/>
      <c r="J4" s="179" t="str">
        <f>"For the 12 months ended "&amp;TEXT('OATT Input Data'!B4,"MM/DD/YYYY")</f>
        <v>For the 12 months ended 12/31/2015</v>
      </c>
      <c r="K4" s="4"/>
      <c r="L4" s="4"/>
      <c r="M4" s="4"/>
      <c r="N4" s="20"/>
      <c r="O4" s="20"/>
      <c r="P4" s="2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</row>
    <row r="5" spans="1:32" s="1" customFormat="1" x14ac:dyDescent="0.25">
      <c r="A5" s="207" t="s">
        <v>187</v>
      </c>
      <c r="C5" s="2"/>
      <c r="F5" s="8"/>
      <c r="G5" s="8"/>
      <c r="H5" s="8"/>
      <c r="I5" s="2"/>
      <c r="J5" s="179" t="s">
        <v>123</v>
      </c>
      <c r="K5" s="192"/>
      <c r="L5" s="192"/>
      <c r="M5" s="4"/>
      <c r="N5" s="20"/>
      <c r="O5" s="20"/>
      <c r="P5" s="2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</row>
    <row r="6" spans="1:32" s="1" customFormat="1" x14ac:dyDescent="0.25"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20"/>
      <c r="O6" s="20"/>
      <c r="P6" s="2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</row>
    <row r="7" spans="1:32" s="1" customFormat="1" x14ac:dyDescent="0.25">
      <c r="A7" s="209" t="s">
        <v>130</v>
      </c>
      <c r="B7" s="191"/>
      <c r="C7" s="192"/>
      <c r="D7" s="192"/>
      <c r="E7" s="191"/>
      <c r="F7" s="192"/>
      <c r="G7" s="192"/>
      <c r="H7" s="192"/>
      <c r="I7" s="192"/>
      <c r="J7" s="192"/>
      <c r="K7" s="2"/>
      <c r="L7" s="2"/>
      <c r="M7" s="4"/>
      <c r="N7" s="44"/>
      <c r="O7" s="44"/>
      <c r="P7" s="19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</row>
    <row r="8" spans="1:32" s="1" customFormat="1" x14ac:dyDescent="0.25">
      <c r="C8" s="5" t="s">
        <v>18</v>
      </c>
      <c r="D8" s="5" t="s">
        <v>19</v>
      </c>
      <c r="E8" s="5" t="s">
        <v>20</v>
      </c>
      <c r="F8" s="8" t="s">
        <v>0</v>
      </c>
      <c r="G8" s="8"/>
      <c r="H8" s="383" t="s">
        <v>21</v>
      </c>
      <c r="I8" s="8"/>
      <c r="J8" s="384" t="s">
        <v>22</v>
      </c>
      <c r="K8" s="8"/>
      <c r="L8" s="5"/>
      <c r="M8" s="8"/>
      <c r="N8" s="29"/>
      <c r="O8" s="44"/>
      <c r="P8" s="19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</row>
    <row r="9" spans="1:32" s="1" customFormat="1" x14ac:dyDescent="0.25">
      <c r="C9" s="2"/>
      <c r="D9" s="385" t="s">
        <v>23</v>
      </c>
      <c r="E9" s="8"/>
      <c r="F9" s="8"/>
      <c r="G9" s="8"/>
      <c r="H9" s="5"/>
      <c r="I9" s="8"/>
      <c r="J9" s="386" t="s">
        <v>24</v>
      </c>
      <c r="K9" s="8"/>
      <c r="L9" s="5"/>
      <c r="M9" s="8"/>
      <c r="N9" s="29"/>
      <c r="O9" s="29"/>
      <c r="P9" s="19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</row>
    <row r="10" spans="1:32" s="1" customFormat="1" x14ac:dyDescent="0.25">
      <c r="A10" s="5" t="s">
        <v>1</v>
      </c>
      <c r="C10" s="2"/>
      <c r="D10" s="387" t="s">
        <v>25</v>
      </c>
      <c r="E10" s="386" t="s">
        <v>26</v>
      </c>
      <c r="F10" s="388"/>
      <c r="G10" s="386" t="s">
        <v>27</v>
      </c>
      <c r="I10" s="388"/>
      <c r="J10" s="389" t="s">
        <v>28</v>
      </c>
      <c r="K10" s="8"/>
      <c r="L10" s="5"/>
      <c r="M10" s="4"/>
      <c r="N10" s="29"/>
      <c r="O10" s="29"/>
      <c r="P10" s="19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</row>
    <row r="11" spans="1:32" s="1" customFormat="1" ht="16.5" thickBot="1" x14ac:dyDescent="0.3">
      <c r="A11" s="10" t="s">
        <v>3</v>
      </c>
      <c r="C11" s="390" t="s">
        <v>29</v>
      </c>
      <c r="D11" s="8"/>
      <c r="E11" s="8"/>
      <c r="F11" s="8"/>
      <c r="G11" s="8"/>
      <c r="H11" s="8"/>
      <c r="I11" s="8"/>
      <c r="J11" s="8"/>
      <c r="K11" s="8"/>
      <c r="L11" s="8"/>
      <c r="M11" s="4"/>
      <c r="N11" s="44"/>
      <c r="O11" s="44"/>
      <c r="P11" s="19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</row>
    <row r="12" spans="1:32" s="1" customFormat="1" x14ac:dyDescent="0.25">
      <c r="A12" s="5"/>
      <c r="C12" s="2"/>
      <c r="D12" s="8"/>
      <c r="E12" s="8"/>
      <c r="F12" s="8"/>
      <c r="G12" s="8"/>
      <c r="H12" s="8"/>
      <c r="I12" s="8"/>
      <c r="J12" s="8"/>
      <c r="K12" s="8"/>
      <c r="L12" s="8"/>
      <c r="M12" s="4"/>
      <c r="N12" s="44"/>
      <c r="O12" s="44"/>
      <c r="P12" s="19"/>
      <c r="Q12" s="30"/>
      <c r="R12" s="30"/>
      <c r="S12" s="123"/>
      <c r="T12" s="123"/>
      <c r="U12" s="30"/>
      <c r="V12" s="30"/>
      <c r="W12" s="30"/>
      <c r="X12" s="30"/>
      <c r="Y12" s="30"/>
      <c r="Z12" s="30"/>
      <c r="AA12" s="30"/>
      <c r="AB12" s="124"/>
      <c r="AC12" s="30"/>
      <c r="AD12" s="30"/>
      <c r="AE12" s="30"/>
      <c r="AF12" s="30"/>
    </row>
    <row r="13" spans="1:32" s="1" customFormat="1" x14ac:dyDescent="0.25">
      <c r="A13" s="5"/>
      <c r="C13" s="2" t="s">
        <v>30</v>
      </c>
      <c r="D13" s="8"/>
      <c r="E13" s="8"/>
      <c r="F13" s="8"/>
      <c r="G13" s="8"/>
      <c r="H13" s="8"/>
      <c r="I13" s="8"/>
      <c r="J13" s="8"/>
      <c r="K13" s="8"/>
      <c r="L13" s="8"/>
      <c r="M13" s="4"/>
      <c r="N13" s="44"/>
      <c r="O13" s="44"/>
      <c r="P13" s="19"/>
      <c r="Q13" s="30"/>
      <c r="R13" s="30"/>
      <c r="S13" s="19"/>
      <c r="T13" s="124"/>
      <c r="U13" s="19"/>
      <c r="V13" s="124"/>
      <c r="W13" s="30"/>
      <c r="X13" s="30"/>
      <c r="Y13" s="30"/>
      <c r="Z13" s="30"/>
      <c r="AA13" s="30"/>
      <c r="AB13" s="63"/>
      <c r="AC13" s="124"/>
      <c r="AD13" s="125"/>
      <c r="AE13" s="125"/>
      <c r="AF13" s="125"/>
    </row>
    <row r="14" spans="1:32" s="1" customFormat="1" x14ac:dyDescent="0.25">
      <c r="A14" s="5">
        <v>1</v>
      </c>
      <c r="C14" s="2" t="s">
        <v>31</v>
      </c>
      <c r="D14" s="184" t="s">
        <v>175</v>
      </c>
      <c r="E14" s="128">
        <f>'OATT Input Data'!$E$111</f>
        <v>9280392053</v>
      </c>
      <c r="F14" s="8"/>
      <c r="G14" s="8" t="s">
        <v>32</v>
      </c>
      <c r="H14" s="391"/>
      <c r="I14" s="8"/>
      <c r="J14" s="128"/>
      <c r="K14" s="8"/>
      <c r="L14" s="8"/>
      <c r="M14" s="4"/>
      <c r="N14" s="126"/>
      <c r="O14" s="44"/>
      <c r="P14" s="44"/>
      <c r="Q14" s="44"/>
      <c r="R14" s="44"/>
      <c r="S14" s="127"/>
      <c r="T14" s="128"/>
      <c r="U14" s="127"/>
      <c r="V14" s="128"/>
      <c r="W14" s="30"/>
      <c r="X14" s="30"/>
      <c r="Y14" s="30"/>
      <c r="Z14" s="30"/>
      <c r="AA14" s="30"/>
      <c r="AB14" s="63"/>
      <c r="AC14" s="63"/>
      <c r="AD14" s="63"/>
      <c r="AE14" s="63"/>
      <c r="AF14" s="63"/>
    </row>
    <row r="15" spans="1:32" s="1" customFormat="1" x14ac:dyDescent="0.25">
      <c r="A15" s="5">
        <v>2</v>
      </c>
      <c r="C15" s="2" t="s">
        <v>33</v>
      </c>
      <c r="D15" s="184" t="s">
        <v>176</v>
      </c>
      <c r="E15" s="392">
        <f>'OATT Input Data'!$E$112</f>
        <v>1189651345</v>
      </c>
      <c r="F15" s="8"/>
      <c r="G15" s="8" t="s">
        <v>9</v>
      </c>
      <c r="H15" s="391">
        <f>'NITS Pg 4 of 5'!$J$16</f>
        <v>0.95574999999999999</v>
      </c>
      <c r="I15" s="8"/>
      <c r="J15" s="128">
        <f>ROUND(E15*H15,0)</f>
        <v>1137009273</v>
      </c>
      <c r="K15" s="8"/>
      <c r="L15" s="8"/>
      <c r="M15" s="4"/>
      <c r="N15" s="30"/>
      <c r="O15" s="44"/>
      <c r="P15" s="44"/>
      <c r="Q15" s="44"/>
      <c r="R15" s="44"/>
      <c r="S15" s="127"/>
      <c r="T15" s="128"/>
      <c r="U15" s="127"/>
      <c r="V15" s="128"/>
      <c r="W15" s="30"/>
      <c r="X15" s="30"/>
      <c r="Y15" s="30"/>
      <c r="Z15" s="30"/>
      <c r="AA15" s="30"/>
      <c r="AB15" s="63"/>
      <c r="AC15" s="63"/>
      <c r="AD15" s="63"/>
      <c r="AE15" s="63"/>
      <c r="AF15" s="63"/>
    </row>
    <row r="16" spans="1:32" s="1" customFormat="1" x14ac:dyDescent="0.25">
      <c r="A16" s="5">
        <v>3</v>
      </c>
      <c r="C16" s="2" t="s">
        <v>34</v>
      </c>
      <c r="D16" s="184" t="s">
        <v>177</v>
      </c>
      <c r="E16" s="46">
        <f>'OATT Input Data'!$E$113</f>
        <v>2895042841</v>
      </c>
      <c r="F16" s="8"/>
      <c r="G16" s="8" t="s">
        <v>32</v>
      </c>
      <c r="H16" s="391"/>
      <c r="I16" s="8"/>
      <c r="J16" s="46"/>
      <c r="K16" s="8"/>
      <c r="L16" s="8"/>
      <c r="M16" s="4"/>
      <c r="N16" s="30"/>
      <c r="O16" s="44"/>
      <c r="P16" s="44"/>
      <c r="Q16" s="44"/>
      <c r="R16" s="44"/>
      <c r="S16" s="127"/>
      <c r="T16" s="128"/>
      <c r="U16" s="127"/>
      <c r="V16" s="128"/>
      <c r="W16" s="30"/>
      <c r="X16" s="30"/>
      <c r="Y16" s="30"/>
      <c r="Z16" s="30"/>
      <c r="AA16" s="30"/>
      <c r="AB16" s="63"/>
      <c r="AC16" s="30"/>
      <c r="AD16" s="30"/>
      <c r="AE16" s="30"/>
      <c r="AF16" s="30"/>
    </row>
    <row r="17" spans="1:31" s="1" customFormat="1" x14ac:dyDescent="0.25">
      <c r="A17" s="5">
        <v>4</v>
      </c>
      <c r="C17" s="2" t="s">
        <v>35</v>
      </c>
      <c r="D17" s="184" t="s">
        <v>178</v>
      </c>
      <c r="E17" s="46">
        <f>'OATT Input Data'!$E$114+'OATT Input Data'!$E$110</f>
        <v>287728120</v>
      </c>
      <c r="F17" s="8"/>
      <c r="G17" s="8" t="s">
        <v>36</v>
      </c>
      <c r="H17" s="391">
        <f>'NITS Pg 4 of 5'!$J$33</f>
        <v>6.5890000000000004E-2</v>
      </c>
      <c r="I17" s="8"/>
      <c r="J17" s="46">
        <f>ROUND(E17*H17,0)</f>
        <v>18958406</v>
      </c>
      <c r="K17" s="8"/>
      <c r="L17" s="8"/>
      <c r="M17" s="8"/>
      <c r="N17" s="30"/>
      <c r="O17" s="129"/>
      <c r="P17" s="44"/>
      <c r="Q17" s="44"/>
      <c r="R17" s="44"/>
      <c r="S17" s="127"/>
      <c r="T17" s="128"/>
      <c r="U17" s="127"/>
      <c r="V17" s="128"/>
      <c r="W17" s="30"/>
      <c r="X17" s="30"/>
      <c r="Y17" s="30"/>
      <c r="Z17" s="30"/>
      <c r="AA17" s="30"/>
      <c r="AB17" s="63"/>
      <c r="AC17" s="30"/>
      <c r="AD17" s="30"/>
      <c r="AE17" s="30"/>
    </row>
    <row r="18" spans="1:31" s="1" customFormat="1" ht="18" x14ac:dyDescent="0.4">
      <c r="A18" s="5">
        <v>5</v>
      </c>
      <c r="C18" s="2" t="s">
        <v>37</v>
      </c>
      <c r="D18" s="184" t="s">
        <v>179</v>
      </c>
      <c r="E18" s="393">
        <f>'OATT Input Data'!$E$115</f>
        <v>186160467.5</v>
      </c>
      <c r="F18" s="8"/>
      <c r="G18" s="8" t="s">
        <v>38</v>
      </c>
      <c r="H18" s="391">
        <f>'NITS Pg 4 of 5'!$J$41</f>
        <v>6.0560000000000003E-2</v>
      </c>
      <c r="I18" s="8"/>
      <c r="J18" s="393">
        <f>ROUND(E18*H18,0)</f>
        <v>11273878</v>
      </c>
      <c r="K18" s="8"/>
      <c r="L18" s="8"/>
      <c r="M18" s="8"/>
      <c r="N18" s="30"/>
      <c r="O18" s="525"/>
      <c r="P18" s="44"/>
      <c r="Q18" s="44"/>
      <c r="R18" s="44"/>
      <c r="S18" s="127"/>
      <c r="T18" s="128"/>
      <c r="U18" s="127"/>
      <c r="V18" s="128"/>
      <c r="W18" s="30"/>
      <c r="X18" s="30"/>
      <c r="Y18" s="30"/>
      <c r="Z18" s="30"/>
      <c r="AA18" s="30"/>
      <c r="AB18" s="63"/>
      <c r="AC18" s="30"/>
      <c r="AD18" s="30"/>
      <c r="AE18" s="30"/>
    </row>
    <row r="19" spans="1:31" s="1" customFormat="1" x14ac:dyDescent="0.25">
      <c r="A19" s="5">
        <v>6</v>
      </c>
      <c r="C19" s="7" t="s">
        <v>173</v>
      </c>
      <c r="D19" s="187" t="s">
        <v>266</v>
      </c>
      <c r="E19" s="128">
        <f>ROUND(SUM(E14:E18),0)</f>
        <v>13838974827</v>
      </c>
      <c r="F19" s="8"/>
      <c r="G19" s="8" t="s">
        <v>320</v>
      </c>
      <c r="H19" s="394">
        <f>ROUND(J19/E19,5)</f>
        <v>8.4339999999999998E-2</v>
      </c>
      <c r="I19" s="8"/>
      <c r="J19" s="128">
        <f>ROUND(SUM(J15,J17:J18),0)</f>
        <v>1167241557</v>
      </c>
      <c r="K19" s="8"/>
      <c r="L19" s="395"/>
      <c r="M19" s="4"/>
      <c r="N19" s="30"/>
      <c r="O19" s="44"/>
      <c r="P19" s="44"/>
      <c r="Q19" s="30"/>
      <c r="R19" s="30"/>
      <c r="S19" s="127"/>
      <c r="T19" s="128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1" customFormat="1" x14ac:dyDescent="0.25">
      <c r="C20" s="2"/>
      <c r="D20" s="187"/>
      <c r="E20" s="46"/>
      <c r="F20" s="8"/>
      <c r="G20" s="8"/>
      <c r="H20" s="395"/>
      <c r="I20" s="8"/>
      <c r="J20" s="46"/>
      <c r="K20" s="8"/>
      <c r="L20" s="395"/>
      <c r="M20" s="4"/>
      <c r="N20" s="44"/>
      <c r="O20" s="44"/>
      <c r="P20" s="19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1" customFormat="1" x14ac:dyDescent="0.25">
      <c r="C21" s="2" t="s">
        <v>40</v>
      </c>
      <c r="D21" s="187" t="s">
        <v>252</v>
      </c>
      <c r="E21" s="46"/>
      <c r="F21" s="8"/>
      <c r="G21" s="8"/>
      <c r="H21" s="8"/>
      <c r="I21" s="8"/>
      <c r="J21" s="46"/>
      <c r="K21" s="8"/>
      <c r="L21" s="8"/>
      <c r="M21" s="4"/>
      <c r="N21" s="44"/>
      <c r="O21" s="44"/>
      <c r="P21" s="30"/>
      <c r="Q21" s="30"/>
      <c r="R21" s="30"/>
      <c r="S21" s="30"/>
      <c r="T21" s="30"/>
      <c r="U21" s="30"/>
      <c r="V21" s="30"/>
      <c r="W21" s="30"/>
      <c r="X21" s="30"/>
      <c r="Y21" s="126"/>
      <c r="Z21" s="30"/>
      <c r="AA21" s="30"/>
      <c r="AB21" s="30"/>
      <c r="AC21" s="30"/>
      <c r="AD21" s="30"/>
      <c r="AE21" s="126"/>
    </row>
    <row r="22" spans="1:31" s="1" customFormat="1" x14ac:dyDescent="0.25">
      <c r="A22" s="5">
        <v>7</v>
      </c>
      <c r="C22" s="2" t="str">
        <f>+C14</f>
        <v xml:space="preserve">  Production</v>
      </c>
      <c r="D22" s="184" t="s">
        <v>190</v>
      </c>
      <c r="E22" s="128">
        <f>SUM('OATT Input Data'!$E$121:$E$123)</f>
        <v>2804379145.21</v>
      </c>
      <c r="F22" s="8"/>
      <c r="G22" s="8" t="s">
        <v>32</v>
      </c>
      <c r="H22" s="391"/>
      <c r="I22" s="8"/>
      <c r="J22" s="128"/>
      <c r="K22" s="8"/>
      <c r="L22" s="8"/>
      <c r="M22" s="4"/>
      <c r="N22" s="44"/>
      <c r="O22" s="130"/>
      <c r="P22" s="44"/>
      <c r="Q22" s="44"/>
      <c r="R22" s="30"/>
      <c r="S22" s="127"/>
      <c r="T22" s="128"/>
      <c r="U22" s="127"/>
      <c r="V22" s="128"/>
      <c r="W22" s="30"/>
      <c r="X22" s="63"/>
      <c r="Y22" s="63"/>
      <c r="Z22" s="30"/>
      <c r="AA22" s="63"/>
      <c r="AB22" s="63"/>
      <c r="AC22" s="63"/>
      <c r="AD22" s="63"/>
      <c r="AE22" s="63"/>
    </row>
    <row r="23" spans="1:31" s="1" customFormat="1" x14ac:dyDescent="0.25">
      <c r="A23" s="5">
        <v>8</v>
      </c>
      <c r="C23" s="2" t="str">
        <f>+C15</f>
        <v xml:space="preserve">  Transmission</v>
      </c>
      <c r="D23" s="184" t="s">
        <v>180</v>
      </c>
      <c r="E23" s="46">
        <f>'OATT Input Data'!$E$124</f>
        <v>480669533.38999999</v>
      </c>
      <c r="F23" s="8"/>
      <c r="G23" s="8" t="s">
        <v>9</v>
      </c>
      <c r="H23" s="144">
        <f>+H15</f>
        <v>0.95574999999999999</v>
      </c>
      <c r="I23" s="8"/>
      <c r="J23" s="128">
        <f>ROUND(E23*H23,0)</f>
        <v>459399907</v>
      </c>
      <c r="K23" s="8"/>
      <c r="L23" s="8"/>
      <c r="M23" s="4"/>
      <c r="N23" s="44"/>
      <c r="O23" s="50"/>
      <c r="P23" s="44"/>
      <c r="Q23" s="44"/>
      <c r="R23" s="30"/>
      <c r="S23" s="128"/>
      <c r="T23" s="128"/>
      <c r="U23" s="128"/>
      <c r="V23" s="128"/>
      <c r="W23" s="30"/>
      <c r="X23" s="63"/>
      <c r="Y23" s="63"/>
      <c r="Z23" s="30"/>
      <c r="AA23" s="63"/>
      <c r="AB23" s="63"/>
      <c r="AC23" s="63"/>
      <c r="AD23" s="63"/>
      <c r="AE23" s="63"/>
    </row>
    <row r="24" spans="1:31" s="1" customFormat="1" x14ac:dyDescent="0.25">
      <c r="A24" s="5">
        <v>9</v>
      </c>
      <c r="C24" s="2" t="str">
        <f>+C16</f>
        <v xml:space="preserve">  Distribution</v>
      </c>
      <c r="D24" s="184" t="s">
        <v>181</v>
      </c>
      <c r="E24" s="46">
        <f>'OATT Input Data'!$E$125</f>
        <v>1098402224.73</v>
      </c>
      <c r="F24" s="8"/>
      <c r="G24" s="8" t="str">
        <f>+G16</f>
        <v>NA</v>
      </c>
      <c r="H24" s="391"/>
      <c r="I24" s="8"/>
      <c r="J24" s="46"/>
      <c r="K24" s="8"/>
      <c r="L24" s="8"/>
      <c r="M24" s="4"/>
      <c r="N24" s="44"/>
      <c r="O24" s="130"/>
      <c r="P24" s="44"/>
      <c r="Q24" s="44"/>
      <c r="R24" s="30"/>
      <c r="S24" s="127"/>
      <c r="T24" s="128"/>
      <c r="U24" s="63"/>
      <c r="V24" s="128"/>
      <c r="W24" s="30"/>
      <c r="X24" s="63"/>
      <c r="Y24" s="63"/>
      <c r="Z24" s="30"/>
      <c r="AA24" s="63"/>
      <c r="AB24" s="63"/>
      <c r="AC24" s="63"/>
      <c r="AD24" s="30"/>
      <c r="AE24" s="30"/>
    </row>
    <row r="25" spans="1:31" s="1" customFormat="1" x14ac:dyDescent="0.25">
      <c r="A25" s="5">
        <v>10</v>
      </c>
      <c r="C25" s="2" t="str">
        <f>+C17</f>
        <v xml:space="preserve">  General &amp; Intangible</v>
      </c>
      <c r="D25" s="184" t="s">
        <v>182</v>
      </c>
      <c r="E25" s="46">
        <f>'OATT Input Data'!$E$120+'OATT Input Data'!$E$126</f>
        <v>112269946.09</v>
      </c>
      <c r="F25" s="8"/>
      <c r="G25" s="8" t="str">
        <f>+G17</f>
        <v>W/S</v>
      </c>
      <c r="H25" s="391">
        <f>+H17</f>
        <v>6.5890000000000004E-2</v>
      </c>
      <c r="I25" s="8"/>
      <c r="J25" s="46">
        <f>ROUND(E25*H25,0)</f>
        <v>7397467</v>
      </c>
      <c r="K25" s="8"/>
      <c r="L25" s="8"/>
      <c r="M25" s="4"/>
      <c r="N25" s="44"/>
      <c r="O25" s="130"/>
      <c r="P25" s="44"/>
      <c r="Q25" s="44"/>
      <c r="R25" s="30"/>
      <c r="S25" s="128"/>
      <c r="T25" s="128"/>
      <c r="U25" s="128"/>
      <c r="V25" s="128"/>
      <c r="W25" s="30"/>
      <c r="X25" s="63"/>
      <c r="Y25" s="63"/>
      <c r="Z25" s="30"/>
      <c r="AA25" s="30"/>
      <c r="AB25" s="63"/>
      <c r="AC25" s="30"/>
      <c r="AD25" s="30"/>
      <c r="AE25" s="30"/>
    </row>
    <row r="26" spans="1:31" s="1" customFormat="1" ht="18" x14ac:dyDescent="0.4">
      <c r="A26" s="5">
        <v>11</v>
      </c>
      <c r="C26" s="2" t="str">
        <f>+C18</f>
        <v xml:space="preserve">  Common</v>
      </c>
      <c r="D26" s="184" t="s">
        <v>179</v>
      </c>
      <c r="E26" s="393">
        <f>'OATT Input Data'!$E$127</f>
        <v>104974058.37199999</v>
      </c>
      <c r="F26" s="8"/>
      <c r="G26" s="8" t="str">
        <f>+G18</f>
        <v>CE</v>
      </c>
      <c r="H26" s="391">
        <f>+H18</f>
        <v>6.0560000000000003E-2</v>
      </c>
      <c r="I26" s="8"/>
      <c r="J26" s="393">
        <f>ROUND(E26*H26,0)</f>
        <v>6357229</v>
      </c>
      <c r="K26" s="8"/>
      <c r="L26" s="8"/>
      <c r="M26" s="4"/>
      <c r="N26" s="44"/>
      <c r="O26" s="131"/>
      <c r="P26" s="44"/>
      <c r="Q26" s="44"/>
      <c r="R26" s="30"/>
      <c r="S26" s="127"/>
      <c r="T26" s="128"/>
      <c r="U26" s="63"/>
      <c r="V26" s="128"/>
      <c r="W26" s="30"/>
      <c r="X26" s="30"/>
      <c r="Y26" s="30"/>
      <c r="Z26" s="30"/>
      <c r="AA26" s="30"/>
      <c r="AB26" s="63"/>
      <c r="AC26" s="30"/>
      <c r="AD26" s="30"/>
      <c r="AE26" s="30"/>
    </row>
    <row r="27" spans="1:31" s="1" customFormat="1" x14ac:dyDescent="0.25">
      <c r="A27" s="5">
        <v>12</v>
      </c>
      <c r="C27" s="7" t="s">
        <v>172</v>
      </c>
      <c r="D27" s="187" t="s">
        <v>267</v>
      </c>
      <c r="E27" s="128">
        <f>ROUND(SUM(E22:E26),0)</f>
        <v>4600694908</v>
      </c>
      <c r="F27" s="8"/>
      <c r="G27" s="8"/>
      <c r="H27" s="8"/>
      <c r="I27" s="8"/>
      <c r="J27" s="128">
        <f>ROUND(SUM(J23,J25:J26),0)</f>
        <v>473154603</v>
      </c>
      <c r="K27" s="8"/>
      <c r="L27" s="8"/>
      <c r="M27" s="4"/>
      <c r="N27" s="132"/>
      <c r="O27" s="29"/>
      <c r="P27" s="44"/>
      <c r="Q27" s="44"/>
      <c r="R27" s="30"/>
      <c r="S27" s="128"/>
      <c r="T27" s="128"/>
      <c r="U27" s="30"/>
      <c r="V27" s="30"/>
      <c r="W27" s="126"/>
      <c r="X27" s="63"/>
      <c r="Y27" s="30"/>
      <c r="Z27" s="30"/>
      <c r="AA27" s="30"/>
      <c r="AB27" s="63"/>
      <c r="AC27" s="30"/>
      <c r="AD27" s="30"/>
      <c r="AE27" s="30"/>
    </row>
    <row r="28" spans="1:31" s="1" customFormat="1" x14ac:dyDescent="0.25">
      <c r="A28" s="5"/>
      <c r="D28" s="8" t="s">
        <v>0</v>
      </c>
      <c r="E28" s="46"/>
      <c r="F28" s="8"/>
      <c r="G28" s="8"/>
      <c r="H28" s="395"/>
      <c r="I28" s="8"/>
      <c r="J28" s="46"/>
      <c r="K28" s="8"/>
      <c r="L28" s="395"/>
      <c r="M28" s="4"/>
      <c r="N28" s="44"/>
      <c r="O28" s="44"/>
      <c r="P28" s="19"/>
      <c r="Q28" s="30"/>
      <c r="R28" s="30"/>
      <c r="S28" s="30"/>
      <c r="T28" s="30"/>
      <c r="U28" s="30"/>
      <c r="V28" s="30"/>
      <c r="W28" s="30"/>
      <c r="X28" s="63"/>
      <c r="Y28" s="30"/>
      <c r="Z28" s="30"/>
      <c r="AA28" s="30"/>
      <c r="AB28" s="63"/>
      <c r="AC28" s="30"/>
      <c r="AD28" s="30"/>
      <c r="AE28" s="30"/>
    </row>
    <row r="29" spans="1:31" s="1" customFormat="1" x14ac:dyDescent="0.25">
      <c r="A29" s="5"/>
      <c r="C29" s="2" t="s">
        <v>42</v>
      </c>
      <c r="D29" s="8"/>
      <c r="E29" s="46"/>
      <c r="F29" s="8"/>
      <c r="G29" s="8"/>
      <c r="H29" s="8"/>
      <c r="I29" s="8"/>
      <c r="J29" s="46"/>
      <c r="K29" s="8"/>
      <c r="L29" s="8"/>
      <c r="M29" s="4"/>
      <c r="N29" s="44"/>
      <c r="O29" s="44"/>
      <c r="P29" s="44"/>
      <c r="Q29" s="44"/>
      <c r="R29" s="30"/>
      <c r="S29" s="127"/>
      <c r="T29" s="128"/>
      <c r="U29" s="127"/>
      <c r="V29" s="30"/>
      <c r="W29" s="30"/>
      <c r="X29" s="63"/>
      <c r="Y29" s="30"/>
      <c r="Z29" s="30"/>
      <c r="AA29" s="30"/>
      <c r="AB29" s="30"/>
      <c r="AC29" s="30"/>
      <c r="AD29" s="30"/>
      <c r="AE29" s="30"/>
    </row>
    <row r="30" spans="1:31" s="1" customFormat="1" x14ac:dyDescent="0.25">
      <c r="A30" s="5">
        <v>13</v>
      </c>
      <c r="C30" s="2" t="str">
        <f>+C22</f>
        <v xml:space="preserve">  Production</v>
      </c>
      <c r="D30" s="187" t="s">
        <v>268</v>
      </c>
      <c r="E30" s="128">
        <f>E14-E22</f>
        <v>6476012907.79</v>
      </c>
      <c r="F30" s="8"/>
      <c r="G30" s="8"/>
      <c r="H30" s="395"/>
      <c r="I30" s="8"/>
      <c r="J30" s="128"/>
      <c r="K30" s="8"/>
      <c r="L30" s="395"/>
      <c r="M30" s="4"/>
      <c r="N30" s="44"/>
      <c r="O30" s="44"/>
      <c r="P30" s="44"/>
      <c r="Q30" s="44"/>
      <c r="R30" s="30"/>
      <c r="S30" s="127"/>
      <c r="T30" s="128"/>
      <c r="U30" s="127"/>
      <c r="V30" s="30"/>
      <c r="W30" s="30"/>
      <c r="X30" s="63"/>
      <c r="Y30" s="63"/>
      <c r="Z30" s="30"/>
      <c r="AA30" s="30"/>
      <c r="AB30" s="126"/>
      <c r="AC30" s="126"/>
      <c r="AD30" s="30"/>
      <c r="AE30" s="30"/>
    </row>
    <row r="31" spans="1:31" s="1" customFormat="1" x14ac:dyDescent="0.25">
      <c r="A31" s="5">
        <v>14</v>
      </c>
      <c r="C31" s="2" t="str">
        <f>+C23</f>
        <v xml:space="preserve">  Transmission</v>
      </c>
      <c r="D31" s="187" t="s">
        <v>269</v>
      </c>
      <c r="E31" s="46">
        <f t="shared" ref="E31:E34" si="0">E15-E23</f>
        <v>708981811.61000001</v>
      </c>
      <c r="F31" s="8"/>
      <c r="G31" s="8"/>
      <c r="H31" s="391"/>
      <c r="I31" s="8"/>
      <c r="J31" s="128">
        <f>J15-J23</f>
        <v>677609366</v>
      </c>
      <c r="K31" s="8"/>
      <c r="L31" s="395"/>
      <c r="M31" s="4"/>
      <c r="N31" s="44"/>
      <c r="O31" s="44"/>
      <c r="P31" s="44"/>
      <c r="Q31" s="44"/>
      <c r="R31" s="30"/>
      <c r="S31" s="127"/>
      <c r="T31" s="128"/>
      <c r="U31" s="127"/>
      <c r="V31" s="30"/>
      <c r="W31" s="30"/>
      <c r="X31" s="30"/>
      <c r="Y31" s="63"/>
      <c r="Z31" s="30"/>
      <c r="AA31" s="63"/>
      <c r="AB31" s="63"/>
      <c r="AC31" s="30"/>
      <c r="AD31" s="30"/>
      <c r="AE31" s="30"/>
    </row>
    <row r="32" spans="1:31" s="1" customFormat="1" x14ac:dyDescent="0.25">
      <c r="A32" s="5">
        <v>15</v>
      </c>
      <c r="C32" s="2" t="str">
        <f>+C24</f>
        <v xml:space="preserve">  Distribution</v>
      </c>
      <c r="D32" s="187" t="s">
        <v>270</v>
      </c>
      <c r="E32" s="46">
        <f t="shared" si="0"/>
        <v>1796640616.27</v>
      </c>
      <c r="F32" s="8"/>
      <c r="G32" s="8"/>
      <c r="H32" s="395"/>
      <c r="I32" s="8"/>
      <c r="J32" s="46"/>
      <c r="K32" s="8"/>
      <c r="L32" s="395"/>
      <c r="M32" s="4"/>
      <c r="N32" s="44"/>
      <c r="O32" s="81"/>
      <c r="P32" s="44"/>
      <c r="Q32" s="30"/>
      <c r="R32" s="126"/>
      <c r="S32" s="127"/>
      <c r="T32" s="128"/>
      <c r="U32" s="128"/>
      <c r="V32" s="30"/>
      <c r="W32" s="30"/>
      <c r="X32" s="63"/>
      <c r="Y32" s="63"/>
      <c r="Z32" s="30"/>
      <c r="AA32" s="63"/>
      <c r="AB32" s="63"/>
      <c r="AC32" s="133"/>
      <c r="AD32" s="30"/>
      <c r="AE32" s="30"/>
    </row>
    <row r="33" spans="1:28" s="1" customFormat="1" x14ac:dyDescent="0.25">
      <c r="A33" s="5">
        <v>16</v>
      </c>
      <c r="C33" s="2" t="str">
        <f>+C25</f>
        <v xml:space="preserve">  General &amp; Intangible</v>
      </c>
      <c r="D33" s="187" t="s">
        <v>271</v>
      </c>
      <c r="E33" s="46">
        <f t="shared" si="0"/>
        <v>175458173.91</v>
      </c>
      <c r="F33" s="8"/>
      <c r="G33" s="8"/>
      <c r="H33" s="395"/>
      <c r="I33" s="8"/>
      <c r="J33" s="46">
        <f>J17-J25</f>
        <v>11560939</v>
      </c>
      <c r="K33" s="8"/>
      <c r="L33" s="395"/>
      <c r="M33" s="4"/>
      <c r="N33" s="44"/>
      <c r="O33" s="29"/>
      <c r="P33" s="19"/>
      <c r="Q33" s="30"/>
      <c r="R33" s="30"/>
      <c r="S33" s="30"/>
      <c r="T33" s="30"/>
      <c r="U33" s="30"/>
      <c r="V33" s="30"/>
      <c r="W33" s="30"/>
      <c r="X33" s="63"/>
      <c r="Y33" s="63"/>
      <c r="Z33" s="30"/>
      <c r="AA33" s="63"/>
      <c r="AB33" s="63"/>
    </row>
    <row r="34" spans="1:28" s="1" customFormat="1" ht="18" x14ac:dyDescent="0.4">
      <c r="A34" s="5">
        <v>17</v>
      </c>
      <c r="C34" s="2" t="str">
        <f>+C26</f>
        <v xml:space="preserve">  Common</v>
      </c>
      <c r="D34" s="187" t="s">
        <v>272</v>
      </c>
      <c r="E34" s="393">
        <f t="shared" si="0"/>
        <v>81186409.128000006</v>
      </c>
      <c r="F34" s="8"/>
      <c r="G34" s="8"/>
      <c r="H34" s="395"/>
      <c r="I34" s="8"/>
      <c r="J34" s="393">
        <f>J18-J26</f>
        <v>4916649</v>
      </c>
      <c r="K34" s="8"/>
      <c r="L34" s="395"/>
      <c r="M34" s="4"/>
      <c r="N34" s="44"/>
      <c r="O34" s="29"/>
      <c r="P34" s="19"/>
      <c r="Q34" s="30"/>
      <c r="R34" s="30"/>
      <c r="S34" s="30"/>
      <c r="T34" s="30"/>
      <c r="U34" s="30"/>
      <c r="V34" s="30"/>
      <c r="W34" s="30"/>
      <c r="X34" s="63"/>
      <c r="Y34" s="30"/>
      <c r="Z34" s="30"/>
      <c r="AA34" s="30"/>
      <c r="AB34" s="63"/>
    </row>
    <row r="35" spans="1:28" s="1" customFormat="1" x14ac:dyDescent="0.25">
      <c r="A35" s="5">
        <v>18</v>
      </c>
      <c r="C35" s="7" t="s">
        <v>171</v>
      </c>
      <c r="D35" s="187" t="s">
        <v>273</v>
      </c>
      <c r="E35" s="128">
        <f>ROUND(SUM(E30:E34),0)</f>
        <v>9238279919</v>
      </c>
      <c r="F35" s="8"/>
      <c r="G35" s="8" t="s">
        <v>321</v>
      </c>
      <c r="H35" s="394">
        <f>ROUND(J35/E35,5)</f>
        <v>7.5130000000000002E-2</v>
      </c>
      <c r="I35" s="8"/>
      <c r="J35" s="128">
        <f>ROUND(SUM(J31,J33:J34),0)</f>
        <v>694086954</v>
      </c>
      <c r="K35" s="8"/>
      <c r="L35" s="8"/>
      <c r="M35" s="4"/>
      <c r="N35" s="134"/>
      <c r="O35" s="44"/>
      <c r="P35" s="19"/>
      <c r="Q35" s="30"/>
      <c r="R35" s="30"/>
      <c r="S35" s="30"/>
      <c r="T35" s="30"/>
      <c r="U35" s="30"/>
      <c r="V35" s="30"/>
      <c r="W35" s="30"/>
      <c r="X35" s="63"/>
      <c r="Y35" s="30"/>
      <c r="Z35" s="30"/>
      <c r="AA35" s="30"/>
      <c r="AB35" s="30"/>
    </row>
    <row r="36" spans="1:28" s="1" customFormat="1" x14ac:dyDescent="0.25">
      <c r="A36" s="5"/>
      <c r="D36" s="8"/>
      <c r="E36" s="46"/>
      <c r="F36" s="8"/>
      <c r="I36" s="8"/>
      <c r="J36" s="46"/>
      <c r="K36" s="8"/>
      <c r="L36" s="395"/>
      <c r="M36" s="4"/>
      <c r="N36" s="44"/>
      <c r="O36" s="44"/>
      <c r="P36" s="19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63"/>
    </row>
    <row r="37" spans="1:28" s="1" customFormat="1" x14ac:dyDescent="0.25">
      <c r="A37" s="5"/>
      <c r="C37" s="7" t="s">
        <v>191</v>
      </c>
      <c r="D37" s="187" t="s">
        <v>253</v>
      </c>
      <c r="E37" s="46"/>
      <c r="F37" s="8"/>
      <c r="G37" s="8"/>
      <c r="H37" s="8"/>
      <c r="I37" s="8"/>
      <c r="J37" s="46"/>
      <c r="K37" s="8"/>
      <c r="L37" s="8"/>
      <c r="M37" s="4"/>
      <c r="N37" s="44"/>
      <c r="O37" s="44"/>
      <c r="P37" s="19"/>
      <c r="Q37" s="30"/>
      <c r="R37" s="30"/>
      <c r="S37" s="30"/>
      <c r="T37" s="30"/>
      <c r="U37" s="30"/>
      <c r="V37" s="44"/>
      <c r="W37" s="30"/>
      <c r="X37" s="30"/>
      <c r="Y37" s="30"/>
      <c r="Z37" s="30"/>
      <c r="AA37" s="30"/>
      <c r="AB37" s="30"/>
    </row>
    <row r="38" spans="1:28" s="1" customFormat="1" x14ac:dyDescent="0.25">
      <c r="A38" s="5">
        <v>19</v>
      </c>
      <c r="C38" s="2" t="s">
        <v>44</v>
      </c>
      <c r="D38" s="184" t="s">
        <v>380</v>
      </c>
      <c r="E38" s="330">
        <f>'OATT Input Data'!$E$133*-1</f>
        <v>0</v>
      </c>
      <c r="F38" s="8"/>
      <c r="G38" s="8" t="s">
        <v>32</v>
      </c>
      <c r="H38" s="144"/>
      <c r="I38" s="8"/>
      <c r="J38" s="128"/>
      <c r="K38" s="8"/>
      <c r="L38" s="395"/>
      <c r="M38" s="4"/>
      <c r="N38" s="135"/>
      <c r="O38" s="29"/>
      <c r="P38" s="44"/>
      <c r="Q38" s="44"/>
      <c r="R38" s="30"/>
      <c r="S38" s="128"/>
      <c r="T38" s="128"/>
      <c r="U38" s="128"/>
      <c r="V38" s="128"/>
      <c r="W38" s="30"/>
      <c r="X38" s="30"/>
      <c r="Y38" s="30"/>
      <c r="Z38" s="30"/>
      <c r="AA38" s="30"/>
      <c r="AB38" s="30"/>
    </row>
    <row r="39" spans="1:28" s="1" customFormat="1" x14ac:dyDescent="0.25">
      <c r="A39" s="5">
        <f>A38+1</f>
        <v>20</v>
      </c>
      <c r="C39" s="2" t="s">
        <v>45</v>
      </c>
      <c r="D39" s="184" t="s">
        <v>261</v>
      </c>
      <c r="E39" s="46">
        <f>'OATT Input Data'!$E$134*-1</f>
        <v>-2010522465</v>
      </c>
      <c r="F39" s="8"/>
      <c r="G39" s="8" t="s">
        <v>46</v>
      </c>
      <c r="H39" s="391">
        <f>+H35</f>
        <v>7.5130000000000002E-2</v>
      </c>
      <c r="I39" s="8"/>
      <c r="J39" s="128">
        <f t="shared" ref="J39:J46" si="1">ROUND(E39*H39,0)</f>
        <v>-151050553</v>
      </c>
      <c r="K39" s="8"/>
      <c r="L39" s="395"/>
      <c r="M39" s="4"/>
      <c r="N39" s="135"/>
      <c r="O39" s="29"/>
      <c r="P39" s="44"/>
      <c r="Q39" s="44"/>
      <c r="R39" s="30"/>
      <c r="S39" s="127"/>
      <c r="T39" s="128"/>
      <c r="U39" s="127"/>
      <c r="V39" s="128"/>
      <c r="W39" s="30"/>
      <c r="X39" s="30"/>
      <c r="Y39" s="30"/>
      <c r="Z39" s="30"/>
      <c r="AA39" s="30"/>
      <c r="AB39" s="30"/>
    </row>
    <row r="40" spans="1:28" s="1" customFormat="1" x14ac:dyDescent="0.25">
      <c r="A40" s="5">
        <f>A39+1</f>
        <v>21</v>
      </c>
      <c r="C40" s="2" t="s">
        <v>47</v>
      </c>
      <c r="D40" s="262" t="s">
        <v>262</v>
      </c>
      <c r="E40" s="46">
        <f>'OATT Input Data'!$E$138*-1</f>
        <v>-260320730</v>
      </c>
      <c r="F40" s="8"/>
      <c r="G40" s="8" t="s">
        <v>46</v>
      </c>
      <c r="H40" s="391">
        <f>+H39</f>
        <v>7.5130000000000002E-2</v>
      </c>
      <c r="I40" s="8"/>
      <c r="J40" s="46">
        <f t="shared" si="1"/>
        <v>-19557896</v>
      </c>
      <c r="K40" s="8"/>
      <c r="L40" s="395"/>
      <c r="M40" s="4"/>
      <c r="N40" s="304"/>
      <c r="O40" s="29"/>
      <c r="P40" s="44"/>
      <c r="Q40" s="44"/>
      <c r="R40" s="30"/>
      <c r="S40" s="127"/>
      <c r="T40" s="127"/>
      <c r="U40" s="127"/>
      <c r="V40" s="127"/>
      <c r="W40" s="30"/>
      <c r="X40" s="30"/>
      <c r="Y40" s="30"/>
      <c r="Z40" s="30"/>
      <c r="AA40" s="30"/>
      <c r="AB40" s="30"/>
    </row>
    <row r="41" spans="1:28" s="1" customFormat="1" x14ac:dyDescent="0.25">
      <c r="A41" s="5">
        <f>A40+1</f>
        <v>22</v>
      </c>
      <c r="C41" s="2" t="s">
        <v>48</v>
      </c>
      <c r="D41" s="262" t="s">
        <v>263</v>
      </c>
      <c r="E41" s="46">
        <f>'OATT Input Data'!$E$142</f>
        <v>576941127</v>
      </c>
      <c r="F41" s="8"/>
      <c r="G41" s="8" t="str">
        <f>+G40</f>
        <v>NP</v>
      </c>
      <c r="H41" s="391">
        <f>+H40</f>
        <v>7.5130000000000002E-2</v>
      </c>
      <c r="I41" s="8"/>
      <c r="J41" s="46">
        <f t="shared" si="1"/>
        <v>43345587</v>
      </c>
      <c r="K41" s="8"/>
      <c r="L41" s="395"/>
      <c r="M41" s="4"/>
      <c r="N41" s="304"/>
      <c r="O41" s="29"/>
      <c r="P41" s="44"/>
      <c r="Q41" s="44"/>
      <c r="R41" s="30"/>
      <c r="S41" s="127"/>
      <c r="T41" s="127"/>
      <c r="U41" s="127"/>
      <c r="V41" s="127"/>
      <c r="W41" s="30"/>
      <c r="X41" s="30"/>
      <c r="Y41" s="30"/>
      <c r="Z41" s="30"/>
      <c r="AA41" s="30"/>
      <c r="AB41" s="30"/>
    </row>
    <row r="42" spans="1:28" s="1" customFormat="1" x14ac:dyDescent="0.25">
      <c r="A42" s="5">
        <f>A41+1</f>
        <v>23</v>
      </c>
      <c r="C42" s="1" t="s">
        <v>49</v>
      </c>
      <c r="D42" s="184" t="s">
        <v>264</v>
      </c>
      <c r="E42" s="396">
        <f>'OATT Input Data'!$E$143*-1</f>
        <v>0</v>
      </c>
      <c r="F42" s="8"/>
      <c r="G42" s="8" t="s">
        <v>46</v>
      </c>
      <c r="H42" s="391">
        <f>+H40</f>
        <v>7.5130000000000002E-2</v>
      </c>
      <c r="I42" s="8"/>
      <c r="J42" s="396">
        <f t="shared" si="1"/>
        <v>0</v>
      </c>
      <c r="K42" s="8"/>
      <c r="L42" s="395"/>
      <c r="M42" s="4"/>
      <c r="N42" s="305"/>
      <c r="O42" s="29"/>
      <c r="P42" s="44"/>
      <c r="Q42" s="44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</row>
    <row r="43" spans="1:28" s="1" customFormat="1" x14ac:dyDescent="0.25">
      <c r="A43" s="5">
        <f t="shared" ref="A43:A47" si="2">A42+1</f>
        <v>24</v>
      </c>
      <c r="C43" s="2" t="s">
        <v>50</v>
      </c>
      <c r="D43" s="260" t="s">
        <v>287</v>
      </c>
      <c r="E43" s="396">
        <f>'OATT Input Data'!$E$156*-1</f>
        <v>-2022807.8679858125</v>
      </c>
      <c r="F43" s="8"/>
      <c r="G43" s="8" t="str">
        <f>G15</f>
        <v>TP</v>
      </c>
      <c r="H43" s="144">
        <f>H15</f>
        <v>0.95574999999999999</v>
      </c>
      <c r="I43" s="8"/>
      <c r="J43" s="396">
        <f t="shared" si="1"/>
        <v>-1933299</v>
      </c>
      <c r="K43" s="8"/>
      <c r="L43" s="395"/>
      <c r="M43" s="4"/>
      <c r="N43" s="305"/>
      <c r="O43" s="29"/>
      <c r="P43" s="44"/>
      <c r="Q43" s="44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</row>
    <row r="44" spans="1:28" s="1" customFormat="1" x14ac:dyDescent="0.25">
      <c r="A44" s="5">
        <f t="shared" si="2"/>
        <v>25</v>
      </c>
      <c r="C44" s="397" t="s">
        <v>51</v>
      </c>
      <c r="D44" s="260" t="s">
        <v>287</v>
      </c>
      <c r="E44" s="46">
        <f>'OATT Input Data'!$E$163*-1</f>
        <v>-7692295.5594869489</v>
      </c>
      <c r="F44" s="8"/>
      <c r="G44" s="8"/>
      <c r="H44" s="398">
        <v>1</v>
      </c>
      <c r="I44" s="8"/>
      <c r="J44" s="46">
        <f t="shared" si="1"/>
        <v>-7692296</v>
      </c>
      <c r="K44" s="8"/>
      <c r="L44" s="395"/>
      <c r="M44" s="4"/>
      <c r="N44" s="306"/>
      <c r="O44" s="29"/>
      <c r="P44" s="44"/>
      <c r="Q44" s="44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</row>
    <row r="45" spans="1:28" s="1" customFormat="1" x14ac:dyDescent="0.25">
      <c r="A45" s="5">
        <f t="shared" si="2"/>
        <v>26</v>
      </c>
      <c r="C45" s="399" t="s">
        <v>183</v>
      </c>
      <c r="E45" s="46">
        <f>'OATT Input Data'!$E$147*-1</f>
        <v>-563237.4</v>
      </c>
      <c r="F45" s="8"/>
      <c r="G45" s="8" t="str">
        <f>$G$15</f>
        <v>TP</v>
      </c>
      <c r="H45" s="144">
        <f>$H$15</f>
        <v>0.95574999999999999</v>
      </c>
      <c r="I45" s="8"/>
      <c r="J45" s="46">
        <f t="shared" si="1"/>
        <v>-538314</v>
      </c>
      <c r="K45" s="8"/>
      <c r="L45" s="395"/>
      <c r="M45" s="4"/>
      <c r="N45" s="306"/>
      <c r="O45" s="29"/>
      <c r="P45" s="44"/>
      <c r="Q45" s="44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</row>
    <row r="46" spans="1:28" s="1" customFormat="1" ht="18" x14ac:dyDescent="0.4">
      <c r="A46" s="5">
        <f t="shared" si="2"/>
        <v>27</v>
      </c>
      <c r="C46" s="399" t="s">
        <v>184</v>
      </c>
      <c r="E46" s="400">
        <f>'OATT Input Data'!$E$150*-1</f>
        <v>0</v>
      </c>
      <c r="F46" s="8"/>
      <c r="G46" s="8" t="str">
        <f>$G$18</f>
        <v>CE</v>
      </c>
      <c r="H46" s="144">
        <f>$H$18</f>
        <v>6.0560000000000003E-2</v>
      </c>
      <c r="I46" s="8"/>
      <c r="J46" s="400">
        <f t="shared" si="1"/>
        <v>0</v>
      </c>
      <c r="K46" s="8"/>
      <c r="L46" s="395"/>
      <c r="M46" s="4"/>
      <c r="N46" s="306"/>
      <c r="O46" s="29"/>
      <c r="P46" s="44"/>
      <c r="Q46" s="44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</row>
    <row r="47" spans="1:28" s="1" customFormat="1" x14ac:dyDescent="0.25">
      <c r="A47" s="5">
        <f t="shared" si="2"/>
        <v>28</v>
      </c>
      <c r="C47" s="7" t="s">
        <v>192</v>
      </c>
      <c r="D47" s="187" t="s">
        <v>265</v>
      </c>
      <c r="E47" s="128">
        <f>ROUND(SUM(E38:E46),0)</f>
        <v>-1704180409</v>
      </c>
      <c r="F47" s="8"/>
      <c r="G47" s="8"/>
      <c r="H47" s="8"/>
      <c r="I47" s="8"/>
      <c r="J47" s="128">
        <f>ROUND(SUM(J39:J46),0)</f>
        <v>-137426771</v>
      </c>
      <c r="K47" s="8"/>
      <c r="L47" s="8"/>
      <c r="M47" s="4"/>
      <c r="N47" s="137"/>
      <c r="O47" s="44"/>
      <c r="P47" s="19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</row>
    <row r="48" spans="1:28" s="1" customFormat="1" x14ac:dyDescent="0.25">
      <c r="A48" s="5"/>
      <c r="D48" s="8"/>
      <c r="E48" s="46"/>
      <c r="F48" s="8"/>
      <c r="G48" s="8"/>
      <c r="H48" s="395"/>
      <c r="I48" s="8"/>
      <c r="J48" s="46"/>
      <c r="K48" s="8"/>
      <c r="L48" s="395"/>
      <c r="M48" s="4"/>
      <c r="N48" s="62"/>
      <c r="O48" s="44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</row>
    <row r="49" spans="1:19" x14ac:dyDescent="0.25">
      <c r="A49" s="5">
        <f>A47+1</f>
        <v>29</v>
      </c>
      <c r="C49" s="2" t="s">
        <v>260</v>
      </c>
      <c r="D49" s="184" t="s">
        <v>335</v>
      </c>
      <c r="E49" s="330">
        <f>'OATT Input Data'!$E$165*-1</f>
        <v>0</v>
      </c>
      <c r="F49" s="8"/>
      <c r="G49" s="8" t="str">
        <f>+G23</f>
        <v>TP</v>
      </c>
      <c r="H49" s="391">
        <f>+H23</f>
        <v>0.95574999999999999</v>
      </c>
      <c r="I49" s="8"/>
      <c r="J49" s="330">
        <f>ROUND(E49*H49,0)</f>
        <v>0</v>
      </c>
      <c r="K49" s="8"/>
      <c r="L49" s="8"/>
      <c r="M49" s="4"/>
      <c r="N49" s="62"/>
      <c r="O49" s="44"/>
      <c r="P49" s="44"/>
      <c r="Q49" s="44"/>
    </row>
    <row r="50" spans="1:19" x14ac:dyDescent="0.25">
      <c r="A50" s="5"/>
      <c r="C50" s="2"/>
      <c r="D50" s="8"/>
      <c r="E50" s="46"/>
      <c r="F50" s="8"/>
      <c r="G50" s="8"/>
      <c r="H50" s="8"/>
      <c r="I50" s="8"/>
      <c r="J50" s="46"/>
      <c r="K50" s="8"/>
      <c r="L50" s="8"/>
      <c r="M50" s="4"/>
      <c r="N50" s="62"/>
      <c r="O50" s="44"/>
      <c r="P50" s="19"/>
    </row>
    <row r="51" spans="1:19" x14ac:dyDescent="0.25">
      <c r="A51" s="5"/>
      <c r="C51" s="7" t="s">
        <v>256</v>
      </c>
      <c r="D51" s="187" t="s">
        <v>255</v>
      </c>
      <c r="E51" s="46"/>
      <c r="F51" s="8"/>
      <c r="G51" s="8"/>
      <c r="H51" s="8"/>
      <c r="I51" s="8"/>
      <c r="J51" s="46"/>
      <c r="K51" s="8"/>
      <c r="L51" s="8"/>
      <c r="M51" s="4"/>
      <c r="N51" s="44"/>
      <c r="O51" s="44"/>
      <c r="P51" s="19"/>
    </row>
    <row r="52" spans="1:19" x14ac:dyDescent="0.25">
      <c r="A52" s="5">
        <f>A49+1</f>
        <v>30</v>
      </c>
      <c r="C52" s="399" t="s">
        <v>169</v>
      </c>
      <c r="D52" s="80" t="s">
        <v>52</v>
      </c>
      <c r="E52" s="128">
        <f>ROUND('NITS Pg 3 of 5'!$E$22/8,0)</f>
        <v>30055438</v>
      </c>
      <c r="F52" s="8"/>
      <c r="G52" s="8"/>
      <c r="H52" s="395"/>
      <c r="I52" s="8"/>
      <c r="J52" s="128">
        <f>ROUND('NITS Pg 3 of 5'!$J$22/8,0)</f>
        <v>5923462</v>
      </c>
      <c r="K52" s="4"/>
      <c r="L52" s="395"/>
      <c r="M52" s="4"/>
      <c r="N52" s="138"/>
      <c r="O52" s="139"/>
      <c r="P52" s="19"/>
    </row>
    <row r="53" spans="1:19" x14ac:dyDescent="0.25">
      <c r="A53" s="5">
        <f>A52+1</f>
        <v>31</v>
      </c>
      <c r="C53" s="399" t="s">
        <v>257</v>
      </c>
      <c r="D53" s="184" t="s">
        <v>383</v>
      </c>
      <c r="E53" s="46">
        <f>'OATT Input Data'!$E$172</f>
        <v>10671808.87209779</v>
      </c>
      <c r="F53" s="8"/>
      <c r="G53" s="8" t="s">
        <v>53</v>
      </c>
      <c r="H53" s="391">
        <f>'NITS Pg 4 of 5'!$J$25</f>
        <v>0.82591000000000003</v>
      </c>
      <c r="I53" s="8"/>
      <c r="J53" s="46">
        <f t="shared" ref="J53:J54" si="3">ROUND(E53*H53,0)</f>
        <v>8813954</v>
      </c>
      <c r="K53" s="8" t="s">
        <v>0</v>
      </c>
      <c r="L53" s="395"/>
      <c r="M53" s="4"/>
      <c r="N53" s="140"/>
      <c r="O53" s="139"/>
      <c r="P53" s="47"/>
      <c r="Q53" s="47"/>
    </row>
    <row r="54" spans="1:19" ht="18" x14ac:dyDescent="0.4">
      <c r="A54" s="5">
        <f t="shared" ref="A54:A55" si="4">A53+1</f>
        <v>32</v>
      </c>
      <c r="C54" s="397" t="s">
        <v>170</v>
      </c>
      <c r="D54" s="184" t="s">
        <v>419</v>
      </c>
      <c r="E54" s="401">
        <f>'OATT Input Data'!$E$178</f>
        <v>13985848</v>
      </c>
      <c r="F54" s="8"/>
      <c r="G54" s="8" t="s">
        <v>54</v>
      </c>
      <c r="H54" s="391">
        <f>+H19</f>
        <v>8.4339999999999998E-2</v>
      </c>
      <c r="I54" s="8"/>
      <c r="J54" s="393">
        <f t="shared" si="3"/>
        <v>1179566</v>
      </c>
      <c r="K54" s="8"/>
      <c r="L54" s="395"/>
      <c r="M54" s="4"/>
      <c r="N54" s="140"/>
      <c r="O54" s="29"/>
      <c r="P54" s="47"/>
      <c r="Q54" s="47"/>
    </row>
    <row r="55" spans="1:19" x14ac:dyDescent="0.25">
      <c r="A55" s="5">
        <f t="shared" si="4"/>
        <v>33</v>
      </c>
      <c r="C55" s="7" t="s">
        <v>193</v>
      </c>
      <c r="D55" s="187" t="str">
        <f>"Sum of Ls. "&amp;A52&amp;" - "&amp;A54</f>
        <v>Sum of Ls. 30 - 32</v>
      </c>
      <c r="E55" s="128">
        <f>ROUND(SUM(E52:E54),0)</f>
        <v>54713095</v>
      </c>
      <c r="F55" s="4"/>
      <c r="G55" s="4"/>
      <c r="H55" s="4"/>
      <c r="I55" s="4"/>
      <c r="J55" s="128">
        <f>ROUND(SUM(J52:J54),0)</f>
        <v>15916982</v>
      </c>
      <c r="K55" s="4"/>
      <c r="L55" s="4"/>
      <c r="M55" s="4"/>
      <c r="N55" s="132"/>
      <c r="O55" s="44"/>
      <c r="P55" s="19"/>
    </row>
    <row r="56" spans="1:19" x14ac:dyDescent="0.25">
      <c r="D56" s="8"/>
      <c r="E56" s="46"/>
      <c r="F56" s="8"/>
      <c r="G56" s="8"/>
      <c r="H56" s="8"/>
      <c r="I56" s="8"/>
      <c r="J56" s="46"/>
      <c r="K56" s="8"/>
      <c r="L56" s="8"/>
      <c r="M56" s="4"/>
      <c r="N56" s="44"/>
      <c r="O56" s="44"/>
      <c r="P56" s="19"/>
    </row>
    <row r="57" spans="1:19" x14ac:dyDescent="0.25">
      <c r="A57" s="5">
        <f>A55+1</f>
        <v>34</v>
      </c>
      <c r="C57" s="2" t="s">
        <v>258</v>
      </c>
      <c r="D57" s="187" t="s">
        <v>259</v>
      </c>
      <c r="E57" s="402">
        <f>ROUND(E55+E49+E47+E35,0)</f>
        <v>7588812605</v>
      </c>
      <c r="F57" s="8"/>
      <c r="G57" s="8"/>
      <c r="H57" s="395"/>
      <c r="I57" s="8"/>
      <c r="J57" s="402">
        <f>ROUND(J55+J49+J47+J35,0)</f>
        <v>572577165</v>
      </c>
      <c r="K57" s="8"/>
      <c r="L57" s="395"/>
      <c r="M57" s="8"/>
      <c r="N57" s="44"/>
      <c r="O57" s="44"/>
      <c r="P57" s="19"/>
    </row>
    <row r="58" spans="1:19" x14ac:dyDescent="0.25">
      <c r="A58" s="5"/>
      <c r="C58" s="2"/>
      <c r="D58" s="8"/>
      <c r="E58" s="8"/>
      <c r="F58" s="8"/>
      <c r="G58" s="8"/>
      <c r="H58" s="8"/>
      <c r="I58" s="8"/>
      <c r="J58" s="8"/>
      <c r="K58" s="8"/>
      <c r="L58" s="8"/>
      <c r="M58" s="8"/>
      <c r="N58" s="44"/>
      <c r="O58" s="44"/>
      <c r="P58" s="19"/>
    </row>
    <row r="59" spans="1:19" x14ac:dyDescent="0.25">
      <c r="Q59" s="79"/>
      <c r="R59" s="79"/>
      <c r="S59" s="79"/>
    </row>
    <row r="60" spans="1:19" x14ac:dyDescent="0.25">
      <c r="Q60" s="79"/>
      <c r="R60" s="79"/>
      <c r="S60" s="79"/>
    </row>
    <row r="61" spans="1:19" x14ac:dyDescent="0.25">
      <c r="Q61" s="79"/>
      <c r="R61" s="79"/>
      <c r="S61" s="79"/>
    </row>
    <row r="62" spans="1:19" x14ac:dyDescent="0.25">
      <c r="Q62" s="79"/>
      <c r="R62" s="79"/>
      <c r="S62" s="79"/>
    </row>
    <row r="63" spans="1:19" x14ac:dyDescent="0.25">
      <c r="Q63" s="79"/>
      <c r="R63" s="79"/>
      <c r="S63" s="79"/>
    </row>
    <row r="64" spans="1:19" x14ac:dyDescent="0.25">
      <c r="Q64" s="79"/>
      <c r="R64" s="79"/>
      <c r="S64" s="79"/>
    </row>
    <row r="65" spans="17:43" s="1" customFormat="1" x14ac:dyDescent="0.25">
      <c r="Q65" s="79"/>
      <c r="R65" s="79"/>
      <c r="S65" s="79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</row>
    <row r="66" spans="17:43" s="1" customFormat="1" x14ac:dyDescent="0.25">
      <c r="Q66" s="79"/>
      <c r="R66" s="79"/>
      <c r="S66" s="79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</row>
    <row r="67" spans="17:43" s="1" customFormat="1" x14ac:dyDescent="0.25">
      <c r="Q67" s="79"/>
      <c r="R67" s="79"/>
      <c r="S67" s="79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</row>
    <row r="68" spans="17:43" s="1" customFormat="1" x14ac:dyDescent="0.25">
      <c r="Q68" s="79"/>
      <c r="R68" s="79"/>
      <c r="S68" s="79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</row>
    <row r="69" spans="17:43" s="1" customFormat="1" x14ac:dyDescent="0.25">
      <c r="Q69" s="79"/>
      <c r="R69" s="79"/>
      <c r="S69" s="79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</row>
    <row r="70" spans="17:43" s="1" customFormat="1" x14ac:dyDescent="0.25">
      <c r="Q70" s="79"/>
      <c r="R70" s="79"/>
      <c r="S70" s="79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</row>
    <row r="71" spans="17:43" s="1" customFormat="1" x14ac:dyDescent="0.25">
      <c r="Q71" s="79"/>
      <c r="R71" s="79"/>
      <c r="S71" s="79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</row>
    <row r="72" spans="17:43" s="1" customFormat="1" x14ac:dyDescent="0.25">
      <c r="Q72" s="79"/>
      <c r="R72" s="79"/>
      <c r="S72" s="79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</row>
    <row r="73" spans="17:43" s="1" customFormat="1" x14ac:dyDescent="0.25">
      <c r="Q73" s="79"/>
      <c r="R73" s="79"/>
      <c r="S73" s="79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</row>
    <row r="74" spans="17:43" s="1" customFormat="1" x14ac:dyDescent="0.25">
      <c r="Q74" s="79"/>
      <c r="R74" s="79"/>
      <c r="S74" s="79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</row>
    <row r="75" spans="17:43" s="1" customFormat="1" x14ac:dyDescent="0.25">
      <c r="Q75" s="79"/>
      <c r="R75" s="79"/>
      <c r="S75" s="79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</row>
    <row r="76" spans="17:43" s="1" customFormat="1" x14ac:dyDescent="0.25">
      <c r="Q76" s="79"/>
      <c r="R76" s="79"/>
      <c r="S76" s="79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</row>
    <row r="77" spans="17:43" s="1" customFormat="1" x14ac:dyDescent="0.25">
      <c r="Q77" s="79"/>
      <c r="R77" s="79"/>
      <c r="S77" s="79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</row>
    <row r="78" spans="17:43" s="1" customFormat="1" x14ac:dyDescent="0.25">
      <c r="Q78" s="79"/>
      <c r="R78" s="79"/>
      <c r="S78" s="79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</row>
    <row r="79" spans="17:43" s="1" customFormat="1" x14ac:dyDescent="0.25">
      <c r="Q79" s="79"/>
      <c r="R79" s="79"/>
      <c r="S79" s="79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</row>
    <row r="80" spans="17:43" s="1" customFormat="1" x14ac:dyDescent="0.25">
      <c r="Q80" s="79"/>
      <c r="R80" s="79"/>
      <c r="S80" s="79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</row>
    <row r="81" spans="17:43" s="1" customFormat="1" x14ac:dyDescent="0.25">
      <c r="Q81" s="79"/>
      <c r="R81" s="79"/>
      <c r="S81" s="79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</row>
    <row r="82" spans="17:43" s="1" customFormat="1" x14ac:dyDescent="0.25">
      <c r="Q82" s="79"/>
      <c r="R82" s="79"/>
      <c r="S82" s="79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</row>
    <row r="83" spans="17:43" s="1" customFormat="1" x14ac:dyDescent="0.25">
      <c r="Q83" s="79"/>
      <c r="R83" s="79"/>
      <c r="S83" s="79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</row>
    <row r="84" spans="17:43" s="1" customFormat="1" x14ac:dyDescent="0.25">
      <c r="Q84" s="79"/>
      <c r="R84" s="79"/>
      <c r="S84" s="79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</row>
    <row r="85" spans="17:43" s="1" customFormat="1" x14ac:dyDescent="0.25">
      <c r="Q85" s="79"/>
      <c r="R85" s="79"/>
      <c r="S85" s="79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</row>
    <row r="86" spans="17:43" s="1" customFormat="1" x14ac:dyDescent="0.25">
      <c r="Q86" s="79"/>
      <c r="R86" s="79"/>
      <c r="S86" s="79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</row>
    <row r="87" spans="17:43" s="1" customFormat="1" x14ac:dyDescent="0.25">
      <c r="Q87" s="79"/>
      <c r="R87" s="79"/>
      <c r="S87" s="79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</row>
    <row r="88" spans="17:43" s="1" customFormat="1" x14ac:dyDescent="0.25">
      <c r="Q88" s="79"/>
      <c r="R88" s="79"/>
      <c r="S88" s="79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</row>
    <row r="89" spans="17:43" s="1" customFormat="1" x14ac:dyDescent="0.25">
      <c r="Q89" s="79"/>
      <c r="R89" s="79"/>
      <c r="S89" s="79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</row>
    <row r="90" spans="17:43" s="1" customFormat="1" x14ac:dyDescent="0.25">
      <c r="Q90" s="79"/>
      <c r="R90" s="79"/>
      <c r="S90" s="79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</row>
    <row r="91" spans="17:43" s="1" customFormat="1" x14ac:dyDescent="0.25">
      <c r="Q91" s="79"/>
      <c r="R91" s="79"/>
      <c r="S91" s="79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</row>
    <row r="92" spans="17:43" s="1" customFormat="1" x14ac:dyDescent="0.25">
      <c r="Q92" s="79"/>
      <c r="R92" s="79"/>
      <c r="S92" s="79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</row>
    <row r="93" spans="17:43" s="1" customFormat="1" x14ac:dyDescent="0.25">
      <c r="Q93" s="79"/>
      <c r="R93" s="79"/>
      <c r="S93" s="79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</row>
    <row r="94" spans="17:43" s="1" customFormat="1" x14ac:dyDescent="0.25">
      <c r="Q94" s="79"/>
      <c r="R94" s="79"/>
      <c r="S94" s="79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</row>
    <row r="95" spans="17:43" s="1" customFormat="1" x14ac:dyDescent="0.25">
      <c r="Q95" s="79"/>
      <c r="R95" s="79"/>
      <c r="S95" s="79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</row>
    <row r="96" spans="17:43" s="1" customFormat="1" x14ac:dyDescent="0.25">
      <c r="Q96" s="79"/>
      <c r="R96" s="79"/>
      <c r="S96" s="79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</row>
    <row r="97" spans="17:43" s="1" customFormat="1" x14ac:dyDescent="0.25">
      <c r="Q97" s="79"/>
      <c r="R97" s="79"/>
      <c r="S97" s="79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</row>
    <row r="98" spans="17:43" s="1" customFormat="1" x14ac:dyDescent="0.25">
      <c r="Q98" s="79"/>
      <c r="R98" s="79"/>
      <c r="S98" s="79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</row>
    <row r="99" spans="17:43" s="1" customFormat="1" x14ac:dyDescent="0.25">
      <c r="Q99" s="79"/>
      <c r="R99" s="79"/>
      <c r="S99" s="79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</row>
    <row r="100" spans="17:43" s="1" customFormat="1" x14ac:dyDescent="0.25">
      <c r="Q100" s="79"/>
      <c r="R100" s="79"/>
      <c r="S100" s="79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</row>
    <row r="101" spans="17:43" s="1" customFormat="1" x14ac:dyDescent="0.25">
      <c r="Q101" s="79"/>
      <c r="R101" s="79"/>
      <c r="S101" s="79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</row>
    <row r="102" spans="17:43" s="1" customFormat="1" x14ac:dyDescent="0.25">
      <c r="Q102" s="79"/>
      <c r="R102" s="79"/>
      <c r="S102" s="79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</row>
    <row r="103" spans="17:43" s="1" customFormat="1" x14ac:dyDescent="0.25">
      <c r="Q103" s="79"/>
      <c r="R103" s="79"/>
      <c r="S103" s="79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</row>
    <row r="104" spans="17:43" s="1" customFormat="1" x14ac:dyDescent="0.25">
      <c r="Q104" s="79"/>
      <c r="R104" s="79"/>
      <c r="S104" s="79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</row>
    <row r="105" spans="17:43" s="1" customFormat="1" x14ac:dyDescent="0.25">
      <c r="Q105" s="79"/>
      <c r="R105" s="79"/>
      <c r="S105" s="79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</row>
    <row r="106" spans="17:43" s="1" customFormat="1" x14ac:dyDescent="0.25">
      <c r="Q106" s="79"/>
      <c r="R106" s="79"/>
      <c r="S106" s="79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</row>
    <row r="107" spans="17:43" s="1" customFormat="1" x14ac:dyDescent="0.25">
      <c r="Q107" s="79"/>
      <c r="R107" s="79"/>
      <c r="S107" s="79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</row>
    <row r="108" spans="17:43" s="1" customFormat="1" x14ac:dyDescent="0.25">
      <c r="Q108" s="79"/>
      <c r="R108" s="79"/>
      <c r="S108" s="79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</row>
    <row r="109" spans="17:43" s="1" customFormat="1" x14ac:dyDescent="0.25">
      <c r="Q109" s="79"/>
      <c r="R109" s="79"/>
      <c r="S109" s="79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</row>
    <row r="110" spans="17:43" s="1" customFormat="1" x14ac:dyDescent="0.25">
      <c r="Q110" s="79"/>
      <c r="R110" s="79"/>
      <c r="S110" s="79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</row>
    <row r="111" spans="17:43" s="1" customFormat="1" x14ac:dyDescent="0.25">
      <c r="Q111" s="79"/>
      <c r="R111" s="79"/>
      <c r="S111" s="79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</row>
    <row r="112" spans="17:43" s="1" customFormat="1" x14ac:dyDescent="0.25">
      <c r="Q112" s="79"/>
      <c r="R112" s="79"/>
      <c r="S112" s="79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</row>
    <row r="113" spans="17:43" s="1" customFormat="1" x14ac:dyDescent="0.25">
      <c r="Q113" s="79"/>
      <c r="R113" s="79"/>
      <c r="S113" s="79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</row>
    <row r="114" spans="17:43" s="1" customFormat="1" x14ac:dyDescent="0.25">
      <c r="Q114" s="79"/>
      <c r="R114" s="79"/>
      <c r="S114" s="79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</row>
    <row r="115" spans="17:43" s="1" customFormat="1" x14ac:dyDescent="0.25">
      <c r="Q115" s="79"/>
      <c r="R115" s="79"/>
      <c r="S115" s="79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</row>
    <row r="116" spans="17:43" s="1" customFormat="1" x14ac:dyDescent="0.25">
      <c r="Q116" s="79"/>
      <c r="R116" s="79"/>
      <c r="S116" s="79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</row>
    <row r="117" spans="17:43" s="1" customFormat="1" x14ac:dyDescent="0.25">
      <c r="Q117" s="79"/>
      <c r="R117" s="79"/>
      <c r="S117" s="79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</row>
    <row r="118" spans="17:43" s="1" customFormat="1" x14ac:dyDescent="0.25">
      <c r="Q118" s="79"/>
      <c r="R118" s="79"/>
      <c r="S118" s="79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</row>
    <row r="119" spans="17:43" s="1" customFormat="1" x14ac:dyDescent="0.25">
      <c r="Q119" s="79"/>
      <c r="R119" s="79"/>
      <c r="S119" s="79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</row>
    <row r="120" spans="17:43" s="1" customFormat="1" x14ac:dyDescent="0.25">
      <c r="Q120" s="79"/>
      <c r="R120" s="79"/>
      <c r="S120" s="79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</row>
    <row r="121" spans="17:43" s="1" customFormat="1" x14ac:dyDescent="0.25">
      <c r="Q121" s="79"/>
      <c r="R121" s="79"/>
      <c r="S121" s="79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</row>
    <row r="122" spans="17:43" s="1" customFormat="1" x14ac:dyDescent="0.25">
      <c r="Q122" s="79"/>
      <c r="R122" s="79"/>
      <c r="S122" s="79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</row>
    <row r="123" spans="17:43" s="1" customFormat="1" x14ac:dyDescent="0.25">
      <c r="Q123" s="79"/>
      <c r="R123" s="79"/>
      <c r="S123" s="79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</row>
    <row r="124" spans="17:43" s="1" customFormat="1" x14ac:dyDescent="0.25">
      <c r="Q124" s="79"/>
      <c r="R124" s="79"/>
      <c r="S124" s="79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</row>
    <row r="125" spans="17:43" s="1" customFormat="1" x14ac:dyDescent="0.25">
      <c r="Q125" s="79"/>
      <c r="R125" s="79"/>
      <c r="S125" s="79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</row>
    <row r="126" spans="17:43" s="1" customFormat="1" x14ac:dyDescent="0.25">
      <c r="Q126" s="79"/>
      <c r="R126" s="79"/>
      <c r="S126" s="79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</row>
    <row r="127" spans="17:43" s="1" customFormat="1" x14ac:dyDescent="0.25">
      <c r="Q127" s="79"/>
      <c r="R127" s="79"/>
      <c r="S127" s="79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</row>
    <row r="128" spans="17:43" s="1" customFormat="1" x14ac:dyDescent="0.25">
      <c r="Q128" s="79"/>
      <c r="R128" s="79"/>
      <c r="S128" s="79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</row>
    <row r="129" spans="17:43" s="1" customFormat="1" x14ac:dyDescent="0.25">
      <c r="Q129" s="79"/>
      <c r="R129" s="79"/>
      <c r="S129" s="79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</row>
    <row r="130" spans="17:43" s="1" customFormat="1" x14ac:dyDescent="0.25">
      <c r="Q130" s="79"/>
      <c r="R130" s="79"/>
      <c r="S130" s="79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</row>
    <row r="131" spans="17:43" s="1" customFormat="1" x14ac:dyDescent="0.25">
      <c r="Q131" s="79"/>
      <c r="R131" s="79"/>
      <c r="S131" s="79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</row>
    <row r="132" spans="17:43" s="1" customFormat="1" x14ac:dyDescent="0.25">
      <c r="Q132" s="79"/>
      <c r="R132" s="79"/>
      <c r="S132" s="79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</row>
    <row r="133" spans="17:43" s="1" customFormat="1" x14ac:dyDescent="0.25">
      <c r="Q133" s="79"/>
      <c r="R133" s="79"/>
      <c r="S133" s="79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</row>
    <row r="134" spans="17:43" s="1" customFormat="1" x14ac:dyDescent="0.25">
      <c r="Q134" s="79"/>
      <c r="R134" s="79"/>
      <c r="S134" s="79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</row>
    <row r="135" spans="17:43" s="1" customFormat="1" x14ac:dyDescent="0.25">
      <c r="Q135" s="79"/>
      <c r="R135" s="79"/>
      <c r="S135" s="79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</row>
    <row r="136" spans="17:43" s="1" customFormat="1" x14ac:dyDescent="0.25">
      <c r="Q136" s="79"/>
      <c r="R136" s="79"/>
      <c r="S136" s="79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</row>
    <row r="137" spans="17:43" s="1" customFormat="1" x14ac:dyDescent="0.25">
      <c r="Q137" s="79"/>
      <c r="R137" s="79"/>
      <c r="S137" s="79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</row>
    <row r="138" spans="17:43" s="1" customFormat="1" x14ac:dyDescent="0.25">
      <c r="Q138" s="79"/>
      <c r="R138" s="79"/>
      <c r="S138" s="79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</row>
    <row r="139" spans="17:43" s="1" customFormat="1" x14ac:dyDescent="0.25">
      <c r="Q139" s="79"/>
      <c r="R139" s="79"/>
      <c r="S139" s="79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</row>
    <row r="140" spans="17:43" s="1" customFormat="1" x14ac:dyDescent="0.25">
      <c r="Q140" s="79"/>
      <c r="R140" s="79"/>
      <c r="S140" s="79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</row>
    <row r="141" spans="17:43" s="1" customFormat="1" x14ac:dyDescent="0.25">
      <c r="Q141" s="79"/>
      <c r="R141" s="79"/>
      <c r="S141" s="79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</row>
    <row r="142" spans="17:43" s="1" customFormat="1" x14ac:dyDescent="0.25">
      <c r="Q142" s="79"/>
      <c r="R142" s="79"/>
      <c r="S142" s="79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</row>
    <row r="143" spans="17:43" s="1" customFormat="1" x14ac:dyDescent="0.25">
      <c r="Q143" s="79"/>
      <c r="R143" s="79"/>
      <c r="S143" s="79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</row>
    <row r="144" spans="17:43" s="1" customFormat="1" x14ac:dyDescent="0.25">
      <c r="Q144" s="79"/>
      <c r="R144" s="79"/>
      <c r="S144" s="79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</row>
    <row r="145" spans="17:43" s="1" customFormat="1" x14ac:dyDescent="0.25">
      <c r="Q145" s="79"/>
      <c r="R145" s="79"/>
      <c r="S145" s="79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</row>
    <row r="146" spans="17:43" s="1" customFormat="1" x14ac:dyDescent="0.25">
      <c r="Q146" s="79"/>
      <c r="R146" s="79"/>
      <c r="S146" s="79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</row>
    <row r="147" spans="17:43" s="1" customFormat="1" x14ac:dyDescent="0.25">
      <c r="Q147" s="79"/>
      <c r="R147" s="79"/>
      <c r="S147" s="79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</row>
    <row r="148" spans="17:43" s="1" customFormat="1" x14ac:dyDescent="0.25">
      <c r="Q148" s="79"/>
      <c r="R148" s="79"/>
      <c r="S148" s="79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</row>
    <row r="149" spans="17:43" s="1" customFormat="1" x14ac:dyDescent="0.25">
      <c r="Q149" s="79"/>
      <c r="R149" s="79"/>
      <c r="S149" s="79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</row>
    <row r="150" spans="17:43" s="1" customFormat="1" x14ac:dyDescent="0.25">
      <c r="Q150" s="79"/>
      <c r="R150" s="79"/>
      <c r="S150" s="79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</row>
    <row r="151" spans="17:43" s="1" customFormat="1" x14ac:dyDescent="0.25">
      <c r="Q151" s="79"/>
      <c r="R151" s="79"/>
      <c r="S151" s="79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</row>
    <row r="152" spans="17:43" s="1" customFormat="1" x14ac:dyDescent="0.25">
      <c r="Q152" s="79"/>
      <c r="R152" s="79"/>
      <c r="S152" s="79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</row>
    <row r="153" spans="17:43" s="1" customFormat="1" x14ac:dyDescent="0.25">
      <c r="Q153" s="79"/>
      <c r="R153" s="79"/>
      <c r="S153" s="79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</row>
    <row r="154" spans="17:43" s="1" customFormat="1" x14ac:dyDescent="0.25">
      <c r="Q154" s="79"/>
      <c r="R154" s="79"/>
      <c r="S154" s="79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</row>
    <row r="155" spans="17:43" s="1" customFormat="1" x14ac:dyDescent="0.25">
      <c r="Q155" s="79"/>
      <c r="R155" s="79"/>
      <c r="S155" s="79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</row>
    <row r="156" spans="17:43" s="1" customFormat="1" x14ac:dyDescent="0.25">
      <c r="Q156" s="79"/>
      <c r="R156" s="79"/>
      <c r="S156" s="79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</row>
    <row r="157" spans="17:43" s="1" customFormat="1" x14ac:dyDescent="0.25">
      <c r="Q157" s="79"/>
      <c r="R157" s="79"/>
      <c r="S157" s="79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</row>
    <row r="158" spans="17:43" s="1" customFormat="1" x14ac:dyDescent="0.25">
      <c r="Q158" s="79"/>
      <c r="R158" s="79"/>
      <c r="S158" s="79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</row>
    <row r="159" spans="17:43" s="1" customFormat="1" x14ac:dyDescent="0.25">
      <c r="Q159" s="79"/>
      <c r="R159" s="79"/>
      <c r="S159" s="79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</row>
    <row r="160" spans="17:43" s="1" customFormat="1" x14ac:dyDescent="0.25">
      <c r="Q160" s="79"/>
      <c r="R160" s="79"/>
      <c r="S160" s="79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</row>
    <row r="161" spans="17:43" s="1" customFormat="1" x14ac:dyDescent="0.25">
      <c r="Q161" s="79"/>
      <c r="R161" s="79"/>
      <c r="S161" s="79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</row>
    <row r="162" spans="17:43" s="1" customFormat="1" x14ac:dyDescent="0.25">
      <c r="Q162" s="79"/>
      <c r="R162" s="79"/>
      <c r="S162" s="79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</row>
    <row r="163" spans="17:43" s="1" customFormat="1" x14ac:dyDescent="0.25">
      <c r="Q163" s="79"/>
      <c r="R163" s="79"/>
      <c r="S163" s="79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</row>
    <row r="164" spans="17:43" s="1" customFormat="1" x14ac:dyDescent="0.25">
      <c r="Q164" s="79"/>
      <c r="R164" s="79"/>
      <c r="S164" s="79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</row>
    <row r="165" spans="17:43" s="1" customFormat="1" x14ac:dyDescent="0.25">
      <c r="Q165" s="79"/>
      <c r="R165" s="79"/>
      <c r="S165" s="79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</row>
    <row r="166" spans="17:43" s="1" customFormat="1" x14ac:dyDescent="0.25">
      <c r="Q166" s="79"/>
      <c r="R166" s="79"/>
      <c r="S166" s="79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</row>
    <row r="167" spans="17:43" s="1" customFormat="1" x14ac:dyDescent="0.25">
      <c r="Q167" s="79"/>
      <c r="R167" s="79"/>
      <c r="S167" s="79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</row>
    <row r="168" spans="17:43" s="1" customFormat="1" x14ac:dyDescent="0.25">
      <c r="Q168" s="79"/>
      <c r="R168" s="79"/>
      <c r="S168" s="79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</row>
    <row r="169" spans="17:43" s="1" customFormat="1" x14ac:dyDescent="0.25">
      <c r="Q169" s="79"/>
      <c r="R169" s="79"/>
      <c r="S169" s="79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</row>
    <row r="170" spans="17:43" s="1" customFormat="1" x14ac:dyDescent="0.25">
      <c r="Q170" s="79"/>
      <c r="R170" s="79"/>
      <c r="S170" s="79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</row>
    <row r="171" spans="17:43" s="1" customFormat="1" x14ac:dyDescent="0.25">
      <c r="Q171" s="79"/>
      <c r="R171" s="79"/>
      <c r="S171" s="79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</row>
    <row r="172" spans="17:43" s="1" customFormat="1" x14ac:dyDescent="0.25">
      <c r="Q172" s="79"/>
      <c r="R172" s="79"/>
      <c r="S172" s="79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</row>
    <row r="173" spans="17:43" s="1" customFormat="1" x14ac:dyDescent="0.25">
      <c r="Q173" s="79"/>
      <c r="R173" s="79"/>
      <c r="S173" s="79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</row>
    <row r="174" spans="17:43" s="1" customFormat="1" x14ac:dyDescent="0.25">
      <c r="Q174" s="79"/>
      <c r="R174" s="79"/>
      <c r="S174" s="79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</row>
    <row r="175" spans="17:43" s="1" customFormat="1" x14ac:dyDescent="0.25">
      <c r="Q175" s="79"/>
      <c r="R175" s="79"/>
      <c r="S175" s="79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</row>
    <row r="176" spans="17:43" s="1" customFormat="1" x14ac:dyDescent="0.25">
      <c r="Q176" s="79"/>
      <c r="R176" s="79"/>
      <c r="S176" s="79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</row>
    <row r="177" spans="3:19" x14ac:dyDescent="0.25">
      <c r="Q177" s="79"/>
      <c r="R177" s="79"/>
      <c r="S177" s="79"/>
    </row>
    <row r="178" spans="3:19" x14ac:dyDescent="0.25">
      <c r="Q178" s="79"/>
      <c r="R178" s="79"/>
      <c r="S178" s="79"/>
    </row>
    <row r="179" spans="3:19" x14ac:dyDescent="0.25">
      <c r="Q179" s="79"/>
      <c r="R179" s="79"/>
      <c r="S179" s="79"/>
    </row>
    <row r="180" spans="3:19" x14ac:dyDescent="0.25">
      <c r="Q180" s="79"/>
      <c r="R180" s="79"/>
      <c r="S180" s="79"/>
    </row>
    <row r="181" spans="3:19" x14ac:dyDescent="0.25">
      <c r="Q181" s="79"/>
      <c r="R181" s="79"/>
      <c r="S181" s="79"/>
    </row>
    <row r="182" spans="3:19" x14ac:dyDescent="0.25">
      <c r="Q182" s="79"/>
      <c r="R182" s="79"/>
      <c r="S182" s="79"/>
    </row>
    <row r="183" spans="3:19" x14ac:dyDescent="0.25">
      <c r="C183" s="80"/>
      <c r="D183" s="80"/>
      <c r="E183" s="80"/>
      <c r="F183" s="80"/>
      <c r="G183" s="80"/>
      <c r="H183" s="80"/>
      <c r="I183" s="80"/>
      <c r="J183" s="80"/>
      <c r="K183" s="80"/>
      <c r="L183" s="80"/>
      <c r="M183" s="80"/>
      <c r="N183" s="79"/>
      <c r="O183" s="79"/>
      <c r="Q183" s="79"/>
      <c r="R183" s="79"/>
      <c r="S183" s="79"/>
    </row>
    <row r="184" spans="3:19" x14ac:dyDescent="0.25">
      <c r="C184" s="80"/>
      <c r="D184" s="80"/>
      <c r="E184" s="80"/>
      <c r="F184" s="80"/>
      <c r="G184" s="80"/>
      <c r="H184" s="80"/>
      <c r="I184" s="80"/>
      <c r="J184" s="80"/>
      <c r="K184" s="80"/>
      <c r="L184" s="80"/>
      <c r="M184" s="80"/>
      <c r="N184" s="79"/>
      <c r="O184" s="79"/>
      <c r="P184" s="79"/>
      <c r="Q184" s="79"/>
      <c r="R184" s="79"/>
      <c r="S184" s="79"/>
    </row>
    <row r="185" spans="3:19" x14ac:dyDescent="0.25">
      <c r="C185" s="80"/>
      <c r="D185" s="80"/>
      <c r="E185" s="80"/>
      <c r="F185" s="80"/>
      <c r="G185" s="80"/>
      <c r="H185" s="80"/>
      <c r="I185" s="80"/>
      <c r="J185" s="80"/>
      <c r="K185" s="80"/>
      <c r="L185" s="80"/>
      <c r="M185" s="80"/>
      <c r="N185" s="79"/>
      <c r="O185" s="79"/>
      <c r="P185" s="79"/>
      <c r="Q185" s="79"/>
      <c r="R185" s="79"/>
      <c r="S185" s="79"/>
    </row>
    <row r="186" spans="3:19" x14ac:dyDescent="0.25">
      <c r="C186" s="80"/>
      <c r="D186" s="80"/>
      <c r="E186" s="80"/>
      <c r="F186" s="80"/>
      <c r="G186" s="80"/>
      <c r="H186" s="80"/>
      <c r="I186" s="80"/>
      <c r="J186" s="80"/>
      <c r="K186" s="80"/>
      <c r="L186" s="80"/>
      <c r="M186" s="80"/>
      <c r="N186" s="79"/>
      <c r="O186" s="79"/>
      <c r="P186" s="79"/>
      <c r="Q186" s="79"/>
      <c r="R186" s="79"/>
      <c r="S186" s="79"/>
    </row>
    <row r="187" spans="3:19" x14ac:dyDescent="0.25">
      <c r="C187" s="80"/>
      <c r="D187" s="80"/>
      <c r="E187" s="80"/>
      <c r="F187" s="80"/>
      <c r="G187" s="80"/>
      <c r="H187" s="80"/>
      <c r="I187" s="80"/>
      <c r="J187" s="80"/>
      <c r="K187" s="80"/>
      <c r="L187" s="80"/>
      <c r="M187" s="80"/>
      <c r="N187" s="79"/>
      <c r="O187" s="79"/>
      <c r="P187" s="79"/>
      <c r="Q187" s="79"/>
      <c r="R187" s="79"/>
      <c r="S187" s="79"/>
    </row>
    <row r="188" spans="3:19" x14ac:dyDescent="0.25">
      <c r="C188" s="80"/>
      <c r="D188" s="80"/>
      <c r="E188" s="80"/>
      <c r="F188" s="80"/>
      <c r="G188" s="80"/>
      <c r="H188" s="80"/>
      <c r="I188" s="80"/>
      <c r="J188" s="80"/>
      <c r="K188" s="80"/>
      <c r="L188" s="80"/>
      <c r="M188" s="80"/>
      <c r="N188" s="79"/>
      <c r="O188" s="79"/>
      <c r="P188" s="79"/>
      <c r="Q188" s="79"/>
      <c r="R188" s="79"/>
      <c r="S188" s="79"/>
    </row>
    <row r="189" spans="3:19" x14ac:dyDescent="0.25">
      <c r="C189" s="80"/>
      <c r="D189" s="80"/>
      <c r="E189" s="80"/>
      <c r="F189" s="80"/>
      <c r="G189" s="80"/>
      <c r="H189" s="80"/>
      <c r="I189" s="80"/>
      <c r="J189" s="80"/>
      <c r="K189" s="80"/>
      <c r="L189" s="80"/>
      <c r="M189" s="80"/>
      <c r="N189" s="79"/>
      <c r="O189" s="79"/>
      <c r="P189" s="79"/>
      <c r="Q189" s="79"/>
      <c r="R189" s="79"/>
      <c r="S189" s="79"/>
    </row>
    <row r="190" spans="3:19" x14ac:dyDescent="0.25">
      <c r="C190" s="80"/>
      <c r="D190" s="80"/>
      <c r="E190" s="80"/>
      <c r="F190" s="80"/>
      <c r="G190" s="80"/>
      <c r="H190" s="80"/>
      <c r="I190" s="80"/>
      <c r="J190" s="80"/>
      <c r="K190" s="80"/>
      <c r="L190" s="80"/>
      <c r="M190" s="80"/>
      <c r="N190" s="79"/>
      <c r="O190" s="79"/>
      <c r="P190" s="79"/>
      <c r="Q190" s="79"/>
      <c r="R190" s="79"/>
      <c r="S190" s="79"/>
    </row>
    <row r="191" spans="3:19" x14ac:dyDescent="0.25">
      <c r="C191" s="80"/>
      <c r="D191" s="80"/>
      <c r="E191" s="80"/>
      <c r="F191" s="80"/>
      <c r="G191" s="80"/>
      <c r="H191" s="80"/>
      <c r="I191" s="80"/>
      <c r="J191" s="80"/>
      <c r="K191" s="80"/>
      <c r="L191" s="80"/>
      <c r="M191" s="80"/>
      <c r="N191" s="79"/>
      <c r="O191" s="79"/>
      <c r="P191" s="79"/>
      <c r="Q191" s="79"/>
      <c r="R191" s="79"/>
      <c r="S191" s="79"/>
    </row>
    <row r="192" spans="3:19" x14ac:dyDescent="0.25">
      <c r="C192" s="80"/>
      <c r="D192" s="80"/>
      <c r="E192" s="80"/>
      <c r="F192" s="80"/>
      <c r="G192" s="80"/>
      <c r="H192" s="80"/>
      <c r="I192" s="80"/>
      <c r="J192" s="80"/>
      <c r="K192" s="80"/>
      <c r="L192" s="80"/>
      <c r="M192" s="80"/>
      <c r="N192" s="79"/>
      <c r="O192" s="79"/>
      <c r="P192" s="79"/>
      <c r="Q192" s="79"/>
      <c r="R192" s="79"/>
      <c r="S192" s="79"/>
    </row>
    <row r="193" spans="3:19" x14ac:dyDescent="0.25">
      <c r="C193" s="80"/>
      <c r="D193" s="80"/>
      <c r="E193" s="80"/>
      <c r="F193" s="80"/>
      <c r="G193" s="80"/>
      <c r="H193" s="80"/>
      <c r="I193" s="80"/>
      <c r="J193" s="80"/>
      <c r="K193" s="80"/>
      <c r="L193" s="80"/>
      <c r="M193" s="80"/>
      <c r="N193" s="79"/>
      <c r="O193" s="79"/>
      <c r="P193" s="79"/>
      <c r="Q193" s="79"/>
      <c r="R193" s="79"/>
      <c r="S193" s="79"/>
    </row>
    <row r="194" spans="3:19" x14ac:dyDescent="0.25">
      <c r="C194" s="80"/>
      <c r="D194" s="80"/>
      <c r="E194" s="80"/>
      <c r="F194" s="80"/>
      <c r="G194" s="80"/>
      <c r="H194" s="80"/>
      <c r="I194" s="80"/>
      <c r="J194" s="80"/>
      <c r="K194" s="80"/>
      <c r="L194" s="80"/>
      <c r="M194" s="80"/>
      <c r="N194" s="79"/>
      <c r="O194" s="79"/>
      <c r="P194" s="79"/>
      <c r="Q194" s="79"/>
      <c r="R194" s="79"/>
      <c r="S194" s="79"/>
    </row>
    <row r="195" spans="3:19" x14ac:dyDescent="0.25">
      <c r="C195" s="80"/>
      <c r="D195" s="80"/>
      <c r="E195" s="80"/>
      <c r="F195" s="80"/>
      <c r="G195" s="80"/>
      <c r="H195" s="80"/>
      <c r="I195" s="80"/>
      <c r="J195" s="80"/>
      <c r="K195" s="80"/>
      <c r="L195" s="80"/>
      <c r="M195" s="80"/>
      <c r="N195" s="79"/>
      <c r="O195" s="79"/>
      <c r="P195" s="79"/>
      <c r="Q195" s="79"/>
      <c r="R195" s="79"/>
      <c r="S195" s="79"/>
    </row>
    <row r="196" spans="3:19" x14ac:dyDescent="0.25">
      <c r="C196" s="80"/>
      <c r="D196" s="80"/>
      <c r="E196" s="80"/>
      <c r="F196" s="80"/>
      <c r="G196" s="80"/>
      <c r="H196" s="80"/>
      <c r="I196" s="80"/>
      <c r="J196" s="80"/>
      <c r="K196" s="80"/>
      <c r="L196" s="80"/>
      <c r="M196" s="80"/>
      <c r="N196" s="79"/>
      <c r="O196" s="79"/>
      <c r="P196" s="79"/>
      <c r="Q196" s="79"/>
      <c r="R196" s="79"/>
      <c r="S196" s="79"/>
    </row>
    <row r="197" spans="3:19" x14ac:dyDescent="0.25">
      <c r="C197" s="80"/>
      <c r="D197" s="80"/>
      <c r="E197" s="80"/>
      <c r="F197" s="80"/>
      <c r="G197" s="80"/>
      <c r="H197" s="80"/>
      <c r="I197" s="80"/>
      <c r="J197" s="80"/>
      <c r="K197" s="80"/>
      <c r="L197" s="80"/>
      <c r="M197" s="80"/>
      <c r="N197" s="79"/>
      <c r="O197" s="79"/>
      <c r="P197" s="79"/>
      <c r="Q197" s="79"/>
      <c r="R197" s="79"/>
      <c r="S197" s="79"/>
    </row>
    <row r="198" spans="3:19" x14ac:dyDescent="0.25">
      <c r="C198" s="80"/>
      <c r="D198" s="80"/>
      <c r="E198" s="80"/>
      <c r="F198" s="80"/>
      <c r="G198" s="80"/>
      <c r="H198" s="80"/>
      <c r="I198" s="80"/>
      <c r="J198" s="80"/>
      <c r="K198" s="80"/>
      <c r="L198" s="80"/>
      <c r="M198" s="80"/>
      <c r="N198" s="79"/>
      <c r="O198" s="79"/>
      <c r="P198" s="79"/>
      <c r="Q198" s="79"/>
      <c r="R198" s="79"/>
      <c r="S198" s="79"/>
    </row>
    <row r="199" spans="3:19" x14ac:dyDescent="0.25">
      <c r="C199" s="80"/>
      <c r="D199" s="80"/>
      <c r="E199" s="80"/>
      <c r="F199" s="80"/>
      <c r="G199" s="80"/>
      <c r="H199" s="80"/>
      <c r="I199" s="80"/>
      <c r="J199" s="80"/>
      <c r="K199" s="80"/>
      <c r="L199" s="80"/>
      <c r="M199" s="80"/>
      <c r="N199" s="79"/>
      <c r="O199" s="79"/>
      <c r="P199" s="79"/>
      <c r="Q199" s="79"/>
      <c r="R199" s="79"/>
      <c r="S199" s="79"/>
    </row>
    <row r="200" spans="3:19" x14ac:dyDescent="0.25">
      <c r="C200" s="80"/>
      <c r="D200" s="80"/>
      <c r="E200" s="80"/>
      <c r="F200" s="80"/>
      <c r="G200" s="80"/>
      <c r="H200" s="80"/>
      <c r="I200" s="80"/>
      <c r="J200" s="80"/>
      <c r="K200" s="80"/>
      <c r="L200" s="80"/>
      <c r="M200" s="80"/>
      <c r="N200" s="79"/>
      <c r="O200" s="79"/>
      <c r="P200" s="79"/>
      <c r="Q200" s="79"/>
      <c r="R200" s="79"/>
      <c r="S200" s="79"/>
    </row>
    <row r="201" spans="3:19" x14ac:dyDescent="0.25">
      <c r="C201" s="80"/>
      <c r="D201" s="80"/>
      <c r="E201" s="80"/>
      <c r="F201" s="80"/>
      <c r="G201" s="80"/>
      <c r="H201" s="80"/>
      <c r="I201" s="80"/>
      <c r="J201" s="80"/>
      <c r="K201" s="80"/>
      <c r="L201" s="80"/>
      <c r="M201" s="80"/>
      <c r="N201" s="79"/>
      <c r="O201" s="79"/>
      <c r="P201" s="79"/>
      <c r="Q201" s="79"/>
      <c r="R201" s="79"/>
      <c r="S201" s="79"/>
    </row>
    <row r="202" spans="3:19" x14ac:dyDescent="0.25">
      <c r="C202" s="80"/>
      <c r="D202" s="80"/>
      <c r="E202" s="80"/>
      <c r="F202" s="80"/>
      <c r="G202" s="80"/>
      <c r="H202" s="80"/>
      <c r="I202" s="80"/>
      <c r="J202" s="80"/>
      <c r="K202" s="80"/>
      <c r="L202" s="80"/>
      <c r="M202" s="80"/>
      <c r="N202" s="79"/>
      <c r="O202" s="79"/>
      <c r="P202" s="79"/>
      <c r="Q202" s="79"/>
      <c r="R202" s="79"/>
      <c r="S202" s="79"/>
    </row>
    <row r="203" spans="3:19" x14ac:dyDescent="0.25">
      <c r="C203" s="80"/>
      <c r="D203" s="80"/>
      <c r="E203" s="80"/>
      <c r="F203" s="80"/>
      <c r="G203" s="80"/>
      <c r="H203" s="80"/>
      <c r="I203" s="80"/>
      <c r="J203" s="80"/>
      <c r="K203" s="80"/>
      <c r="L203" s="80"/>
      <c r="M203" s="80"/>
      <c r="N203" s="79"/>
      <c r="O203" s="79"/>
      <c r="P203" s="79"/>
      <c r="Q203" s="79"/>
      <c r="R203" s="79"/>
      <c r="S203" s="79"/>
    </row>
    <row r="204" spans="3:19" x14ac:dyDescent="0.25">
      <c r="C204" s="80"/>
      <c r="D204" s="80"/>
      <c r="E204" s="80"/>
      <c r="F204" s="80"/>
      <c r="G204" s="80"/>
      <c r="H204" s="80"/>
      <c r="I204" s="80"/>
      <c r="J204" s="80"/>
      <c r="K204" s="80"/>
      <c r="L204" s="80"/>
      <c r="M204" s="80"/>
      <c r="N204" s="79"/>
      <c r="O204" s="79"/>
      <c r="P204" s="79"/>
      <c r="Q204" s="79"/>
      <c r="R204" s="79"/>
      <c r="S204" s="79"/>
    </row>
    <row r="205" spans="3:19" x14ac:dyDescent="0.25">
      <c r="C205" s="80"/>
      <c r="D205" s="80"/>
      <c r="E205" s="80"/>
      <c r="F205" s="80"/>
      <c r="G205" s="80"/>
      <c r="H205" s="80"/>
      <c r="I205" s="80"/>
      <c r="J205" s="80"/>
      <c r="K205" s="80"/>
      <c r="L205" s="80"/>
      <c r="M205" s="80"/>
      <c r="N205" s="79"/>
      <c r="O205" s="79"/>
      <c r="P205" s="79"/>
      <c r="Q205" s="79"/>
      <c r="R205" s="79"/>
      <c r="S205" s="79"/>
    </row>
    <row r="206" spans="3:19" x14ac:dyDescent="0.25">
      <c r="C206" s="80"/>
      <c r="D206" s="80"/>
      <c r="E206" s="80"/>
      <c r="F206" s="80"/>
      <c r="G206" s="80"/>
      <c r="H206" s="80"/>
      <c r="I206" s="80"/>
      <c r="J206" s="80"/>
      <c r="K206" s="80"/>
      <c r="L206" s="80"/>
      <c r="M206" s="80"/>
      <c r="N206" s="79"/>
      <c r="O206" s="79"/>
      <c r="P206" s="79"/>
      <c r="Q206" s="79"/>
      <c r="R206" s="79"/>
      <c r="S206" s="79"/>
    </row>
    <row r="207" spans="3:19" x14ac:dyDescent="0.25">
      <c r="C207" s="80"/>
      <c r="D207" s="80"/>
      <c r="E207" s="80"/>
      <c r="F207" s="80"/>
      <c r="G207" s="80"/>
      <c r="H207" s="80"/>
      <c r="I207" s="80"/>
      <c r="J207" s="80"/>
      <c r="K207" s="80"/>
      <c r="L207" s="80"/>
      <c r="M207" s="80"/>
      <c r="N207" s="79"/>
      <c r="O207" s="79"/>
      <c r="P207" s="79"/>
      <c r="Q207" s="79"/>
      <c r="R207" s="79"/>
      <c r="S207" s="79"/>
    </row>
    <row r="208" spans="3:19" x14ac:dyDescent="0.25">
      <c r="C208" s="80"/>
      <c r="D208" s="80"/>
      <c r="E208" s="80"/>
      <c r="F208" s="80"/>
      <c r="G208" s="80"/>
      <c r="H208" s="80"/>
      <c r="I208" s="80"/>
      <c r="J208" s="80"/>
      <c r="K208" s="80"/>
      <c r="L208" s="80"/>
      <c r="M208" s="80"/>
      <c r="N208" s="79"/>
      <c r="O208" s="79"/>
      <c r="P208" s="79"/>
      <c r="Q208" s="79"/>
      <c r="R208" s="79"/>
      <c r="S208" s="79"/>
    </row>
    <row r="209" spans="3:19" x14ac:dyDescent="0.25">
      <c r="C209" s="80"/>
      <c r="D209" s="80"/>
      <c r="E209" s="80"/>
      <c r="F209" s="80"/>
      <c r="G209" s="80"/>
      <c r="H209" s="80"/>
      <c r="I209" s="80"/>
      <c r="J209" s="80"/>
      <c r="K209" s="80"/>
      <c r="L209" s="80"/>
      <c r="M209" s="80"/>
      <c r="N209" s="79"/>
      <c r="O209" s="79"/>
      <c r="P209" s="79"/>
      <c r="Q209" s="79"/>
      <c r="R209" s="79"/>
      <c r="S209" s="79"/>
    </row>
    <row r="210" spans="3:19" x14ac:dyDescent="0.25">
      <c r="C210" s="80"/>
      <c r="D210" s="80"/>
      <c r="E210" s="80"/>
      <c r="F210" s="80"/>
      <c r="G210" s="80"/>
      <c r="H210" s="80"/>
      <c r="I210" s="80"/>
      <c r="J210" s="80"/>
      <c r="K210" s="80"/>
      <c r="L210" s="80"/>
      <c r="M210" s="80"/>
      <c r="N210" s="79"/>
      <c r="O210" s="79"/>
      <c r="P210" s="79"/>
      <c r="Q210" s="79"/>
      <c r="R210" s="79"/>
      <c r="S210" s="79"/>
    </row>
    <row r="211" spans="3:19" x14ac:dyDescent="0.25">
      <c r="C211" s="80"/>
      <c r="D211" s="80"/>
      <c r="E211" s="80"/>
      <c r="F211" s="80"/>
      <c r="G211" s="80"/>
      <c r="H211" s="80"/>
      <c r="I211" s="80"/>
      <c r="J211" s="80"/>
      <c r="K211" s="80"/>
      <c r="L211" s="80"/>
      <c r="M211" s="80"/>
      <c r="N211" s="79"/>
      <c r="O211" s="79"/>
      <c r="P211" s="79"/>
      <c r="Q211" s="79"/>
      <c r="R211" s="79"/>
      <c r="S211" s="79"/>
    </row>
    <row r="212" spans="3:19" x14ac:dyDescent="0.25">
      <c r="C212" s="80"/>
      <c r="D212" s="80"/>
      <c r="E212" s="80"/>
      <c r="F212" s="80"/>
      <c r="G212" s="80"/>
      <c r="H212" s="80"/>
      <c r="I212" s="80"/>
      <c r="J212" s="80"/>
      <c r="K212" s="80"/>
      <c r="L212" s="80"/>
      <c r="M212" s="80"/>
      <c r="N212" s="79"/>
      <c r="O212" s="79"/>
      <c r="P212" s="79"/>
      <c r="Q212" s="79"/>
      <c r="R212" s="79"/>
      <c r="S212" s="79"/>
    </row>
    <row r="213" spans="3:19" x14ac:dyDescent="0.25">
      <c r="C213" s="80"/>
      <c r="D213" s="80"/>
      <c r="E213" s="80"/>
      <c r="F213" s="80"/>
      <c r="G213" s="80"/>
      <c r="H213" s="80"/>
      <c r="I213" s="80"/>
      <c r="J213" s="80"/>
      <c r="K213" s="80"/>
      <c r="L213" s="80"/>
      <c r="M213" s="80"/>
      <c r="N213" s="79"/>
      <c r="O213" s="79"/>
      <c r="P213" s="79"/>
      <c r="Q213" s="79"/>
      <c r="R213" s="79"/>
      <c r="S213" s="79"/>
    </row>
    <row r="214" spans="3:19" x14ac:dyDescent="0.25">
      <c r="C214" s="80"/>
      <c r="D214" s="80"/>
      <c r="E214" s="80"/>
      <c r="F214" s="80"/>
      <c r="G214" s="80"/>
      <c r="H214" s="80"/>
      <c r="I214" s="80"/>
      <c r="J214" s="80"/>
      <c r="K214" s="80"/>
      <c r="L214" s="80"/>
      <c r="M214" s="80"/>
      <c r="N214" s="79"/>
      <c r="O214" s="79"/>
      <c r="P214" s="79"/>
      <c r="Q214" s="79"/>
      <c r="R214" s="79"/>
      <c r="S214" s="79"/>
    </row>
    <row r="215" spans="3:19" x14ac:dyDescent="0.25">
      <c r="C215" s="80"/>
      <c r="D215" s="80"/>
      <c r="E215" s="80"/>
      <c r="F215" s="80"/>
      <c r="G215" s="80"/>
      <c r="H215" s="80"/>
      <c r="I215" s="80"/>
      <c r="J215" s="80"/>
      <c r="K215" s="80"/>
      <c r="L215" s="80"/>
      <c r="M215" s="80"/>
      <c r="N215" s="79"/>
      <c r="O215" s="79"/>
      <c r="P215" s="79"/>
      <c r="Q215" s="79"/>
      <c r="R215" s="79"/>
      <c r="S215" s="79"/>
    </row>
    <row r="216" spans="3:19" x14ac:dyDescent="0.25">
      <c r="C216" s="80"/>
      <c r="D216" s="80"/>
      <c r="E216" s="80"/>
      <c r="F216" s="80"/>
      <c r="G216" s="80"/>
      <c r="H216" s="80"/>
      <c r="I216" s="80"/>
      <c r="J216" s="80"/>
      <c r="K216" s="80"/>
      <c r="L216" s="80"/>
      <c r="M216" s="80"/>
      <c r="N216" s="79"/>
      <c r="O216" s="79"/>
      <c r="P216" s="79"/>
      <c r="Q216" s="79"/>
      <c r="R216" s="79"/>
      <c r="S216" s="79"/>
    </row>
    <row r="217" spans="3:19" x14ac:dyDescent="0.25">
      <c r="C217" s="80"/>
      <c r="D217" s="80"/>
      <c r="E217" s="80"/>
      <c r="F217" s="80"/>
      <c r="G217" s="80"/>
      <c r="H217" s="80"/>
      <c r="I217" s="80"/>
      <c r="J217" s="80"/>
      <c r="K217" s="80"/>
      <c r="L217" s="80"/>
      <c r="M217" s="80"/>
      <c r="N217" s="79"/>
      <c r="O217" s="79"/>
      <c r="P217" s="79"/>
      <c r="Q217" s="79"/>
      <c r="R217" s="79"/>
      <c r="S217" s="79"/>
    </row>
    <row r="218" spans="3:19" x14ac:dyDescent="0.25">
      <c r="C218" s="80"/>
      <c r="D218" s="80"/>
      <c r="E218" s="80"/>
      <c r="F218" s="80"/>
      <c r="G218" s="80"/>
      <c r="H218" s="80"/>
      <c r="I218" s="80"/>
      <c r="J218" s="80"/>
      <c r="K218" s="80"/>
      <c r="L218" s="80"/>
      <c r="M218" s="80"/>
      <c r="N218" s="79"/>
      <c r="O218" s="79"/>
      <c r="P218" s="79"/>
      <c r="Q218" s="79"/>
      <c r="R218" s="79"/>
      <c r="S218" s="79"/>
    </row>
    <row r="219" spans="3:19" x14ac:dyDescent="0.25">
      <c r="C219" s="80"/>
      <c r="D219" s="80"/>
      <c r="E219" s="80"/>
      <c r="F219" s="80"/>
      <c r="G219" s="80"/>
      <c r="H219" s="80"/>
      <c r="I219" s="80"/>
      <c r="J219" s="80"/>
      <c r="K219" s="80"/>
      <c r="L219" s="80"/>
      <c r="M219" s="80"/>
      <c r="N219" s="79"/>
      <c r="O219" s="79"/>
      <c r="P219" s="79"/>
      <c r="Q219" s="79"/>
      <c r="R219" s="79"/>
      <c r="S219" s="79"/>
    </row>
    <row r="220" spans="3:19" x14ac:dyDescent="0.25">
      <c r="C220" s="80"/>
      <c r="D220" s="80"/>
      <c r="E220" s="80"/>
      <c r="F220" s="80"/>
      <c r="G220" s="80"/>
      <c r="H220" s="80"/>
      <c r="I220" s="80"/>
      <c r="J220" s="80"/>
      <c r="K220" s="80"/>
      <c r="L220" s="80"/>
      <c r="M220" s="80"/>
      <c r="N220" s="79"/>
      <c r="O220" s="79"/>
      <c r="P220" s="79"/>
      <c r="Q220" s="79"/>
      <c r="R220" s="79"/>
      <c r="S220" s="79"/>
    </row>
    <row r="221" spans="3:19" x14ac:dyDescent="0.25">
      <c r="C221" s="80"/>
      <c r="D221" s="80"/>
      <c r="E221" s="80"/>
      <c r="F221" s="80"/>
      <c r="G221" s="80"/>
      <c r="H221" s="80"/>
      <c r="I221" s="80"/>
      <c r="J221" s="80"/>
      <c r="K221" s="80"/>
      <c r="L221" s="80"/>
      <c r="M221" s="80"/>
      <c r="N221" s="79"/>
      <c r="O221" s="79"/>
      <c r="P221" s="79"/>
      <c r="Q221" s="79"/>
      <c r="R221" s="79"/>
      <c r="S221" s="79"/>
    </row>
    <row r="222" spans="3:19" x14ac:dyDescent="0.25">
      <c r="C222" s="80"/>
      <c r="D222" s="80"/>
      <c r="E222" s="80"/>
      <c r="F222" s="80"/>
      <c r="G222" s="80"/>
      <c r="H222" s="80"/>
      <c r="I222" s="80"/>
      <c r="J222" s="80"/>
      <c r="K222" s="80"/>
      <c r="L222" s="80"/>
      <c r="M222" s="80"/>
      <c r="N222" s="79"/>
      <c r="O222" s="79"/>
      <c r="P222" s="79"/>
      <c r="Q222" s="79"/>
      <c r="R222" s="79"/>
      <c r="S222" s="79"/>
    </row>
    <row r="223" spans="3:19" x14ac:dyDescent="0.25">
      <c r="C223" s="80"/>
      <c r="D223" s="80"/>
      <c r="E223" s="80"/>
      <c r="F223" s="80"/>
      <c r="G223" s="80"/>
      <c r="H223" s="80"/>
      <c r="I223" s="80"/>
      <c r="J223" s="80"/>
      <c r="K223" s="80"/>
      <c r="L223" s="80"/>
      <c r="M223" s="80"/>
      <c r="N223" s="79"/>
      <c r="O223" s="79"/>
      <c r="P223" s="79"/>
      <c r="Q223" s="79"/>
      <c r="R223" s="79"/>
      <c r="S223" s="79"/>
    </row>
    <row r="224" spans="3:19" x14ac:dyDescent="0.25">
      <c r="C224" s="80"/>
      <c r="D224" s="80"/>
      <c r="E224" s="80"/>
      <c r="F224" s="80"/>
      <c r="G224" s="80"/>
      <c r="H224" s="80"/>
      <c r="I224" s="80"/>
      <c r="J224" s="80"/>
      <c r="K224" s="80"/>
      <c r="L224" s="80"/>
      <c r="M224" s="80"/>
      <c r="N224" s="79"/>
      <c r="O224" s="79"/>
      <c r="P224" s="79"/>
      <c r="Q224" s="79"/>
      <c r="R224" s="79"/>
      <c r="S224" s="79"/>
    </row>
    <row r="225" spans="3:19" x14ac:dyDescent="0.25">
      <c r="C225" s="80"/>
      <c r="D225" s="80"/>
      <c r="E225" s="80"/>
      <c r="F225" s="80"/>
      <c r="G225" s="80"/>
      <c r="H225" s="80"/>
      <c r="I225" s="80"/>
      <c r="J225" s="80"/>
      <c r="K225" s="80"/>
      <c r="L225" s="80"/>
      <c r="M225" s="80"/>
      <c r="N225" s="79"/>
      <c r="O225" s="79"/>
      <c r="P225" s="79"/>
      <c r="Q225" s="79"/>
      <c r="R225" s="79"/>
      <c r="S225" s="79"/>
    </row>
    <row r="226" spans="3:19" x14ac:dyDescent="0.25">
      <c r="C226" s="80"/>
      <c r="D226" s="80"/>
      <c r="E226" s="80"/>
      <c r="F226" s="80"/>
      <c r="G226" s="80"/>
      <c r="H226" s="80"/>
      <c r="I226" s="80"/>
      <c r="J226" s="80"/>
      <c r="K226" s="80"/>
      <c r="L226" s="80"/>
      <c r="M226" s="80"/>
      <c r="N226" s="79"/>
      <c r="O226" s="79"/>
      <c r="P226" s="79"/>
      <c r="Q226" s="79"/>
      <c r="R226" s="79"/>
      <c r="S226" s="79"/>
    </row>
    <row r="227" spans="3:19" x14ac:dyDescent="0.25">
      <c r="C227" s="80"/>
      <c r="D227" s="80"/>
      <c r="E227" s="80"/>
      <c r="F227" s="80"/>
      <c r="G227" s="80"/>
      <c r="H227" s="80"/>
      <c r="I227" s="80"/>
      <c r="J227" s="80"/>
      <c r="K227" s="80"/>
      <c r="L227" s="80"/>
      <c r="M227" s="80"/>
      <c r="N227" s="79"/>
      <c r="O227" s="79"/>
      <c r="P227" s="79"/>
      <c r="Q227" s="79"/>
      <c r="R227" s="79"/>
      <c r="S227" s="79"/>
    </row>
    <row r="228" spans="3:19" x14ac:dyDescent="0.25">
      <c r="C228" s="80"/>
      <c r="D228" s="80"/>
      <c r="E228" s="80"/>
      <c r="F228" s="80"/>
      <c r="G228" s="80"/>
      <c r="H228" s="80"/>
      <c r="I228" s="80"/>
      <c r="J228" s="80"/>
      <c r="K228" s="80"/>
      <c r="L228" s="80"/>
      <c r="M228" s="80"/>
      <c r="N228" s="79"/>
      <c r="O228" s="79"/>
      <c r="P228" s="79"/>
      <c r="Q228" s="79"/>
      <c r="R228" s="79"/>
      <c r="S228" s="79"/>
    </row>
    <row r="229" spans="3:19" x14ac:dyDescent="0.25">
      <c r="C229" s="80"/>
      <c r="D229" s="80"/>
      <c r="E229" s="80"/>
      <c r="F229" s="80"/>
      <c r="G229" s="80"/>
      <c r="H229" s="80"/>
      <c r="I229" s="80"/>
      <c r="J229" s="80"/>
      <c r="K229" s="80"/>
      <c r="L229" s="80"/>
      <c r="M229" s="80"/>
      <c r="N229" s="79"/>
      <c r="O229" s="79"/>
      <c r="P229" s="79"/>
      <c r="Q229" s="79"/>
      <c r="R229" s="79"/>
      <c r="S229" s="79"/>
    </row>
    <row r="230" spans="3:19" x14ac:dyDescent="0.25">
      <c r="C230" s="80"/>
      <c r="D230" s="80"/>
      <c r="E230" s="80"/>
      <c r="F230" s="80"/>
      <c r="G230" s="80"/>
      <c r="H230" s="80"/>
      <c r="I230" s="80"/>
      <c r="J230" s="80"/>
      <c r="K230" s="80"/>
      <c r="L230" s="80"/>
      <c r="M230" s="80"/>
      <c r="N230" s="79"/>
      <c r="O230" s="79"/>
      <c r="P230" s="79"/>
      <c r="Q230" s="79"/>
      <c r="R230" s="79"/>
      <c r="S230" s="79"/>
    </row>
    <row r="231" spans="3:19" x14ac:dyDescent="0.25">
      <c r="C231" s="80"/>
      <c r="D231" s="80"/>
      <c r="E231" s="80"/>
      <c r="F231" s="80"/>
      <c r="G231" s="80"/>
      <c r="H231" s="80"/>
      <c r="I231" s="80"/>
      <c r="J231" s="80"/>
      <c r="K231" s="80"/>
      <c r="L231" s="80"/>
      <c r="M231" s="80"/>
      <c r="N231" s="79"/>
      <c r="O231" s="79"/>
      <c r="P231" s="79"/>
      <c r="Q231" s="79"/>
      <c r="R231" s="79"/>
      <c r="S231" s="79"/>
    </row>
    <row r="232" spans="3:19" x14ac:dyDescent="0.25">
      <c r="C232" s="80"/>
      <c r="D232" s="80"/>
      <c r="E232" s="80"/>
      <c r="F232" s="80"/>
      <c r="G232" s="80"/>
      <c r="H232" s="80"/>
      <c r="I232" s="80"/>
      <c r="J232" s="80"/>
      <c r="K232" s="80"/>
      <c r="L232" s="80"/>
      <c r="M232" s="80"/>
      <c r="N232" s="79"/>
      <c r="O232" s="79"/>
      <c r="P232" s="79"/>
      <c r="Q232" s="79"/>
      <c r="R232" s="79"/>
      <c r="S232" s="79"/>
    </row>
    <row r="233" spans="3:19" x14ac:dyDescent="0.25">
      <c r="C233" s="80"/>
      <c r="D233" s="80"/>
      <c r="E233" s="80"/>
      <c r="F233" s="80"/>
      <c r="G233" s="80"/>
      <c r="H233" s="80"/>
      <c r="I233" s="80"/>
      <c r="J233" s="80"/>
      <c r="K233" s="80"/>
      <c r="L233" s="80"/>
      <c r="M233" s="80"/>
      <c r="N233" s="79"/>
      <c r="O233" s="79"/>
      <c r="P233" s="79"/>
      <c r="Q233" s="79"/>
      <c r="R233" s="79"/>
      <c r="S233" s="79"/>
    </row>
    <row r="234" spans="3:19" x14ac:dyDescent="0.25">
      <c r="C234" s="80"/>
      <c r="D234" s="80"/>
      <c r="E234" s="80"/>
      <c r="F234" s="80"/>
      <c r="G234" s="80"/>
      <c r="H234" s="80"/>
      <c r="I234" s="80"/>
      <c r="J234" s="80"/>
      <c r="K234" s="80"/>
      <c r="L234" s="80"/>
      <c r="M234" s="80"/>
      <c r="N234" s="79"/>
      <c r="O234" s="79"/>
      <c r="P234" s="79"/>
      <c r="Q234" s="79"/>
      <c r="R234" s="79"/>
      <c r="S234" s="79"/>
    </row>
    <row r="235" spans="3:19" x14ac:dyDescent="0.25">
      <c r="C235" s="80"/>
      <c r="D235" s="80"/>
      <c r="E235" s="80"/>
      <c r="F235" s="80"/>
      <c r="G235" s="80"/>
      <c r="H235" s="80"/>
      <c r="I235" s="80"/>
      <c r="J235" s="80"/>
      <c r="K235" s="80"/>
      <c r="L235" s="80"/>
      <c r="M235" s="80"/>
      <c r="N235" s="79"/>
      <c r="O235" s="79"/>
      <c r="P235" s="79"/>
      <c r="Q235" s="79"/>
      <c r="R235" s="79"/>
      <c r="S235" s="79"/>
    </row>
    <row r="236" spans="3:19" x14ac:dyDescent="0.25">
      <c r="C236" s="80"/>
      <c r="D236" s="80"/>
      <c r="E236" s="80"/>
      <c r="F236" s="80"/>
      <c r="G236" s="80"/>
      <c r="H236" s="80"/>
      <c r="I236" s="80"/>
      <c r="J236" s="80"/>
      <c r="K236" s="80"/>
      <c r="L236" s="80"/>
      <c r="M236" s="80"/>
      <c r="N236" s="79"/>
      <c r="O236" s="79"/>
      <c r="P236" s="79"/>
      <c r="Q236" s="79"/>
      <c r="R236" s="79"/>
      <c r="S236" s="79"/>
    </row>
    <row r="237" spans="3:19" x14ac:dyDescent="0.25">
      <c r="C237" s="80"/>
      <c r="D237" s="80"/>
      <c r="E237" s="80"/>
      <c r="F237" s="80"/>
      <c r="G237" s="80"/>
      <c r="H237" s="80"/>
      <c r="I237" s="80"/>
      <c r="J237" s="80"/>
      <c r="K237" s="80"/>
      <c r="L237" s="80"/>
      <c r="M237" s="80"/>
      <c r="N237" s="79"/>
      <c r="O237" s="79"/>
      <c r="P237" s="79"/>
      <c r="Q237" s="79"/>
      <c r="R237" s="79"/>
      <c r="S237" s="79"/>
    </row>
    <row r="238" spans="3:19" x14ac:dyDescent="0.25">
      <c r="C238" s="80"/>
      <c r="D238" s="80"/>
      <c r="E238" s="80"/>
      <c r="F238" s="80"/>
      <c r="G238" s="80"/>
      <c r="H238" s="80"/>
      <c r="I238" s="80"/>
      <c r="J238" s="80"/>
      <c r="K238" s="80"/>
      <c r="L238" s="80"/>
      <c r="M238" s="80"/>
      <c r="N238" s="79"/>
      <c r="O238" s="79"/>
      <c r="P238" s="79"/>
      <c r="Q238" s="79"/>
      <c r="R238" s="79"/>
      <c r="S238" s="79"/>
    </row>
    <row r="239" spans="3:19" x14ac:dyDescent="0.25">
      <c r="P239" s="79"/>
      <c r="Q239" s="79"/>
      <c r="R239" s="79"/>
      <c r="S239" s="79"/>
    </row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</sheetData>
  <printOptions horizontalCentered="1"/>
  <pageMargins left="0.75" right="0.75" top="0.52" bottom="0.49" header="0.5" footer="0.5"/>
  <pageSetup scale="59" orientation="landscape" r:id="rId1"/>
  <headerFooter alignWithMargins="0"/>
  <rowBreaks count="2" manualBreakCount="2">
    <brk id="20" max="9" man="1"/>
    <brk id="57" max="9" man="1"/>
  </rowBreaks>
  <colBreaks count="1" manualBreakCount="1">
    <brk id="13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pageSetUpPr fitToPage="1"/>
  </sheetPr>
  <dimension ref="A1:X236"/>
  <sheetViews>
    <sheetView workbookViewId="0"/>
  </sheetViews>
  <sheetFormatPr defaultColWidth="9.33203125" defaultRowHeight="15.75" x14ac:dyDescent="0.25"/>
  <cols>
    <col min="1" max="1" width="9" style="89" customWidth="1"/>
    <col min="2" max="2" width="2.1640625" style="89" customWidth="1"/>
    <col min="3" max="3" width="53.33203125" style="89" customWidth="1"/>
    <col min="4" max="4" width="35.6640625" style="89" customWidth="1"/>
    <col min="5" max="5" width="23" style="89" customWidth="1"/>
    <col min="6" max="6" width="15" style="89" customWidth="1"/>
    <col min="7" max="7" width="20.6640625" style="89" customWidth="1"/>
    <col min="8" max="8" width="18.5" style="89" customWidth="1"/>
    <col min="9" max="9" width="8.6640625" style="89" customWidth="1"/>
    <col min="10" max="10" width="23" style="89" customWidth="1"/>
    <col min="11" max="11" width="9.33203125" style="89" customWidth="1"/>
    <col min="12" max="12" width="11.6640625" style="89" customWidth="1"/>
    <col min="13" max="13" width="2.83203125" style="89" customWidth="1"/>
    <col min="14" max="14" width="41" style="89" customWidth="1"/>
    <col min="15" max="15" width="48.83203125" style="89" customWidth="1"/>
    <col min="16" max="16" width="23.5" style="89" customWidth="1"/>
    <col min="17" max="17" width="20.5" style="89" customWidth="1"/>
    <col min="18" max="18" width="20.83203125" style="89" customWidth="1"/>
    <col min="19" max="19" width="23.6640625" style="89" bestFit="1" customWidth="1"/>
    <col min="20" max="20" width="22.1640625" style="89" bestFit="1" customWidth="1"/>
    <col min="21" max="21" width="23" style="89" bestFit="1" customWidth="1"/>
    <col min="22" max="22" width="19.83203125" style="89" customWidth="1"/>
    <col min="23" max="23" width="20.33203125" style="89" customWidth="1"/>
    <col min="24" max="24" width="23.5" style="89" bestFit="1" customWidth="1"/>
    <col min="25" max="25" width="21.6640625" style="89" bestFit="1" customWidth="1"/>
    <col min="26" max="26" width="16.1640625" style="89" customWidth="1"/>
    <col min="27" max="28" width="23.5" style="89" bestFit="1" customWidth="1"/>
    <col min="29" max="29" width="21.33203125" style="89" bestFit="1" customWidth="1"/>
    <col min="30" max="30" width="23.5" style="89" bestFit="1" customWidth="1"/>
    <col min="31" max="31" width="21.33203125" style="89" bestFit="1" customWidth="1"/>
    <col min="32" max="32" width="20.6640625" style="89" bestFit="1" customWidth="1"/>
    <col min="33" max="16384" width="9.33203125" style="89"/>
  </cols>
  <sheetData>
    <row r="1" spans="1:24" x14ac:dyDescent="0.25">
      <c r="A1" s="190" t="s">
        <v>185</v>
      </c>
      <c r="B1" s="191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88"/>
      <c r="N1" s="106"/>
      <c r="O1" s="106"/>
      <c r="P1" s="106"/>
    </row>
    <row r="2" spans="1:24" x14ac:dyDescent="0.25">
      <c r="A2" s="190" t="s">
        <v>427</v>
      </c>
      <c r="B2" s="191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88"/>
      <c r="N2" s="106"/>
      <c r="O2" s="106"/>
      <c r="P2" s="106"/>
    </row>
    <row r="3" spans="1:24" x14ac:dyDescent="0.25">
      <c r="A3" s="1"/>
      <c r="B3" s="1"/>
      <c r="C3" s="6"/>
      <c r="D3" s="2"/>
      <c r="E3" s="3"/>
      <c r="F3" s="2"/>
      <c r="G3" s="2"/>
      <c r="H3" s="2"/>
      <c r="I3" s="4"/>
      <c r="J3" s="4"/>
      <c r="K3" s="4"/>
      <c r="L3" s="4"/>
      <c r="M3" s="4"/>
      <c r="N3" s="106"/>
      <c r="O3" s="106"/>
      <c r="P3" s="106"/>
    </row>
    <row r="4" spans="1:24" x14ac:dyDescent="0.25">
      <c r="A4" s="1" t="s">
        <v>186</v>
      </c>
      <c r="B4" s="1"/>
      <c r="C4" s="2"/>
      <c r="D4" s="2"/>
      <c r="E4" s="7"/>
      <c r="F4" s="2"/>
      <c r="G4" s="2"/>
      <c r="H4" s="2"/>
      <c r="I4" s="4"/>
      <c r="J4" s="206" t="str">
        <f>"For the 12 months ended "&amp;TEXT('OATT Input Data'!B4,"MM/DD/YYYY")</f>
        <v>For the 12 months ended 12/31/2015</v>
      </c>
      <c r="K4" s="4"/>
      <c r="L4" s="4"/>
      <c r="M4" s="4"/>
      <c r="N4" s="106"/>
      <c r="O4" s="106"/>
      <c r="P4" s="106"/>
    </row>
    <row r="5" spans="1:24" x14ac:dyDescent="0.25">
      <c r="A5" s="207" t="s">
        <v>187</v>
      </c>
      <c r="B5" s="1"/>
      <c r="C5" s="2"/>
      <c r="D5" s="1" t="s">
        <v>0</v>
      </c>
      <c r="E5" s="1"/>
      <c r="F5" s="8"/>
      <c r="G5" s="8"/>
      <c r="H5" s="8"/>
      <c r="I5" s="2"/>
      <c r="J5" s="206" t="s">
        <v>124</v>
      </c>
      <c r="K5" s="192"/>
      <c r="L5" s="192"/>
      <c r="M5" s="4"/>
      <c r="N5" s="106"/>
      <c r="O5" s="106"/>
      <c r="P5" s="106"/>
    </row>
    <row r="6" spans="1:24" x14ac:dyDescent="0.25">
      <c r="A6" s="1"/>
      <c r="B6" s="1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106"/>
      <c r="O6" s="106"/>
      <c r="P6" s="106"/>
    </row>
    <row r="7" spans="1:24" x14ac:dyDescent="0.25">
      <c r="A7" s="209" t="str">
        <f>'NITS Pg 2 of 5'!A7</f>
        <v>LG&amp;E and KU</v>
      </c>
      <c r="B7" s="191"/>
      <c r="C7" s="192"/>
      <c r="D7" s="192"/>
      <c r="E7" s="191"/>
      <c r="F7" s="192"/>
      <c r="G7" s="192"/>
      <c r="H7" s="192"/>
      <c r="I7" s="192"/>
      <c r="J7" s="192"/>
      <c r="K7" s="192"/>
      <c r="L7" s="192"/>
      <c r="M7" s="4"/>
      <c r="N7" s="146"/>
      <c r="O7" s="146"/>
      <c r="P7" s="155"/>
    </row>
    <row r="8" spans="1:24" x14ac:dyDescent="0.25">
      <c r="A8" s="84"/>
      <c r="C8" s="156" t="s">
        <v>18</v>
      </c>
      <c r="D8" s="156" t="s">
        <v>19</v>
      </c>
      <c r="E8" s="156" t="s">
        <v>20</v>
      </c>
      <c r="F8" s="146" t="s">
        <v>0</v>
      </c>
      <c r="G8" s="146"/>
      <c r="H8" s="530" t="s">
        <v>21</v>
      </c>
      <c r="I8" s="146"/>
      <c r="J8" s="153" t="s">
        <v>22</v>
      </c>
      <c r="K8" s="146"/>
      <c r="L8" s="146"/>
      <c r="M8" s="146"/>
      <c r="N8" s="106"/>
      <c r="O8" s="146"/>
      <c r="P8" s="155"/>
    </row>
    <row r="9" spans="1:24" x14ac:dyDescent="0.25">
      <c r="A9" s="84"/>
      <c r="C9" s="156"/>
      <c r="D9" s="110"/>
      <c r="E9" s="110"/>
      <c r="F9" s="110"/>
      <c r="G9" s="110"/>
      <c r="H9" s="110"/>
      <c r="I9" s="110"/>
      <c r="J9" s="110"/>
      <c r="K9" s="110"/>
      <c r="L9" s="531"/>
      <c r="M9" s="110"/>
      <c r="N9" s="110"/>
      <c r="O9" s="146"/>
      <c r="P9" s="155"/>
    </row>
    <row r="10" spans="1:24" x14ac:dyDescent="0.25">
      <c r="A10" s="84" t="s">
        <v>1</v>
      </c>
      <c r="C10" s="155"/>
      <c r="D10" s="168" t="s">
        <v>23</v>
      </c>
      <c r="E10" s="146"/>
      <c r="F10" s="146"/>
      <c r="G10" s="146"/>
      <c r="H10" s="84"/>
      <c r="I10" s="146"/>
      <c r="J10" s="531" t="s">
        <v>24</v>
      </c>
      <c r="K10" s="146"/>
      <c r="L10" s="531"/>
      <c r="M10" s="146"/>
      <c r="N10" s="106"/>
      <c r="O10" s="146"/>
      <c r="P10" s="155"/>
    </row>
    <row r="11" spans="1:24" ht="16.5" thickBot="1" x14ac:dyDescent="0.3">
      <c r="A11" s="408" t="s">
        <v>3</v>
      </c>
      <c r="C11" s="155"/>
      <c r="D11" s="532" t="s">
        <v>25</v>
      </c>
      <c r="E11" s="531" t="s">
        <v>26</v>
      </c>
      <c r="F11" s="533"/>
      <c r="G11" s="534" t="s">
        <v>7</v>
      </c>
      <c r="H11" s="404"/>
      <c r="I11" s="533"/>
      <c r="J11" s="535" t="s">
        <v>28</v>
      </c>
      <c r="K11" s="146"/>
      <c r="L11" s="531"/>
      <c r="M11" s="536"/>
      <c r="N11" s="531"/>
      <c r="O11" s="146"/>
    </row>
    <row r="12" spans="1:24" x14ac:dyDescent="0.25">
      <c r="C12" s="155"/>
      <c r="D12" s="146"/>
      <c r="E12" s="537"/>
      <c r="F12" s="538"/>
      <c r="G12" s="539"/>
      <c r="I12" s="538"/>
      <c r="J12" s="537"/>
      <c r="K12" s="146"/>
      <c r="L12" s="146"/>
      <c r="M12" s="146"/>
      <c r="N12" s="146"/>
      <c r="O12" s="146"/>
      <c r="Q12" s="173"/>
      <c r="V12" s="167"/>
      <c r="X12" s="174"/>
    </row>
    <row r="13" spans="1:24" x14ac:dyDescent="0.25">
      <c r="A13" s="84"/>
      <c r="C13" s="155" t="s">
        <v>55</v>
      </c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55"/>
    </row>
    <row r="14" spans="1:24" x14ac:dyDescent="0.25">
      <c r="A14" s="84">
        <v>1</v>
      </c>
      <c r="C14" s="194" t="s">
        <v>24</v>
      </c>
      <c r="D14" s="262" t="s">
        <v>384</v>
      </c>
      <c r="E14" s="410">
        <f>'OATT Input Data'!E189</f>
        <v>46190354.789999999</v>
      </c>
      <c r="F14" s="146"/>
      <c r="G14" s="146" t="s">
        <v>53</v>
      </c>
      <c r="H14" s="419">
        <f>'NITS Pg 4 of 5'!$J$25</f>
        <v>0.82591000000000003</v>
      </c>
      <c r="I14" s="146"/>
      <c r="J14" s="410">
        <f>ROUND(E14*H14,0)</f>
        <v>38149076</v>
      </c>
      <c r="K14" s="106"/>
      <c r="L14" s="146"/>
      <c r="M14" s="146"/>
      <c r="N14" s="146"/>
      <c r="O14" s="155"/>
      <c r="P14" s="146"/>
      <c r="Q14" s="146"/>
    </row>
    <row r="15" spans="1:24" x14ac:dyDescent="0.25">
      <c r="A15" s="84">
        <v>2</v>
      </c>
      <c r="C15" s="194" t="s">
        <v>198</v>
      </c>
      <c r="D15" s="184" t="s">
        <v>274</v>
      </c>
      <c r="E15" s="147">
        <f>'OATT Input Data'!E190*-1</f>
        <v>-4174529</v>
      </c>
      <c r="F15" s="146"/>
      <c r="G15" s="146" t="s">
        <v>0</v>
      </c>
      <c r="H15" s="419">
        <v>1</v>
      </c>
      <c r="I15" s="146"/>
      <c r="J15" s="147">
        <f>ROUND(E15*H15,0)</f>
        <v>-4174529</v>
      </c>
      <c r="K15" s="106"/>
      <c r="L15" s="146"/>
      <c r="M15" s="146"/>
      <c r="N15" s="146"/>
      <c r="O15" s="156"/>
      <c r="P15" s="146"/>
      <c r="Q15" s="146"/>
    </row>
    <row r="16" spans="1:24" x14ac:dyDescent="0.25">
      <c r="A16" s="84">
        <v>3</v>
      </c>
      <c r="C16" s="155" t="s">
        <v>56</v>
      </c>
      <c r="D16" s="184" t="s">
        <v>275</v>
      </c>
      <c r="E16" s="147">
        <f>'OATT Input Data'!E192</f>
        <v>205099094</v>
      </c>
      <c r="F16" s="146"/>
      <c r="G16" s="146" t="s">
        <v>36</v>
      </c>
      <c r="H16" s="419">
        <f>'NITS Pg 4 of 5'!$J$33</f>
        <v>6.5890000000000004E-2</v>
      </c>
      <c r="I16" s="146"/>
      <c r="J16" s="147">
        <f t="shared" ref="J16:J21" si="0">ROUND(E16*H16,0)</f>
        <v>13513979</v>
      </c>
      <c r="K16" s="146"/>
      <c r="L16" s="146" t="s">
        <v>0</v>
      </c>
      <c r="M16" s="146"/>
      <c r="N16" s="146"/>
      <c r="O16" s="156"/>
      <c r="P16" s="146"/>
      <c r="Q16" s="146"/>
    </row>
    <row r="17" spans="1:21" x14ac:dyDescent="0.25">
      <c r="A17" s="84">
        <v>4</v>
      </c>
      <c r="C17" s="194" t="s">
        <v>200</v>
      </c>
      <c r="D17" s="184" t="s">
        <v>276</v>
      </c>
      <c r="E17" s="147">
        <f>'OATT Input Data'!E194*-1</f>
        <v>-757340</v>
      </c>
      <c r="F17" s="146"/>
      <c r="G17" s="146" t="str">
        <f>+G16</f>
        <v>W/S</v>
      </c>
      <c r="H17" s="419">
        <f>'NITS Pg 4 of 5'!$J$33</f>
        <v>6.5890000000000004E-2</v>
      </c>
      <c r="I17" s="146"/>
      <c r="J17" s="147">
        <f t="shared" si="0"/>
        <v>-49901</v>
      </c>
      <c r="K17" s="146"/>
      <c r="L17" s="146"/>
      <c r="M17" s="146"/>
      <c r="N17" s="146"/>
      <c r="O17" s="156"/>
      <c r="P17" s="146"/>
      <c r="Q17" s="146"/>
    </row>
    <row r="18" spans="1:21" ht="31.5" x14ac:dyDescent="0.25">
      <c r="A18" s="540">
        <v>5</v>
      </c>
      <c r="C18" s="199" t="s">
        <v>279</v>
      </c>
      <c r="D18" s="496" t="s">
        <v>277</v>
      </c>
      <c r="E18" s="147">
        <f>'OATT Input Data'!E200*-1</f>
        <v>-6359782</v>
      </c>
      <c r="F18" s="497"/>
      <c r="G18" s="497" t="str">
        <f>+G17</f>
        <v>W/S</v>
      </c>
      <c r="H18" s="498">
        <f>'NITS Pg 4 of 5'!$J$33</f>
        <v>6.5890000000000004E-2</v>
      </c>
      <c r="I18" s="497"/>
      <c r="J18" s="147">
        <f t="shared" si="0"/>
        <v>-419046</v>
      </c>
      <c r="K18" s="146"/>
      <c r="L18" s="146"/>
      <c r="M18" s="146"/>
      <c r="N18" s="146"/>
      <c r="O18" s="155"/>
      <c r="P18" s="146"/>
      <c r="Q18" s="146"/>
    </row>
    <row r="19" spans="1:21" x14ac:dyDescent="0.25">
      <c r="A19" s="84">
        <v>6</v>
      </c>
      <c r="C19" s="194" t="s">
        <v>278</v>
      </c>
      <c r="D19" s="414" t="s">
        <v>277</v>
      </c>
      <c r="E19" s="147">
        <f>'OATT Input Data'!E201</f>
        <v>445707</v>
      </c>
      <c r="F19" s="146"/>
      <c r="G19" s="176" t="str">
        <f>+G14</f>
        <v>TE</v>
      </c>
      <c r="H19" s="419">
        <f>'NITS Pg 4 of 5'!$J$25</f>
        <v>0.82591000000000003</v>
      </c>
      <c r="I19" s="146"/>
      <c r="J19" s="147">
        <f t="shared" si="0"/>
        <v>368114</v>
      </c>
      <c r="K19" s="146"/>
      <c r="L19" s="146"/>
      <c r="M19" s="146"/>
      <c r="O19" s="156"/>
      <c r="P19" s="146"/>
      <c r="Q19" s="146"/>
    </row>
    <row r="20" spans="1:21" x14ac:dyDescent="0.25">
      <c r="A20" s="84">
        <v>7</v>
      </c>
      <c r="C20" s="155" t="s">
        <v>43</v>
      </c>
      <c r="D20" s="184" t="s">
        <v>179</v>
      </c>
      <c r="E20" s="331">
        <f>'OATT Input Data'!E202</f>
        <v>0</v>
      </c>
      <c r="F20" s="146"/>
      <c r="G20" s="146" t="s">
        <v>38</v>
      </c>
      <c r="H20" s="419">
        <f>'NITS Pg 4 of 5'!$J$41</f>
        <v>6.0560000000000003E-2</v>
      </c>
      <c r="I20" s="146"/>
      <c r="J20" s="331">
        <f t="shared" si="0"/>
        <v>0</v>
      </c>
      <c r="K20" s="146"/>
      <c r="L20" s="146"/>
      <c r="M20" s="146"/>
      <c r="N20" s="146"/>
      <c r="O20" s="156"/>
      <c r="P20" s="146"/>
      <c r="Q20" s="146"/>
    </row>
    <row r="21" spans="1:21" ht="18" x14ac:dyDescent="0.4">
      <c r="A21" s="84">
        <v>8</v>
      </c>
      <c r="C21" s="155" t="s">
        <v>199</v>
      </c>
      <c r="D21" s="146"/>
      <c r="E21" s="413">
        <f>'OATT Input Data'!E203</f>
        <v>0</v>
      </c>
      <c r="F21" s="146"/>
      <c r="G21" s="146" t="s">
        <v>0</v>
      </c>
      <c r="H21" s="419">
        <v>1</v>
      </c>
      <c r="I21" s="146"/>
      <c r="J21" s="413">
        <f t="shared" si="0"/>
        <v>0</v>
      </c>
      <c r="K21" s="146"/>
      <c r="L21" s="146"/>
      <c r="M21" s="146"/>
      <c r="N21" s="146"/>
      <c r="O21" s="156"/>
      <c r="P21" s="146"/>
      <c r="Q21" s="146"/>
    </row>
    <row r="22" spans="1:21" x14ac:dyDescent="0.25">
      <c r="A22" s="84">
        <v>9</v>
      </c>
      <c r="C22" s="194" t="s">
        <v>197</v>
      </c>
      <c r="D22" s="409" t="s">
        <v>322</v>
      </c>
      <c r="E22" s="410">
        <f>ROUND(SUM(E14:E21),0)</f>
        <v>240443505</v>
      </c>
      <c r="F22" s="146"/>
      <c r="G22" s="146"/>
      <c r="H22" s="146"/>
      <c r="I22" s="146"/>
      <c r="J22" s="410">
        <f>ROUND(SUM(J14:J21),0)</f>
        <v>47387693</v>
      </c>
      <c r="K22" s="146"/>
      <c r="L22" s="146"/>
      <c r="M22" s="146"/>
      <c r="N22" s="541"/>
      <c r="O22" s="146"/>
      <c r="P22" s="155"/>
    </row>
    <row r="23" spans="1:21" x14ac:dyDescent="0.25">
      <c r="A23" s="84"/>
      <c r="D23" s="146"/>
      <c r="E23" s="147"/>
      <c r="F23" s="146"/>
      <c r="G23" s="146"/>
      <c r="H23" s="146"/>
      <c r="I23" s="146"/>
      <c r="J23" s="147"/>
      <c r="K23" s="146"/>
      <c r="L23" s="146"/>
      <c r="M23" s="146"/>
      <c r="N23" s="146"/>
      <c r="O23" s="146"/>
      <c r="P23" s="155"/>
    </row>
    <row r="24" spans="1:21" x14ac:dyDescent="0.25">
      <c r="A24" s="84"/>
      <c r="C24" s="194" t="s">
        <v>416</v>
      </c>
      <c r="D24" s="414" t="s">
        <v>252</v>
      </c>
      <c r="E24" s="147"/>
      <c r="F24" s="146"/>
      <c r="G24" s="146"/>
      <c r="H24" s="146"/>
      <c r="I24" s="146"/>
      <c r="J24" s="147"/>
      <c r="K24" s="146"/>
      <c r="L24" s="146"/>
      <c r="M24" s="146"/>
      <c r="N24" s="146"/>
      <c r="O24" s="146"/>
      <c r="P24" s="155"/>
    </row>
    <row r="25" spans="1:21" x14ac:dyDescent="0.25">
      <c r="A25" s="84">
        <v>10</v>
      </c>
      <c r="C25" s="542" t="s">
        <v>414</v>
      </c>
      <c r="D25" s="409" t="s">
        <v>194</v>
      </c>
      <c r="E25" s="410">
        <f>'OATT Input Data'!$E$208-'OATT Input Data'!$E$214</f>
        <v>21719525.440000001</v>
      </c>
      <c r="F25" s="146"/>
      <c r="G25" s="146" t="s">
        <v>9</v>
      </c>
      <c r="H25" s="419">
        <f>'NITS Pg 4 of 5'!$J$24</f>
        <v>0.95574999999999999</v>
      </c>
      <c r="I25" s="146"/>
      <c r="J25" s="410">
        <f t="shared" ref="J25" si="1">ROUND(H25*E25,0)</f>
        <v>20758436</v>
      </c>
      <c r="K25" s="146"/>
      <c r="L25" s="434"/>
      <c r="M25" s="146"/>
      <c r="N25" s="146"/>
      <c r="O25" s="156"/>
      <c r="P25" s="155"/>
    </row>
    <row r="26" spans="1:21" x14ac:dyDescent="0.25">
      <c r="A26" s="84">
        <v>11</v>
      </c>
      <c r="C26" s="542" t="s">
        <v>399</v>
      </c>
      <c r="D26" s="409" t="s">
        <v>195</v>
      </c>
      <c r="E26" s="147">
        <f>'OATT Input Data'!$E$211</f>
        <v>23308692.829999998</v>
      </c>
      <c r="F26" s="146"/>
      <c r="G26" s="146" t="s">
        <v>36</v>
      </c>
      <c r="H26" s="419">
        <f>'NITS Pg 4 of 5'!$J$33</f>
        <v>6.5890000000000004E-2</v>
      </c>
      <c r="I26" s="146"/>
      <c r="J26" s="147">
        <f>ROUND(H26*E26,0)</f>
        <v>1535810</v>
      </c>
      <c r="K26" s="146"/>
      <c r="L26" s="434"/>
      <c r="M26" s="146"/>
      <c r="N26" s="543"/>
      <c r="O26" s="156"/>
      <c r="P26" s="155"/>
    </row>
    <row r="27" spans="1:21" x14ac:dyDescent="0.25">
      <c r="A27" s="84">
        <v>12</v>
      </c>
      <c r="C27" s="542" t="s">
        <v>415</v>
      </c>
      <c r="D27" s="409" t="s">
        <v>196</v>
      </c>
      <c r="E27" s="430">
        <f>'OATT Input Data'!$E$212</f>
        <v>19221539.75</v>
      </c>
      <c r="F27" s="146"/>
      <c r="G27" s="146" t="s">
        <v>38</v>
      </c>
      <c r="H27" s="419">
        <f>'NITS Pg 4 of 5'!$J$41</f>
        <v>6.0560000000000003E-2</v>
      </c>
      <c r="I27" s="146"/>
      <c r="J27" s="430">
        <f t="shared" ref="J27" si="2">ROUND(H27*E27,0)</f>
        <v>1164056</v>
      </c>
      <c r="K27" s="146"/>
      <c r="L27" s="434"/>
      <c r="M27" s="146"/>
      <c r="N27" s="543"/>
      <c r="O27" s="156"/>
      <c r="P27" s="155"/>
    </row>
    <row r="28" spans="1:21" x14ac:dyDescent="0.25">
      <c r="A28" s="84">
        <v>13</v>
      </c>
      <c r="C28" s="194" t="s">
        <v>201</v>
      </c>
      <c r="D28" s="409" t="s">
        <v>336</v>
      </c>
      <c r="E28" s="410">
        <f>ROUND(SUM(E25:E27),0)</f>
        <v>64249758</v>
      </c>
      <c r="F28" s="146"/>
      <c r="G28" s="146"/>
      <c r="H28" s="146"/>
      <c r="I28" s="146"/>
      <c r="J28" s="410">
        <f>ROUND(SUM(J25:J27),0)</f>
        <v>23458302</v>
      </c>
      <c r="K28" s="146"/>
      <c r="L28" s="146"/>
      <c r="M28" s="146"/>
      <c r="N28" s="146"/>
      <c r="O28" s="146"/>
      <c r="P28" s="155"/>
      <c r="U28" s="544"/>
    </row>
    <row r="29" spans="1:21" x14ac:dyDescent="0.25">
      <c r="A29" s="84"/>
      <c r="C29" s="155"/>
      <c r="D29" s="146"/>
      <c r="E29" s="147"/>
      <c r="F29" s="146"/>
      <c r="G29" s="146"/>
      <c r="H29" s="146"/>
      <c r="I29" s="146"/>
      <c r="J29" s="147"/>
      <c r="K29" s="146"/>
      <c r="L29" s="146"/>
      <c r="M29" s="146"/>
      <c r="N29" s="146"/>
      <c r="O29" s="146"/>
      <c r="P29" s="155"/>
    </row>
    <row r="30" spans="1:21" x14ac:dyDescent="0.25">
      <c r="A30" s="84" t="s">
        <v>0</v>
      </c>
      <c r="C30" s="194" t="s">
        <v>280</v>
      </c>
      <c r="D30" s="121" t="s">
        <v>303</v>
      </c>
      <c r="E30" s="147"/>
      <c r="F30" s="146"/>
      <c r="G30" s="146"/>
      <c r="H30" s="146"/>
      <c r="I30" s="146"/>
      <c r="J30" s="147"/>
      <c r="K30" s="146"/>
      <c r="L30" s="146"/>
      <c r="M30" s="146"/>
      <c r="N30" s="146"/>
      <c r="O30" s="146"/>
      <c r="P30" s="155"/>
    </row>
    <row r="31" spans="1:21" x14ac:dyDescent="0.25">
      <c r="A31" s="84"/>
      <c r="C31" s="155" t="s">
        <v>57</v>
      </c>
      <c r="D31" s="121"/>
      <c r="E31" s="147"/>
      <c r="F31" s="146"/>
      <c r="G31" s="146"/>
      <c r="I31" s="146"/>
      <c r="J31" s="147"/>
      <c r="K31" s="146"/>
      <c r="L31" s="434"/>
      <c r="M31" s="146"/>
      <c r="N31" s="150"/>
      <c r="O31" s="156"/>
      <c r="P31" s="155"/>
    </row>
    <row r="32" spans="1:21" x14ac:dyDescent="0.25">
      <c r="A32" s="84">
        <v>14</v>
      </c>
      <c r="C32" s="545" t="s">
        <v>59</v>
      </c>
      <c r="D32" s="414" t="s">
        <v>58</v>
      </c>
      <c r="E32" s="410">
        <f>'OATT Input Data'!$E$226</f>
        <v>16525945</v>
      </c>
      <c r="F32" s="146"/>
      <c r="G32" s="146" t="s">
        <v>36</v>
      </c>
      <c r="H32" s="419">
        <f>'NITS Pg 4 of 5'!$J$33</f>
        <v>6.5890000000000004E-2</v>
      </c>
      <c r="I32" s="146"/>
      <c r="J32" s="410">
        <f>ROUND(H32*E32,0)</f>
        <v>1088895</v>
      </c>
      <c r="K32" s="146"/>
      <c r="L32" s="434"/>
      <c r="M32" s="146"/>
      <c r="N32" s="150"/>
      <c r="P32" s="156"/>
      <c r="Q32" s="156"/>
    </row>
    <row r="33" spans="1:17" x14ac:dyDescent="0.25">
      <c r="A33" s="84">
        <v>15</v>
      </c>
      <c r="C33" s="545" t="s">
        <v>390</v>
      </c>
      <c r="D33" s="414" t="s">
        <v>58</v>
      </c>
      <c r="E33" s="331">
        <f>'OATT Input Data'!$E$227</f>
        <v>90932</v>
      </c>
      <c r="F33" s="146"/>
      <c r="G33" s="146" t="str">
        <f>+G32</f>
        <v>W/S</v>
      </c>
      <c r="H33" s="419">
        <f>'NITS Pg 4 of 5'!$J$33</f>
        <v>6.5890000000000004E-2</v>
      </c>
      <c r="I33" s="146"/>
      <c r="J33" s="331">
        <f>ROUND(H33*E33,0)</f>
        <v>5992</v>
      </c>
      <c r="K33" s="146"/>
      <c r="L33" s="434"/>
      <c r="M33" s="146"/>
      <c r="N33" s="150"/>
      <c r="P33" s="146"/>
      <c r="Q33" s="146"/>
    </row>
    <row r="34" spans="1:17" x14ac:dyDescent="0.25">
      <c r="A34" s="84">
        <v>16</v>
      </c>
      <c r="C34" s="155" t="s">
        <v>60</v>
      </c>
      <c r="D34" s="414" t="s">
        <v>0</v>
      </c>
      <c r="E34" s="147"/>
      <c r="F34" s="146"/>
      <c r="G34" s="146"/>
      <c r="I34" s="146"/>
      <c r="J34" s="147"/>
      <c r="K34" s="146"/>
      <c r="L34" s="434"/>
      <c r="M34" s="146"/>
      <c r="N34" s="150"/>
      <c r="P34" s="146"/>
      <c r="Q34" s="146"/>
    </row>
    <row r="35" spans="1:17" x14ac:dyDescent="0.25">
      <c r="A35" s="84">
        <v>17</v>
      </c>
      <c r="C35" s="545" t="s">
        <v>61</v>
      </c>
      <c r="D35" s="414" t="s">
        <v>58</v>
      </c>
      <c r="E35" s="147">
        <f>'OATT Input Data'!$E$229</f>
        <v>44916728</v>
      </c>
      <c r="F35" s="146"/>
      <c r="G35" s="146" t="s">
        <v>54</v>
      </c>
      <c r="H35" s="439">
        <f>'NITS Pg 2 of 5'!$H$19</f>
        <v>8.4339999999999998E-2</v>
      </c>
      <c r="I35" s="146"/>
      <c r="J35" s="147">
        <f>ROUND(H35*E35,0)</f>
        <v>3788277</v>
      </c>
      <c r="K35" s="146"/>
      <c r="L35" s="434"/>
      <c r="M35" s="146"/>
      <c r="N35" s="150"/>
      <c r="P35" s="146"/>
      <c r="Q35" s="146"/>
    </row>
    <row r="36" spans="1:17" x14ac:dyDescent="0.25">
      <c r="A36" s="84">
        <v>18</v>
      </c>
      <c r="C36" s="545" t="s">
        <v>41</v>
      </c>
      <c r="D36" s="414" t="s">
        <v>58</v>
      </c>
      <c r="E36" s="147">
        <f>'OATT Input Data'!$E$235</f>
        <v>5107720</v>
      </c>
      <c r="F36" s="146"/>
      <c r="G36" s="146" t="str">
        <f>+G35</f>
        <v>GP</v>
      </c>
      <c r="H36" s="439">
        <f>'NITS Pg 2 of 5'!$H$19</f>
        <v>8.4339999999999998E-2</v>
      </c>
      <c r="I36" s="146"/>
      <c r="J36" s="147">
        <f>ROUND(H36*E36,0)</f>
        <v>430785</v>
      </c>
      <c r="K36" s="146"/>
      <c r="L36" s="434"/>
      <c r="M36" s="146"/>
      <c r="P36" s="157"/>
      <c r="Q36" s="157"/>
    </row>
    <row r="37" spans="1:17" x14ac:dyDescent="0.25">
      <c r="A37" s="84">
        <v>19</v>
      </c>
      <c r="C37" s="545" t="s">
        <v>391</v>
      </c>
      <c r="D37" s="146"/>
      <c r="E37" s="499">
        <v>0</v>
      </c>
      <c r="F37" s="146"/>
      <c r="G37" s="146" t="s">
        <v>54</v>
      </c>
      <c r="H37" s="439">
        <f>'NITS Pg 2 of 5'!$H$19</f>
        <v>8.4339999999999998E-2</v>
      </c>
      <c r="I37" s="146"/>
      <c r="J37" s="499">
        <f>ROUND(H37*E37,0)</f>
        <v>0</v>
      </c>
      <c r="K37" s="146"/>
      <c r="L37" s="434"/>
      <c r="M37" s="146"/>
      <c r="N37" s="150"/>
      <c r="O37" s="150"/>
      <c r="P37" s="146"/>
      <c r="Q37" s="146"/>
    </row>
    <row r="38" spans="1:17" x14ac:dyDescent="0.25">
      <c r="A38" s="84">
        <v>20</v>
      </c>
      <c r="C38" s="194" t="s">
        <v>202</v>
      </c>
      <c r="D38" s="409" t="s">
        <v>410</v>
      </c>
      <c r="E38" s="410">
        <f>ROUND(SUM(E32:E37),0)</f>
        <v>66641325</v>
      </c>
      <c r="F38" s="146"/>
      <c r="G38" s="146"/>
      <c r="H38" s="439"/>
      <c r="I38" s="146"/>
      <c r="J38" s="410">
        <f>ROUND(SUM(J32:J37),0)</f>
        <v>5313949</v>
      </c>
      <c r="K38" s="146"/>
      <c r="L38" s="146"/>
      <c r="M38" s="146"/>
      <c r="N38" s="150"/>
      <c r="O38" s="168"/>
      <c r="P38" s="146"/>
      <c r="Q38" s="146"/>
    </row>
    <row r="39" spans="1:17" x14ac:dyDescent="0.25">
      <c r="A39" s="84"/>
      <c r="C39" s="155"/>
      <c r="D39" s="146"/>
      <c r="E39" s="147"/>
      <c r="F39" s="146"/>
      <c r="G39" s="146"/>
      <c r="H39" s="439"/>
      <c r="I39" s="146"/>
      <c r="J39" s="147"/>
      <c r="K39" s="146"/>
      <c r="L39" s="146"/>
      <c r="M39" s="146"/>
      <c r="N39" s="155"/>
      <c r="P39" s="156"/>
      <c r="Q39" s="156"/>
    </row>
    <row r="40" spans="1:17" x14ac:dyDescent="0.25">
      <c r="A40" s="84" t="s">
        <v>62</v>
      </c>
      <c r="C40" s="155"/>
      <c r="D40" s="146"/>
      <c r="E40" s="147"/>
      <c r="F40" s="146"/>
      <c r="G40" s="146"/>
      <c r="H40" s="439"/>
      <c r="I40" s="146"/>
      <c r="J40" s="147"/>
      <c r="K40" s="146"/>
      <c r="L40" s="146"/>
      <c r="M40" s="146"/>
      <c r="N40" s="146"/>
      <c r="P40" s="156"/>
      <c r="Q40" s="156"/>
    </row>
    <row r="41" spans="1:17" x14ac:dyDescent="0.25">
      <c r="A41" s="84" t="s">
        <v>0</v>
      </c>
      <c r="C41" s="194" t="s">
        <v>307</v>
      </c>
      <c r="D41" s="414" t="s">
        <v>305</v>
      </c>
      <c r="E41" s="147"/>
      <c r="F41" s="146"/>
      <c r="H41" s="433"/>
      <c r="I41" s="146"/>
      <c r="J41" s="147"/>
      <c r="K41" s="146"/>
      <c r="M41" s="146"/>
      <c r="N41" s="165"/>
      <c r="P41" s="156"/>
      <c r="Q41" s="156"/>
    </row>
    <row r="42" spans="1:17" x14ac:dyDescent="0.25">
      <c r="A42" s="84">
        <v>21</v>
      </c>
      <c r="C42" s="546" t="s">
        <v>400</v>
      </c>
      <c r="D42" s="146"/>
      <c r="E42" s="500">
        <f>IF('OATT Input Data'!$B$240&gt;0,1-(((1-'OATT Input Data'!$B$241)*(1-'OATT Input Data'!$B$240))/(1-'OATT Input Data'!$B$241*'OATT Input Data'!$B$240*'OATT Input Data'!$B$242)),0)</f>
        <v>0.38900000000000001</v>
      </c>
      <c r="F42" s="146"/>
      <c r="H42" s="433"/>
      <c r="I42" s="146"/>
      <c r="J42" s="147"/>
      <c r="K42" s="146"/>
      <c r="M42" s="146"/>
      <c r="N42" s="146"/>
      <c r="P42" s="156"/>
      <c r="Q42" s="156"/>
    </row>
    <row r="43" spans="1:17" x14ac:dyDescent="0.25">
      <c r="A43" s="84">
        <v>22</v>
      </c>
      <c r="C43" s="547" t="s">
        <v>401</v>
      </c>
      <c r="D43" s="146"/>
      <c r="E43" s="500">
        <f>IF('NITS Pg 4 of 5'!$J$56&gt;0,ROUND((E42/(1-E42))*(1-'NITS Pg 4 of 5'!$J$53/'NITS Pg 4 of 5'!$J$56),4),0)</f>
        <v>0.50290000000000001</v>
      </c>
      <c r="F43" s="146"/>
      <c r="H43" s="433"/>
      <c r="I43" s="146"/>
      <c r="J43" s="147"/>
      <c r="K43" s="146"/>
      <c r="M43" s="146"/>
      <c r="N43" s="146"/>
      <c r="O43" s="168"/>
      <c r="P43" s="156"/>
      <c r="Q43" s="156"/>
    </row>
    <row r="44" spans="1:17" x14ac:dyDescent="0.25">
      <c r="A44" s="84"/>
      <c r="C44" s="438" t="s">
        <v>337</v>
      </c>
      <c r="D44" s="409" t="s">
        <v>333</v>
      </c>
      <c r="E44" s="501">
        <f>'NITS Pg 4 of 5'!J53</f>
        <v>1.55E-2</v>
      </c>
      <c r="F44" s="146"/>
      <c r="H44" s="433"/>
      <c r="I44" s="146"/>
      <c r="J44" s="147"/>
      <c r="K44" s="146"/>
      <c r="M44" s="146"/>
      <c r="P44" s="146"/>
    </row>
    <row r="45" spans="1:17" x14ac:dyDescent="0.25">
      <c r="A45" s="84"/>
      <c r="C45" s="438" t="s">
        <v>338</v>
      </c>
      <c r="D45" s="409" t="s">
        <v>334</v>
      </c>
      <c r="E45" s="501">
        <f>'NITS Pg 4 of 5'!J56</f>
        <v>7.3800000010000005E-2</v>
      </c>
      <c r="F45" s="146"/>
      <c r="H45" s="433"/>
      <c r="I45" s="146"/>
      <c r="J45" s="147"/>
      <c r="K45" s="146"/>
      <c r="M45" s="146"/>
      <c r="N45" s="146"/>
      <c r="O45" s="150"/>
      <c r="P45" s="146"/>
    </row>
    <row r="46" spans="1:17" x14ac:dyDescent="0.25">
      <c r="A46" s="84"/>
      <c r="C46" s="438" t="s">
        <v>306</v>
      </c>
      <c r="D46" s="414" t="s">
        <v>305</v>
      </c>
      <c r="E46" s="147"/>
      <c r="F46" s="146"/>
      <c r="H46" s="433"/>
      <c r="I46" s="146"/>
      <c r="J46" s="147"/>
      <c r="K46" s="146"/>
      <c r="M46" s="146"/>
      <c r="N46" s="146"/>
      <c r="O46" s="150"/>
      <c r="P46" s="146"/>
    </row>
    <row r="47" spans="1:17" x14ac:dyDescent="0.25">
      <c r="A47" s="84">
        <v>23</v>
      </c>
      <c r="C47" s="548" t="s">
        <v>308</v>
      </c>
      <c r="D47" s="409" t="s">
        <v>879</v>
      </c>
      <c r="E47" s="502">
        <f>IF(E42&gt;0,ROUND(1/(1-E42),8),0)</f>
        <v>1.63666121</v>
      </c>
      <c r="F47" s="146"/>
      <c r="H47" s="433"/>
      <c r="I47" s="146"/>
      <c r="J47" s="147"/>
      <c r="K47" s="146"/>
      <c r="M47" s="146"/>
      <c r="N47" s="146"/>
      <c r="O47" s="150"/>
      <c r="P47" s="177"/>
      <c r="Q47" s="177"/>
    </row>
    <row r="48" spans="1:17" x14ac:dyDescent="0.25">
      <c r="A48" s="84">
        <v>24</v>
      </c>
      <c r="C48" s="194" t="s">
        <v>309</v>
      </c>
      <c r="D48" s="409" t="s">
        <v>392</v>
      </c>
      <c r="E48" s="331">
        <v>0</v>
      </c>
      <c r="F48" s="146"/>
      <c r="H48" s="433"/>
      <c r="I48" s="146"/>
      <c r="J48" s="147"/>
      <c r="K48" s="146"/>
      <c r="M48" s="146"/>
      <c r="N48" s="146"/>
      <c r="O48" s="150"/>
      <c r="P48" s="146"/>
      <c r="Q48" s="146"/>
    </row>
    <row r="49" spans="1:19" x14ac:dyDescent="0.25">
      <c r="A49" s="84"/>
      <c r="C49" s="155"/>
      <c r="D49" s="146"/>
      <c r="E49" s="147"/>
      <c r="F49" s="146"/>
      <c r="H49" s="433"/>
      <c r="I49" s="146"/>
      <c r="J49" s="147"/>
      <c r="K49" s="146"/>
      <c r="M49" s="146"/>
      <c r="N49" s="146"/>
      <c r="O49" s="150"/>
      <c r="P49" s="150"/>
    </row>
    <row r="50" spans="1:19" x14ac:dyDescent="0.25">
      <c r="A50" s="84">
        <v>25</v>
      </c>
      <c r="C50" s="548" t="s">
        <v>311</v>
      </c>
      <c r="D50" s="503" t="s">
        <v>411</v>
      </c>
      <c r="E50" s="410">
        <f>ROUND(E43*E54,0)</f>
        <v>281651343</v>
      </c>
      <c r="F50" s="146"/>
      <c r="G50" s="146"/>
      <c r="H50" s="439"/>
      <c r="I50" s="146"/>
      <c r="J50" s="410">
        <f>ROUND(E43*J54,0)</f>
        <v>21250640</v>
      </c>
      <c r="K50" s="146"/>
      <c r="L50" s="549" t="s">
        <v>0</v>
      </c>
      <c r="M50" s="146"/>
      <c r="N50" s="146"/>
      <c r="O50" s="150"/>
      <c r="P50" s="150"/>
    </row>
    <row r="51" spans="1:19" ht="18" x14ac:dyDescent="0.4">
      <c r="A51" s="84">
        <v>26</v>
      </c>
      <c r="C51" s="167" t="s">
        <v>312</v>
      </c>
      <c r="D51" s="503" t="s">
        <v>412</v>
      </c>
      <c r="E51" s="413">
        <f>ROUND(E47*E48,0)</f>
        <v>0</v>
      </c>
      <c r="F51" s="146"/>
      <c r="G51" s="89" t="s">
        <v>46</v>
      </c>
      <c r="H51" s="439">
        <f>'NITS Pg 2 of 5'!$H$35</f>
        <v>7.5130000000000002E-2</v>
      </c>
      <c r="I51" s="146"/>
      <c r="J51" s="413">
        <f>ROUND(H51*E51,0)</f>
        <v>0</v>
      </c>
      <c r="K51" s="146"/>
      <c r="L51" s="549"/>
      <c r="M51" s="146"/>
      <c r="N51" s="146"/>
      <c r="O51" s="150"/>
      <c r="P51" s="150"/>
    </row>
    <row r="52" spans="1:19" x14ac:dyDescent="0.25">
      <c r="A52" s="84">
        <v>27</v>
      </c>
      <c r="C52" s="550" t="s">
        <v>63</v>
      </c>
      <c r="D52" s="412" t="s">
        <v>413</v>
      </c>
      <c r="E52" s="504">
        <f>E50+E51</f>
        <v>281651343</v>
      </c>
      <c r="F52" s="146"/>
      <c r="G52" s="146" t="s">
        <v>0</v>
      </c>
      <c r="H52" s="439" t="s">
        <v>0</v>
      </c>
      <c r="I52" s="146"/>
      <c r="J52" s="504">
        <f>J50+J51</f>
        <v>21250640</v>
      </c>
      <c r="K52" s="146"/>
      <c r="L52" s="146"/>
      <c r="M52" s="146"/>
      <c r="N52" s="146"/>
      <c r="O52" s="146"/>
      <c r="P52" s="155"/>
    </row>
    <row r="53" spans="1:19" x14ac:dyDescent="0.25">
      <c r="A53" s="84" t="s">
        <v>0</v>
      </c>
      <c r="D53" s="505"/>
      <c r="E53" s="147"/>
      <c r="F53" s="146"/>
      <c r="G53" s="146"/>
      <c r="H53" s="439"/>
      <c r="I53" s="146"/>
      <c r="J53" s="147"/>
      <c r="K53" s="146"/>
      <c r="L53" s="146"/>
      <c r="M53" s="146"/>
      <c r="N53" s="146"/>
      <c r="O53" s="146"/>
      <c r="P53" s="155"/>
    </row>
    <row r="54" spans="1:19" ht="18" x14ac:dyDescent="0.4">
      <c r="A54" s="84">
        <v>28</v>
      </c>
      <c r="C54" s="194" t="s">
        <v>310</v>
      </c>
      <c r="D54" s="412" t="s">
        <v>339</v>
      </c>
      <c r="E54" s="506">
        <f>ROUND('NITS Pg 4 of 5'!$J$56*'NITS Pg 2 of 5'!$E$57,0)</f>
        <v>560054370</v>
      </c>
      <c r="F54" s="146"/>
      <c r="G54" s="146"/>
      <c r="H54" s="433"/>
      <c r="I54" s="146"/>
      <c r="J54" s="506">
        <f>ROUND('NITS Pg 4 of 5'!$J$56*'NITS Pg 2 of 5'!$J$57,0)</f>
        <v>42256195</v>
      </c>
      <c r="K54" s="146"/>
      <c r="M54" s="146"/>
      <c r="N54" s="146"/>
      <c r="O54" s="156"/>
      <c r="P54" s="146"/>
    </row>
    <row r="55" spans="1:19" x14ac:dyDescent="0.25">
      <c r="A55" s="84"/>
      <c r="C55" s="155"/>
      <c r="E55" s="147"/>
      <c r="F55" s="146"/>
      <c r="G55" s="146"/>
      <c r="H55" s="433"/>
      <c r="I55" s="146"/>
      <c r="J55" s="147"/>
      <c r="K55" s="146"/>
      <c r="L55" s="434"/>
      <c r="M55" s="146"/>
      <c r="N55" s="146"/>
      <c r="O55" s="156"/>
      <c r="P55" s="146"/>
    </row>
    <row r="56" spans="1:19" ht="18" x14ac:dyDescent="0.4">
      <c r="A56" s="84">
        <v>29</v>
      </c>
      <c r="C56" s="194" t="s">
        <v>203</v>
      </c>
      <c r="D56" s="409" t="s">
        <v>408</v>
      </c>
      <c r="E56" s="507">
        <f>ROUND(E54+E52+E38+E28+E22,0)</f>
        <v>1213040301</v>
      </c>
      <c r="F56" s="146"/>
      <c r="G56" s="146"/>
      <c r="H56" s="146"/>
      <c r="I56" s="146"/>
      <c r="J56" s="507">
        <f>ROUND(J54+J52+J38+J28+J22,0)</f>
        <v>139666779</v>
      </c>
      <c r="K56" s="106"/>
      <c r="L56" s="106"/>
      <c r="M56" s="106"/>
      <c r="N56" s="106"/>
      <c r="O56" s="106"/>
      <c r="P56" s="155"/>
    </row>
    <row r="57" spans="1:19" x14ac:dyDescent="0.25">
      <c r="Q57" s="121"/>
      <c r="R57" s="121"/>
      <c r="S57" s="121"/>
    </row>
    <row r="58" spans="1:19" x14ac:dyDescent="0.25">
      <c r="Q58" s="121"/>
      <c r="R58" s="121"/>
      <c r="S58" s="121"/>
    </row>
    <row r="59" spans="1:19" x14ac:dyDescent="0.25">
      <c r="Q59" s="121"/>
      <c r="R59" s="121"/>
      <c r="S59" s="121"/>
    </row>
    <row r="60" spans="1:19" x14ac:dyDescent="0.25">
      <c r="Q60" s="121"/>
      <c r="R60" s="121"/>
      <c r="S60" s="121"/>
    </row>
    <row r="61" spans="1:19" x14ac:dyDescent="0.25">
      <c r="P61" s="89" t="s">
        <v>0</v>
      </c>
      <c r="Q61" s="121"/>
      <c r="R61" s="121"/>
      <c r="S61" s="121"/>
    </row>
    <row r="62" spans="1:19" x14ac:dyDescent="0.25">
      <c r="Q62" s="121"/>
      <c r="R62" s="121"/>
      <c r="S62" s="121"/>
    </row>
    <row r="63" spans="1:19" x14ac:dyDescent="0.25">
      <c r="Q63" s="121"/>
      <c r="R63" s="121"/>
      <c r="S63" s="121"/>
    </row>
    <row r="64" spans="1:19" x14ac:dyDescent="0.25">
      <c r="Q64" s="121"/>
      <c r="R64" s="121"/>
      <c r="S64" s="121"/>
    </row>
    <row r="65" spans="17:19" x14ac:dyDescent="0.25">
      <c r="Q65" s="121"/>
      <c r="R65" s="121"/>
      <c r="S65" s="121"/>
    </row>
    <row r="66" spans="17:19" x14ac:dyDescent="0.25">
      <c r="Q66" s="121"/>
      <c r="R66" s="121"/>
      <c r="S66" s="121"/>
    </row>
    <row r="67" spans="17:19" x14ac:dyDescent="0.25">
      <c r="Q67" s="121"/>
      <c r="R67" s="121"/>
      <c r="S67" s="121"/>
    </row>
    <row r="68" spans="17:19" x14ac:dyDescent="0.25">
      <c r="Q68" s="121"/>
      <c r="R68" s="121"/>
      <c r="S68" s="121"/>
    </row>
    <row r="69" spans="17:19" x14ac:dyDescent="0.25">
      <c r="Q69" s="121"/>
      <c r="R69" s="121"/>
      <c r="S69" s="121"/>
    </row>
    <row r="70" spans="17:19" x14ac:dyDescent="0.25">
      <c r="Q70" s="121"/>
      <c r="R70" s="121"/>
      <c r="S70" s="121"/>
    </row>
    <row r="71" spans="17:19" x14ac:dyDescent="0.25">
      <c r="Q71" s="121"/>
      <c r="R71" s="121"/>
      <c r="S71" s="121"/>
    </row>
    <row r="72" spans="17:19" x14ac:dyDescent="0.25">
      <c r="Q72" s="121"/>
      <c r="R72" s="121"/>
      <c r="S72" s="121"/>
    </row>
    <row r="73" spans="17:19" x14ac:dyDescent="0.25">
      <c r="Q73" s="121"/>
      <c r="R73" s="121"/>
      <c r="S73" s="121"/>
    </row>
    <row r="74" spans="17:19" x14ac:dyDescent="0.25">
      <c r="Q74" s="121"/>
      <c r="R74" s="121"/>
      <c r="S74" s="121"/>
    </row>
    <row r="75" spans="17:19" x14ac:dyDescent="0.25">
      <c r="Q75" s="121"/>
      <c r="R75" s="121"/>
      <c r="S75" s="121"/>
    </row>
    <row r="76" spans="17:19" x14ac:dyDescent="0.25">
      <c r="Q76" s="121"/>
      <c r="R76" s="121"/>
      <c r="S76" s="121"/>
    </row>
    <row r="77" spans="17:19" x14ac:dyDescent="0.25">
      <c r="Q77" s="121"/>
      <c r="R77" s="121"/>
      <c r="S77" s="121"/>
    </row>
    <row r="78" spans="17:19" x14ac:dyDescent="0.25">
      <c r="Q78" s="121"/>
      <c r="R78" s="121"/>
      <c r="S78" s="121"/>
    </row>
    <row r="79" spans="17:19" x14ac:dyDescent="0.25">
      <c r="Q79" s="121"/>
      <c r="R79" s="121"/>
      <c r="S79" s="121"/>
    </row>
    <row r="80" spans="17:19" x14ac:dyDescent="0.25">
      <c r="Q80" s="121"/>
      <c r="R80" s="121"/>
      <c r="S80" s="121"/>
    </row>
    <row r="81" spans="17:19" x14ac:dyDescent="0.25">
      <c r="Q81" s="121"/>
      <c r="R81" s="121"/>
      <c r="S81" s="121"/>
    </row>
    <row r="82" spans="17:19" x14ac:dyDescent="0.25">
      <c r="Q82" s="121"/>
      <c r="R82" s="121"/>
      <c r="S82" s="121"/>
    </row>
    <row r="83" spans="17:19" x14ac:dyDescent="0.25">
      <c r="Q83" s="121"/>
      <c r="R83" s="121"/>
      <c r="S83" s="121"/>
    </row>
    <row r="84" spans="17:19" x14ac:dyDescent="0.25">
      <c r="Q84" s="121"/>
      <c r="R84" s="121"/>
      <c r="S84" s="121"/>
    </row>
    <row r="85" spans="17:19" x14ac:dyDescent="0.25">
      <c r="Q85" s="121"/>
      <c r="R85" s="121"/>
      <c r="S85" s="121"/>
    </row>
    <row r="86" spans="17:19" x14ac:dyDescent="0.25">
      <c r="Q86" s="121"/>
      <c r="R86" s="121"/>
      <c r="S86" s="121"/>
    </row>
    <row r="87" spans="17:19" x14ac:dyDescent="0.25">
      <c r="Q87" s="121"/>
      <c r="R87" s="121"/>
      <c r="S87" s="121"/>
    </row>
    <row r="88" spans="17:19" x14ac:dyDescent="0.25">
      <c r="Q88" s="121"/>
      <c r="R88" s="121"/>
      <c r="S88" s="121"/>
    </row>
    <row r="89" spans="17:19" x14ac:dyDescent="0.25">
      <c r="Q89" s="121"/>
      <c r="R89" s="121"/>
      <c r="S89" s="121"/>
    </row>
    <row r="90" spans="17:19" x14ac:dyDescent="0.25">
      <c r="Q90" s="121"/>
      <c r="R90" s="121"/>
      <c r="S90" s="121"/>
    </row>
    <row r="91" spans="17:19" x14ac:dyDescent="0.25">
      <c r="Q91" s="121"/>
      <c r="R91" s="121"/>
      <c r="S91" s="121"/>
    </row>
    <row r="92" spans="17:19" x14ac:dyDescent="0.25">
      <c r="Q92" s="121"/>
      <c r="R92" s="121"/>
      <c r="S92" s="121"/>
    </row>
    <row r="93" spans="17:19" x14ac:dyDescent="0.25">
      <c r="Q93" s="121"/>
      <c r="R93" s="121"/>
      <c r="S93" s="121"/>
    </row>
    <row r="94" spans="17:19" x14ac:dyDescent="0.25">
      <c r="Q94" s="121"/>
      <c r="R94" s="121"/>
      <c r="S94" s="121"/>
    </row>
    <row r="95" spans="17:19" x14ac:dyDescent="0.25">
      <c r="Q95" s="121"/>
      <c r="R95" s="121"/>
      <c r="S95" s="121"/>
    </row>
    <row r="96" spans="17:19" x14ac:dyDescent="0.25">
      <c r="Q96" s="121"/>
      <c r="R96" s="121"/>
      <c r="S96" s="121"/>
    </row>
    <row r="97" spans="17:19" x14ac:dyDescent="0.25">
      <c r="Q97" s="121"/>
      <c r="R97" s="121"/>
      <c r="S97" s="121"/>
    </row>
    <row r="98" spans="17:19" x14ac:dyDescent="0.25">
      <c r="Q98" s="121"/>
      <c r="R98" s="121"/>
      <c r="S98" s="121"/>
    </row>
    <row r="99" spans="17:19" x14ac:dyDescent="0.25">
      <c r="Q99" s="121"/>
      <c r="R99" s="121"/>
      <c r="S99" s="121"/>
    </row>
    <row r="100" spans="17:19" x14ac:dyDescent="0.25">
      <c r="Q100" s="121"/>
      <c r="R100" s="121"/>
      <c r="S100" s="121"/>
    </row>
    <row r="101" spans="17:19" x14ac:dyDescent="0.25">
      <c r="Q101" s="121"/>
      <c r="R101" s="121"/>
      <c r="S101" s="121"/>
    </row>
    <row r="102" spans="17:19" x14ac:dyDescent="0.25">
      <c r="Q102" s="121"/>
      <c r="R102" s="121"/>
      <c r="S102" s="121"/>
    </row>
    <row r="103" spans="17:19" x14ac:dyDescent="0.25">
      <c r="Q103" s="121"/>
      <c r="R103" s="121"/>
      <c r="S103" s="121"/>
    </row>
    <row r="104" spans="17:19" x14ac:dyDescent="0.25">
      <c r="Q104" s="121"/>
      <c r="R104" s="121"/>
      <c r="S104" s="121"/>
    </row>
    <row r="105" spans="17:19" x14ac:dyDescent="0.25">
      <c r="Q105" s="121"/>
      <c r="R105" s="121"/>
      <c r="S105" s="121"/>
    </row>
    <row r="106" spans="17:19" x14ac:dyDescent="0.25">
      <c r="Q106" s="121"/>
      <c r="R106" s="121"/>
      <c r="S106" s="121"/>
    </row>
    <row r="107" spans="17:19" x14ac:dyDescent="0.25">
      <c r="Q107" s="121"/>
      <c r="R107" s="121"/>
      <c r="S107" s="121"/>
    </row>
    <row r="108" spans="17:19" x14ac:dyDescent="0.25">
      <c r="Q108" s="121"/>
      <c r="R108" s="121"/>
      <c r="S108" s="121"/>
    </row>
    <row r="109" spans="17:19" x14ac:dyDescent="0.25">
      <c r="Q109" s="121"/>
      <c r="R109" s="121"/>
      <c r="S109" s="121"/>
    </row>
    <row r="110" spans="17:19" x14ac:dyDescent="0.25">
      <c r="Q110" s="121"/>
      <c r="R110" s="121"/>
      <c r="S110" s="121"/>
    </row>
    <row r="111" spans="17:19" x14ac:dyDescent="0.25">
      <c r="Q111" s="121"/>
      <c r="R111" s="121"/>
      <c r="S111" s="121"/>
    </row>
    <row r="112" spans="17:19" x14ac:dyDescent="0.25">
      <c r="Q112" s="121"/>
      <c r="R112" s="121"/>
      <c r="S112" s="121"/>
    </row>
    <row r="113" spans="17:19" x14ac:dyDescent="0.25">
      <c r="Q113" s="121"/>
      <c r="R113" s="121"/>
      <c r="S113" s="121"/>
    </row>
    <row r="114" spans="17:19" x14ac:dyDescent="0.25">
      <c r="Q114" s="121"/>
      <c r="R114" s="121"/>
      <c r="S114" s="121"/>
    </row>
    <row r="115" spans="17:19" x14ac:dyDescent="0.25">
      <c r="Q115" s="121"/>
      <c r="R115" s="121"/>
      <c r="S115" s="121"/>
    </row>
    <row r="116" spans="17:19" x14ac:dyDescent="0.25">
      <c r="Q116" s="121"/>
      <c r="R116" s="121"/>
      <c r="S116" s="121"/>
    </row>
    <row r="117" spans="17:19" x14ac:dyDescent="0.25">
      <c r="Q117" s="121"/>
      <c r="R117" s="121"/>
      <c r="S117" s="121"/>
    </row>
    <row r="118" spans="17:19" x14ac:dyDescent="0.25">
      <c r="Q118" s="121"/>
      <c r="R118" s="121"/>
      <c r="S118" s="121"/>
    </row>
    <row r="119" spans="17:19" x14ac:dyDescent="0.25">
      <c r="Q119" s="121"/>
      <c r="R119" s="121"/>
      <c r="S119" s="121"/>
    </row>
    <row r="120" spans="17:19" x14ac:dyDescent="0.25">
      <c r="Q120" s="121"/>
      <c r="R120" s="121"/>
      <c r="S120" s="121"/>
    </row>
    <row r="121" spans="17:19" x14ac:dyDescent="0.25">
      <c r="Q121" s="121"/>
      <c r="R121" s="121"/>
      <c r="S121" s="121"/>
    </row>
    <row r="122" spans="17:19" x14ac:dyDescent="0.25">
      <c r="Q122" s="121"/>
      <c r="R122" s="121"/>
      <c r="S122" s="121"/>
    </row>
    <row r="123" spans="17:19" x14ac:dyDescent="0.25">
      <c r="Q123" s="121"/>
      <c r="R123" s="121"/>
      <c r="S123" s="121"/>
    </row>
    <row r="124" spans="17:19" x14ac:dyDescent="0.25">
      <c r="Q124" s="121"/>
      <c r="R124" s="121"/>
      <c r="S124" s="121"/>
    </row>
    <row r="125" spans="17:19" x14ac:dyDescent="0.25">
      <c r="Q125" s="121"/>
      <c r="R125" s="121"/>
      <c r="S125" s="121"/>
    </row>
    <row r="126" spans="17:19" x14ac:dyDescent="0.25">
      <c r="Q126" s="121"/>
      <c r="R126" s="121"/>
      <c r="S126" s="121"/>
    </row>
    <row r="127" spans="17:19" x14ac:dyDescent="0.25">
      <c r="Q127" s="121"/>
      <c r="R127" s="121"/>
      <c r="S127" s="121"/>
    </row>
    <row r="128" spans="17:19" x14ac:dyDescent="0.25">
      <c r="Q128" s="121"/>
      <c r="R128" s="121"/>
      <c r="S128" s="121"/>
    </row>
    <row r="129" spans="17:19" x14ac:dyDescent="0.25">
      <c r="Q129" s="121"/>
      <c r="R129" s="121"/>
      <c r="S129" s="121"/>
    </row>
    <row r="130" spans="17:19" x14ac:dyDescent="0.25">
      <c r="Q130" s="121"/>
      <c r="R130" s="121"/>
      <c r="S130" s="121"/>
    </row>
    <row r="131" spans="17:19" x14ac:dyDescent="0.25">
      <c r="Q131" s="121"/>
      <c r="R131" s="121"/>
      <c r="S131" s="121"/>
    </row>
    <row r="132" spans="17:19" x14ac:dyDescent="0.25">
      <c r="Q132" s="121"/>
      <c r="R132" s="121"/>
      <c r="S132" s="121"/>
    </row>
    <row r="133" spans="17:19" x14ac:dyDescent="0.25">
      <c r="Q133" s="121"/>
      <c r="R133" s="121"/>
      <c r="S133" s="121"/>
    </row>
    <row r="134" spans="17:19" x14ac:dyDescent="0.25">
      <c r="Q134" s="121"/>
      <c r="R134" s="121"/>
      <c r="S134" s="121"/>
    </row>
    <row r="135" spans="17:19" x14ac:dyDescent="0.25">
      <c r="Q135" s="121"/>
      <c r="R135" s="121"/>
      <c r="S135" s="121"/>
    </row>
    <row r="136" spans="17:19" x14ac:dyDescent="0.25">
      <c r="Q136" s="121"/>
      <c r="R136" s="121"/>
      <c r="S136" s="121"/>
    </row>
    <row r="137" spans="17:19" x14ac:dyDescent="0.25">
      <c r="Q137" s="121"/>
      <c r="R137" s="121"/>
      <c r="S137" s="121"/>
    </row>
    <row r="138" spans="17:19" x14ac:dyDescent="0.25">
      <c r="Q138" s="121"/>
      <c r="R138" s="121"/>
      <c r="S138" s="121"/>
    </row>
    <row r="139" spans="17:19" x14ac:dyDescent="0.25">
      <c r="Q139" s="121"/>
      <c r="R139" s="121"/>
      <c r="S139" s="121"/>
    </row>
    <row r="140" spans="17:19" x14ac:dyDescent="0.25">
      <c r="Q140" s="121"/>
      <c r="R140" s="121"/>
      <c r="S140" s="121"/>
    </row>
    <row r="141" spans="17:19" x14ac:dyDescent="0.25">
      <c r="Q141" s="121"/>
      <c r="R141" s="121"/>
      <c r="S141" s="121"/>
    </row>
    <row r="142" spans="17:19" x14ac:dyDescent="0.25">
      <c r="Q142" s="121"/>
      <c r="R142" s="121"/>
      <c r="S142" s="121"/>
    </row>
    <row r="143" spans="17:19" x14ac:dyDescent="0.25">
      <c r="Q143" s="121"/>
      <c r="R143" s="121"/>
      <c r="S143" s="121"/>
    </row>
    <row r="144" spans="17:19" x14ac:dyDescent="0.25">
      <c r="Q144" s="121"/>
      <c r="R144" s="121"/>
      <c r="S144" s="121"/>
    </row>
    <row r="145" spans="17:19" x14ac:dyDescent="0.25">
      <c r="Q145" s="121"/>
      <c r="R145" s="121"/>
      <c r="S145" s="121"/>
    </row>
    <row r="146" spans="17:19" x14ac:dyDescent="0.25">
      <c r="Q146" s="121"/>
      <c r="R146" s="121"/>
      <c r="S146" s="121"/>
    </row>
    <row r="147" spans="17:19" x14ac:dyDescent="0.25">
      <c r="Q147" s="121"/>
      <c r="R147" s="121"/>
      <c r="S147" s="121"/>
    </row>
    <row r="148" spans="17:19" x14ac:dyDescent="0.25">
      <c r="Q148" s="121"/>
      <c r="R148" s="121"/>
      <c r="S148" s="121"/>
    </row>
    <row r="149" spans="17:19" x14ac:dyDescent="0.25">
      <c r="Q149" s="121"/>
      <c r="R149" s="121"/>
      <c r="S149" s="121"/>
    </row>
    <row r="150" spans="17:19" x14ac:dyDescent="0.25">
      <c r="Q150" s="121"/>
      <c r="R150" s="121"/>
      <c r="S150" s="121"/>
    </row>
    <row r="151" spans="17:19" x14ac:dyDescent="0.25">
      <c r="Q151" s="121"/>
      <c r="R151" s="121"/>
      <c r="S151" s="121"/>
    </row>
    <row r="152" spans="17:19" x14ac:dyDescent="0.25">
      <c r="Q152" s="121"/>
      <c r="R152" s="121"/>
      <c r="S152" s="121"/>
    </row>
    <row r="153" spans="17:19" x14ac:dyDescent="0.25">
      <c r="Q153" s="121"/>
      <c r="R153" s="121"/>
      <c r="S153" s="121"/>
    </row>
    <row r="154" spans="17:19" x14ac:dyDescent="0.25">
      <c r="Q154" s="121"/>
      <c r="R154" s="121"/>
      <c r="S154" s="121"/>
    </row>
    <row r="155" spans="17:19" x14ac:dyDescent="0.25">
      <c r="Q155" s="121"/>
      <c r="R155" s="121"/>
      <c r="S155" s="121"/>
    </row>
    <row r="156" spans="17:19" x14ac:dyDescent="0.25">
      <c r="Q156" s="121"/>
      <c r="R156" s="121"/>
      <c r="S156" s="121"/>
    </row>
    <row r="157" spans="17:19" x14ac:dyDescent="0.25">
      <c r="Q157" s="121"/>
      <c r="R157" s="121"/>
      <c r="S157" s="121"/>
    </row>
    <row r="158" spans="17:19" x14ac:dyDescent="0.25">
      <c r="Q158" s="121"/>
      <c r="R158" s="121"/>
      <c r="S158" s="121"/>
    </row>
    <row r="159" spans="17:19" x14ac:dyDescent="0.25">
      <c r="Q159" s="121"/>
      <c r="R159" s="121"/>
      <c r="S159" s="121"/>
    </row>
    <row r="160" spans="17:19" x14ac:dyDescent="0.25">
      <c r="Q160" s="121"/>
      <c r="R160" s="121"/>
      <c r="S160" s="121"/>
    </row>
    <row r="161" spans="17:19" x14ac:dyDescent="0.25">
      <c r="Q161" s="121"/>
      <c r="R161" s="121"/>
      <c r="S161" s="121"/>
    </row>
    <row r="162" spans="17:19" x14ac:dyDescent="0.25">
      <c r="Q162" s="121"/>
      <c r="R162" s="121"/>
      <c r="S162" s="121"/>
    </row>
    <row r="163" spans="17:19" x14ac:dyDescent="0.25">
      <c r="Q163" s="121"/>
      <c r="R163" s="121"/>
      <c r="S163" s="121"/>
    </row>
    <row r="164" spans="17:19" x14ac:dyDescent="0.25">
      <c r="Q164" s="121"/>
      <c r="R164" s="121"/>
      <c r="S164" s="121"/>
    </row>
    <row r="165" spans="17:19" x14ac:dyDescent="0.25">
      <c r="Q165" s="121"/>
      <c r="R165" s="121"/>
      <c r="S165" s="121"/>
    </row>
    <row r="166" spans="17:19" x14ac:dyDescent="0.25">
      <c r="Q166" s="121"/>
      <c r="R166" s="121"/>
      <c r="S166" s="121"/>
    </row>
    <row r="167" spans="17:19" x14ac:dyDescent="0.25">
      <c r="Q167" s="121"/>
      <c r="R167" s="121"/>
      <c r="S167" s="121"/>
    </row>
    <row r="168" spans="17:19" x14ac:dyDescent="0.25">
      <c r="Q168" s="121"/>
      <c r="R168" s="121"/>
      <c r="S168" s="121"/>
    </row>
    <row r="169" spans="17:19" x14ac:dyDescent="0.25">
      <c r="Q169" s="121"/>
      <c r="R169" s="121"/>
      <c r="S169" s="121"/>
    </row>
    <row r="170" spans="17:19" x14ac:dyDescent="0.25">
      <c r="Q170" s="121"/>
      <c r="R170" s="121"/>
      <c r="S170" s="121"/>
    </row>
    <row r="171" spans="17:19" x14ac:dyDescent="0.25">
      <c r="Q171" s="121"/>
      <c r="R171" s="121"/>
      <c r="S171" s="121"/>
    </row>
    <row r="172" spans="17:19" x14ac:dyDescent="0.25">
      <c r="Q172" s="121"/>
      <c r="R172" s="121"/>
      <c r="S172" s="121"/>
    </row>
    <row r="173" spans="17:19" x14ac:dyDescent="0.25">
      <c r="Q173" s="121"/>
      <c r="R173" s="121"/>
      <c r="S173" s="121"/>
    </row>
    <row r="174" spans="17:19" x14ac:dyDescent="0.25">
      <c r="Q174" s="121"/>
      <c r="R174" s="121"/>
      <c r="S174" s="121"/>
    </row>
    <row r="175" spans="17:19" x14ac:dyDescent="0.25">
      <c r="Q175" s="121"/>
      <c r="R175" s="121"/>
      <c r="S175" s="121"/>
    </row>
    <row r="176" spans="17:19" x14ac:dyDescent="0.25">
      <c r="Q176" s="121"/>
      <c r="R176" s="121"/>
      <c r="S176" s="121"/>
    </row>
    <row r="177" spans="3:19" x14ac:dyDescent="0.25">
      <c r="Q177" s="121"/>
      <c r="R177" s="121"/>
      <c r="S177" s="121"/>
    </row>
    <row r="178" spans="3:19" x14ac:dyDescent="0.25">
      <c r="Q178" s="121"/>
      <c r="R178" s="121"/>
      <c r="S178" s="121"/>
    </row>
    <row r="179" spans="3:19" x14ac:dyDescent="0.25">
      <c r="Q179" s="121"/>
      <c r="R179" s="121"/>
      <c r="S179" s="121"/>
    </row>
    <row r="180" spans="3:19" x14ac:dyDescent="0.25">
      <c r="C180" s="121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Q180" s="121"/>
      <c r="R180" s="121"/>
      <c r="S180" s="121"/>
    </row>
    <row r="181" spans="3:19" x14ac:dyDescent="0.25">
      <c r="C181" s="121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</row>
    <row r="182" spans="3:19" x14ac:dyDescent="0.25">
      <c r="C182" s="121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</row>
    <row r="183" spans="3:19" x14ac:dyDescent="0.25">
      <c r="C183" s="121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</row>
    <row r="184" spans="3:19" x14ac:dyDescent="0.25">
      <c r="C184" s="121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</row>
    <row r="185" spans="3:19" x14ac:dyDescent="0.25">
      <c r="C185" s="121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</row>
    <row r="186" spans="3:19" x14ac:dyDescent="0.25">
      <c r="C186" s="121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</row>
    <row r="187" spans="3:19" x14ac:dyDescent="0.25">
      <c r="C187" s="121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</row>
    <row r="188" spans="3:19" x14ac:dyDescent="0.25">
      <c r="C188" s="121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</row>
    <row r="189" spans="3:19" x14ac:dyDescent="0.25">
      <c r="C189" s="121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</row>
    <row r="190" spans="3:19" x14ac:dyDescent="0.25">
      <c r="C190" s="121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</row>
    <row r="191" spans="3:19" x14ac:dyDescent="0.25">
      <c r="C191" s="121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</row>
    <row r="192" spans="3:19" x14ac:dyDescent="0.25">
      <c r="C192" s="121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</row>
    <row r="193" spans="3:19" x14ac:dyDescent="0.25">
      <c r="C193" s="121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</row>
    <row r="194" spans="3:19" x14ac:dyDescent="0.25">
      <c r="C194" s="121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</row>
    <row r="195" spans="3:19" x14ac:dyDescent="0.25">
      <c r="C195" s="121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</row>
    <row r="196" spans="3:19" x14ac:dyDescent="0.25">
      <c r="C196" s="121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</row>
    <row r="197" spans="3:19" x14ac:dyDescent="0.25">
      <c r="C197" s="121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</row>
    <row r="198" spans="3:19" x14ac:dyDescent="0.25">
      <c r="C198" s="121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</row>
    <row r="199" spans="3:19" x14ac:dyDescent="0.25">
      <c r="C199" s="121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</row>
    <row r="200" spans="3:19" x14ac:dyDescent="0.25">
      <c r="C200" s="121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</row>
    <row r="201" spans="3:19" x14ac:dyDescent="0.25">
      <c r="C201" s="121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</row>
    <row r="202" spans="3:19" x14ac:dyDescent="0.25">
      <c r="C202" s="121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</row>
    <row r="203" spans="3:19" x14ac:dyDescent="0.25">
      <c r="C203" s="121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</row>
    <row r="204" spans="3:19" x14ac:dyDescent="0.25">
      <c r="C204" s="121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</row>
    <row r="205" spans="3:19" x14ac:dyDescent="0.25">
      <c r="C205" s="121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</row>
    <row r="206" spans="3:19" x14ac:dyDescent="0.25">
      <c r="C206" s="121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</row>
    <row r="207" spans="3:19" x14ac:dyDescent="0.25">
      <c r="C207" s="121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</row>
    <row r="208" spans="3:19" x14ac:dyDescent="0.25">
      <c r="C208" s="121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</row>
    <row r="209" spans="3:19" x14ac:dyDescent="0.25">
      <c r="C209" s="121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</row>
    <row r="210" spans="3:19" x14ac:dyDescent="0.25">
      <c r="C210" s="121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</row>
    <row r="211" spans="3:19" x14ac:dyDescent="0.25">
      <c r="C211" s="121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</row>
    <row r="212" spans="3:19" x14ac:dyDescent="0.25">
      <c r="C212" s="121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</row>
    <row r="213" spans="3:19" x14ac:dyDescent="0.25">
      <c r="C213" s="121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</row>
    <row r="214" spans="3:19" x14ac:dyDescent="0.25">
      <c r="C214" s="121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</row>
    <row r="215" spans="3:19" x14ac:dyDescent="0.25">
      <c r="C215" s="121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</row>
    <row r="216" spans="3:19" x14ac:dyDescent="0.25">
      <c r="C216" s="121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</row>
    <row r="217" spans="3:19" x14ac:dyDescent="0.25">
      <c r="C217" s="121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</row>
    <row r="218" spans="3:19" x14ac:dyDescent="0.25">
      <c r="C218" s="121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</row>
    <row r="219" spans="3:19" x14ac:dyDescent="0.25">
      <c r="C219" s="121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</row>
    <row r="220" spans="3:19" x14ac:dyDescent="0.25">
      <c r="C220" s="121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</row>
    <row r="221" spans="3:19" x14ac:dyDescent="0.25">
      <c r="C221" s="121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</row>
    <row r="222" spans="3:19" x14ac:dyDescent="0.25">
      <c r="C222" s="121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</row>
    <row r="223" spans="3:19" x14ac:dyDescent="0.25">
      <c r="C223" s="121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</row>
    <row r="224" spans="3:19" x14ac:dyDescent="0.25">
      <c r="C224" s="121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</row>
    <row r="225" spans="3:19" x14ac:dyDescent="0.25">
      <c r="C225" s="121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</row>
    <row r="226" spans="3:19" x14ac:dyDescent="0.25">
      <c r="C226" s="121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</row>
    <row r="227" spans="3:19" x14ac:dyDescent="0.25">
      <c r="C227" s="121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</row>
    <row r="228" spans="3:19" x14ac:dyDescent="0.25">
      <c r="C228" s="121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</row>
    <row r="229" spans="3:19" x14ac:dyDescent="0.25">
      <c r="C229" s="121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</row>
    <row r="230" spans="3:19" x14ac:dyDescent="0.25">
      <c r="C230" s="121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</row>
    <row r="231" spans="3:19" x14ac:dyDescent="0.25">
      <c r="C231" s="121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</row>
    <row r="232" spans="3:19" x14ac:dyDescent="0.25">
      <c r="C232" s="121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</row>
    <row r="233" spans="3:19" x14ac:dyDescent="0.25">
      <c r="C233" s="121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</row>
    <row r="234" spans="3:19" x14ac:dyDescent="0.25">
      <c r="C234" s="121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</row>
    <row r="235" spans="3:19" x14ac:dyDescent="0.25">
      <c r="C235" s="121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</row>
    <row r="236" spans="3:19" x14ac:dyDescent="0.25">
      <c r="P236" s="121"/>
      <c r="Q236" s="121"/>
      <c r="R236" s="121"/>
      <c r="S236" s="121"/>
    </row>
  </sheetData>
  <printOptions horizontalCentered="1"/>
  <pageMargins left="0.75" right="0.75" top="0.53" bottom="0.51" header="0.5" footer="0.5"/>
  <pageSetup scale="59" orientation="landscape" r:id="rId1"/>
  <headerFooter alignWithMargins="0"/>
  <colBreaks count="1" manualBreakCount="1">
    <brk id="13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pageSetUpPr fitToPage="1"/>
  </sheetPr>
  <dimension ref="A1:V260"/>
  <sheetViews>
    <sheetView workbookViewId="0"/>
  </sheetViews>
  <sheetFormatPr defaultColWidth="9.33203125" defaultRowHeight="15.75" x14ac:dyDescent="0.25"/>
  <cols>
    <col min="1" max="1" width="9" style="89" customWidth="1"/>
    <col min="2" max="2" width="2.1640625" style="89" customWidth="1"/>
    <col min="3" max="3" width="44.6640625" style="89" customWidth="1"/>
    <col min="4" max="4" width="31.1640625" style="89" customWidth="1"/>
    <col min="5" max="5" width="26.33203125" style="89" customWidth="1"/>
    <col min="6" max="6" width="15" style="89" customWidth="1"/>
    <col min="7" max="7" width="20.6640625" style="89" customWidth="1"/>
    <col min="8" max="8" width="18.5" style="89" customWidth="1"/>
    <col min="9" max="9" width="8.6640625" style="89" customWidth="1"/>
    <col min="10" max="10" width="23" style="89" customWidth="1"/>
    <col min="11" max="11" width="12.1640625" style="89" customWidth="1"/>
    <col min="12" max="12" width="11.6640625" style="89" customWidth="1"/>
    <col min="13" max="13" width="2.83203125" style="89" customWidth="1"/>
    <col min="14" max="14" width="41" style="89" customWidth="1"/>
    <col min="15" max="15" width="48.83203125" style="89" customWidth="1"/>
    <col min="16" max="16" width="23.5" style="89" customWidth="1"/>
    <col min="17" max="17" width="20.5" style="89" customWidth="1"/>
    <col min="18" max="18" width="20.83203125" style="89" customWidth="1"/>
    <col min="19" max="19" width="23.6640625" style="89" bestFit="1" customWidth="1"/>
    <col min="20" max="20" width="22.1640625" style="89" bestFit="1" customWidth="1"/>
    <col min="21" max="21" width="23" style="89" bestFit="1" customWidth="1"/>
    <col min="22" max="22" width="19.83203125" style="89" customWidth="1"/>
    <col min="23" max="23" width="20.33203125" style="89" customWidth="1"/>
    <col min="24" max="24" width="23.5" style="89" bestFit="1" customWidth="1"/>
    <col min="25" max="25" width="21.6640625" style="89" bestFit="1" customWidth="1"/>
    <col min="26" max="26" width="16.1640625" style="89" customWidth="1"/>
    <col min="27" max="28" width="23.5" style="89" bestFit="1" customWidth="1"/>
    <col min="29" max="29" width="21.33203125" style="89" bestFit="1" customWidth="1"/>
    <col min="30" max="30" width="23.5" style="89" bestFit="1" customWidth="1"/>
    <col min="31" max="31" width="21.33203125" style="89" bestFit="1" customWidth="1"/>
    <col min="32" max="32" width="20.6640625" style="89" bestFit="1" customWidth="1"/>
    <col min="33" max="16384" width="9.33203125" style="89"/>
  </cols>
  <sheetData>
    <row r="1" spans="1:16" s="1" customFormat="1" x14ac:dyDescent="0.25">
      <c r="A1" s="190" t="s">
        <v>185</v>
      </c>
      <c r="B1" s="191"/>
      <c r="C1" s="192"/>
      <c r="D1" s="192"/>
      <c r="E1" s="192"/>
      <c r="F1" s="192"/>
      <c r="G1" s="192"/>
      <c r="H1" s="192"/>
      <c r="I1" s="192"/>
      <c r="J1" s="192"/>
      <c r="K1" s="192"/>
      <c r="L1" s="2"/>
      <c r="M1" s="179"/>
      <c r="N1" s="4"/>
      <c r="O1" s="4"/>
      <c r="P1" s="4"/>
    </row>
    <row r="2" spans="1:16" s="1" customFormat="1" x14ac:dyDescent="0.25">
      <c r="A2" s="190" t="s">
        <v>427</v>
      </c>
      <c r="B2" s="191"/>
      <c r="C2" s="192"/>
      <c r="D2" s="192"/>
      <c r="E2" s="192"/>
      <c r="F2" s="192"/>
      <c r="G2" s="192"/>
      <c r="H2" s="192"/>
      <c r="I2" s="192"/>
      <c r="J2" s="192"/>
      <c r="K2" s="192"/>
      <c r="L2" s="2"/>
      <c r="M2" s="188"/>
      <c r="N2" s="4"/>
      <c r="O2" s="4"/>
      <c r="P2" s="4"/>
    </row>
    <row r="3" spans="1:16" s="1" customFormat="1" x14ac:dyDescent="0.25">
      <c r="C3" s="6"/>
      <c r="D3" s="2"/>
      <c r="E3" s="3"/>
      <c r="F3" s="2"/>
      <c r="G3" s="2"/>
      <c r="H3" s="2"/>
      <c r="I3" s="4"/>
      <c r="J3" s="4"/>
      <c r="K3" s="4"/>
      <c r="L3" s="4"/>
      <c r="M3" s="4"/>
      <c r="N3" s="4"/>
      <c r="O3" s="4"/>
      <c r="P3" s="4"/>
    </row>
    <row r="4" spans="1:16" s="1" customFormat="1" x14ac:dyDescent="0.25">
      <c r="A4" s="1" t="s">
        <v>186</v>
      </c>
      <c r="C4" s="2"/>
      <c r="D4" s="2"/>
      <c r="E4" s="7"/>
      <c r="F4" s="2"/>
      <c r="G4" s="2"/>
      <c r="H4" s="2"/>
      <c r="I4" s="4"/>
      <c r="K4" s="206" t="str">
        <f>"For the 12 months ended "&amp;TEXT('OATT Input Data'!B4,"MM/DD/YYYY")</f>
        <v>For the 12 months ended 12/31/2015</v>
      </c>
      <c r="L4" s="4"/>
      <c r="M4" s="4"/>
      <c r="N4" s="4"/>
      <c r="O4" s="5"/>
      <c r="P4" s="4"/>
    </row>
    <row r="5" spans="1:16" s="1" customFormat="1" x14ac:dyDescent="0.25">
      <c r="A5" s="207" t="s">
        <v>187</v>
      </c>
      <c r="C5" s="2"/>
      <c r="D5" s="8"/>
      <c r="F5" s="8"/>
      <c r="G5" s="8"/>
      <c r="H5" s="8"/>
      <c r="I5" s="2"/>
      <c r="J5" s="2"/>
      <c r="K5" s="206" t="s">
        <v>125</v>
      </c>
      <c r="L5" s="192"/>
      <c r="M5" s="4"/>
      <c r="N5" s="4"/>
      <c r="O5" s="4"/>
      <c r="P5" s="4"/>
    </row>
    <row r="6" spans="1:16" s="1" customFormat="1" x14ac:dyDescent="0.25"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s="1" customFormat="1" x14ac:dyDescent="0.25">
      <c r="A7" s="209" t="s">
        <v>130</v>
      </c>
      <c r="B7" s="190"/>
      <c r="C7" s="210"/>
      <c r="D7" s="210"/>
      <c r="E7" s="190"/>
      <c r="F7" s="210"/>
      <c r="G7" s="210"/>
      <c r="H7" s="210"/>
      <c r="I7" s="210"/>
      <c r="J7" s="210"/>
      <c r="K7" s="210"/>
      <c r="L7" s="2"/>
      <c r="M7" s="4"/>
      <c r="N7" s="4"/>
      <c r="O7" s="4"/>
      <c r="P7" s="4"/>
    </row>
    <row r="8" spans="1:16" x14ac:dyDescent="0.25">
      <c r="A8" s="403" t="s">
        <v>389</v>
      </c>
      <c r="B8" s="404"/>
      <c r="C8" s="404"/>
      <c r="D8" s="404"/>
      <c r="E8" s="404"/>
      <c r="F8" s="405"/>
      <c r="G8" s="405"/>
      <c r="H8" s="405"/>
      <c r="I8" s="405"/>
      <c r="J8" s="405"/>
      <c r="K8" s="406"/>
      <c r="L8" s="146"/>
      <c r="M8" s="146"/>
      <c r="N8" s="106"/>
      <c r="O8" s="146"/>
      <c r="P8" s="155"/>
    </row>
    <row r="9" spans="1:16" x14ac:dyDescent="0.25">
      <c r="A9" s="84" t="s">
        <v>1</v>
      </c>
      <c r="C9" s="407"/>
      <c r="D9" s="106"/>
      <c r="E9" s="106"/>
      <c r="F9" s="106"/>
      <c r="G9" s="106"/>
      <c r="H9" s="106"/>
      <c r="I9" s="106"/>
      <c r="J9" s="106"/>
      <c r="K9" s="146"/>
      <c r="L9" s="146"/>
      <c r="M9" s="146"/>
      <c r="N9" s="106"/>
      <c r="O9" s="146"/>
      <c r="P9" s="155"/>
    </row>
    <row r="10" spans="1:16" ht="16.5" thickBot="1" x14ac:dyDescent="0.3">
      <c r="A10" s="408" t="s">
        <v>3</v>
      </c>
      <c r="C10" s="145" t="s">
        <v>204</v>
      </c>
      <c r="D10" s="106"/>
      <c r="E10" s="106"/>
      <c r="F10" s="106"/>
      <c r="G10" s="106"/>
      <c r="H10" s="106"/>
      <c r="K10" s="146"/>
      <c r="L10" s="146"/>
      <c r="M10" s="146"/>
      <c r="N10" s="106"/>
      <c r="O10" s="146"/>
      <c r="P10" s="155"/>
    </row>
    <row r="11" spans="1:16" x14ac:dyDescent="0.25">
      <c r="A11" s="84">
        <v>1</v>
      </c>
      <c r="C11" s="145" t="s">
        <v>205</v>
      </c>
      <c r="D11" s="106"/>
      <c r="E11" s="146"/>
      <c r="F11" s="146"/>
      <c r="G11" s="409" t="s">
        <v>331</v>
      </c>
      <c r="H11" s="146"/>
      <c r="I11" s="146"/>
      <c r="J11" s="410">
        <f>'NITS Pg 2 of 5'!E15</f>
        <v>1189651345</v>
      </c>
      <c r="K11" s="146"/>
      <c r="L11" s="146"/>
      <c r="M11" s="146"/>
      <c r="N11" s="106"/>
      <c r="O11" s="146"/>
      <c r="P11" s="155"/>
    </row>
    <row r="12" spans="1:16" x14ac:dyDescent="0.25">
      <c r="A12" s="84">
        <v>2</v>
      </c>
      <c r="C12" s="145" t="s">
        <v>207</v>
      </c>
      <c r="G12" s="121" t="s">
        <v>206</v>
      </c>
      <c r="J12" s="147">
        <f>ROUND('VA Transmission'!$G$60,0)</f>
        <v>52642796</v>
      </c>
      <c r="K12" s="146"/>
      <c r="L12" s="146"/>
      <c r="M12" s="146"/>
      <c r="N12" s="106"/>
      <c r="O12" s="146"/>
      <c r="P12" s="411"/>
    </row>
    <row r="13" spans="1:16" ht="18.75" thickBot="1" x14ac:dyDescent="0.45">
      <c r="A13" s="84">
        <v>3</v>
      </c>
      <c r="C13" s="195" t="s">
        <v>209</v>
      </c>
      <c r="D13" s="148"/>
      <c r="E13" s="149"/>
      <c r="F13" s="146"/>
      <c r="G13" s="412" t="s">
        <v>208</v>
      </c>
      <c r="H13" s="150"/>
      <c r="I13" s="146"/>
      <c r="J13" s="413">
        <v>0</v>
      </c>
      <c r="K13" s="146"/>
      <c r="L13" s="146"/>
      <c r="M13" s="146"/>
      <c r="N13" s="106"/>
      <c r="O13" s="146"/>
      <c r="P13" s="411"/>
    </row>
    <row r="14" spans="1:16" x14ac:dyDescent="0.25">
      <c r="A14" s="84">
        <v>4</v>
      </c>
      <c r="C14" s="145" t="s">
        <v>340</v>
      </c>
      <c r="D14" s="106"/>
      <c r="E14" s="146"/>
      <c r="F14" s="146"/>
      <c r="G14" s="414" t="s">
        <v>210</v>
      </c>
      <c r="H14" s="150"/>
      <c r="I14" s="146"/>
      <c r="J14" s="410">
        <f>ROUND(J11-J12-J13,0)</f>
        <v>1137008549</v>
      </c>
      <c r="K14" s="146"/>
      <c r="L14" s="146"/>
      <c r="M14" s="146"/>
      <c r="N14" s="106"/>
      <c r="O14" s="146"/>
      <c r="P14" s="155"/>
    </row>
    <row r="15" spans="1:16" x14ac:dyDescent="0.25">
      <c r="A15" s="84"/>
      <c r="D15" s="106"/>
      <c r="E15" s="146"/>
      <c r="F15" s="146"/>
      <c r="G15" s="146"/>
      <c r="H15" s="150"/>
      <c r="I15" s="146"/>
      <c r="J15" s="147"/>
      <c r="K15" s="146"/>
      <c r="L15" s="146"/>
      <c r="M15" s="146"/>
      <c r="N15" s="106"/>
    </row>
    <row r="16" spans="1:16" x14ac:dyDescent="0.25">
      <c r="A16" s="84">
        <v>5</v>
      </c>
      <c r="C16" s="145" t="s">
        <v>341</v>
      </c>
      <c r="D16" s="151"/>
      <c r="E16" s="152"/>
      <c r="F16" s="152"/>
      <c r="G16" s="415" t="s">
        <v>211</v>
      </c>
      <c r="H16" s="153"/>
      <c r="I16" s="146" t="s">
        <v>64</v>
      </c>
      <c r="J16" s="416">
        <f>IF(J11&gt;0,ROUND(J14/J11,5),0)</f>
        <v>0.95574999999999999</v>
      </c>
      <c r="K16" s="146"/>
      <c r="L16" s="146"/>
      <c r="M16" s="146"/>
      <c r="N16" s="106"/>
    </row>
    <row r="17" spans="1:22" x14ac:dyDescent="0.25">
      <c r="A17" s="84"/>
      <c r="J17" s="147"/>
      <c r="K17" s="146"/>
      <c r="L17" s="146"/>
      <c r="M17" s="146"/>
      <c r="N17" s="106"/>
      <c r="R17" s="154"/>
      <c r="S17" s="154"/>
      <c r="T17" s="154"/>
      <c r="U17" s="154"/>
      <c r="V17" s="154"/>
    </row>
    <row r="18" spans="1:22" x14ac:dyDescent="0.25">
      <c r="A18" s="84"/>
      <c r="C18" s="155" t="s">
        <v>65</v>
      </c>
      <c r="J18" s="147"/>
      <c r="K18" s="146"/>
      <c r="L18" s="146"/>
      <c r="M18" s="146"/>
      <c r="N18" s="106"/>
      <c r="R18" s="154"/>
      <c r="S18" s="154"/>
      <c r="T18" s="154"/>
      <c r="U18" s="154"/>
      <c r="V18" s="154"/>
    </row>
    <row r="19" spans="1:22" x14ac:dyDescent="0.25">
      <c r="A19" s="84">
        <v>6</v>
      </c>
      <c r="C19" s="167" t="s">
        <v>216</v>
      </c>
      <c r="E19" s="106"/>
      <c r="F19" s="106"/>
      <c r="G19" s="409" t="s">
        <v>332</v>
      </c>
      <c r="H19" s="156"/>
      <c r="I19" s="106"/>
      <c r="J19" s="410">
        <f>'NITS Pg 3 of 5'!E14</f>
        <v>46190354.789999999</v>
      </c>
      <c r="K19" s="146"/>
      <c r="L19" s="146"/>
      <c r="M19" s="146"/>
      <c r="N19" s="146"/>
      <c r="R19" s="157"/>
      <c r="S19" s="158"/>
      <c r="T19" s="154"/>
      <c r="U19" s="154"/>
      <c r="V19" s="154"/>
    </row>
    <row r="20" spans="1:22" ht="18.75" thickBot="1" x14ac:dyDescent="0.45">
      <c r="A20" s="84">
        <v>7</v>
      </c>
      <c r="C20" s="195" t="s">
        <v>215</v>
      </c>
      <c r="D20" s="148"/>
      <c r="E20" s="149"/>
      <c r="F20" s="157"/>
      <c r="G20" s="412" t="s">
        <v>212</v>
      </c>
      <c r="H20" s="146"/>
      <c r="I20" s="146"/>
      <c r="J20" s="417">
        <f>'Sch 1'!$D$21</f>
        <v>6274911</v>
      </c>
      <c r="K20" s="146"/>
      <c r="L20" s="146"/>
      <c r="M20" s="146"/>
      <c r="N20" s="157"/>
      <c r="R20" s="157"/>
      <c r="S20" s="158"/>
      <c r="T20" s="154"/>
      <c r="U20" s="154"/>
      <c r="V20" s="154"/>
    </row>
    <row r="21" spans="1:22" x14ac:dyDescent="0.25">
      <c r="A21" s="84">
        <v>8</v>
      </c>
      <c r="C21" s="145" t="s">
        <v>214</v>
      </c>
      <c r="D21" s="151"/>
      <c r="E21" s="152"/>
      <c r="F21" s="152"/>
      <c r="G21" s="409" t="s">
        <v>213</v>
      </c>
      <c r="H21" s="153"/>
      <c r="I21" s="152"/>
      <c r="J21" s="410">
        <f>ROUND(J19-J20,0)</f>
        <v>39915444</v>
      </c>
      <c r="M21" s="146"/>
      <c r="N21" s="146"/>
      <c r="S21" s="154"/>
      <c r="T21" s="154"/>
      <c r="U21" s="154"/>
      <c r="V21" s="154"/>
    </row>
    <row r="22" spans="1:22" x14ac:dyDescent="0.25">
      <c r="A22" s="84"/>
      <c r="C22" s="110"/>
      <c r="D22" s="106"/>
      <c r="E22" s="146"/>
      <c r="F22" s="146"/>
      <c r="G22" s="146"/>
      <c r="H22" s="146"/>
      <c r="M22" s="146"/>
      <c r="N22" s="146"/>
      <c r="S22" s="154"/>
      <c r="T22" s="154"/>
      <c r="U22" s="154"/>
      <c r="V22" s="154"/>
    </row>
    <row r="23" spans="1:22" x14ac:dyDescent="0.25">
      <c r="A23" s="84">
        <v>9</v>
      </c>
      <c r="C23" s="145" t="s">
        <v>220</v>
      </c>
      <c r="D23" s="106"/>
      <c r="E23" s="146"/>
      <c r="F23" s="146"/>
      <c r="G23" s="418" t="s">
        <v>217</v>
      </c>
      <c r="H23" s="146"/>
      <c r="I23" s="146"/>
      <c r="J23" s="419">
        <f>ROUND(J21/J19,5)</f>
        <v>0.86414999999999997</v>
      </c>
      <c r="M23" s="146"/>
      <c r="N23" s="146"/>
      <c r="S23" s="159"/>
      <c r="T23" s="154"/>
      <c r="U23" s="154"/>
      <c r="V23" s="154"/>
    </row>
    <row r="24" spans="1:22" x14ac:dyDescent="0.25">
      <c r="A24" s="84">
        <v>10</v>
      </c>
      <c r="C24" s="145" t="s">
        <v>341</v>
      </c>
      <c r="D24" s="106"/>
      <c r="E24" s="146"/>
      <c r="F24" s="146"/>
      <c r="G24" s="412" t="s">
        <v>218</v>
      </c>
      <c r="H24" s="146"/>
      <c r="I24" s="106" t="s">
        <v>9</v>
      </c>
      <c r="J24" s="420">
        <f>J16</f>
        <v>0.95574999999999999</v>
      </c>
      <c r="M24" s="146"/>
      <c r="N24" s="146"/>
      <c r="S24" s="159"/>
      <c r="T24" s="154"/>
      <c r="U24" s="154"/>
      <c r="V24" s="154"/>
    </row>
    <row r="25" spans="1:22" x14ac:dyDescent="0.25">
      <c r="A25" s="84">
        <v>11</v>
      </c>
      <c r="C25" s="145" t="s">
        <v>342</v>
      </c>
      <c r="D25" s="106"/>
      <c r="E25" s="106"/>
      <c r="F25" s="106"/>
      <c r="G25" s="412" t="s">
        <v>219</v>
      </c>
      <c r="H25" s="106"/>
      <c r="I25" s="106" t="s">
        <v>66</v>
      </c>
      <c r="J25" s="421">
        <f>ROUND(J24*J23,5)</f>
        <v>0.82591000000000003</v>
      </c>
      <c r="M25" s="146"/>
      <c r="N25" s="146"/>
      <c r="S25" s="159"/>
      <c r="T25" s="154"/>
      <c r="U25" s="154"/>
      <c r="V25" s="154"/>
    </row>
    <row r="26" spans="1:22" x14ac:dyDescent="0.25">
      <c r="A26" s="84"/>
      <c r="D26" s="106"/>
      <c r="E26" s="146"/>
      <c r="F26" s="146"/>
      <c r="G26" s="146"/>
      <c r="H26" s="150"/>
      <c r="I26" s="146"/>
      <c r="M26" s="146"/>
      <c r="N26" s="146"/>
      <c r="S26" s="160"/>
      <c r="T26" s="154"/>
      <c r="U26" s="154"/>
      <c r="V26" s="154"/>
    </row>
    <row r="27" spans="1:22" x14ac:dyDescent="0.25">
      <c r="A27" s="84" t="s">
        <v>0</v>
      </c>
      <c r="C27" s="194" t="s">
        <v>167</v>
      </c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S27" s="158"/>
      <c r="T27" s="154"/>
      <c r="U27" s="154"/>
      <c r="V27" s="154"/>
    </row>
    <row r="28" spans="1:22" x14ac:dyDescent="0.25">
      <c r="A28" s="84" t="s">
        <v>0</v>
      </c>
      <c r="C28" s="155"/>
      <c r="D28" s="422" t="s">
        <v>67</v>
      </c>
      <c r="E28" s="423" t="s">
        <v>230</v>
      </c>
      <c r="F28" s="423" t="s">
        <v>9</v>
      </c>
      <c r="G28" s="146"/>
      <c r="H28" s="423" t="s">
        <v>229</v>
      </c>
      <c r="I28" s="146"/>
      <c r="J28" s="146"/>
      <c r="K28" s="146"/>
      <c r="L28" s="146"/>
      <c r="M28" s="146"/>
      <c r="N28" s="146"/>
      <c r="S28" s="158"/>
      <c r="T28" s="154"/>
      <c r="U28" s="154"/>
      <c r="V28" s="154"/>
    </row>
    <row r="29" spans="1:22" x14ac:dyDescent="0.25">
      <c r="A29" s="84">
        <v>12</v>
      </c>
      <c r="C29" s="155" t="s">
        <v>31</v>
      </c>
      <c r="D29" s="409" t="s">
        <v>174</v>
      </c>
      <c r="E29" s="424">
        <f>'OATT Input Data'!$E$269</f>
        <v>79373567</v>
      </c>
      <c r="F29" s="425">
        <v>0</v>
      </c>
      <c r="G29" s="425"/>
      <c r="H29" s="426">
        <f>ROUND(E29*F29,0)</f>
        <v>0</v>
      </c>
      <c r="I29" s="146"/>
      <c r="J29" s="146"/>
      <c r="K29" s="146"/>
      <c r="L29" s="146"/>
      <c r="M29" s="146"/>
      <c r="N29" s="165"/>
      <c r="S29" s="154"/>
      <c r="T29" s="154"/>
      <c r="U29" s="154"/>
      <c r="V29" s="154"/>
    </row>
    <row r="30" spans="1:22" x14ac:dyDescent="0.25">
      <c r="A30" s="84">
        <v>13</v>
      </c>
      <c r="C30" s="155" t="s">
        <v>33</v>
      </c>
      <c r="D30" s="409" t="s">
        <v>221</v>
      </c>
      <c r="E30" s="161">
        <f>'OATT Input Data'!$E$270</f>
        <v>9196900</v>
      </c>
      <c r="F30" s="419">
        <f>+J16</f>
        <v>0.95574999999999999</v>
      </c>
      <c r="G30" s="425"/>
      <c r="H30" s="161">
        <f t="shared" ref="H30:H32" si="0">ROUND(E30*F30,0)</f>
        <v>8789937</v>
      </c>
      <c r="I30" s="146"/>
      <c r="J30" s="146"/>
      <c r="K30" s="146"/>
      <c r="L30" s="146"/>
      <c r="M30" s="106"/>
      <c r="N30" s="427"/>
    </row>
    <row r="31" spans="1:22" x14ac:dyDescent="0.25">
      <c r="A31" s="84">
        <v>14</v>
      </c>
      <c r="C31" s="155" t="s">
        <v>34</v>
      </c>
      <c r="D31" s="409" t="s">
        <v>222</v>
      </c>
      <c r="E31" s="161">
        <f>'OATT Input Data'!$E$271</f>
        <v>26803734</v>
      </c>
      <c r="F31" s="425">
        <v>0</v>
      </c>
      <c r="G31" s="425"/>
      <c r="H31" s="428">
        <f t="shared" si="0"/>
        <v>0</v>
      </c>
      <c r="I31" s="146"/>
      <c r="J31" s="429" t="s">
        <v>68</v>
      </c>
      <c r="K31" s="146"/>
      <c r="L31" s="146"/>
      <c r="M31" s="146"/>
      <c r="N31" s="427"/>
    </row>
    <row r="32" spans="1:22" ht="22.5" customHeight="1" x14ac:dyDescent="0.4">
      <c r="A32" s="84">
        <v>15</v>
      </c>
      <c r="C32" s="155" t="s">
        <v>69</v>
      </c>
      <c r="D32" s="409" t="s">
        <v>865</v>
      </c>
      <c r="E32" s="430">
        <f>'OATT Input Data'!$E$276</f>
        <v>18031188</v>
      </c>
      <c r="F32" s="425">
        <v>0</v>
      </c>
      <c r="G32" s="425"/>
      <c r="H32" s="413">
        <f t="shared" si="0"/>
        <v>0</v>
      </c>
      <c r="I32" s="146"/>
      <c r="J32" s="431" t="s">
        <v>393</v>
      </c>
      <c r="K32" s="146"/>
      <c r="L32" s="146"/>
      <c r="M32" s="146"/>
      <c r="N32" s="427"/>
    </row>
    <row r="33" spans="1:22" x14ac:dyDescent="0.25">
      <c r="A33" s="84">
        <v>16</v>
      </c>
      <c r="C33" s="194" t="s">
        <v>223</v>
      </c>
      <c r="D33" s="414" t="s">
        <v>224</v>
      </c>
      <c r="E33" s="424">
        <f>ROUND(SUM(E29:E32),0)</f>
        <v>133405389</v>
      </c>
      <c r="F33" s="146"/>
      <c r="G33" s="146"/>
      <c r="H33" s="424">
        <f>ROUND(SUM(H29:H32),0)</f>
        <v>8789937</v>
      </c>
      <c r="I33" s="156" t="s">
        <v>70</v>
      </c>
      <c r="J33" s="419">
        <f>IF(H33&gt;0,ROUND(H33/E33,5),0)</f>
        <v>6.5890000000000004E-2</v>
      </c>
      <c r="K33" s="551" t="s">
        <v>323</v>
      </c>
      <c r="L33" s="146"/>
      <c r="M33" s="146"/>
      <c r="N33" s="146"/>
      <c r="O33" s="146"/>
      <c r="P33" s="155"/>
    </row>
    <row r="34" spans="1:22" x14ac:dyDescent="0.25">
      <c r="A34" s="84"/>
      <c r="C34" s="155"/>
      <c r="D34" s="414"/>
      <c r="E34" s="161"/>
      <c r="F34" s="146"/>
      <c r="G34" s="146"/>
      <c r="H34" s="146"/>
      <c r="I34" s="146"/>
      <c r="J34" s="146"/>
      <c r="K34" s="146"/>
      <c r="L34" s="146"/>
      <c r="M34" s="146" t="s">
        <v>0</v>
      </c>
      <c r="N34" s="146"/>
      <c r="O34" s="146"/>
      <c r="P34" s="155"/>
    </row>
    <row r="35" spans="1:22" x14ac:dyDescent="0.25">
      <c r="A35" s="84"/>
      <c r="C35" s="194" t="s">
        <v>225</v>
      </c>
      <c r="D35" s="414" t="s">
        <v>226</v>
      </c>
      <c r="E35" s="161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55"/>
    </row>
    <row r="36" spans="1:22" x14ac:dyDescent="0.25">
      <c r="A36" s="84"/>
      <c r="C36" s="155"/>
      <c r="D36" s="414"/>
      <c r="E36" s="432" t="s">
        <v>231</v>
      </c>
      <c r="F36" s="146"/>
      <c r="G36" s="146"/>
      <c r="H36" s="150"/>
      <c r="I36" s="433" t="s">
        <v>0</v>
      </c>
      <c r="J36" s="434"/>
      <c r="M36" s="146"/>
      <c r="N36" s="146"/>
      <c r="O36" s="146"/>
      <c r="P36" s="157"/>
      <c r="Q36" s="162"/>
    </row>
    <row r="37" spans="1:22" x14ac:dyDescent="0.25">
      <c r="A37" s="84">
        <v>17</v>
      </c>
      <c r="C37" s="155" t="s">
        <v>71</v>
      </c>
      <c r="D37" s="414" t="s">
        <v>72</v>
      </c>
      <c r="E37" s="424">
        <f>ROUND('OATT Input Data'!E281,0)</f>
        <v>10981269334</v>
      </c>
      <c r="F37" s="146"/>
      <c r="H37" s="435"/>
      <c r="I37" s="436"/>
      <c r="J37" s="84"/>
      <c r="K37" s="146"/>
      <c r="L37" s="156"/>
      <c r="M37" s="146"/>
      <c r="N37" s="146"/>
      <c r="O37" s="146"/>
      <c r="P37" s="146"/>
      <c r="Q37" s="146"/>
      <c r="R37" s="163"/>
      <c r="S37" s="161"/>
      <c r="T37" s="163"/>
      <c r="U37" s="163"/>
    </row>
    <row r="38" spans="1:22" x14ac:dyDescent="0.25">
      <c r="A38" s="84">
        <v>18</v>
      </c>
      <c r="C38" s="155" t="s">
        <v>73</v>
      </c>
      <c r="D38" s="414" t="s">
        <v>74</v>
      </c>
      <c r="E38" s="161">
        <f>ROUND('OATT Input Data'!E282,0)</f>
        <v>966619554</v>
      </c>
      <c r="F38" s="146"/>
      <c r="I38" s="150"/>
      <c r="K38" s="433"/>
      <c r="M38" s="146"/>
      <c r="N38" s="146"/>
      <c r="O38" s="146"/>
      <c r="P38" s="155"/>
      <c r="Q38" s="146"/>
      <c r="R38" s="161"/>
      <c r="S38" s="161"/>
      <c r="T38" s="163"/>
      <c r="U38" s="163"/>
    </row>
    <row r="39" spans="1:22" ht="18" x14ac:dyDescent="0.4">
      <c r="A39" s="84">
        <v>19</v>
      </c>
      <c r="C39" s="158" t="s">
        <v>75</v>
      </c>
      <c r="D39" s="437" t="s">
        <v>76</v>
      </c>
      <c r="E39" s="413">
        <f>ROUND('OATT Input Data'!E283,0)</f>
        <v>0</v>
      </c>
      <c r="F39" s="146"/>
      <c r="G39" s="146"/>
      <c r="H39" s="146" t="s">
        <v>0</v>
      </c>
      <c r="I39" s="146"/>
      <c r="J39" s="146"/>
      <c r="K39" s="146"/>
      <c r="L39" s="146"/>
      <c r="M39" s="146"/>
      <c r="N39" s="146"/>
      <c r="O39" s="146"/>
      <c r="P39" s="155"/>
      <c r="R39" s="161"/>
      <c r="S39" s="161"/>
      <c r="T39" s="161"/>
      <c r="U39" s="161"/>
    </row>
    <row r="40" spans="1:22" x14ac:dyDescent="0.25">
      <c r="A40" s="84">
        <v>20</v>
      </c>
      <c r="C40" s="194" t="s">
        <v>228</v>
      </c>
      <c r="D40" s="414" t="s">
        <v>227</v>
      </c>
      <c r="E40" s="424">
        <f>ROUND(SUM(E37:E39),0)</f>
        <v>11947888888</v>
      </c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55"/>
      <c r="R40" s="161"/>
      <c r="S40" s="161"/>
      <c r="T40" s="161"/>
      <c r="U40" s="161"/>
    </row>
    <row r="41" spans="1:22" x14ac:dyDescent="0.25">
      <c r="A41" s="84">
        <v>21</v>
      </c>
      <c r="C41" s="438" t="s">
        <v>313</v>
      </c>
      <c r="D41" s="414" t="s">
        <v>314</v>
      </c>
      <c r="F41" s="439">
        <f>IF(E40&gt;0,ROUND(E37/E40,5),0)</f>
        <v>0.91910000000000003</v>
      </c>
      <c r="G41" s="440" t="s">
        <v>324</v>
      </c>
      <c r="H41" s="439">
        <f>J33</f>
        <v>6.5890000000000004E-2</v>
      </c>
      <c r="I41" s="146"/>
      <c r="J41" s="439">
        <f>ROUND(H41*F41,5)</f>
        <v>6.0560000000000003E-2</v>
      </c>
      <c r="K41" s="441" t="s">
        <v>315</v>
      </c>
      <c r="L41" s="146"/>
      <c r="M41" s="146"/>
      <c r="N41" s="146"/>
      <c r="O41" s="146"/>
      <c r="P41" s="155"/>
      <c r="R41" s="161"/>
      <c r="S41" s="161"/>
      <c r="T41" s="161"/>
      <c r="U41" s="161"/>
    </row>
    <row r="42" spans="1:22" x14ac:dyDescent="0.25">
      <c r="A42" s="84"/>
      <c r="C42" s="438"/>
      <c r="D42" s="414"/>
      <c r="F42" s="439"/>
      <c r="G42" s="442"/>
      <c r="H42" s="439"/>
      <c r="I42" s="146"/>
      <c r="J42" s="439"/>
      <c r="K42" s="441"/>
      <c r="L42" s="146"/>
      <c r="M42" s="146"/>
      <c r="N42" s="146"/>
      <c r="O42" s="146"/>
      <c r="P42" s="155"/>
      <c r="R42" s="161"/>
      <c r="S42" s="161"/>
      <c r="T42" s="161"/>
      <c r="U42" s="161"/>
    </row>
    <row r="43" spans="1:22" x14ac:dyDescent="0.25">
      <c r="A43" s="84"/>
      <c r="B43" s="110"/>
      <c r="C43" s="145" t="s">
        <v>316</v>
      </c>
      <c r="D43" s="146"/>
      <c r="E43" s="443" t="s">
        <v>232</v>
      </c>
      <c r="F43" s="146"/>
      <c r="G43" s="146"/>
      <c r="H43" s="146"/>
      <c r="I43" s="146"/>
      <c r="K43" s="146"/>
      <c r="L43" s="146"/>
      <c r="M43" s="146"/>
      <c r="N43" s="146"/>
      <c r="O43" s="146"/>
      <c r="P43" s="156"/>
      <c r="Q43" s="164"/>
      <c r="R43" s="161"/>
      <c r="S43" s="161"/>
      <c r="T43" s="161"/>
      <c r="U43" s="161"/>
    </row>
    <row r="44" spans="1:22" x14ac:dyDescent="0.25">
      <c r="A44" s="84">
        <v>22</v>
      </c>
      <c r="B44" s="110"/>
      <c r="C44" s="444" t="s">
        <v>77</v>
      </c>
      <c r="D44" s="409" t="s">
        <v>343</v>
      </c>
      <c r="E44" s="424">
        <f>'OATT Input Data'!$E$298</f>
        <v>133811886</v>
      </c>
      <c r="F44" s="146"/>
      <c r="H44" s="146"/>
      <c r="I44" s="146"/>
      <c r="K44" s="146"/>
      <c r="L44" s="146"/>
      <c r="M44" s="146"/>
      <c r="N44" s="146"/>
      <c r="O44" s="165"/>
      <c r="P44" s="146"/>
      <c r="Q44" s="146"/>
      <c r="R44" s="163"/>
      <c r="S44" s="163"/>
      <c r="T44" s="163"/>
      <c r="U44" s="163"/>
    </row>
    <row r="45" spans="1:22" x14ac:dyDescent="0.25">
      <c r="A45" s="84">
        <v>23</v>
      </c>
      <c r="B45" s="110"/>
      <c r="C45" s="444" t="s">
        <v>126</v>
      </c>
      <c r="D45" s="409" t="s">
        <v>233</v>
      </c>
      <c r="E45" s="428">
        <v>0</v>
      </c>
      <c r="F45" s="146"/>
      <c r="H45" s="146"/>
      <c r="I45" s="146"/>
      <c r="K45" s="146"/>
      <c r="L45" s="146"/>
      <c r="M45" s="146"/>
      <c r="N45" s="146"/>
      <c r="O45" s="146"/>
      <c r="P45" s="166"/>
      <c r="Q45" s="166"/>
      <c r="R45" s="161"/>
      <c r="S45" s="161"/>
      <c r="T45" s="161"/>
      <c r="U45" s="161"/>
    </row>
    <row r="46" spans="1:22" x14ac:dyDescent="0.25">
      <c r="A46" s="84"/>
      <c r="B46" s="110"/>
      <c r="C46" s="145" t="s">
        <v>129</v>
      </c>
      <c r="D46" s="146"/>
      <c r="E46" s="146"/>
      <c r="F46" s="146"/>
      <c r="G46" s="146"/>
      <c r="H46" s="146"/>
      <c r="I46" s="146"/>
      <c r="K46" s="146"/>
      <c r="L46" s="146"/>
      <c r="M46" s="146"/>
      <c r="N46" s="146"/>
      <c r="O46" s="146"/>
      <c r="P46" s="166"/>
      <c r="Q46" s="166"/>
      <c r="R46" s="163"/>
      <c r="S46" s="163"/>
      <c r="T46" s="163"/>
      <c r="U46" s="163"/>
      <c r="V46" s="167"/>
    </row>
    <row r="47" spans="1:22" x14ac:dyDescent="0.25">
      <c r="A47" s="84">
        <v>24</v>
      </c>
      <c r="B47" s="110"/>
      <c r="C47" s="444" t="s">
        <v>78</v>
      </c>
      <c r="D47" s="409" t="s">
        <v>344</v>
      </c>
      <c r="E47" s="424">
        <f>'OATT Input Data'!$E$314</f>
        <v>4619623241</v>
      </c>
      <c r="F47" s="146"/>
      <c r="H47" s="146"/>
      <c r="I47" s="146"/>
      <c r="K47" s="146"/>
      <c r="L47" s="146"/>
      <c r="M47" s="146"/>
      <c r="N47" s="146"/>
      <c r="O47" s="146"/>
      <c r="P47" s="146"/>
      <c r="Q47" s="146"/>
      <c r="R47" s="163"/>
      <c r="S47" s="163"/>
      <c r="T47" s="163"/>
      <c r="U47" s="163"/>
      <c r="V47" s="167"/>
    </row>
    <row r="48" spans="1:22" x14ac:dyDescent="0.25">
      <c r="A48" s="84">
        <v>25</v>
      </c>
      <c r="B48" s="110"/>
      <c r="C48" s="444" t="s">
        <v>318</v>
      </c>
      <c r="D48" s="409" t="s">
        <v>345</v>
      </c>
      <c r="E48" s="445">
        <f>-E54</f>
        <v>0</v>
      </c>
      <c r="F48" s="146"/>
      <c r="H48" s="146"/>
      <c r="I48" s="146"/>
      <c r="K48" s="146"/>
      <c r="L48" s="146"/>
      <c r="M48" s="146"/>
      <c r="N48" s="146"/>
      <c r="O48" s="146"/>
      <c r="P48" s="168"/>
      <c r="Q48" s="150"/>
      <c r="R48" s="163"/>
      <c r="S48" s="163"/>
      <c r="T48" s="163"/>
      <c r="U48" s="163"/>
    </row>
    <row r="49" spans="1:21" ht="33.75" x14ac:dyDescent="0.4">
      <c r="A49" s="84">
        <v>26</v>
      </c>
      <c r="B49" s="110"/>
      <c r="C49" s="205" t="s">
        <v>234</v>
      </c>
      <c r="D49" s="414" t="s">
        <v>235</v>
      </c>
      <c r="E49" s="417">
        <f>'OATT Input Data'!$E$325</f>
        <v>-1627215</v>
      </c>
      <c r="F49" s="146"/>
      <c r="H49" s="146"/>
      <c r="I49" s="146"/>
      <c r="K49" s="146"/>
      <c r="L49" s="146"/>
      <c r="M49" s="146"/>
      <c r="N49" s="146"/>
      <c r="O49" s="146"/>
      <c r="P49" s="156"/>
      <c r="Q49" s="164"/>
      <c r="R49" s="163"/>
      <c r="S49" s="163"/>
      <c r="T49" s="163"/>
      <c r="U49" s="163"/>
    </row>
    <row r="50" spans="1:21" x14ac:dyDescent="0.25">
      <c r="A50" s="84">
        <v>27</v>
      </c>
      <c r="B50" s="110"/>
      <c r="C50" s="446" t="s">
        <v>346</v>
      </c>
      <c r="D50" s="447" t="s">
        <v>325</v>
      </c>
      <c r="E50" s="424">
        <f>ROUND(SUM(E47:E49),0)</f>
        <v>4617996026</v>
      </c>
      <c r="F50" s="110"/>
      <c r="H50" s="448"/>
      <c r="I50" s="110"/>
      <c r="K50" s="146"/>
      <c r="L50" s="146"/>
      <c r="M50" s="146"/>
      <c r="N50" s="146"/>
      <c r="O50" s="146"/>
      <c r="P50" s="146"/>
      <c r="Q50" s="146"/>
      <c r="R50" s="163"/>
      <c r="S50" s="163"/>
      <c r="T50" s="161"/>
      <c r="U50" s="161"/>
    </row>
    <row r="51" spans="1:21" x14ac:dyDescent="0.25">
      <c r="A51" s="84"/>
      <c r="B51" s="110"/>
      <c r="C51" s="110"/>
      <c r="D51" s="146"/>
      <c r="E51" s="110"/>
      <c r="F51" s="110"/>
      <c r="G51" s="449"/>
      <c r="H51" s="84" t="s">
        <v>237</v>
      </c>
      <c r="I51" s="110"/>
      <c r="J51" s="424"/>
      <c r="K51" s="146"/>
      <c r="L51" s="146"/>
      <c r="M51" s="146"/>
      <c r="N51" s="146"/>
      <c r="O51" s="146"/>
      <c r="P51" s="146"/>
      <c r="Q51" s="146"/>
      <c r="R51" s="163"/>
      <c r="S51" s="163"/>
      <c r="T51" s="161"/>
      <c r="U51" s="161"/>
    </row>
    <row r="52" spans="1:21" x14ac:dyDescent="0.25">
      <c r="A52" s="84"/>
      <c r="C52" s="155" t="s">
        <v>347</v>
      </c>
      <c r="D52" s="146"/>
      <c r="E52" s="450" t="s">
        <v>327</v>
      </c>
      <c r="F52" s="451" t="s">
        <v>79</v>
      </c>
      <c r="G52" s="146"/>
      <c r="H52" s="450" t="s">
        <v>138</v>
      </c>
      <c r="I52" s="146"/>
      <c r="J52" s="451" t="s">
        <v>80</v>
      </c>
      <c r="K52" s="146"/>
      <c r="L52" s="146"/>
      <c r="M52" s="146"/>
      <c r="N52" s="146"/>
      <c r="O52" s="146"/>
      <c r="P52" s="156"/>
      <c r="Q52" s="164"/>
      <c r="R52" s="161"/>
      <c r="S52" s="161"/>
      <c r="T52" s="161"/>
      <c r="U52" s="161"/>
    </row>
    <row r="53" spans="1:21" x14ac:dyDescent="0.25">
      <c r="A53" s="84">
        <v>28</v>
      </c>
      <c r="C53" s="145" t="s">
        <v>282</v>
      </c>
      <c r="D53" s="412" t="s">
        <v>402</v>
      </c>
      <c r="E53" s="424">
        <f>'OATT Input Data'!$E$333</f>
        <v>3995860070</v>
      </c>
      <c r="F53" s="452">
        <f>ROUND(E53/E56,4)</f>
        <v>0.46389999999999998</v>
      </c>
      <c r="G53" s="453"/>
      <c r="H53" s="453">
        <f>IF(E53&gt;0.01,ROUND(E44/E53,4),0)</f>
        <v>3.3500000000000002E-2</v>
      </c>
      <c r="J53" s="454">
        <f>ROUND(F53*H53,4)</f>
        <v>1.55E-2</v>
      </c>
      <c r="K53" s="551" t="s">
        <v>326</v>
      </c>
      <c r="M53" s="146"/>
      <c r="N53" s="146"/>
      <c r="O53" s="146"/>
      <c r="P53" s="156"/>
      <c r="Q53" s="164"/>
      <c r="R53" s="161"/>
      <c r="S53" s="161"/>
      <c r="T53" s="161"/>
      <c r="U53" s="161"/>
    </row>
    <row r="54" spans="1:21" x14ac:dyDescent="0.25">
      <c r="A54" s="84">
        <v>29</v>
      </c>
      <c r="C54" s="145" t="s">
        <v>283</v>
      </c>
      <c r="D54" s="121" t="s">
        <v>236</v>
      </c>
      <c r="E54" s="428">
        <v>0</v>
      </c>
      <c r="F54" s="452">
        <f>ROUND(E54/E56,4)+0.000001</f>
        <v>9.9999999999999995E-7</v>
      </c>
      <c r="G54" s="453"/>
      <c r="H54" s="453">
        <f>IF(E54&gt;0.01,E45/E54,0.00001)</f>
        <v>1.0000000000000001E-5</v>
      </c>
      <c r="J54" s="454">
        <f>F54*H54</f>
        <v>1.0000000000000001E-11</v>
      </c>
      <c r="K54" s="146"/>
      <c r="M54" s="146"/>
      <c r="N54" s="146"/>
      <c r="O54" s="146"/>
      <c r="P54" s="156"/>
      <c r="Q54" s="164"/>
      <c r="R54" s="161"/>
      <c r="S54" s="161"/>
      <c r="T54" s="161"/>
      <c r="U54" s="161"/>
    </row>
    <row r="55" spans="1:21" x14ac:dyDescent="0.25">
      <c r="A55" s="84">
        <v>30</v>
      </c>
      <c r="C55" s="145" t="s">
        <v>284</v>
      </c>
      <c r="D55" s="412" t="s">
        <v>348</v>
      </c>
      <c r="E55" s="455">
        <f>E50</f>
        <v>4617996026</v>
      </c>
      <c r="F55" s="452">
        <f>ROUND(E55/E56,4)</f>
        <v>0.53610000000000002</v>
      </c>
      <c r="G55" s="453"/>
      <c r="H55" s="453">
        <v>0.10879999999999999</v>
      </c>
      <c r="J55" s="456">
        <f t="shared" ref="J55" si="1">ROUND(F55*H55,4)</f>
        <v>5.8299999999999998E-2</v>
      </c>
      <c r="K55" s="146"/>
      <c r="M55" s="146"/>
      <c r="N55" s="146"/>
      <c r="O55" s="165"/>
      <c r="P55" s="166"/>
      <c r="Q55" s="166"/>
      <c r="R55" s="161"/>
      <c r="S55" s="161"/>
      <c r="T55" s="161"/>
      <c r="U55" s="161"/>
    </row>
    <row r="56" spans="1:21" x14ac:dyDescent="0.25">
      <c r="A56" s="84">
        <v>31</v>
      </c>
      <c r="C56" s="194" t="s">
        <v>285</v>
      </c>
      <c r="D56" s="412" t="s">
        <v>328</v>
      </c>
      <c r="E56" s="424">
        <f>ROUND(SUM(E53:E55),0)</f>
        <v>8613856096</v>
      </c>
      <c r="F56" s="146" t="s">
        <v>0</v>
      </c>
      <c r="G56" s="146"/>
      <c r="H56" s="146"/>
      <c r="I56" s="146"/>
      <c r="J56" s="454">
        <f>SUM(J53:J55)</f>
        <v>7.3800000010000005E-2</v>
      </c>
      <c r="K56" s="551" t="s">
        <v>317</v>
      </c>
      <c r="M56" s="146"/>
      <c r="N56" s="146"/>
      <c r="O56" s="165"/>
      <c r="P56" s="166"/>
      <c r="Q56" s="166"/>
      <c r="R56" s="161"/>
      <c r="S56" s="161"/>
      <c r="T56" s="161"/>
      <c r="U56" s="161"/>
    </row>
    <row r="57" spans="1:21" x14ac:dyDescent="0.25">
      <c r="A57" s="84"/>
      <c r="L57" s="146"/>
      <c r="M57" s="146"/>
      <c r="N57" s="146"/>
      <c r="O57" s="165"/>
      <c r="P57" s="146"/>
      <c r="Q57" s="146"/>
      <c r="R57" s="163"/>
      <c r="S57" s="161"/>
      <c r="T57" s="163"/>
      <c r="U57" s="163"/>
    </row>
    <row r="58" spans="1:21" x14ac:dyDescent="0.25">
      <c r="A58" s="84"/>
      <c r="C58" s="457" t="s">
        <v>81</v>
      </c>
      <c r="D58" s="110"/>
      <c r="E58" s="110"/>
      <c r="F58" s="110"/>
      <c r="G58" s="110"/>
      <c r="H58" s="110"/>
      <c r="I58" s="110"/>
      <c r="J58" s="110"/>
      <c r="K58" s="110"/>
      <c r="L58" s="110"/>
      <c r="M58" s="146"/>
      <c r="N58" s="150"/>
      <c r="P58" s="166"/>
      <c r="Q58" s="169"/>
    </row>
    <row r="59" spans="1:21" x14ac:dyDescent="0.25">
      <c r="A59" s="84"/>
      <c r="C59" s="457" t="s">
        <v>83</v>
      </c>
      <c r="D59" s="110"/>
      <c r="G59" s="110"/>
      <c r="I59" s="449"/>
      <c r="J59" s="451" t="s">
        <v>82</v>
      </c>
      <c r="K59" s="1"/>
      <c r="O59" s="146"/>
      <c r="P59" s="168"/>
      <c r="Q59" s="150"/>
    </row>
    <row r="60" spans="1:21" x14ac:dyDescent="0.25">
      <c r="A60" s="84">
        <v>32</v>
      </c>
      <c r="C60" s="167" t="s">
        <v>403</v>
      </c>
      <c r="D60" s="110"/>
      <c r="F60" s="447" t="s">
        <v>319</v>
      </c>
      <c r="G60" s="110"/>
      <c r="J60" s="458">
        <v>0</v>
      </c>
      <c r="K60" s="552"/>
      <c r="O60" s="146"/>
      <c r="P60" s="155"/>
    </row>
    <row r="61" spans="1:21" ht="18" x14ac:dyDescent="0.4">
      <c r="A61" s="84">
        <v>33</v>
      </c>
      <c r="C61" s="459" t="s">
        <v>404</v>
      </c>
      <c r="D61" s="460"/>
      <c r="E61" s="461"/>
      <c r="F61" s="447" t="s">
        <v>330</v>
      </c>
      <c r="G61" s="462"/>
      <c r="I61" s="110"/>
      <c r="J61" s="463">
        <f>+J60</f>
        <v>0</v>
      </c>
      <c r="K61" s="553"/>
      <c r="O61" s="146"/>
      <c r="P61" s="155"/>
    </row>
    <row r="62" spans="1:21" x14ac:dyDescent="0.25">
      <c r="A62" s="84">
        <v>34</v>
      </c>
      <c r="C62" s="167" t="s">
        <v>405</v>
      </c>
      <c r="D62" s="106"/>
      <c r="F62" s="464" t="s">
        <v>329</v>
      </c>
      <c r="G62" s="462"/>
      <c r="I62" s="110"/>
      <c r="J62" s="465">
        <f>+J60-J61</f>
        <v>0</v>
      </c>
      <c r="K62" s="552"/>
      <c r="O62" s="146"/>
      <c r="P62" s="155"/>
    </row>
    <row r="63" spans="1:21" x14ac:dyDescent="0.25">
      <c r="A63" s="84"/>
      <c r="C63" s="167" t="s">
        <v>0</v>
      </c>
      <c r="D63" s="106"/>
      <c r="F63" s="110"/>
      <c r="G63" s="110"/>
      <c r="H63" s="466"/>
      <c r="I63" s="110"/>
      <c r="J63" s="58" t="s">
        <v>0</v>
      </c>
      <c r="K63" s="1"/>
      <c r="L63" s="170"/>
      <c r="M63" s="146"/>
      <c r="N63" s="150"/>
      <c r="O63" s="146"/>
      <c r="P63" s="155"/>
    </row>
    <row r="64" spans="1:21" x14ac:dyDescent="0.25">
      <c r="A64" s="84">
        <v>35</v>
      </c>
      <c r="C64" s="145" t="s">
        <v>241</v>
      </c>
      <c r="D64" s="106"/>
      <c r="F64" s="447" t="s">
        <v>239</v>
      </c>
      <c r="G64" s="110"/>
      <c r="H64" s="467"/>
      <c r="I64" s="110"/>
      <c r="J64" s="468">
        <v>0</v>
      </c>
      <c r="K64" s="1"/>
      <c r="L64" s="170"/>
      <c r="M64" s="146"/>
      <c r="N64" s="150"/>
      <c r="O64" s="146"/>
      <c r="P64" s="155"/>
    </row>
    <row r="65" spans="1:19" x14ac:dyDescent="0.25">
      <c r="C65" s="145" t="s">
        <v>240</v>
      </c>
      <c r="D65" s="110"/>
      <c r="E65" s="449" t="s">
        <v>84</v>
      </c>
      <c r="F65" s="447" t="s">
        <v>406</v>
      </c>
      <c r="G65" s="110"/>
      <c r="H65" s="110"/>
      <c r="I65" s="110"/>
      <c r="L65" s="171"/>
      <c r="M65" s="146"/>
      <c r="N65" s="150"/>
      <c r="O65" s="106"/>
      <c r="P65" s="150"/>
    </row>
    <row r="66" spans="1:19" x14ac:dyDescent="0.25">
      <c r="A66" s="84">
        <v>36</v>
      </c>
      <c r="C66" s="457" t="s">
        <v>85</v>
      </c>
      <c r="D66" s="146"/>
      <c r="E66" s="146"/>
      <c r="F66" s="146"/>
      <c r="G66" s="146"/>
      <c r="H66" s="146"/>
      <c r="I66" s="146"/>
      <c r="J66" s="469">
        <f>'OATT Input Data'!$E$341</f>
        <v>27354398</v>
      </c>
      <c r="K66" s="8"/>
      <c r="L66" s="171"/>
      <c r="M66" s="146"/>
      <c r="N66" s="150"/>
      <c r="O66" s="106"/>
      <c r="P66" s="470"/>
      <c r="Q66" s="470"/>
    </row>
    <row r="67" spans="1:19" ht="18" x14ac:dyDescent="0.4">
      <c r="A67" s="84">
        <v>37</v>
      </c>
      <c r="C67" s="471" t="s">
        <v>86</v>
      </c>
      <c r="D67" s="472"/>
      <c r="E67" s="472"/>
      <c r="F67" s="462"/>
      <c r="G67" s="462"/>
      <c r="H67" s="110"/>
      <c r="I67" s="110"/>
      <c r="J67" s="473">
        <f>'OATT Input Data'!$E$451</f>
        <v>25213757</v>
      </c>
      <c r="L67" s="172"/>
      <c r="M67" s="110"/>
      <c r="N67" s="84"/>
      <c r="O67" s="106"/>
      <c r="P67" s="474"/>
    </row>
    <row r="68" spans="1:19" x14ac:dyDescent="0.25">
      <c r="A68" s="84">
        <v>38</v>
      </c>
      <c r="C68" s="167" t="s">
        <v>238</v>
      </c>
      <c r="D68" s="84"/>
      <c r="E68" s="146"/>
      <c r="F68" s="464" t="s">
        <v>349</v>
      </c>
      <c r="G68" s="146"/>
      <c r="H68" s="146"/>
      <c r="I68" s="110"/>
      <c r="J68" s="128">
        <f>+J66-J67</f>
        <v>2140641</v>
      </c>
      <c r="K68" s="8"/>
      <c r="L68" s="8"/>
      <c r="M68" s="110"/>
      <c r="N68" s="84"/>
      <c r="O68" s="106"/>
      <c r="P68" s="474"/>
    </row>
    <row r="69" spans="1:19" x14ac:dyDescent="0.25">
      <c r="C69" s="167"/>
      <c r="Q69" s="121"/>
      <c r="R69" s="121"/>
      <c r="S69" s="121"/>
    </row>
    <row r="70" spans="1:19" x14ac:dyDescent="0.25">
      <c r="Q70" s="121"/>
      <c r="R70" s="121"/>
      <c r="S70" s="121"/>
    </row>
    <row r="71" spans="1:19" x14ac:dyDescent="0.25">
      <c r="Q71" s="121"/>
      <c r="R71" s="121"/>
      <c r="S71" s="121"/>
    </row>
    <row r="72" spans="1:19" x14ac:dyDescent="0.25">
      <c r="Q72" s="121"/>
      <c r="R72" s="121"/>
      <c r="S72" s="121"/>
    </row>
    <row r="73" spans="1:19" x14ac:dyDescent="0.25">
      <c r="Q73" s="121"/>
      <c r="R73" s="121"/>
      <c r="S73" s="121"/>
    </row>
    <row r="74" spans="1:19" x14ac:dyDescent="0.25">
      <c r="Q74" s="121"/>
      <c r="R74" s="121"/>
      <c r="S74" s="121"/>
    </row>
    <row r="75" spans="1:19" x14ac:dyDescent="0.25">
      <c r="Q75" s="121"/>
      <c r="R75" s="121"/>
      <c r="S75" s="121"/>
    </row>
    <row r="76" spans="1:19" x14ac:dyDescent="0.25">
      <c r="Q76" s="121"/>
      <c r="R76" s="121"/>
      <c r="S76" s="121"/>
    </row>
    <row r="77" spans="1:19" x14ac:dyDescent="0.25">
      <c r="Q77" s="121"/>
      <c r="R77" s="121"/>
      <c r="S77" s="121"/>
    </row>
    <row r="78" spans="1:19" x14ac:dyDescent="0.25">
      <c r="Q78" s="121"/>
      <c r="R78" s="121"/>
      <c r="S78" s="121"/>
    </row>
    <row r="79" spans="1:19" x14ac:dyDescent="0.25">
      <c r="Q79" s="121"/>
      <c r="R79" s="121"/>
      <c r="S79" s="121"/>
    </row>
    <row r="80" spans="1:19" x14ac:dyDescent="0.25">
      <c r="Q80" s="121"/>
      <c r="R80" s="121"/>
      <c r="S80" s="121"/>
    </row>
    <row r="81" spans="17:19" x14ac:dyDescent="0.25">
      <c r="Q81" s="121"/>
      <c r="R81" s="121"/>
      <c r="S81" s="121"/>
    </row>
    <row r="82" spans="17:19" x14ac:dyDescent="0.25">
      <c r="Q82" s="121"/>
      <c r="R82" s="121"/>
      <c r="S82" s="121"/>
    </row>
    <row r="83" spans="17:19" x14ac:dyDescent="0.25">
      <c r="Q83" s="121"/>
      <c r="R83" s="121"/>
      <c r="S83" s="121"/>
    </row>
    <row r="84" spans="17:19" x14ac:dyDescent="0.25">
      <c r="Q84" s="121"/>
      <c r="R84" s="121"/>
      <c r="S84" s="121"/>
    </row>
    <row r="85" spans="17:19" x14ac:dyDescent="0.25">
      <c r="Q85" s="121"/>
      <c r="R85" s="121"/>
      <c r="S85" s="121"/>
    </row>
    <row r="86" spans="17:19" x14ac:dyDescent="0.25">
      <c r="Q86" s="121"/>
      <c r="R86" s="121"/>
      <c r="S86" s="121"/>
    </row>
    <row r="87" spans="17:19" x14ac:dyDescent="0.25">
      <c r="Q87" s="121"/>
      <c r="R87" s="121"/>
      <c r="S87" s="121"/>
    </row>
    <row r="88" spans="17:19" x14ac:dyDescent="0.25">
      <c r="Q88" s="121"/>
      <c r="R88" s="121"/>
      <c r="S88" s="121"/>
    </row>
    <row r="89" spans="17:19" x14ac:dyDescent="0.25">
      <c r="Q89" s="121"/>
      <c r="R89" s="121"/>
      <c r="S89" s="121"/>
    </row>
    <row r="90" spans="17:19" x14ac:dyDescent="0.25">
      <c r="Q90" s="121"/>
      <c r="R90" s="121"/>
      <c r="S90" s="121"/>
    </row>
    <row r="91" spans="17:19" x14ac:dyDescent="0.25">
      <c r="Q91" s="121"/>
      <c r="R91" s="121"/>
      <c r="S91" s="121"/>
    </row>
    <row r="92" spans="17:19" x14ac:dyDescent="0.25">
      <c r="Q92" s="121"/>
      <c r="R92" s="121"/>
      <c r="S92" s="121"/>
    </row>
    <row r="93" spans="17:19" x14ac:dyDescent="0.25">
      <c r="Q93" s="121"/>
      <c r="R93" s="121"/>
      <c r="S93" s="121"/>
    </row>
    <row r="94" spans="17:19" x14ac:dyDescent="0.25">
      <c r="Q94" s="121"/>
      <c r="R94" s="121"/>
      <c r="S94" s="121"/>
    </row>
    <row r="95" spans="17:19" x14ac:dyDescent="0.25">
      <c r="Q95" s="121"/>
      <c r="R95" s="121"/>
      <c r="S95" s="121"/>
    </row>
    <row r="96" spans="17:19" x14ac:dyDescent="0.25">
      <c r="Q96" s="121"/>
      <c r="R96" s="121"/>
      <c r="S96" s="121"/>
    </row>
    <row r="97" spans="17:19" x14ac:dyDescent="0.25">
      <c r="Q97" s="121"/>
      <c r="R97" s="121"/>
      <c r="S97" s="121"/>
    </row>
    <row r="98" spans="17:19" x14ac:dyDescent="0.25">
      <c r="Q98" s="121"/>
      <c r="R98" s="121"/>
      <c r="S98" s="121"/>
    </row>
    <row r="99" spans="17:19" x14ac:dyDescent="0.25">
      <c r="Q99" s="121"/>
      <c r="R99" s="121"/>
      <c r="S99" s="121"/>
    </row>
    <row r="100" spans="17:19" x14ac:dyDescent="0.25">
      <c r="Q100" s="121"/>
      <c r="R100" s="121"/>
      <c r="S100" s="121"/>
    </row>
    <row r="101" spans="17:19" x14ac:dyDescent="0.25">
      <c r="Q101" s="121"/>
      <c r="R101" s="121"/>
      <c r="S101" s="121"/>
    </row>
    <row r="102" spans="17:19" x14ac:dyDescent="0.25">
      <c r="Q102" s="121"/>
      <c r="R102" s="121"/>
      <c r="S102" s="121"/>
    </row>
    <row r="103" spans="17:19" x14ac:dyDescent="0.25">
      <c r="Q103" s="121"/>
      <c r="R103" s="121"/>
      <c r="S103" s="121"/>
    </row>
    <row r="104" spans="17:19" x14ac:dyDescent="0.25">
      <c r="Q104" s="121"/>
      <c r="R104" s="121"/>
      <c r="S104" s="121"/>
    </row>
    <row r="105" spans="17:19" x14ac:dyDescent="0.25">
      <c r="Q105" s="121"/>
      <c r="R105" s="121"/>
      <c r="S105" s="121"/>
    </row>
    <row r="106" spans="17:19" x14ac:dyDescent="0.25">
      <c r="Q106" s="121"/>
      <c r="R106" s="121"/>
      <c r="S106" s="121"/>
    </row>
    <row r="107" spans="17:19" x14ac:dyDescent="0.25">
      <c r="Q107" s="121"/>
      <c r="R107" s="121"/>
      <c r="S107" s="121"/>
    </row>
    <row r="108" spans="17:19" x14ac:dyDescent="0.25">
      <c r="Q108" s="121"/>
      <c r="R108" s="121"/>
      <c r="S108" s="121"/>
    </row>
    <row r="109" spans="17:19" x14ac:dyDescent="0.25">
      <c r="Q109" s="121"/>
      <c r="R109" s="121"/>
      <c r="S109" s="121"/>
    </row>
    <row r="110" spans="17:19" x14ac:dyDescent="0.25">
      <c r="Q110" s="121"/>
      <c r="R110" s="121"/>
      <c r="S110" s="121"/>
    </row>
    <row r="111" spans="17:19" x14ac:dyDescent="0.25">
      <c r="Q111" s="121"/>
      <c r="R111" s="121"/>
      <c r="S111" s="121"/>
    </row>
    <row r="112" spans="17:19" x14ac:dyDescent="0.25">
      <c r="Q112" s="121"/>
      <c r="R112" s="121"/>
      <c r="S112" s="121"/>
    </row>
    <row r="113" spans="17:19" x14ac:dyDescent="0.25">
      <c r="Q113" s="121"/>
      <c r="R113" s="121"/>
      <c r="S113" s="121"/>
    </row>
    <row r="114" spans="17:19" x14ac:dyDescent="0.25">
      <c r="Q114" s="121"/>
      <c r="R114" s="121"/>
      <c r="S114" s="121"/>
    </row>
    <row r="115" spans="17:19" x14ac:dyDescent="0.25">
      <c r="Q115" s="121"/>
      <c r="R115" s="121"/>
      <c r="S115" s="121"/>
    </row>
    <row r="116" spans="17:19" x14ac:dyDescent="0.25">
      <c r="Q116" s="121"/>
      <c r="R116" s="121"/>
      <c r="S116" s="121"/>
    </row>
    <row r="117" spans="17:19" x14ac:dyDescent="0.25">
      <c r="Q117" s="121"/>
      <c r="R117" s="121"/>
      <c r="S117" s="121"/>
    </row>
    <row r="118" spans="17:19" x14ac:dyDescent="0.25">
      <c r="Q118" s="121"/>
      <c r="R118" s="121"/>
      <c r="S118" s="121"/>
    </row>
    <row r="119" spans="17:19" x14ac:dyDescent="0.25">
      <c r="Q119" s="121"/>
      <c r="R119" s="121"/>
      <c r="S119" s="121"/>
    </row>
    <row r="120" spans="17:19" x14ac:dyDescent="0.25">
      <c r="Q120" s="121"/>
      <c r="R120" s="121"/>
      <c r="S120" s="121"/>
    </row>
    <row r="121" spans="17:19" x14ac:dyDescent="0.25">
      <c r="Q121" s="121"/>
      <c r="R121" s="121"/>
      <c r="S121" s="121"/>
    </row>
    <row r="122" spans="17:19" x14ac:dyDescent="0.25">
      <c r="Q122" s="121"/>
      <c r="R122" s="121"/>
      <c r="S122" s="121"/>
    </row>
    <row r="123" spans="17:19" x14ac:dyDescent="0.25">
      <c r="Q123" s="121"/>
      <c r="R123" s="121"/>
      <c r="S123" s="121"/>
    </row>
    <row r="124" spans="17:19" x14ac:dyDescent="0.25">
      <c r="Q124" s="121"/>
      <c r="R124" s="121"/>
      <c r="S124" s="121"/>
    </row>
    <row r="125" spans="17:19" x14ac:dyDescent="0.25">
      <c r="Q125" s="121"/>
      <c r="R125" s="121"/>
      <c r="S125" s="121"/>
    </row>
    <row r="126" spans="17:19" x14ac:dyDescent="0.25">
      <c r="Q126" s="121"/>
      <c r="R126" s="121"/>
      <c r="S126" s="121"/>
    </row>
    <row r="127" spans="17:19" x14ac:dyDescent="0.25">
      <c r="Q127" s="121"/>
      <c r="R127" s="121"/>
      <c r="S127" s="121"/>
    </row>
    <row r="128" spans="17:19" x14ac:dyDescent="0.25">
      <c r="Q128" s="121"/>
      <c r="R128" s="121"/>
      <c r="S128" s="121"/>
    </row>
    <row r="129" spans="17:19" x14ac:dyDescent="0.25">
      <c r="Q129" s="121"/>
      <c r="R129" s="121"/>
      <c r="S129" s="121"/>
    </row>
    <row r="130" spans="17:19" x14ac:dyDescent="0.25">
      <c r="Q130" s="121"/>
      <c r="R130" s="121"/>
      <c r="S130" s="121"/>
    </row>
    <row r="131" spans="17:19" x14ac:dyDescent="0.25">
      <c r="Q131" s="121"/>
      <c r="R131" s="121"/>
      <c r="S131" s="121"/>
    </row>
    <row r="132" spans="17:19" x14ac:dyDescent="0.25">
      <c r="Q132" s="121"/>
      <c r="R132" s="121"/>
      <c r="S132" s="121"/>
    </row>
    <row r="133" spans="17:19" x14ac:dyDescent="0.25">
      <c r="Q133" s="121"/>
      <c r="R133" s="121"/>
      <c r="S133" s="121"/>
    </row>
    <row r="134" spans="17:19" x14ac:dyDescent="0.25">
      <c r="Q134" s="121"/>
      <c r="R134" s="121"/>
      <c r="S134" s="121"/>
    </row>
    <row r="135" spans="17:19" x14ac:dyDescent="0.25">
      <c r="Q135" s="121"/>
      <c r="R135" s="121"/>
      <c r="S135" s="121"/>
    </row>
    <row r="136" spans="17:19" x14ac:dyDescent="0.25">
      <c r="Q136" s="121"/>
      <c r="R136" s="121"/>
      <c r="S136" s="121"/>
    </row>
    <row r="137" spans="17:19" x14ac:dyDescent="0.25">
      <c r="Q137" s="121"/>
      <c r="R137" s="121"/>
      <c r="S137" s="121"/>
    </row>
    <row r="138" spans="17:19" x14ac:dyDescent="0.25">
      <c r="Q138" s="121"/>
      <c r="R138" s="121"/>
      <c r="S138" s="121"/>
    </row>
    <row r="139" spans="17:19" x14ac:dyDescent="0.25">
      <c r="Q139" s="121"/>
      <c r="R139" s="121"/>
      <c r="S139" s="121"/>
    </row>
    <row r="140" spans="17:19" x14ac:dyDescent="0.25">
      <c r="Q140" s="121"/>
      <c r="R140" s="121"/>
      <c r="S140" s="121"/>
    </row>
    <row r="141" spans="17:19" x14ac:dyDescent="0.25">
      <c r="Q141" s="121"/>
      <c r="R141" s="121"/>
      <c r="S141" s="121"/>
    </row>
    <row r="142" spans="17:19" x14ac:dyDescent="0.25">
      <c r="Q142" s="121"/>
      <c r="R142" s="121"/>
      <c r="S142" s="121"/>
    </row>
    <row r="143" spans="17:19" x14ac:dyDescent="0.25">
      <c r="Q143" s="121"/>
      <c r="R143" s="121"/>
      <c r="S143" s="121"/>
    </row>
    <row r="144" spans="17:19" x14ac:dyDescent="0.25">
      <c r="Q144" s="121"/>
      <c r="R144" s="121"/>
      <c r="S144" s="121"/>
    </row>
    <row r="145" spans="17:19" x14ac:dyDescent="0.25">
      <c r="Q145" s="121"/>
      <c r="R145" s="121"/>
      <c r="S145" s="121"/>
    </row>
    <row r="146" spans="17:19" x14ac:dyDescent="0.25">
      <c r="Q146" s="121"/>
      <c r="R146" s="121"/>
      <c r="S146" s="121"/>
    </row>
    <row r="147" spans="17:19" x14ac:dyDescent="0.25">
      <c r="Q147" s="121"/>
      <c r="R147" s="121"/>
      <c r="S147" s="121"/>
    </row>
    <row r="148" spans="17:19" x14ac:dyDescent="0.25">
      <c r="Q148" s="121"/>
      <c r="R148" s="121"/>
      <c r="S148" s="121"/>
    </row>
    <row r="149" spans="17:19" x14ac:dyDescent="0.25">
      <c r="Q149" s="121"/>
      <c r="R149" s="121"/>
      <c r="S149" s="121"/>
    </row>
    <row r="150" spans="17:19" x14ac:dyDescent="0.25">
      <c r="Q150" s="121"/>
      <c r="R150" s="121"/>
      <c r="S150" s="121"/>
    </row>
    <row r="151" spans="17:19" x14ac:dyDescent="0.25">
      <c r="Q151" s="121"/>
      <c r="R151" s="121"/>
      <c r="S151" s="121"/>
    </row>
    <row r="152" spans="17:19" x14ac:dyDescent="0.25">
      <c r="Q152" s="121"/>
      <c r="R152" s="121"/>
      <c r="S152" s="121"/>
    </row>
    <row r="153" spans="17:19" x14ac:dyDescent="0.25">
      <c r="Q153" s="121"/>
      <c r="R153" s="121"/>
      <c r="S153" s="121"/>
    </row>
    <row r="154" spans="17:19" x14ac:dyDescent="0.25">
      <c r="Q154" s="121"/>
      <c r="R154" s="121"/>
      <c r="S154" s="121"/>
    </row>
    <row r="155" spans="17:19" x14ac:dyDescent="0.25">
      <c r="Q155" s="121"/>
      <c r="R155" s="121"/>
      <c r="S155" s="121"/>
    </row>
    <row r="156" spans="17:19" x14ac:dyDescent="0.25">
      <c r="Q156" s="121"/>
      <c r="R156" s="121"/>
      <c r="S156" s="121"/>
    </row>
    <row r="157" spans="17:19" x14ac:dyDescent="0.25">
      <c r="Q157" s="121"/>
      <c r="R157" s="121"/>
      <c r="S157" s="121"/>
    </row>
    <row r="158" spans="17:19" x14ac:dyDescent="0.25">
      <c r="Q158" s="121"/>
      <c r="R158" s="121"/>
      <c r="S158" s="121"/>
    </row>
    <row r="159" spans="17:19" x14ac:dyDescent="0.25">
      <c r="Q159" s="121"/>
      <c r="R159" s="121"/>
      <c r="S159" s="121"/>
    </row>
    <row r="160" spans="17:19" x14ac:dyDescent="0.25">
      <c r="Q160" s="121"/>
      <c r="R160" s="121"/>
      <c r="S160" s="121"/>
    </row>
    <row r="161" spans="17:19" x14ac:dyDescent="0.25">
      <c r="Q161" s="121"/>
      <c r="R161" s="121"/>
      <c r="S161" s="121"/>
    </row>
    <row r="162" spans="17:19" x14ac:dyDescent="0.25">
      <c r="Q162" s="121"/>
      <c r="R162" s="121"/>
      <c r="S162" s="121"/>
    </row>
    <row r="163" spans="17:19" x14ac:dyDescent="0.25">
      <c r="Q163" s="121"/>
      <c r="R163" s="121"/>
      <c r="S163" s="121"/>
    </row>
    <row r="164" spans="17:19" x14ac:dyDescent="0.25">
      <c r="Q164" s="121"/>
      <c r="R164" s="121"/>
      <c r="S164" s="121"/>
    </row>
    <row r="165" spans="17:19" x14ac:dyDescent="0.25">
      <c r="Q165" s="121"/>
      <c r="R165" s="121"/>
      <c r="S165" s="121"/>
    </row>
    <row r="166" spans="17:19" x14ac:dyDescent="0.25">
      <c r="Q166" s="121"/>
      <c r="R166" s="121"/>
      <c r="S166" s="121"/>
    </row>
    <row r="167" spans="17:19" x14ac:dyDescent="0.25">
      <c r="Q167" s="121"/>
      <c r="R167" s="121"/>
      <c r="S167" s="121"/>
    </row>
    <row r="168" spans="17:19" x14ac:dyDescent="0.25">
      <c r="Q168" s="121"/>
      <c r="R168" s="121"/>
      <c r="S168" s="121"/>
    </row>
    <row r="169" spans="17:19" x14ac:dyDescent="0.25">
      <c r="Q169" s="121"/>
      <c r="R169" s="121"/>
      <c r="S169" s="121"/>
    </row>
    <row r="170" spans="17:19" x14ac:dyDescent="0.25">
      <c r="Q170" s="121"/>
      <c r="R170" s="121"/>
      <c r="S170" s="121"/>
    </row>
    <row r="171" spans="17:19" x14ac:dyDescent="0.25">
      <c r="Q171" s="121"/>
      <c r="R171" s="121"/>
      <c r="S171" s="121"/>
    </row>
    <row r="172" spans="17:19" x14ac:dyDescent="0.25">
      <c r="Q172" s="121"/>
      <c r="R172" s="121"/>
      <c r="S172" s="121"/>
    </row>
    <row r="173" spans="17:19" x14ac:dyDescent="0.25">
      <c r="Q173" s="121"/>
      <c r="R173" s="121"/>
      <c r="S173" s="121"/>
    </row>
    <row r="174" spans="17:19" x14ac:dyDescent="0.25">
      <c r="Q174" s="121"/>
      <c r="R174" s="121"/>
      <c r="S174" s="121"/>
    </row>
    <row r="175" spans="17:19" x14ac:dyDescent="0.25">
      <c r="Q175" s="121"/>
      <c r="R175" s="121"/>
      <c r="S175" s="121"/>
    </row>
    <row r="176" spans="17:19" x14ac:dyDescent="0.25">
      <c r="Q176" s="121"/>
      <c r="R176" s="121"/>
      <c r="S176" s="121"/>
    </row>
    <row r="177" spans="17:19" x14ac:dyDescent="0.25">
      <c r="Q177" s="121"/>
      <c r="R177" s="121"/>
      <c r="S177" s="121"/>
    </row>
    <row r="178" spans="17:19" x14ac:dyDescent="0.25">
      <c r="Q178" s="121"/>
      <c r="R178" s="121"/>
      <c r="S178" s="121"/>
    </row>
    <row r="179" spans="17:19" x14ac:dyDescent="0.25">
      <c r="Q179" s="121"/>
      <c r="R179" s="121"/>
      <c r="S179" s="121"/>
    </row>
    <row r="180" spans="17:19" x14ac:dyDescent="0.25">
      <c r="Q180" s="121"/>
      <c r="R180" s="121"/>
      <c r="S180" s="121"/>
    </row>
    <row r="181" spans="17:19" x14ac:dyDescent="0.25">
      <c r="Q181" s="121"/>
      <c r="R181" s="121"/>
      <c r="S181" s="121"/>
    </row>
    <row r="182" spans="17:19" x14ac:dyDescent="0.25">
      <c r="Q182" s="121"/>
      <c r="R182" s="121"/>
      <c r="S182" s="121"/>
    </row>
    <row r="183" spans="17:19" x14ac:dyDescent="0.25">
      <c r="Q183" s="121"/>
      <c r="R183" s="121"/>
      <c r="S183" s="121"/>
    </row>
    <row r="184" spans="17:19" x14ac:dyDescent="0.25">
      <c r="Q184" s="121"/>
      <c r="R184" s="121"/>
      <c r="S184" s="121"/>
    </row>
    <row r="185" spans="17:19" x14ac:dyDescent="0.25">
      <c r="Q185" s="121"/>
      <c r="R185" s="121"/>
      <c r="S185" s="121"/>
    </row>
    <row r="186" spans="17:19" x14ac:dyDescent="0.25">
      <c r="Q186" s="121"/>
      <c r="R186" s="121"/>
      <c r="S186" s="121"/>
    </row>
    <row r="187" spans="17:19" x14ac:dyDescent="0.25">
      <c r="Q187" s="121"/>
      <c r="R187" s="121"/>
      <c r="S187" s="121"/>
    </row>
    <row r="188" spans="17:19" x14ac:dyDescent="0.25">
      <c r="Q188" s="121"/>
      <c r="R188" s="121"/>
      <c r="S188" s="121"/>
    </row>
    <row r="189" spans="17:19" x14ac:dyDescent="0.25">
      <c r="Q189" s="121"/>
      <c r="R189" s="121"/>
      <c r="S189" s="121"/>
    </row>
    <row r="190" spans="17:19" x14ac:dyDescent="0.25">
      <c r="Q190" s="121"/>
      <c r="R190" s="121"/>
      <c r="S190" s="121"/>
    </row>
    <row r="191" spans="17:19" x14ac:dyDescent="0.25">
      <c r="Q191" s="121"/>
      <c r="R191" s="121"/>
      <c r="S191" s="121"/>
    </row>
    <row r="192" spans="17:19" x14ac:dyDescent="0.25">
      <c r="Q192" s="121"/>
      <c r="R192" s="121"/>
      <c r="S192" s="121"/>
    </row>
    <row r="193" spans="3:19" x14ac:dyDescent="0.25">
      <c r="Q193" s="121"/>
      <c r="R193" s="121"/>
      <c r="S193" s="121"/>
    </row>
    <row r="194" spans="3:19" x14ac:dyDescent="0.25">
      <c r="Q194" s="121"/>
      <c r="R194" s="121"/>
      <c r="S194" s="121"/>
    </row>
    <row r="195" spans="3:19" x14ac:dyDescent="0.25">
      <c r="Q195" s="121"/>
      <c r="R195" s="121"/>
      <c r="S195" s="121"/>
    </row>
    <row r="196" spans="3:19" x14ac:dyDescent="0.25">
      <c r="Q196" s="121"/>
      <c r="R196" s="121"/>
      <c r="S196" s="121"/>
    </row>
    <row r="197" spans="3:19" x14ac:dyDescent="0.25">
      <c r="Q197" s="121"/>
      <c r="R197" s="121"/>
      <c r="S197" s="121"/>
    </row>
    <row r="198" spans="3:19" x14ac:dyDescent="0.25">
      <c r="Q198" s="121"/>
      <c r="R198" s="121"/>
      <c r="S198" s="121"/>
    </row>
    <row r="199" spans="3:19" x14ac:dyDescent="0.25">
      <c r="Q199" s="121"/>
      <c r="R199" s="121"/>
      <c r="S199" s="121"/>
    </row>
    <row r="200" spans="3:19" x14ac:dyDescent="0.25">
      <c r="Q200" s="121"/>
      <c r="R200" s="121"/>
      <c r="S200" s="121"/>
    </row>
    <row r="201" spans="3:19" x14ac:dyDescent="0.25">
      <c r="Q201" s="121"/>
      <c r="R201" s="121"/>
      <c r="S201" s="121"/>
    </row>
    <row r="202" spans="3:19" x14ac:dyDescent="0.25">
      <c r="Q202" s="121"/>
      <c r="R202" s="121"/>
      <c r="S202" s="121"/>
    </row>
    <row r="203" spans="3:19" x14ac:dyDescent="0.25">
      <c r="Q203" s="121"/>
      <c r="R203" s="121"/>
      <c r="S203" s="121"/>
    </row>
    <row r="204" spans="3:19" x14ac:dyDescent="0.25">
      <c r="C204" s="121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Q204" s="121"/>
      <c r="R204" s="121"/>
      <c r="S204" s="121"/>
    </row>
    <row r="205" spans="3:19" x14ac:dyDescent="0.25">
      <c r="C205" s="121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</row>
    <row r="206" spans="3:19" x14ac:dyDescent="0.25">
      <c r="C206" s="121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</row>
    <row r="207" spans="3:19" x14ac:dyDescent="0.25">
      <c r="C207" s="121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</row>
    <row r="208" spans="3:19" x14ac:dyDescent="0.25">
      <c r="C208" s="121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</row>
    <row r="209" spans="3:19" x14ac:dyDescent="0.25">
      <c r="C209" s="121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</row>
    <row r="210" spans="3:19" x14ac:dyDescent="0.25">
      <c r="C210" s="121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</row>
    <row r="211" spans="3:19" x14ac:dyDescent="0.25">
      <c r="C211" s="121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</row>
    <row r="212" spans="3:19" x14ac:dyDescent="0.25">
      <c r="C212" s="121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</row>
    <row r="213" spans="3:19" x14ac:dyDescent="0.25">
      <c r="C213" s="121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</row>
    <row r="214" spans="3:19" x14ac:dyDescent="0.25">
      <c r="C214" s="121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</row>
    <row r="215" spans="3:19" x14ac:dyDescent="0.25">
      <c r="C215" s="121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</row>
    <row r="216" spans="3:19" x14ac:dyDescent="0.25">
      <c r="C216" s="121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</row>
    <row r="217" spans="3:19" x14ac:dyDescent="0.25">
      <c r="C217" s="121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</row>
    <row r="218" spans="3:19" x14ac:dyDescent="0.25">
      <c r="C218" s="121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</row>
    <row r="219" spans="3:19" x14ac:dyDescent="0.25">
      <c r="C219" s="121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</row>
    <row r="220" spans="3:19" x14ac:dyDescent="0.25">
      <c r="C220" s="121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</row>
    <row r="221" spans="3:19" x14ac:dyDescent="0.25">
      <c r="C221" s="121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</row>
    <row r="222" spans="3:19" x14ac:dyDescent="0.25">
      <c r="C222" s="121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</row>
    <row r="223" spans="3:19" x14ac:dyDescent="0.25">
      <c r="C223" s="121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</row>
    <row r="224" spans="3:19" x14ac:dyDescent="0.25">
      <c r="C224" s="121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</row>
    <row r="225" spans="3:19" x14ac:dyDescent="0.25">
      <c r="C225" s="121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</row>
    <row r="226" spans="3:19" x14ac:dyDescent="0.25">
      <c r="C226" s="121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</row>
    <row r="227" spans="3:19" x14ac:dyDescent="0.25">
      <c r="C227" s="121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</row>
    <row r="228" spans="3:19" x14ac:dyDescent="0.25">
      <c r="C228" s="121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</row>
    <row r="229" spans="3:19" x14ac:dyDescent="0.25">
      <c r="C229" s="121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</row>
    <row r="230" spans="3:19" x14ac:dyDescent="0.25">
      <c r="C230" s="121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</row>
    <row r="231" spans="3:19" x14ac:dyDescent="0.25">
      <c r="C231" s="121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</row>
    <row r="232" spans="3:19" x14ac:dyDescent="0.25">
      <c r="C232" s="121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</row>
    <row r="233" spans="3:19" x14ac:dyDescent="0.25">
      <c r="C233" s="121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</row>
    <row r="234" spans="3:19" x14ac:dyDescent="0.25">
      <c r="C234" s="121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</row>
    <row r="235" spans="3:19" x14ac:dyDescent="0.25">
      <c r="C235" s="121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</row>
    <row r="236" spans="3:19" x14ac:dyDescent="0.25">
      <c r="C236" s="121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</row>
    <row r="237" spans="3:19" x14ac:dyDescent="0.25">
      <c r="C237" s="121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</row>
    <row r="238" spans="3:19" x14ac:dyDescent="0.25">
      <c r="C238" s="121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</row>
    <row r="239" spans="3:19" x14ac:dyDescent="0.25">
      <c r="C239" s="121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</row>
    <row r="240" spans="3:19" x14ac:dyDescent="0.25">
      <c r="C240" s="121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</row>
    <row r="241" spans="3:19" x14ac:dyDescent="0.25">
      <c r="C241" s="121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</row>
    <row r="242" spans="3:19" x14ac:dyDescent="0.25">
      <c r="C242" s="121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</row>
    <row r="243" spans="3:19" x14ac:dyDescent="0.25">
      <c r="C243" s="121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</row>
    <row r="244" spans="3:19" x14ac:dyDescent="0.25">
      <c r="C244" s="121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</row>
    <row r="245" spans="3:19" x14ac:dyDescent="0.25">
      <c r="C245" s="121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</row>
    <row r="246" spans="3:19" x14ac:dyDescent="0.25">
      <c r="C246" s="121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</row>
    <row r="247" spans="3:19" x14ac:dyDescent="0.25">
      <c r="C247" s="121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</row>
    <row r="248" spans="3:19" x14ac:dyDescent="0.25">
      <c r="C248" s="121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</row>
    <row r="249" spans="3:19" x14ac:dyDescent="0.25">
      <c r="C249" s="121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</row>
    <row r="250" spans="3:19" x14ac:dyDescent="0.25">
      <c r="C250" s="121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</row>
    <row r="251" spans="3:19" x14ac:dyDescent="0.25">
      <c r="C251" s="121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</row>
    <row r="252" spans="3:19" x14ac:dyDescent="0.25">
      <c r="C252" s="121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</row>
    <row r="253" spans="3:19" x14ac:dyDescent="0.25">
      <c r="C253" s="121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</row>
    <row r="254" spans="3:19" x14ac:dyDescent="0.25">
      <c r="C254" s="121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</row>
    <row r="255" spans="3:19" x14ac:dyDescent="0.25">
      <c r="C255" s="121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</row>
    <row r="256" spans="3:19" x14ac:dyDescent="0.25">
      <c r="C256" s="121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</row>
    <row r="257" spans="3:19" x14ac:dyDescent="0.25">
      <c r="C257" s="121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</row>
    <row r="258" spans="3:19" x14ac:dyDescent="0.25">
      <c r="C258" s="121"/>
      <c r="D258" s="121"/>
      <c r="E258" s="121"/>
      <c r="F258" s="121"/>
      <c r="G258" s="121"/>
      <c r="H258" s="121"/>
      <c r="I258" s="121"/>
      <c r="J258" s="121"/>
      <c r="K258" s="121"/>
      <c r="L258" s="121"/>
      <c r="M258" s="121"/>
      <c r="N258" s="121"/>
      <c r="O258" s="121"/>
      <c r="P258" s="121"/>
      <c r="Q258" s="121"/>
      <c r="R258" s="121"/>
      <c r="S258" s="121"/>
    </row>
    <row r="259" spans="3:19" x14ac:dyDescent="0.25">
      <c r="C259" s="121"/>
      <c r="D259" s="121"/>
      <c r="E259" s="121"/>
      <c r="F259" s="121"/>
      <c r="G259" s="121"/>
      <c r="H259" s="121"/>
      <c r="I259" s="121"/>
      <c r="J259" s="121"/>
      <c r="K259" s="121"/>
      <c r="L259" s="121"/>
      <c r="M259" s="121"/>
      <c r="N259" s="121"/>
      <c r="O259" s="121"/>
      <c r="P259" s="121"/>
      <c r="Q259" s="121"/>
      <c r="R259" s="121"/>
      <c r="S259" s="121"/>
    </row>
    <row r="260" spans="3:19" x14ac:dyDescent="0.25">
      <c r="P260" s="121"/>
      <c r="Q260" s="121"/>
      <c r="R260" s="121"/>
      <c r="S260" s="121"/>
    </row>
  </sheetData>
  <printOptions horizontalCentered="1"/>
  <pageMargins left="0.75" right="0.75" top="0.51" bottom="0.49" header="0.5" footer="0.5"/>
  <pageSetup scale="48" orientation="landscape" r:id="rId1"/>
  <headerFooter alignWithMargins="0"/>
  <colBreaks count="1" manualBreakCount="1">
    <brk id="13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44"/>
  <sheetViews>
    <sheetView workbookViewId="0"/>
  </sheetViews>
  <sheetFormatPr defaultColWidth="9.33203125" defaultRowHeight="15.75" x14ac:dyDescent="0.25"/>
  <cols>
    <col min="1" max="1" width="9" style="1" customWidth="1"/>
    <col min="2" max="2" width="2.1640625" style="1" customWidth="1"/>
    <col min="3" max="3" width="41.6640625" style="1" customWidth="1"/>
    <col min="4" max="4" width="31.1640625" style="1" customWidth="1"/>
    <col min="5" max="5" width="23" style="1" customWidth="1"/>
    <col min="6" max="6" width="15" style="1" customWidth="1"/>
    <col min="7" max="7" width="20.6640625" style="1" customWidth="1"/>
    <col min="8" max="8" width="18.5" style="1" customWidth="1"/>
    <col min="9" max="9" width="8.6640625" style="1" customWidth="1"/>
    <col min="10" max="10" width="23" style="1" customWidth="1"/>
    <col min="11" max="11" width="15.5" style="1" customWidth="1"/>
    <col min="12" max="12" width="11.6640625" style="1" customWidth="1"/>
    <col min="13" max="13" width="2.83203125" style="1" customWidth="1"/>
    <col min="14" max="14" width="41" style="1" customWidth="1"/>
    <col min="15" max="15" width="15.83203125" style="1" customWidth="1"/>
    <col min="16" max="16" width="23.5" style="1" customWidth="1"/>
    <col min="17" max="17" width="20.5" style="1" customWidth="1"/>
    <col min="18" max="18" width="20.83203125" style="1" customWidth="1"/>
    <col min="19" max="19" width="23.6640625" style="1" bestFit="1" customWidth="1"/>
    <col min="20" max="20" width="22.1640625" style="1" bestFit="1" customWidth="1"/>
    <col min="21" max="21" width="23" style="1" bestFit="1" customWidth="1"/>
    <col min="22" max="22" width="19.83203125" style="1" customWidth="1"/>
    <col min="23" max="23" width="20.33203125" style="1" customWidth="1"/>
    <col min="24" max="24" width="23.5" style="1" bestFit="1" customWidth="1"/>
    <col min="25" max="25" width="21.6640625" style="1" bestFit="1" customWidth="1"/>
    <col min="26" max="26" width="16.1640625" style="1" customWidth="1"/>
    <col min="27" max="28" width="23.5" style="1" bestFit="1" customWidth="1"/>
    <col min="29" max="29" width="21.33203125" style="1" bestFit="1" customWidth="1"/>
    <col min="30" max="30" width="23.5" style="1" bestFit="1" customWidth="1"/>
    <col min="31" max="31" width="21.33203125" style="1" bestFit="1" customWidth="1"/>
    <col min="32" max="32" width="20.6640625" style="1" bestFit="1" customWidth="1"/>
    <col min="33" max="16384" width="9.33203125" style="1"/>
  </cols>
  <sheetData>
    <row r="1" spans="1:16" x14ac:dyDescent="0.25">
      <c r="A1" s="190" t="s">
        <v>185</v>
      </c>
      <c r="B1" s="191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88"/>
      <c r="N1" s="4"/>
      <c r="O1" s="4"/>
      <c r="P1" s="4"/>
    </row>
    <row r="2" spans="1:16" x14ac:dyDescent="0.25">
      <c r="A2" s="190" t="s">
        <v>249</v>
      </c>
      <c r="B2" s="191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88"/>
      <c r="N2" s="4"/>
      <c r="O2" s="4"/>
      <c r="P2" s="4"/>
    </row>
    <row r="3" spans="1:16" x14ac:dyDescent="0.25">
      <c r="C3" s="6"/>
      <c r="D3" s="2"/>
      <c r="E3" s="3"/>
      <c r="F3" s="2"/>
      <c r="G3" s="2"/>
      <c r="H3" s="2"/>
      <c r="I3" s="4"/>
      <c r="J3" s="4"/>
      <c r="K3" s="4"/>
      <c r="L3" s="4"/>
      <c r="M3" s="4"/>
      <c r="N3" s="4"/>
      <c r="O3" s="4"/>
      <c r="P3" s="4"/>
    </row>
    <row r="4" spans="1:16" x14ac:dyDescent="0.25">
      <c r="A4" s="1" t="s">
        <v>186</v>
      </c>
      <c r="C4" s="2"/>
      <c r="D4" s="2"/>
      <c r="E4" s="7"/>
      <c r="F4" s="2"/>
      <c r="G4" s="2"/>
      <c r="H4" s="2"/>
      <c r="I4" s="4"/>
      <c r="J4" s="206" t="str">
        <f>"For the 12 months ended "&amp;TEXT('OATT Input Data'!B4,"MM/DD/YYYY")</f>
        <v>For the 12 months ended 12/31/2015</v>
      </c>
      <c r="L4" s="4"/>
      <c r="M4" s="4"/>
      <c r="N4" s="4"/>
      <c r="O4" s="5"/>
      <c r="P4" s="4"/>
    </row>
    <row r="5" spans="1:16" x14ac:dyDescent="0.25">
      <c r="A5" s="207" t="s">
        <v>187</v>
      </c>
      <c r="C5" s="2"/>
      <c r="E5" s="191"/>
      <c r="F5" s="193"/>
      <c r="G5" s="193"/>
      <c r="H5" s="193"/>
      <c r="I5" s="192"/>
      <c r="J5" s="206" t="s">
        <v>382</v>
      </c>
      <c r="L5" s="192"/>
      <c r="M5" s="4"/>
      <c r="N5" s="4"/>
      <c r="O5" s="4"/>
      <c r="P5" s="4"/>
    </row>
    <row r="6" spans="1:16" x14ac:dyDescent="0.25"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x14ac:dyDescent="0.25">
      <c r="A7" s="209" t="s">
        <v>130</v>
      </c>
      <c r="B7" s="191"/>
      <c r="C7" s="192"/>
      <c r="D7" s="192"/>
      <c r="E7" s="191"/>
      <c r="F7" s="192"/>
      <c r="G7" s="192"/>
      <c r="H7" s="192"/>
      <c r="I7" s="192"/>
      <c r="J7" s="192"/>
      <c r="K7" s="192"/>
      <c r="L7" s="192"/>
      <c r="M7" s="4"/>
      <c r="N7" s="4"/>
      <c r="O7" s="4"/>
      <c r="P7" s="4"/>
    </row>
    <row r="8" spans="1:16" x14ac:dyDescent="0.25">
      <c r="A8" s="5"/>
      <c r="C8" s="4"/>
      <c r="D8" s="4"/>
      <c r="E8" s="9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 x14ac:dyDescent="0.25">
      <c r="A9" s="5" t="s">
        <v>1</v>
      </c>
      <c r="C9" s="4"/>
      <c r="D9" s="4"/>
      <c r="E9" s="9"/>
      <c r="F9" s="4"/>
      <c r="G9" s="4"/>
      <c r="H9" s="4"/>
      <c r="I9" s="4"/>
      <c r="J9" s="5" t="s">
        <v>2</v>
      </c>
      <c r="K9" s="4"/>
      <c r="L9" s="4"/>
      <c r="M9" s="4"/>
      <c r="N9" s="4"/>
      <c r="O9" s="4"/>
      <c r="P9" s="4"/>
    </row>
    <row r="10" spans="1:16" ht="16.5" thickBot="1" x14ac:dyDescent="0.3">
      <c r="A10" s="10" t="s">
        <v>3</v>
      </c>
      <c r="C10" s="4"/>
      <c r="D10" s="4"/>
      <c r="E10" s="4"/>
      <c r="F10" s="4"/>
      <c r="G10" s="4"/>
      <c r="H10" s="4"/>
      <c r="I10" s="4"/>
      <c r="J10" s="10" t="s">
        <v>4</v>
      </c>
      <c r="K10" s="4"/>
      <c r="L10" s="4"/>
      <c r="M10" s="4"/>
      <c r="N10" s="4"/>
      <c r="O10" s="4"/>
      <c r="P10" s="4"/>
    </row>
    <row r="11" spans="1:16" x14ac:dyDescent="0.25">
      <c r="A11" s="5">
        <v>1</v>
      </c>
      <c r="C11" s="7" t="s">
        <v>127</v>
      </c>
      <c r="D11" s="186" t="s">
        <v>409</v>
      </c>
      <c r="E11" s="11"/>
      <c r="F11" s="4"/>
      <c r="G11" s="4"/>
      <c r="H11" s="4"/>
      <c r="I11" s="4"/>
      <c r="J11" s="486">
        <f>'PTP Pg 3 of 5'!J56</f>
        <v>139666779</v>
      </c>
      <c r="K11" s="4"/>
      <c r="L11" s="4"/>
      <c r="M11" s="4"/>
      <c r="N11" s="4"/>
      <c r="O11" s="4"/>
      <c r="P11" s="4"/>
    </row>
    <row r="12" spans="1:16" x14ac:dyDescent="0.25">
      <c r="A12" s="5"/>
      <c r="C12" s="4"/>
      <c r="D12" s="4"/>
      <c r="E12" s="4"/>
      <c r="F12" s="4"/>
      <c r="G12" s="4"/>
      <c r="H12" s="4"/>
      <c r="I12" s="4"/>
      <c r="J12" s="11"/>
      <c r="K12" s="4"/>
      <c r="L12" s="4"/>
      <c r="M12" s="4"/>
      <c r="N12" s="4"/>
      <c r="O12" s="4"/>
      <c r="P12" s="4"/>
    </row>
    <row r="13" spans="1:16" ht="16.5" thickBot="1" x14ac:dyDescent="0.3">
      <c r="A13" s="5" t="s">
        <v>0</v>
      </c>
      <c r="C13" s="2" t="s">
        <v>5</v>
      </c>
      <c r="D13" s="187" t="s">
        <v>242</v>
      </c>
      <c r="E13" s="10" t="s">
        <v>6</v>
      </c>
      <c r="F13" s="8"/>
      <c r="G13" s="12" t="s">
        <v>7</v>
      </c>
      <c r="H13" s="12"/>
      <c r="I13" s="4"/>
      <c r="J13" s="11"/>
      <c r="K13" s="4"/>
      <c r="L13" s="4"/>
      <c r="M13" s="4"/>
      <c r="N13" s="4"/>
      <c r="O13" s="4"/>
      <c r="P13" s="4"/>
    </row>
    <row r="14" spans="1:16" x14ac:dyDescent="0.25">
      <c r="A14" s="5">
        <v>2</v>
      </c>
      <c r="C14" s="2" t="s">
        <v>8</v>
      </c>
      <c r="D14" s="184" t="s">
        <v>378</v>
      </c>
      <c r="E14" s="487">
        <f>'PTP Pg 4 of 5'!$J$64</f>
        <v>0</v>
      </c>
      <c r="F14" s="8"/>
      <c r="G14" s="8" t="s">
        <v>9</v>
      </c>
      <c r="H14" s="13">
        <f>'PTP Pg 4 of 5'!$J$16</f>
        <v>0.95574999999999999</v>
      </c>
      <c r="I14" s="8"/>
      <c r="J14" s="508">
        <f>ROUND(H14*E14,0)</f>
        <v>0</v>
      </c>
      <c r="K14" s="4"/>
      <c r="L14" s="142"/>
      <c r="M14" s="4"/>
      <c r="N14" s="4"/>
      <c r="O14" s="4"/>
      <c r="P14" s="4"/>
    </row>
    <row r="15" spans="1:16" x14ac:dyDescent="0.25">
      <c r="A15" s="5">
        <v>3</v>
      </c>
      <c r="C15" s="2" t="s">
        <v>10</v>
      </c>
      <c r="D15" s="184" t="s">
        <v>379</v>
      </c>
      <c r="E15" s="509">
        <f>'PTP Pg 4 of 5'!J68</f>
        <v>2140641</v>
      </c>
      <c r="F15" s="8"/>
      <c r="G15" s="8" t="str">
        <f t="shared" ref="G15:G17" si="0">+G14</f>
        <v>TP</v>
      </c>
      <c r="H15" s="13">
        <f>'PTP Pg 4 of 5'!$J$16</f>
        <v>0.95574999999999999</v>
      </c>
      <c r="I15" s="8"/>
      <c r="J15" s="509">
        <f>ROUND(H15*E15,0)</f>
        <v>2045918</v>
      </c>
      <c r="K15" s="4"/>
      <c r="L15" s="4"/>
      <c r="M15" s="4"/>
      <c r="N15" s="4"/>
      <c r="O15" s="4"/>
      <c r="P15" s="4"/>
    </row>
    <row r="16" spans="1:16" x14ac:dyDescent="0.25">
      <c r="A16" s="5">
        <v>4</v>
      </c>
      <c r="C16" s="14" t="s">
        <v>11</v>
      </c>
      <c r="D16" s="8"/>
      <c r="E16" s="509">
        <v>0</v>
      </c>
      <c r="F16" s="8"/>
      <c r="G16" s="8" t="str">
        <f t="shared" si="0"/>
        <v>TP</v>
      </c>
      <c r="H16" s="13">
        <f>'PTP Pg 4 of 5'!$J$16</f>
        <v>0.95574999999999999</v>
      </c>
      <c r="I16" s="8"/>
      <c r="J16" s="509">
        <f t="shared" ref="J16:J17" si="1">ROUND(H16*E16,0)</f>
        <v>0</v>
      </c>
      <c r="K16" s="4"/>
      <c r="L16" s="4"/>
      <c r="M16" s="4"/>
      <c r="N16" s="4"/>
      <c r="P16" s="4"/>
    </row>
    <row r="17" spans="1:16" ht="18" x14ac:dyDescent="0.4">
      <c r="A17" s="5">
        <v>5</v>
      </c>
      <c r="C17" s="563" t="s">
        <v>188</v>
      </c>
      <c r="D17" s="564"/>
      <c r="E17" s="509">
        <v>0</v>
      </c>
      <c r="F17" s="8"/>
      <c r="G17" s="8" t="str">
        <f t="shared" si="0"/>
        <v>TP</v>
      </c>
      <c r="H17" s="13">
        <f>'PTP Pg 4 of 5'!$J$16</f>
        <v>0.95574999999999999</v>
      </c>
      <c r="I17" s="8"/>
      <c r="J17" s="510">
        <f t="shared" si="1"/>
        <v>0</v>
      </c>
      <c r="K17" s="243"/>
      <c r="L17" s="4"/>
      <c r="M17" s="4"/>
      <c r="N17" s="4"/>
      <c r="P17" s="4"/>
    </row>
    <row r="18" spans="1:16" x14ac:dyDescent="0.25">
      <c r="A18" s="5">
        <v>6</v>
      </c>
      <c r="C18" s="7" t="s">
        <v>128</v>
      </c>
      <c r="D18" s="185" t="s">
        <v>243</v>
      </c>
      <c r="E18" s="17" t="s">
        <v>0</v>
      </c>
      <c r="F18" s="8"/>
      <c r="G18" s="8"/>
      <c r="H18" s="13"/>
      <c r="I18" s="8"/>
      <c r="J18" s="511">
        <f>SUM(J14:J17)</f>
        <v>2045918</v>
      </c>
      <c r="K18" s="4"/>
      <c r="L18" s="4"/>
      <c r="M18" s="4"/>
      <c r="N18" s="4"/>
      <c r="P18" s="4"/>
    </row>
    <row r="19" spans="1:16" x14ac:dyDescent="0.25">
      <c r="A19" s="5"/>
      <c r="D19" s="4"/>
      <c r="E19" s="8" t="s">
        <v>0</v>
      </c>
      <c r="F19" s="4"/>
      <c r="G19" s="4"/>
      <c r="H19" s="13"/>
      <c r="I19" s="4"/>
      <c r="K19" s="4"/>
      <c r="L19" s="4"/>
      <c r="M19" s="4"/>
      <c r="N19" s="4"/>
      <c r="P19" s="4"/>
    </row>
    <row r="20" spans="1:16" ht="18" x14ac:dyDescent="0.4">
      <c r="A20" s="5">
        <v>7</v>
      </c>
      <c r="C20" s="2" t="s">
        <v>12</v>
      </c>
      <c r="D20" s="185" t="s">
        <v>244</v>
      </c>
      <c r="E20" s="17" t="s">
        <v>0</v>
      </c>
      <c r="F20" s="8"/>
      <c r="G20" s="8"/>
      <c r="H20" s="8"/>
      <c r="I20" s="8"/>
      <c r="J20" s="524">
        <f>J11-J18-190151</f>
        <v>137430710</v>
      </c>
      <c r="K20" s="4"/>
      <c r="L20" s="4"/>
      <c r="M20" s="4"/>
      <c r="N20" s="4"/>
      <c r="P20" s="4"/>
    </row>
    <row r="21" spans="1:16" x14ac:dyDescent="0.25">
      <c r="A21" s="5"/>
      <c r="D21" s="4"/>
      <c r="E21" s="17"/>
      <c r="F21" s="8"/>
      <c r="G21" s="8"/>
      <c r="H21" s="8"/>
      <c r="I21" s="8"/>
      <c r="K21" s="4"/>
      <c r="L21" s="4"/>
      <c r="M21" s="4"/>
      <c r="N21" s="4"/>
      <c r="P21" s="4"/>
    </row>
    <row r="22" spans="1:16" x14ac:dyDescent="0.25">
      <c r="A22" s="5"/>
      <c r="C22" s="2" t="s">
        <v>13</v>
      </c>
      <c r="D22" s="4"/>
      <c r="E22" s="11"/>
      <c r="F22" s="4"/>
      <c r="G22" s="4"/>
      <c r="H22" s="4"/>
      <c r="I22" s="4"/>
      <c r="J22" s="11"/>
      <c r="K22" s="4"/>
      <c r="L22" s="4"/>
      <c r="M22" s="4"/>
      <c r="N22" s="4"/>
      <c r="P22" s="4"/>
    </row>
    <row r="23" spans="1:16" x14ac:dyDescent="0.25">
      <c r="A23" s="5">
        <v>8</v>
      </c>
      <c r="C23" s="7" t="s">
        <v>133</v>
      </c>
      <c r="E23" s="11"/>
      <c r="F23" s="185" t="s">
        <v>245</v>
      </c>
      <c r="G23" s="4"/>
      <c r="H23" s="4"/>
      <c r="I23" s="4"/>
      <c r="J23" s="512">
        <f>ROUND('OATT Input Data'!$E$25,0)</f>
        <v>5778000</v>
      </c>
      <c r="K23" s="4"/>
      <c r="L23" s="4"/>
      <c r="M23" s="4"/>
    </row>
    <row r="24" spans="1:16" x14ac:dyDescent="0.25">
      <c r="A24" s="5">
        <v>9</v>
      </c>
      <c r="C24" s="7" t="s">
        <v>134</v>
      </c>
      <c r="D24" s="8"/>
      <c r="E24" s="8"/>
      <c r="F24" s="187" t="s">
        <v>246</v>
      </c>
      <c r="G24" s="8"/>
      <c r="H24" s="8"/>
      <c r="I24" s="8"/>
      <c r="J24" s="512">
        <f>ROUND('OATT Input Data'!$E$43,0)</f>
        <v>0</v>
      </c>
      <c r="K24" s="4"/>
      <c r="L24" s="4"/>
      <c r="M24" s="4"/>
      <c r="O24" s="4"/>
      <c r="P24" s="4"/>
    </row>
    <row r="25" spans="1:16" x14ac:dyDescent="0.25">
      <c r="A25" s="5">
        <v>10</v>
      </c>
      <c r="C25" s="81" t="s">
        <v>135</v>
      </c>
      <c r="D25" s="4"/>
      <c r="E25" s="4"/>
      <c r="F25" s="184" t="s">
        <v>247</v>
      </c>
      <c r="H25" s="4"/>
      <c r="I25" s="4"/>
      <c r="J25" s="512">
        <f>ROUND('OATT Input Data'!$F$61,0)</f>
        <v>678000</v>
      </c>
      <c r="K25" s="4"/>
      <c r="L25" s="4"/>
      <c r="M25" s="4"/>
      <c r="O25" s="4"/>
      <c r="P25" s="4"/>
    </row>
    <row r="26" spans="1:16" x14ac:dyDescent="0.25">
      <c r="A26" s="5">
        <v>11</v>
      </c>
      <c r="C26" s="7" t="s">
        <v>136</v>
      </c>
      <c r="D26" s="4"/>
      <c r="E26" s="4"/>
      <c r="F26" s="185" t="s">
        <v>248</v>
      </c>
      <c r="H26" s="4"/>
      <c r="I26" s="4"/>
      <c r="J26" s="512">
        <f>ROUND('OATT Input Data'!$E$79*-1,0)</f>
        <v>0</v>
      </c>
      <c r="K26" s="4"/>
      <c r="L26" s="4"/>
      <c r="M26" s="4"/>
      <c r="P26" s="4"/>
    </row>
    <row r="27" spans="1:16" x14ac:dyDescent="0.25">
      <c r="A27" s="5">
        <v>12</v>
      </c>
      <c r="C27" s="81" t="s">
        <v>137</v>
      </c>
      <c r="D27" s="4"/>
      <c r="E27" s="4"/>
      <c r="F27" s="4"/>
      <c r="G27" s="4"/>
      <c r="H27" s="7"/>
      <c r="I27" s="4"/>
      <c r="J27" s="512">
        <f>ROUND('OATT Input Data'!$E$98,0)</f>
        <v>609500</v>
      </c>
      <c r="K27" s="4"/>
      <c r="L27" s="4"/>
      <c r="M27" s="4"/>
      <c r="P27" s="4"/>
    </row>
    <row r="28" spans="1:16" x14ac:dyDescent="0.25">
      <c r="A28" s="5">
        <v>13</v>
      </c>
      <c r="C28" s="81" t="s">
        <v>388</v>
      </c>
      <c r="D28" s="4"/>
      <c r="E28" s="4"/>
      <c r="F28" s="4"/>
      <c r="G28" s="4"/>
      <c r="H28" s="4"/>
      <c r="I28" s="4"/>
      <c r="J28" s="512">
        <f>ROUND('OATT Input Data'!$E$104,0)</f>
        <v>166667</v>
      </c>
      <c r="K28" s="4"/>
      <c r="L28" s="4"/>
      <c r="M28" s="4"/>
      <c r="O28" s="4"/>
      <c r="P28" s="4"/>
    </row>
    <row r="29" spans="1:16" ht="18" x14ac:dyDescent="0.4">
      <c r="A29" s="5">
        <v>14</v>
      </c>
      <c r="C29" s="81" t="s">
        <v>189</v>
      </c>
      <c r="D29" s="4"/>
      <c r="E29" s="4"/>
      <c r="F29" s="4"/>
      <c r="G29" s="4"/>
      <c r="H29" s="4"/>
      <c r="I29" s="4"/>
      <c r="J29" s="513">
        <f>ROUND('OATT Input Data'!$E$105*-1,0)</f>
        <v>-427000</v>
      </c>
      <c r="K29" s="4"/>
      <c r="L29" s="4"/>
      <c r="M29" s="4"/>
      <c r="O29" s="4"/>
      <c r="P29" s="4"/>
    </row>
    <row r="30" spans="1:16" x14ac:dyDescent="0.25">
      <c r="A30" s="5">
        <v>15</v>
      </c>
      <c r="C30" s="7" t="s">
        <v>289</v>
      </c>
      <c r="D30" s="186" t="s">
        <v>288</v>
      </c>
      <c r="E30" s="4"/>
      <c r="F30" s="4"/>
      <c r="G30" s="4"/>
      <c r="H30" s="4"/>
      <c r="I30" s="4"/>
      <c r="J30" s="512">
        <f>ROUND(SUM(J23:J29),0)</f>
        <v>6805167</v>
      </c>
      <c r="K30" s="4"/>
      <c r="L30" s="4"/>
      <c r="M30" s="4"/>
      <c r="N30" s="4"/>
      <c r="O30" s="4"/>
      <c r="P30" s="4"/>
    </row>
    <row r="31" spans="1:16" x14ac:dyDescent="0.25">
      <c r="A31" s="5"/>
      <c r="C31" s="2"/>
      <c r="D31" s="4"/>
      <c r="E31" s="4"/>
      <c r="F31" s="4"/>
      <c r="G31" s="4"/>
      <c r="H31" s="4"/>
      <c r="I31" s="4"/>
      <c r="J31" s="11"/>
      <c r="K31" s="4"/>
      <c r="L31" s="4"/>
      <c r="M31" s="4"/>
      <c r="O31" s="4"/>
      <c r="P31" s="4"/>
    </row>
    <row r="32" spans="1:16" ht="21" x14ac:dyDescent="0.35">
      <c r="A32" s="5">
        <v>16</v>
      </c>
      <c r="C32" s="19" t="s">
        <v>14</v>
      </c>
      <c r="D32" s="203" t="s">
        <v>295</v>
      </c>
      <c r="E32" s="204">
        <f>ROUND(J20/J30,3)</f>
        <v>20.195</v>
      </c>
      <c r="F32" s="22"/>
      <c r="G32" s="4"/>
      <c r="H32" s="4"/>
      <c r="I32" s="4"/>
      <c r="K32" s="4"/>
      <c r="L32" s="4"/>
      <c r="M32" s="4"/>
      <c r="N32" s="2"/>
      <c r="O32" s="4"/>
      <c r="P32" s="4"/>
    </row>
    <row r="33" spans="1:16" x14ac:dyDescent="0.25">
      <c r="A33" s="5">
        <v>17</v>
      </c>
      <c r="C33" s="31" t="s">
        <v>302</v>
      </c>
      <c r="D33" s="203" t="s">
        <v>296</v>
      </c>
      <c r="E33" s="204">
        <f>ROUND(E32/12,3)</f>
        <v>1.6830000000000001</v>
      </c>
      <c r="G33" s="23"/>
      <c r="H33" s="24"/>
      <c r="I33" s="4"/>
      <c r="K33" s="4"/>
      <c r="L33" s="4"/>
      <c r="M33" s="4"/>
      <c r="N33" s="2"/>
      <c r="O33" s="143"/>
      <c r="P33" s="4"/>
    </row>
    <row r="34" spans="1:16" x14ac:dyDescent="0.25">
      <c r="A34" s="5"/>
      <c r="C34" s="19"/>
      <c r="D34" s="27"/>
      <c r="E34" s="25"/>
      <c r="F34" s="4"/>
      <c r="G34" s="4"/>
      <c r="H34" s="4"/>
      <c r="I34" s="4"/>
      <c r="J34" s="26"/>
      <c r="K34" s="4"/>
      <c r="L34" s="4"/>
      <c r="M34" s="4"/>
      <c r="N34" s="4"/>
      <c r="O34" s="4"/>
      <c r="P34" s="4"/>
    </row>
    <row r="35" spans="1:16" x14ac:dyDescent="0.25">
      <c r="A35" s="5"/>
      <c r="C35" s="19"/>
      <c r="D35" s="27"/>
      <c r="E35" s="25" t="s">
        <v>164</v>
      </c>
      <c r="F35" s="4"/>
      <c r="G35" s="4"/>
      <c r="H35" s="4"/>
      <c r="I35" s="4"/>
      <c r="J35" s="1" t="s">
        <v>165</v>
      </c>
      <c r="K35" s="4"/>
      <c r="L35" s="4"/>
      <c r="M35" s="4"/>
      <c r="N35" s="4"/>
      <c r="O35" s="4"/>
      <c r="P35" s="4"/>
    </row>
    <row r="36" spans="1:16" x14ac:dyDescent="0.25">
      <c r="A36" s="5">
        <v>18</v>
      </c>
      <c r="C36" s="81" t="s">
        <v>291</v>
      </c>
      <c r="D36" s="514" t="s">
        <v>292</v>
      </c>
      <c r="E36" s="204">
        <f>ROUND($E$32/52,3)</f>
        <v>0.38800000000000001</v>
      </c>
      <c r="F36" s="4"/>
      <c r="G36" s="4"/>
      <c r="H36" s="514" t="s">
        <v>292</v>
      </c>
      <c r="I36" s="4"/>
      <c r="J36" s="204">
        <f>ROUND($E$32/52,3)</f>
        <v>0.38800000000000001</v>
      </c>
      <c r="K36" s="4"/>
      <c r="L36" s="4"/>
      <c r="M36" s="4"/>
      <c r="N36" s="4"/>
      <c r="O36" s="4"/>
      <c r="P36" s="4"/>
    </row>
    <row r="37" spans="1:16" x14ac:dyDescent="0.25">
      <c r="A37" s="5">
        <v>19</v>
      </c>
      <c r="C37" s="81" t="s">
        <v>297</v>
      </c>
      <c r="D37" s="186" t="s">
        <v>293</v>
      </c>
      <c r="E37" s="204">
        <f>ROUND(E36/5,3)</f>
        <v>7.8E-2</v>
      </c>
      <c r="F37" s="3" t="s">
        <v>166</v>
      </c>
      <c r="H37" s="186" t="s">
        <v>299</v>
      </c>
      <c r="I37" s="4"/>
      <c r="J37" s="204">
        <f>ROUND(J36/7,3)</f>
        <v>5.5E-2</v>
      </c>
      <c r="K37" s="4"/>
      <c r="L37" s="4"/>
      <c r="M37" s="4"/>
      <c r="N37" s="4"/>
      <c r="O37" s="4"/>
      <c r="P37" s="4"/>
    </row>
    <row r="38" spans="1:16" x14ac:dyDescent="0.25">
      <c r="A38" s="5">
        <v>20</v>
      </c>
      <c r="C38" s="81" t="s">
        <v>429</v>
      </c>
      <c r="D38" s="186" t="s">
        <v>294</v>
      </c>
      <c r="E38" s="204">
        <f>ROUND(E37/16*1000,3)</f>
        <v>4.875</v>
      </c>
      <c r="F38" s="7" t="s">
        <v>290</v>
      </c>
      <c r="H38" s="186" t="s">
        <v>300</v>
      </c>
      <c r="I38" s="4"/>
      <c r="J38" s="204">
        <f>ROUND(J37/24*1000,3)</f>
        <v>2.2919999999999998</v>
      </c>
      <c r="K38" s="4"/>
      <c r="L38" s="4" t="s">
        <v>0</v>
      </c>
      <c r="M38" s="4"/>
      <c r="N38" s="4"/>
      <c r="O38" s="4"/>
      <c r="P38" s="4"/>
    </row>
    <row r="39" spans="1:16" x14ac:dyDescent="0.25">
      <c r="A39" s="5"/>
      <c r="C39" s="2"/>
      <c r="D39" s="4"/>
      <c r="E39" s="4"/>
      <c r="F39" s="4"/>
      <c r="H39" s="4"/>
      <c r="I39" s="4"/>
      <c r="K39" s="4"/>
      <c r="L39" s="4" t="s">
        <v>0</v>
      </c>
      <c r="M39" s="4"/>
      <c r="N39" s="4"/>
      <c r="O39" s="4"/>
      <c r="P39" s="4"/>
    </row>
    <row r="40" spans="1:16" x14ac:dyDescent="0.25">
      <c r="A40" s="5">
        <v>21</v>
      </c>
      <c r="C40" s="2" t="s">
        <v>15</v>
      </c>
      <c r="D40" s="514" t="s">
        <v>298</v>
      </c>
      <c r="E40" s="515">
        <v>0</v>
      </c>
      <c r="F40" s="208" t="s">
        <v>16</v>
      </c>
      <c r="G40" s="208"/>
      <c r="H40" s="208"/>
      <c r="I40" s="208"/>
      <c r="J40" s="515">
        <v>0</v>
      </c>
      <c r="K40" s="529"/>
      <c r="L40" s="4"/>
      <c r="M40" s="4"/>
      <c r="N40" s="4"/>
      <c r="O40" s="4"/>
      <c r="P40" s="4"/>
    </row>
    <row r="41" spans="1:16" x14ac:dyDescent="0.25">
      <c r="A41" s="5">
        <v>22</v>
      </c>
      <c r="C41" s="2"/>
      <c r="D41" s="4"/>
      <c r="E41" s="515">
        <v>0</v>
      </c>
      <c r="F41" s="208" t="s">
        <v>17</v>
      </c>
      <c r="G41" s="208"/>
      <c r="H41" s="208"/>
      <c r="I41" s="208"/>
      <c r="J41" s="515">
        <v>0</v>
      </c>
      <c r="K41" s="529"/>
      <c r="L41" s="4"/>
      <c r="M41" s="4"/>
      <c r="N41" s="4"/>
      <c r="O41" s="4"/>
      <c r="P41" s="4"/>
    </row>
    <row r="42" spans="1:16" x14ac:dyDescent="0.25">
      <c r="K42" s="4"/>
      <c r="L42" s="4"/>
      <c r="M42" s="4"/>
      <c r="N42" s="4"/>
      <c r="O42" s="4"/>
      <c r="P42" s="4"/>
    </row>
    <row r="43" spans="1:16" x14ac:dyDescent="0.25">
      <c r="A43" s="29"/>
      <c r="B43" s="30"/>
      <c r="C43" s="31"/>
      <c r="D43" s="30"/>
      <c r="E43" s="30"/>
      <c r="F43" s="30"/>
      <c r="G43" s="30"/>
      <c r="H43" s="30"/>
      <c r="I43" s="30"/>
      <c r="J43" s="14"/>
      <c r="K43" s="20"/>
      <c r="L43" s="20"/>
      <c r="M43" s="20"/>
      <c r="N43" s="4"/>
      <c r="O43" s="4"/>
      <c r="P43" s="4"/>
    </row>
    <row r="44" spans="1:16" x14ac:dyDescent="0.25">
      <c r="A44" s="29"/>
      <c r="B44" s="30"/>
      <c r="C44" s="31"/>
      <c r="D44" s="20"/>
      <c r="E44" s="20"/>
      <c r="F44" s="20"/>
      <c r="G44" s="20"/>
      <c r="H44" s="20"/>
      <c r="I44" s="20"/>
      <c r="J44" s="32"/>
      <c r="K44" s="20"/>
      <c r="L44" s="20"/>
      <c r="M44" s="20"/>
      <c r="N44" s="4"/>
      <c r="O44" s="4"/>
      <c r="P44" s="4"/>
    </row>
    <row r="45" spans="1:16" x14ac:dyDescent="0.25">
      <c r="A45" s="29"/>
      <c r="B45" s="30"/>
      <c r="C45" s="19"/>
      <c r="D45" s="20"/>
      <c r="E45" s="20"/>
      <c r="F45" s="20"/>
      <c r="G45" s="20"/>
      <c r="H45" s="20"/>
      <c r="I45" s="20"/>
      <c r="J45" s="33"/>
      <c r="K45" s="20"/>
      <c r="L45" s="20"/>
      <c r="M45" s="20"/>
      <c r="N45" s="4"/>
      <c r="O45" s="4"/>
      <c r="P45" s="4"/>
    </row>
    <row r="46" spans="1:16" x14ac:dyDescent="0.25">
      <c r="A46" s="29"/>
      <c r="B46" s="30"/>
      <c r="C46" s="31"/>
      <c r="D46" s="20"/>
      <c r="E46" s="20"/>
      <c r="F46" s="20"/>
      <c r="G46" s="20"/>
      <c r="H46" s="20"/>
      <c r="I46" s="20"/>
      <c r="J46" s="33"/>
      <c r="K46" s="20"/>
      <c r="L46" s="20"/>
      <c r="M46" s="20"/>
      <c r="N46" s="4"/>
      <c r="O46" s="4"/>
      <c r="P46" s="198"/>
    </row>
    <row r="47" spans="1:16" s="30" customFormat="1" x14ac:dyDescent="0.25">
      <c r="A47" s="29"/>
      <c r="C47" s="31"/>
      <c r="D47" s="19"/>
      <c r="E47" s="27"/>
      <c r="F47" s="19"/>
      <c r="G47" s="19"/>
      <c r="H47" s="19"/>
      <c r="I47" s="20"/>
      <c r="J47" s="33"/>
      <c r="K47" s="29"/>
      <c r="L47" s="29"/>
      <c r="M47" s="525"/>
      <c r="N47" s="20"/>
      <c r="O47" s="35"/>
      <c r="P47" s="37"/>
    </row>
    <row r="48" spans="1:16" s="30" customFormat="1" x14ac:dyDescent="0.25">
      <c r="A48" s="29"/>
      <c r="C48" s="31"/>
      <c r="D48" s="20"/>
      <c r="E48" s="20"/>
      <c r="F48" s="20"/>
      <c r="G48" s="20"/>
      <c r="H48" s="20"/>
      <c r="I48" s="20"/>
      <c r="J48" s="33"/>
      <c r="K48" s="525"/>
      <c r="L48" s="525"/>
      <c r="M48" s="525"/>
      <c r="N48" s="20"/>
      <c r="O48" s="20"/>
      <c r="P48" s="37"/>
    </row>
    <row r="49" spans="1:21" s="30" customFormat="1" x14ac:dyDescent="0.25">
      <c r="A49" s="29"/>
      <c r="C49" s="31"/>
      <c r="D49" s="19"/>
      <c r="E49" s="27"/>
      <c r="F49" s="19"/>
      <c r="G49" s="19"/>
      <c r="H49" s="19"/>
      <c r="I49" s="20"/>
      <c r="J49" s="38"/>
      <c r="K49" s="562"/>
      <c r="L49" s="562"/>
      <c r="M49" s="562"/>
      <c r="N49" s="20"/>
      <c r="O49" s="20"/>
      <c r="P49" s="37"/>
    </row>
    <row r="50" spans="1:21" s="30" customFormat="1" x14ac:dyDescent="0.25">
      <c r="A50" s="29"/>
      <c r="C50" s="31"/>
      <c r="D50" s="19"/>
      <c r="E50" s="27"/>
      <c r="F50" s="19"/>
      <c r="G50" s="19"/>
      <c r="H50" s="19"/>
      <c r="I50" s="20"/>
      <c r="J50" s="39"/>
      <c r="K50" s="525"/>
      <c r="L50" s="525"/>
      <c r="M50" s="525"/>
      <c r="N50" s="20"/>
      <c r="O50" s="20"/>
      <c r="P50" s="37"/>
    </row>
    <row r="51" spans="1:21" s="30" customFormat="1" x14ac:dyDescent="0.25">
      <c r="A51" s="29"/>
      <c r="C51" s="31"/>
      <c r="D51" s="19"/>
      <c r="E51" s="27"/>
      <c r="F51" s="19"/>
      <c r="G51" s="19"/>
      <c r="H51" s="19"/>
      <c r="I51" s="20"/>
      <c r="J51" s="33"/>
      <c r="K51" s="525"/>
      <c r="L51" s="525"/>
      <c r="M51" s="525"/>
      <c r="N51" s="20"/>
      <c r="O51" s="20"/>
      <c r="P51" s="37"/>
    </row>
    <row r="52" spans="1:21" s="30" customFormat="1" x14ac:dyDescent="0.25">
      <c r="A52" s="29"/>
      <c r="C52" s="31"/>
      <c r="D52" s="19"/>
      <c r="E52" s="27"/>
      <c r="F52" s="19"/>
      <c r="G52" s="19"/>
      <c r="H52" s="19"/>
      <c r="I52" s="20"/>
      <c r="J52" s="40"/>
      <c r="K52" s="20"/>
      <c r="L52" s="562"/>
      <c r="M52" s="562"/>
      <c r="N52" s="20"/>
      <c r="O52" s="20"/>
      <c r="P52" s="37"/>
    </row>
    <row r="53" spans="1:21" s="30" customFormat="1" x14ac:dyDescent="0.25">
      <c r="C53" s="19"/>
      <c r="D53" s="19"/>
      <c r="E53" s="27"/>
      <c r="F53" s="19"/>
      <c r="G53" s="19"/>
      <c r="H53" s="19"/>
      <c r="I53" s="20"/>
      <c r="J53" s="20"/>
      <c r="K53" s="20"/>
      <c r="L53" s="525"/>
      <c r="M53" s="525"/>
      <c r="N53" s="20"/>
      <c r="O53" s="20"/>
      <c r="P53" s="37"/>
    </row>
    <row r="54" spans="1:21" s="30" customFormat="1" ht="21" x14ac:dyDescent="0.35">
      <c r="A54" s="29"/>
      <c r="C54" s="19"/>
      <c r="D54" s="31"/>
      <c r="E54" s="21"/>
      <c r="F54" s="41"/>
      <c r="G54" s="20"/>
      <c r="H54" s="20"/>
      <c r="I54" s="20"/>
      <c r="K54" s="20"/>
      <c r="L54" s="20"/>
      <c r="M54" s="20"/>
      <c r="N54" s="20"/>
      <c r="O54" s="20"/>
      <c r="P54" s="20"/>
    </row>
    <row r="55" spans="1:21" s="30" customFormat="1" x14ac:dyDescent="0.25">
      <c r="A55" s="29"/>
      <c r="C55" s="19"/>
      <c r="D55" s="31"/>
      <c r="E55" s="21"/>
      <c r="G55" s="42"/>
      <c r="H55" s="21"/>
      <c r="I55" s="20"/>
      <c r="K55" s="43"/>
      <c r="M55" s="44"/>
      <c r="N55" s="44"/>
      <c r="O55" s="44"/>
      <c r="P55" s="29"/>
      <c r="Q55" s="45"/>
      <c r="R55" s="46"/>
      <c r="S55" s="46"/>
      <c r="T55" s="46"/>
      <c r="U55" s="46"/>
    </row>
    <row r="56" spans="1:21" s="30" customFormat="1" x14ac:dyDescent="0.25">
      <c r="A56" s="29"/>
      <c r="C56" s="19"/>
      <c r="D56" s="20"/>
      <c r="E56" s="21"/>
      <c r="F56" s="21"/>
      <c r="G56" s="20"/>
      <c r="H56" s="20"/>
      <c r="I56" s="20"/>
      <c r="K56" s="44"/>
      <c r="M56" s="44"/>
      <c r="N56" s="44"/>
      <c r="O56" s="44"/>
      <c r="P56" s="29"/>
      <c r="Q56" s="45"/>
      <c r="R56" s="46"/>
      <c r="S56" s="46"/>
      <c r="T56" s="46"/>
      <c r="U56" s="46"/>
    </row>
    <row r="57" spans="1:21" s="30" customFormat="1" x14ac:dyDescent="0.25">
      <c r="A57" s="29"/>
      <c r="C57" s="19"/>
      <c r="D57" s="20"/>
      <c r="E57" s="25"/>
      <c r="F57" s="20"/>
      <c r="G57" s="20"/>
      <c r="H57" s="20"/>
      <c r="I57" s="20"/>
      <c r="J57" s="45"/>
      <c r="K57" s="44"/>
      <c r="M57" s="44"/>
      <c r="N57" s="44"/>
      <c r="O57" s="43"/>
      <c r="P57" s="44"/>
      <c r="Q57" s="44"/>
      <c r="R57" s="46"/>
      <c r="S57" s="46"/>
      <c r="T57" s="46"/>
      <c r="U57" s="46"/>
    </row>
    <row r="58" spans="1:21" s="30" customFormat="1" x14ac:dyDescent="0.25">
      <c r="A58" s="29"/>
      <c r="C58" s="19"/>
      <c r="D58" s="20"/>
      <c r="E58" s="21"/>
      <c r="F58" s="20"/>
      <c r="G58" s="20"/>
      <c r="H58" s="20"/>
      <c r="I58" s="20"/>
      <c r="K58" s="43"/>
      <c r="M58" s="44"/>
      <c r="N58" s="44"/>
      <c r="O58" s="43"/>
      <c r="P58" s="44"/>
      <c r="Q58" s="44"/>
      <c r="R58" s="46"/>
      <c r="S58" s="46"/>
      <c r="T58" s="46"/>
      <c r="U58" s="46"/>
    </row>
    <row r="59" spans="1:21" s="30" customFormat="1" x14ac:dyDescent="0.25">
      <c r="A59" s="29"/>
      <c r="C59" s="19"/>
      <c r="D59" s="27"/>
      <c r="E59" s="21"/>
      <c r="F59" s="20"/>
      <c r="G59" s="20"/>
      <c r="H59" s="20"/>
      <c r="I59" s="20"/>
      <c r="J59" s="48"/>
      <c r="M59" s="44"/>
      <c r="N59" s="44"/>
      <c r="O59" s="43"/>
      <c r="P59" s="44"/>
      <c r="Q59" s="44"/>
      <c r="R59" s="46"/>
      <c r="S59" s="46"/>
      <c r="T59" s="46"/>
      <c r="U59" s="46"/>
    </row>
    <row r="60" spans="1:21" s="30" customFormat="1" x14ac:dyDescent="0.25">
      <c r="A60" s="29"/>
      <c r="C60" s="19"/>
      <c r="D60" s="27"/>
      <c r="E60" s="21"/>
      <c r="F60" s="20"/>
      <c r="H60" s="20"/>
      <c r="I60" s="20"/>
      <c r="J60" s="48"/>
      <c r="L60" s="44"/>
      <c r="M60" s="44"/>
      <c r="N60" s="44"/>
      <c r="O60" s="43"/>
      <c r="P60" s="44"/>
      <c r="Q60" s="44"/>
      <c r="R60" s="46"/>
      <c r="S60" s="46"/>
      <c r="T60" s="46"/>
      <c r="U60" s="46"/>
    </row>
    <row r="61" spans="1:21" s="30" customFormat="1" x14ac:dyDescent="0.25">
      <c r="A61" s="29"/>
      <c r="C61" s="19"/>
      <c r="D61" s="27"/>
      <c r="E61" s="21"/>
      <c r="F61" s="20"/>
      <c r="H61" s="20"/>
      <c r="I61" s="20"/>
      <c r="J61" s="48"/>
      <c r="K61" s="20"/>
      <c r="L61" s="20"/>
      <c r="M61" s="44"/>
      <c r="N61" s="50"/>
      <c r="P61" s="44"/>
      <c r="Q61" s="62"/>
    </row>
    <row r="62" spans="1:21" s="30" customFormat="1" x14ac:dyDescent="0.25">
      <c r="A62" s="29"/>
      <c r="C62" s="19"/>
      <c r="D62" s="20"/>
      <c r="E62" s="20"/>
      <c r="F62" s="20"/>
      <c r="H62" s="20"/>
      <c r="I62" s="20"/>
      <c r="K62" s="29"/>
      <c r="O62" s="44"/>
      <c r="P62" s="44"/>
      <c r="Q62" s="44"/>
    </row>
    <row r="63" spans="1:21" s="30" customFormat="1" x14ac:dyDescent="0.25">
      <c r="A63" s="29"/>
      <c r="C63" s="19"/>
      <c r="D63" s="20"/>
      <c r="E63" s="20"/>
      <c r="F63" s="20"/>
      <c r="G63" s="20"/>
      <c r="H63" s="20"/>
      <c r="O63" s="44"/>
      <c r="P63" s="54"/>
      <c r="Q63" s="50"/>
    </row>
    <row r="64" spans="1:21" s="30" customFormat="1" x14ac:dyDescent="0.25">
      <c r="A64" s="29"/>
      <c r="D64" s="20"/>
      <c r="E64" s="20"/>
      <c r="G64" s="20"/>
      <c r="J64" s="55"/>
      <c r="K64" s="56"/>
      <c r="O64" s="44"/>
      <c r="P64" s="19"/>
    </row>
    <row r="65" spans="1:16" s="30" customFormat="1" x14ac:dyDescent="0.25">
      <c r="A65" s="29"/>
      <c r="D65" s="20"/>
      <c r="F65" s="20"/>
      <c r="G65" s="20"/>
      <c r="H65" s="20"/>
      <c r="I65" s="20"/>
      <c r="J65" s="55"/>
      <c r="K65" s="56"/>
      <c r="O65" s="44"/>
      <c r="P65" s="19"/>
    </row>
    <row r="66" spans="1:16" s="30" customFormat="1" x14ac:dyDescent="0.25">
      <c r="A66" s="29"/>
      <c r="D66" s="20"/>
      <c r="F66" s="20"/>
      <c r="G66" s="20"/>
      <c r="H66" s="20"/>
      <c r="I66" s="20"/>
      <c r="J66" s="55"/>
      <c r="K66" s="56"/>
      <c r="O66" s="44"/>
      <c r="P66" s="19"/>
    </row>
    <row r="67" spans="1:16" s="30" customFormat="1" x14ac:dyDescent="0.25">
      <c r="A67" s="29"/>
      <c r="D67" s="20"/>
      <c r="F67" s="20"/>
      <c r="G67" s="20"/>
      <c r="H67" s="57"/>
      <c r="I67" s="20"/>
      <c r="J67" s="58"/>
      <c r="L67" s="59"/>
      <c r="M67" s="44"/>
      <c r="N67" s="50"/>
      <c r="O67" s="44"/>
      <c r="P67" s="19"/>
    </row>
    <row r="68" spans="1:16" s="30" customFormat="1" x14ac:dyDescent="0.25">
      <c r="A68" s="29"/>
      <c r="C68" s="19"/>
      <c r="D68" s="20"/>
      <c r="F68" s="20"/>
      <c r="G68" s="20"/>
      <c r="H68" s="21"/>
      <c r="I68" s="20"/>
      <c r="J68" s="58"/>
      <c r="L68" s="59"/>
      <c r="M68" s="44"/>
      <c r="N68" s="50"/>
      <c r="O68" s="44"/>
      <c r="P68" s="19"/>
    </row>
    <row r="69" spans="1:16" s="30" customFormat="1" x14ac:dyDescent="0.25">
      <c r="A69" s="29"/>
      <c r="D69" s="20"/>
      <c r="E69" s="20"/>
      <c r="F69" s="20"/>
      <c r="G69" s="20"/>
      <c r="H69" s="20"/>
      <c r="I69" s="20"/>
      <c r="J69" s="58"/>
      <c r="L69" s="59"/>
      <c r="M69" s="44"/>
      <c r="N69" s="50"/>
      <c r="O69" s="44"/>
      <c r="P69" s="140"/>
    </row>
    <row r="70" spans="1:16" s="30" customFormat="1" x14ac:dyDescent="0.25">
      <c r="C70" s="19"/>
      <c r="D70" s="20"/>
      <c r="E70" s="20"/>
      <c r="F70" s="20"/>
      <c r="G70" s="20"/>
      <c r="H70" s="20"/>
      <c r="I70" s="20"/>
      <c r="L70" s="61"/>
      <c r="M70" s="44"/>
      <c r="N70" s="50"/>
      <c r="O70" s="20"/>
      <c r="P70" s="50"/>
    </row>
    <row r="71" spans="1:16" s="30" customFormat="1" x14ac:dyDescent="0.25">
      <c r="A71" s="29"/>
      <c r="C71" s="19"/>
      <c r="D71" s="44"/>
      <c r="E71" s="44"/>
      <c r="F71" s="44"/>
      <c r="G71" s="44"/>
      <c r="H71" s="44"/>
      <c r="I71" s="44"/>
      <c r="J71" s="62"/>
      <c r="K71" s="44"/>
      <c r="L71" s="61"/>
      <c r="M71" s="44"/>
      <c r="N71" s="50"/>
      <c r="O71" s="20"/>
    </row>
    <row r="72" spans="1:16" s="30" customFormat="1" x14ac:dyDescent="0.25">
      <c r="A72" s="29"/>
      <c r="C72" s="19"/>
      <c r="D72" s="20"/>
      <c r="E72" s="20"/>
      <c r="F72" s="20"/>
      <c r="G72" s="20"/>
      <c r="H72" s="20"/>
      <c r="I72" s="20"/>
      <c r="J72" s="62"/>
      <c r="L72" s="64"/>
      <c r="M72" s="20"/>
      <c r="N72" s="29"/>
      <c r="O72" s="20"/>
      <c r="P72" s="140"/>
    </row>
    <row r="73" spans="1:16" s="30" customFormat="1" x14ac:dyDescent="0.25">
      <c r="A73" s="29"/>
      <c r="D73" s="29"/>
      <c r="E73" s="44"/>
      <c r="F73" s="44"/>
      <c r="G73" s="44"/>
      <c r="H73" s="44"/>
      <c r="I73" s="20"/>
      <c r="J73" s="62"/>
      <c r="K73" s="44"/>
      <c r="L73" s="44"/>
      <c r="M73" s="20"/>
      <c r="N73" s="29"/>
      <c r="O73" s="20"/>
      <c r="P73" s="140"/>
    </row>
    <row r="74" spans="1:16" s="30" customFormat="1" x14ac:dyDescent="0.25">
      <c r="C74" s="19"/>
      <c r="D74" s="19"/>
      <c r="E74" s="27"/>
      <c r="F74" s="19"/>
      <c r="G74" s="19"/>
      <c r="H74" s="19"/>
      <c r="I74" s="20"/>
      <c r="J74" s="29"/>
      <c r="K74" s="29"/>
      <c r="L74" s="29"/>
      <c r="M74" s="525"/>
      <c r="N74" s="20"/>
      <c r="O74" s="20"/>
      <c r="P74" s="19"/>
    </row>
    <row r="75" spans="1:16" s="30" customFormat="1" x14ac:dyDescent="0.25">
      <c r="C75" s="19"/>
      <c r="D75" s="19"/>
      <c r="E75" s="27"/>
      <c r="F75" s="19"/>
      <c r="G75" s="19"/>
      <c r="H75" s="19"/>
      <c r="I75" s="20"/>
      <c r="J75" s="525"/>
      <c r="K75" s="525"/>
      <c r="L75" s="525"/>
      <c r="M75" s="525"/>
      <c r="N75" s="20"/>
      <c r="O75" s="20"/>
      <c r="P75" s="20"/>
    </row>
    <row r="76" spans="1:16" s="30" customFormat="1" x14ac:dyDescent="0.25">
      <c r="C76" s="19"/>
      <c r="D76" s="19"/>
      <c r="E76" s="27"/>
      <c r="F76" s="19"/>
      <c r="G76" s="19"/>
      <c r="H76" s="19"/>
      <c r="I76" s="20"/>
      <c r="J76" s="20"/>
      <c r="K76" s="562"/>
      <c r="L76" s="562"/>
      <c r="M76" s="562"/>
      <c r="N76" s="20"/>
      <c r="O76" s="20"/>
      <c r="P76" s="20"/>
    </row>
    <row r="77" spans="1:16" s="30" customFormat="1" x14ac:dyDescent="0.25">
      <c r="C77" s="19"/>
      <c r="D77" s="19"/>
      <c r="E77" s="27"/>
      <c r="F77" s="19"/>
      <c r="G77" s="19"/>
      <c r="H77" s="19"/>
      <c r="I77" s="20"/>
      <c r="J77" s="20"/>
      <c r="K77" s="20"/>
      <c r="L77" s="562"/>
      <c r="M77" s="562"/>
      <c r="N77" s="20"/>
      <c r="O77" s="20"/>
      <c r="P77" s="20"/>
    </row>
    <row r="78" spans="1:16" s="30" customFormat="1" x14ac:dyDescent="0.25">
      <c r="C78" s="19"/>
      <c r="D78" s="19"/>
      <c r="E78" s="27"/>
      <c r="F78" s="19"/>
      <c r="G78" s="19"/>
      <c r="H78" s="19"/>
      <c r="I78" s="20"/>
      <c r="J78" s="20"/>
      <c r="K78" s="20"/>
      <c r="L78" s="525"/>
      <c r="M78" s="525"/>
      <c r="N78" s="20"/>
      <c r="O78" s="20"/>
      <c r="P78" s="20"/>
    </row>
    <row r="79" spans="1:16" s="30" customFormat="1" x14ac:dyDescent="0.25">
      <c r="C79" s="19"/>
      <c r="D79" s="19"/>
      <c r="E79" s="27"/>
      <c r="F79" s="19"/>
      <c r="G79" s="19"/>
      <c r="H79" s="19"/>
      <c r="I79" s="20"/>
      <c r="J79" s="20"/>
      <c r="K79" s="20"/>
      <c r="L79" s="20"/>
      <c r="M79" s="20"/>
      <c r="N79" s="20"/>
      <c r="O79" s="20"/>
      <c r="P79" s="20"/>
    </row>
    <row r="80" spans="1:16" s="30" customFormat="1" x14ac:dyDescent="0.25">
      <c r="C80" s="19"/>
      <c r="D80" s="44"/>
      <c r="E80" s="44"/>
      <c r="F80" s="44"/>
      <c r="G80" s="44"/>
      <c r="H80" s="44"/>
      <c r="I80" s="20"/>
      <c r="J80" s="20"/>
      <c r="K80" s="20"/>
      <c r="L80" s="20"/>
      <c r="M80" s="20"/>
      <c r="N80" s="20"/>
      <c r="O80" s="20"/>
      <c r="P80" s="20"/>
    </row>
    <row r="81" spans="1:16" s="30" customFormat="1" x14ac:dyDescent="0.25">
      <c r="A81" s="29"/>
      <c r="B81" s="20"/>
      <c r="D81" s="29"/>
      <c r="E81" s="44"/>
      <c r="F81" s="44"/>
      <c r="G81" s="44"/>
      <c r="H81" s="44"/>
      <c r="I81" s="20"/>
      <c r="J81" s="58"/>
      <c r="L81" s="44"/>
      <c r="M81" s="20"/>
      <c r="N81" s="29"/>
      <c r="O81" s="20"/>
      <c r="P81" s="20"/>
    </row>
    <row r="82" spans="1:16" s="30" customFormat="1" x14ac:dyDescent="0.25">
      <c r="A82" s="29"/>
      <c r="B82" s="20"/>
      <c r="D82" s="29"/>
      <c r="E82" s="44"/>
      <c r="F82" s="44"/>
      <c r="G82" s="44"/>
      <c r="H82" s="44"/>
      <c r="I82" s="20"/>
      <c r="J82" s="58"/>
      <c r="L82" s="44"/>
      <c r="M82" s="20"/>
      <c r="N82" s="29"/>
      <c r="O82" s="20"/>
      <c r="P82" s="20"/>
    </row>
    <row r="83" spans="1:16" s="30" customFormat="1" x14ac:dyDescent="0.25">
      <c r="A83" s="29"/>
      <c r="B83" s="20"/>
      <c r="D83" s="29"/>
      <c r="E83" s="44"/>
      <c r="F83" s="44"/>
      <c r="G83" s="44"/>
      <c r="H83" s="44"/>
      <c r="I83" s="20"/>
      <c r="J83" s="58"/>
      <c r="L83" s="44"/>
      <c r="M83" s="20"/>
      <c r="N83" s="29"/>
      <c r="O83" s="20"/>
      <c r="P83" s="20"/>
    </row>
    <row r="84" spans="1:16" s="30" customFormat="1" ht="21" x14ac:dyDescent="0.35">
      <c r="A84" s="65"/>
      <c r="B84" s="66"/>
      <c r="C84" s="67"/>
      <c r="D84" s="65"/>
      <c r="E84" s="68"/>
      <c r="F84" s="68"/>
      <c r="G84" s="68"/>
      <c r="H84" s="68"/>
      <c r="I84" s="66"/>
      <c r="J84" s="68"/>
      <c r="K84" s="69"/>
      <c r="L84" s="70"/>
      <c r="M84" s="69"/>
      <c r="N84" s="65"/>
      <c r="O84" s="20"/>
      <c r="P84" s="20"/>
    </row>
    <row r="85" spans="1:16" s="30" customFormat="1" ht="21" x14ac:dyDescent="0.35">
      <c r="A85" s="65"/>
      <c r="B85" s="66"/>
      <c r="C85" s="67"/>
      <c r="D85" s="65"/>
      <c r="E85" s="68"/>
      <c r="F85" s="68"/>
      <c r="G85" s="68"/>
      <c r="H85" s="68"/>
      <c r="I85" s="66"/>
      <c r="J85" s="68"/>
      <c r="K85" s="69"/>
      <c r="L85" s="70"/>
      <c r="M85" s="69"/>
      <c r="N85" s="65"/>
      <c r="O85" s="20"/>
      <c r="P85" s="20"/>
    </row>
    <row r="86" spans="1:16" s="30" customFormat="1" ht="21" x14ac:dyDescent="0.35">
      <c r="A86" s="65"/>
      <c r="B86" s="66"/>
      <c r="C86" s="67"/>
      <c r="D86" s="66"/>
      <c r="E86" s="68"/>
      <c r="F86" s="68"/>
      <c r="G86" s="68"/>
      <c r="H86" s="68"/>
      <c r="I86" s="66"/>
      <c r="J86" s="68"/>
      <c r="K86" s="69"/>
      <c r="L86" s="70"/>
      <c r="M86" s="69"/>
      <c r="N86" s="65"/>
      <c r="O86" s="20"/>
      <c r="P86" s="20"/>
    </row>
    <row r="87" spans="1:16" s="30" customFormat="1" ht="21" x14ac:dyDescent="0.35">
      <c r="A87" s="65"/>
      <c r="B87" s="66"/>
      <c r="C87" s="67"/>
      <c r="D87" s="66"/>
      <c r="E87" s="68"/>
      <c r="F87" s="68"/>
      <c r="G87" s="68"/>
      <c r="H87" s="68"/>
      <c r="I87" s="66"/>
      <c r="J87" s="68"/>
      <c r="K87" s="69"/>
      <c r="L87" s="70"/>
      <c r="M87" s="69"/>
      <c r="N87" s="65"/>
      <c r="O87" s="20"/>
      <c r="P87" s="20"/>
    </row>
    <row r="88" spans="1:16" s="30" customFormat="1" ht="21" x14ac:dyDescent="0.35">
      <c r="A88" s="65"/>
      <c r="B88" s="66"/>
      <c r="C88" s="67"/>
      <c r="D88" s="66"/>
      <c r="E88" s="68"/>
      <c r="F88" s="68"/>
      <c r="G88" s="68"/>
      <c r="H88" s="68"/>
      <c r="I88" s="66"/>
      <c r="J88" s="68"/>
      <c r="K88" s="69"/>
      <c r="L88" s="70"/>
      <c r="M88" s="69"/>
      <c r="N88" s="65"/>
      <c r="O88" s="20"/>
      <c r="P88" s="20"/>
    </row>
    <row r="89" spans="1:16" s="30" customFormat="1" ht="21" x14ac:dyDescent="0.35">
      <c r="A89" s="65"/>
      <c r="B89" s="66"/>
      <c r="C89" s="67"/>
      <c r="D89" s="66"/>
      <c r="E89" s="68"/>
      <c r="F89" s="68"/>
      <c r="G89" s="68"/>
      <c r="H89" s="68"/>
      <c r="I89" s="66"/>
      <c r="J89" s="68"/>
      <c r="K89" s="69"/>
      <c r="L89" s="70"/>
      <c r="M89" s="69"/>
      <c r="N89" s="65"/>
      <c r="O89" s="20"/>
      <c r="P89" s="20"/>
    </row>
    <row r="90" spans="1:16" s="30" customFormat="1" ht="21" x14ac:dyDescent="0.35">
      <c r="A90" s="65"/>
      <c r="B90" s="66"/>
      <c r="C90" s="67"/>
      <c r="D90" s="66"/>
      <c r="E90" s="66"/>
      <c r="F90" s="66"/>
      <c r="G90" s="66"/>
      <c r="H90" s="66"/>
      <c r="I90" s="66"/>
      <c r="J90" s="68"/>
      <c r="K90" s="69"/>
      <c r="L90" s="69"/>
      <c r="M90" s="69"/>
      <c r="N90" s="71"/>
      <c r="O90" s="20"/>
      <c r="P90" s="20"/>
    </row>
    <row r="91" spans="1:16" s="30" customFormat="1" ht="21" x14ac:dyDescent="0.35">
      <c r="A91" s="65"/>
      <c r="B91" s="66"/>
      <c r="C91" s="67"/>
      <c r="D91" s="66"/>
      <c r="E91" s="66"/>
      <c r="F91" s="66"/>
      <c r="G91" s="66"/>
      <c r="H91" s="66"/>
      <c r="I91" s="66"/>
      <c r="J91" s="68"/>
      <c r="K91" s="69"/>
      <c r="L91" s="69"/>
      <c r="M91" s="69"/>
      <c r="N91" s="71"/>
      <c r="O91" s="20"/>
      <c r="P91" s="20"/>
    </row>
    <row r="92" spans="1:16" s="30" customFormat="1" ht="21" x14ac:dyDescent="0.35">
      <c r="A92" s="65"/>
      <c r="B92" s="66"/>
      <c r="C92" s="66"/>
      <c r="D92" s="66"/>
      <c r="E92" s="66"/>
      <c r="F92" s="66"/>
      <c r="G92" s="66"/>
      <c r="H92" s="66"/>
      <c r="I92" s="66"/>
      <c r="J92" s="66"/>
      <c r="K92" s="69"/>
      <c r="L92" s="69"/>
      <c r="M92" s="69"/>
      <c r="N92" s="65"/>
      <c r="O92" s="20"/>
      <c r="P92" s="20"/>
    </row>
    <row r="93" spans="1:16" s="30" customFormat="1" ht="21" x14ac:dyDescent="0.35">
      <c r="A93" s="65"/>
      <c r="B93" s="66"/>
      <c r="C93" s="66"/>
      <c r="D93" s="66"/>
      <c r="E93" s="66"/>
      <c r="F93" s="66"/>
      <c r="G93" s="66"/>
      <c r="H93" s="66"/>
      <c r="I93" s="66"/>
      <c r="J93" s="66"/>
      <c r="K93" s="69"/>
      <c r="L93" s="69"/>
      <c r="M93" s="69"/>
      <c r="N93" s="65"/>
      <c r="O93" s="20"/>
      <c r="P93" s="20"/>
    </row>
    <row r="94" spans="1:16" s="30" customFormat="1" ht="21" x14ac:dyDescent="0.35">
      <c r="A94" s="65"/>
      <c r="B94" s="66"/>
      <c r="C94" s="66"/>
      <c r="D94" s="66"/>
      <c r="E94" s="66"/>
      <c r="F94" s="66"/>
      <c r="G94" s="66"/>
      <c r="H94" s="66"/>
      <c r="I94" s="66"/>
      <c r="J94" s="66"/>
      <c r="K94" s="69"/>
      <c r="L94" s="69"/>
      <c r="M94" s="69"/>
      <c r="N94" s="65"/>
      <c r="O94" s="20"/>
      <c r="P94" s="20"/>
    </row>
    <row r="95" spans="1:16" s="30" customFormat="1" ht="21" x14ac:dyDescent="0.35">
      <c r="A95" s="65"/>
      <c r="B95" s="66"/>
      <c r="C95" s="66"/>
      <c r="D95" s="66"/>
      <c r="E95" s="66"/>
      <c r="F95" s="66"/>
      <c r="G95" s="66"/>
      <c r="H95" s="66"/>
      <c r="I95" s="66"/>
      <c r="J95" s="66"/>
      <c r="K95" s="69"/>
      <c r="L95" s="69"/>
      <c r="M95" s="69"/>
      <c r="N95" s="65"/>
      <c r="O95" s="20"/>
      <c r="P95" s="20"/>
    </row>
    <row r="96" spans="1:16" s="30" customFormat="1" ht="21" x14ac:dyDescent="0.35">
      <c r="A96" s="65"/>
      <c r="B96" s="66"/>
      <c r="C96" s="66"/>
      <c r="D96" s="66"/>
      <c r="E96" s="66"/>
      <c r="F96" s="66"/>
      <c r="G96" s="66"/>
      <c r="H96" s="66"/>
      <c r="I96" s="66"/>
      <c r="J96" s="66"/>
      <c r="K96" s="69"/>
      <c r="L96" s="69"/>
      <c r="M96" s="69"/>
      <c r="N96" s="65"/>
      <c r="O96" s="20"/>
      <c r="P96" s="20"/>
    </row>
    <row r="97" spans="1:17" s="30" customFormat="1" ht="21" x14ac:dyDescent="0.35">
      <c r="A97" s="65"/>
      <c r="B97" s="66"/>
      <c r="C97" s="66"/>
      <c r="D97" s="66"/>
      <c r="E97" s="66"/>
      <c r="F97" s="66"/>
      <c r="G97" s="66"/>
      <c r="H97" s="66"/>
      <c r="I97" s="66"/>
      <c r="J97" s="66"/>
      <c r="K97" s="69"/>
      <c r="L97" s="69"/>
      <c r="M97" s="69"/>
      <c r="N97" s="65"/>
      <c r="O97" s="20"/>
      <c r="P97" s="20"/>
    </row>
    <row r="98" spans="1:17" s="30" customFormat="1" ht="21" x14ac:dyDescent="0.35">
      <c r="A98" s="65"/>
      <c r="B98" s="66"/>
      <c r="C98" s="66"/>
      <c r="D98" s="66"/>
      <c r="E98" s="66"/>
      <c r="F98" s="66"/>
      <c r="G98" s="66"/>
      <c r="H98" s="66"/>
      <c r="I98" s="66"/>
      <c r="J98" s="66"/>
      <c r="K98" s="69"/>
      <c r="L98" s="69"/>
      <c r="M98" s="69"/>
      <c r="N98" s="65"/>
      <c r="O98" s="20"/>
      <c r="P98" s="20"/>
    </row>
    <row r="99" spans="1:17" s="30" customFormat="1" ht="21" x14ac:dyDescent="0.35">
      <c r="A99" s="65"/>
      <c r="B99" s="66"/>
      <c r="C99" s="66"/>
      <c r="D99" s="66"/>
      <c r="E99" s="66"/>
      <c r="F99" s="66"/>
      <c r="G99" s="66"/>
      <c r="H99" s="66"/>
      <c r="I99" s="66"/>
      <c r="J99" s="66"/>
      <c r="K99" s="69"/>
      <c r="L99" s="69"/>
      <c r="M99" s="69"/>
      <c r="N99" s="65"/>
      <c r="O99" s="20"/>
      <c r="P99" s="20"/>
    </row>
    <row r="100" spans="1:17" s="30" customFormat="1" ht="21" x14ac:dyDescent="0.35">
      <c r="A100" s="65"/>
      <c r="B100" s="66"/>
      <c r="C100" s="72"/>
      <c r="D100" s="66"/>
      <c r="E100" s="66"/>
      <c r="F100" s="66"/>
      <c r="G100" s="66"/>
      <c r="H100" s="66"/>
      <c r="I100" s="66"/>
      <c r="J100" s="66"/>
      <c r="K100" s="69"/>
      <c r="L100" s="69"/>
      <c r="M100" s="69"/>
      <c r="N100" s="65"/>
      <c r="P100" s="20"/>
    </row>
    <row r="101" spans="1:17" s="30" customFormat="1" ht="21" x14ac:dyDescent="0.35">
      <c r="A101" s="65"/>
      <c r="B101" s="66"/>
      <c r="C101" s="66"/>
      <c r="D101" s="66"/>
      <c r="E101" s="66"/>
      <c r="F101" s="66"/>
      <c r="G101" s="66"/>
      <c r="H101" s="66"/>
      <c r="I101" s="66"/>
      <c r="J101" s="66"/>
      <c r="K101" s="69"/>
      <c r="L101" s="69"/>
      <c r="M101" s="69"/>
      <c r="N101" s="65"/>
      <c r="O101" s="20"/>
      <c r="P101" s="20"/>
      <c r="Q101" s="20"/>
    </row>
    <row r="102" spans="1:17" s="30" customFormat="1" ht="21" x14ac:dyDescent="0.35">
      <c r="A102" s="65"/>
      <c r="B102" s="66"/>
      <c r="C102" s="66"/>
      <c r="D102" s="66"/>
      <c r="E102" s="66"/>
      <c r="F102" s="66"/>
      <c r="G102" s="66"/>
      <c r="H102" s="66"/>
      <c r="I102" s="66"/>
      <c r="J102" s="66"/>
      <c r="K102" s="69"/>
      <c r="L102" s="69"/>
      <c r="M102" s="69"/>
      <c r="N102" s="65"/>
      <c r="O102" s="20"/>
      <c r="P102" s="20"/>
    </row>
    <row r="103" spans="1:17" s="30" customFormat="1" ht="21" x14ac:dyDescent="0.35">
      <c r="A103" s="65"/>
      <c r="B103" s="66"/>
      <c r="C103" s="66"/>
      <c r="D103" s="66"/>
      <c r="E103" s="66"/>
      <c r="F103" s="66"/>
      <c r="G103" s="66"/>
      <c r="H103" s="66"/>
      <c r="I103" s="66"/>
      <c r="J103" s="66"/>
      <c r="K103" s="69"/>
      <c r="L103" s="69"/>
      <c r="M103" s="69"/>
      <c r="N103" s="65"/>
      <c r="O103" s="20"/>
      <c r="P103" s="20"/>
    </row>
    <row r="104" spans="1:17" s="30" customFormat="1" ht="21" x14ac:dyDescent="0.35">
      <c r="A104" s="65"/>
      <c r="B104" s="66"/>
      <c r="C104" s="66"/>
      <c r="D104" s="66"/>
      <c r="E104" s="66"/>
      <c r="F104" s="66"/>
      <c r="G104" s="66"/>
      <c r="H104" s="66"/>
      <c r="I104" s="66"/>
      <c r="J104" s="66"/>
      <c r="K104" s="69"/>
      <c r="L104" s="69"/>
      <c r="M104" s="69"/>
      <c r="N104" s="65"/>
      <c r="O104" s="20"/>
      <c r="P104" s="20"/>
    </row>
    <row r="105" spans="1:17" s="30" customFormat="1" ht="21" x14ac:dyDescent="0.35">
      <c r="A105" s="65"/>
      <c r="B105" s="66"/>
      <c r="C105" s="66"/>
      <c r="D105" s="66"/>
      <c r="E105" s="66"/>
      <c r="F105" s="66"/>
      <c r="G105" s="66"/>
      <c r="H105" s="66"/>
      <c r="I105" s="66"/>
      <c r="J105" s="66"/>
      <c r="K105" s="69"/>
      <c r="L105" s="69"/>
      <c r="M105" s="69"/>
      <c r="N105" s="65"/>
      <c r="O105" s="20"/>
      <c r="P105" s="20"/>
    </row>
    <row r="106" spans="1:17" s="30" customFormat="1" ht="21" x14ac:dyDescent="0.35">
      <c r="A106" s="65"/>
      <c r="B106" s="66"/>
      <c r="C106" s="66"/>
      <c r="D106" s="66"/>
      <c r="E106" s="66"/>
      <c r="F106" s="66"/>
      <c r="G106" s="66"/>
      <c r="H106" s="66"/>
      <c r="I106" s="66"/>
      <c r="J106" s="66"/>
      <c r="K106" s="69"/>
      <c r="L106" s="69"/>
      <c r="M106" s="69"/>
      <c r="N106" s="65"/>
      <c r="O106" s="20"/>
      <c r="P106" s="20"/>
    </row>
    <row r="107" spans="1:17" s="30" customFormat="1" ht="21" x14ac:dyDescent="0.35">
      <c r="A107" s="65"/>
      <c r="B107" s="66"/>
      <c r="C107" s="66"/>
      <c r="D107" s="66"/>
      <c r="E107" s="66"/>
      <c r="F107" s="66"/>
      <c r="G107" s="66"/>
      <c r="H107" s="66"/>
      <c r="I107" s="66"/>
      <c r="J107" s="66"/>
      <c r="K107" s="69"/>
      <c r="L107" s="69"/>
      <c r="M107" s="69"/>
      <c r="N107" s="65"/>
      <c r="O107" s="20"/>
      <c r="P107" s="20"/>
    </row>
    <row r="108" spans="1:17" s="30" customFormat="1" ht="21" x14ac:dyDescent="0.35">
      <c r="A108" s="65"/>
      <c r="B108" s="66"/>
      <c r="C108" s="66"/>
      <c r="D108" s="66"/>
      <c r="E108" s="66"/>
      <c r="F108" s="66"/>
      <c r="G108" s="66"/>
      <c r="H108" s="66"/>
      <c r="I108" s="66"/>
      <c r="J108" s="66"/>
      <c r="K108" s="69"/>
      <c r="L108" s="69"/>
      <c r="M108" s="69"/>
      <c r="N108" s="65"/>
      <c r="O108" s="20"/>
      <c r="P108" s="20"/>
    </row>
    <row r="109" spans="1:17" s="30" customFormat="1" ht="21" x14ac:dyDescent="0.35">
      <c r="A109" s="65"/>
      <c r="B109" s="66"/>
      <c r="C109" s="66"/>
      <c r="D109" s="66"/>
      <c r="E109" s="66"/>
      <c r="F109" s="66"/>
      <c r="G109" s="66"/>
      <c r="H109" s="66"/>
      <c r="I109" s="66"/>
      <c r="J109" s="66"/>
      <c r="K109" s="69"/>
      <c r="L109" s="69"/>
      <c r="M109" s="69"/>
      <c r="N109" s="65"/>
      <c r="O109" s="20"/>
      <c r="P109" s="20"/>
    </row>
    <row r="110" spans="1:17" s="30" customFormat="1" ht="21" x14ac:dyDescent="0.35">
      <c r="A110" s="65"/>
      <c r="B110" s="66"/>
      <c r="C110" s="66"/>
      <c r="D110" s="66"/>
      <c r="E110" s="66"/>
      <c r="F110" s="66"/>
      <c r="G110" s="66"/>
      <c r="H110" s="66"/>
      <c r="I110" s="66"/>
      <c r="J110" s="66"/>
      <c r="K110" s="69"/>
      <c r="L110" s="69"/>
      <c r="M110" s="69"/>
      <c r="N110" s="65"/>
      <c r="O110" s="20"/>
      <c r="P110" s="20"/>
    </row>
    <row r="111" spans="1:17" s="30" customFormat="1" ht="21" x14ac:dyDescent="0.35">
      <c r="A111" s="65"/>
      <c r="B111" s="66"/>
      <c r="C111" s="66"/>
      <c r="D111" s="66"/>
      <c r="E111" s="74"/>
      <c r="F111" s="66"/>
      <c r="G111" s="66"/>
      <c r="H111" s="66"/>
      <c r="I111" s="66"/>
      <c r="J111" s="66"/>
      <c r="K111" s="69"/>
      <c r="L111" s="69"/>
      <c r="M111" s="69"/>
      <c r="N111" s="65"/>
      <c r="O111" s="20"/>
      <c r="P111" s="20"/>
    </row>
    <row r="112" spans="1:17" s="30" customFormat="1" ht="21" x14ac:dyDescent="0.35">
      <c r="A112" s="65"/>
      <c r="B112" s="66"/>
      <c r="C112" s="66"/>
      <c r="D112" s="66"/>
      <c r="E112" s="74"/>
      <c r="F112" s="66"/>
      <c r="G112" s="66"/>
      <c r="H112" s="66"/>
      <c r="I112" s="66"/>
      <c r="J112" s="66"/>
      <c r="K112" s="69"/>
      <c r="L112" s="69"/>
      <c r="M112" s="69"/>
      <c r="N112" s="65"/>
      <c r="O112" s="20"/>
      <c r="P112" s="20"/>
    </row>
    <row r="113" spans="1:16" s="30" customFormat="1" ht="21" x14ac:dyDescent="0.35">
      <c r="A113" s="65"/>
      <c r="B113" s="66"/>
      <c r="C113" s="66"/>
      <c r="D113" s="66"/>
      <c r="E113" s="74"/>
      <c r="F113" s="66"/>
      <c r="G113" s="66"/>
      <c r="H113" s="66"/>
      <c r="I113" s="66"/>
      <c r="J113" s="66"/>
      <c r="K113" s="69"/>
      <c r="L113" s="69"/>
      <c r="M113" s="69"/>
      <c r="N113" s="65"/>
      <c r="O113" s="20"/>
      <c r="P113" s="27"/>
    </row>
    <row r="114" spans="1:16" s="30" customFormat="1" ht="21" x14ac:dyDescent="0.35">
      <c r="A114" s="65"/>
      <c r="B114" s="66"/>
      <c r="C114" s="66"/>
      <c r="D114" s="66"/>
      <c r="E114" s="66"/>
      <c r="F114" s="66"/>
      <c r="G114" s="66"/>
      <c r="H114" s="66"/>
      <c r="I114" s="66"/>
      <c r="J114" s="66"/>
      <c r="K114" s="69"/>
      <c r="L114" s="69"/>
      <c r="M114" s="69"/>
      <c r="N114" s="65"/>
      <c r="O114" s="20"/>
      <c r="P114" s="20"/>
    </row>
    <row r="115" spans="1:16" s="30" customFormat="1" ht="21" x14ac:dyDescent="0.35">
      <c r="A115" s="65"/>
      <c r="B115" s="66"/>
      <c r="C115" s="66"/>
      <c r="D115" s="66"/>
      <c r="E115" s="66"/>
      <c r="F115" s="66"/>
      <c r="G115" s="66"/>
      <c r="H115" s="66"/>
      <c r="I115" s="66"/>
      <c r="J115" s="66"/>
      <c r="K115" s="69"/>
      <c r="L115" s="69"/>
      <c r="M115" s="69"/>
      <c r="N115" s="65"/>
      <c r="O115" s="20"/>
      <c r="P115" s="20"/>
    </row>
    <row r="116" spans="1:16" s="30" customFormat="1" ht="21" x14ac:dyDescent="0.35">
      <c r="A116" s="65"/>
      <c r="B116" s="66"/>
      <c r="C116" s="66"/>
      <c r="D116" s="66"/>
      <c r="E116" s="66"/>
      <c r="F116" s="66"/>
      <c r="G116" s="66"/>
      <c r="H116" s="66"/>
      <c r="I116" s="66"/>
      <c r="J116" s="66"/>
      <c r="K116" s="69"/>
      <c r="L116" s="69"/>
      <c r="M116" s="69"/>
      <c r="N116" s="65"/>
      <c r="O116" s="20"/>
      <c r="P116" s="20"/>
    </row>
    <row r="117" spans="1:16" s="30" customFormat="1" ht="21" x14ac:dyDescent="0.35">
      <c r="A117" s="65"/>
      <c r="B117" s="66"/>
      <c r="C117" s="66"/>
      <c r="D117" s="66"/>
      <c r="E117" s="66"/>
      <c r="F117" s="66"/>
      <c r="G117" s="66"/>
      <c r="H117" s="66"/>
      <c r="I117" s="66"/>
      <c r="J117" s="66"/>
      <c r="K117" s="69"/>
      <c r="L117" s="69"/>
      <c r="M117" s="69"/>
      <c r="N117" s="65"/>
      <c r="O117" s="20"/>
      <c r="P117" s="20"/>
    </row>
    <row r="118" spans="1:16" s="30" customFormat="1" ht="21" x14ac:dyDescent="0.35">
      <c r="A118" s="65"/>
      <c r="B118" s="66"/>
      <c r="C118" s="66"/>
      <c r="D118" s="66"/>
      <c r="E118" s="66"/>
      <c r="F118" s="66"/>
      <c r="G118" s="66"/>
      <c r="H118" s="66"/>
      <c r="I118" s="66"/>
      <c r="J118" s="66"/>
      <c r="K118" s="69"/>
      <c r="L118" s="69"/>
      <c r="M118" s="69"/>
      <c r="N118" s="65"/>
      <c r="O118" s="20"/>
      <c r="P118" s="20"/>
    </row>
    <row r="119" spans="1:16" s="30" customFormat="1" ht="21" x14ac:dyDescent="0.35">
      <c r="A119" s="65"/>
      <c r="B119" s="66"/>
      <c r="C119" s="66"/>
      <c r="D119" s="66"/>
      <c r="E119" s="66"/>
      <c r="F119" s="66"/>
      <c r="G119" s="66"/>
      <c r="H119" s="66"/>
      <c r="I119" s="66"/>
      <c r="J119" s="66"/>
      <c r="K119" s="69"/>
      <c r="L119" s="69"/>
      <c r="M119" s="69"/>
      <c r="N119" s="65"/>
      <c r="O119" s="20"/>
      <c r="P119" s="20"/>
    </row>
    <row r="120" spans="1:16" s="30" customFormat="1" ht="21" x14ac:dyDescent="0.35">
      <c r="A120" s="65"/>
      <c r="B120" s="66"/>
      <c r="C120" s="66"/>
      <c r="D120" s="66"/>
      <c r="E120" s="66"/>
      <c r="F120" s="66"/>
      <c r="G120" s="66"/>
      <c r="H120" s="66"/>
      <c r="I120" s="66"/>
      <c r="J120" s="66"/>
      <c r="K120" s="69"/>
      <c r="L120" s="69"/>
      <c r="M120" s="69"/>
      <c r="N120" s="65"/>
      <c r="O120" s="20"/>
      <c r="P120" s="20"/>
    </row>
    <row r="121" spans="1:16" s="30" customFormat="1" ht="21" x14ac:dyDescent="0.35">
      <c r="A121" s="65"/>
      <c r="B121" s="66"/>
      <c r="C121" s="66"/>
      <c r="D121" s="66"/>
      <c r="E121" s="66"/>
      <c r="F121" s="66"/>
      <c r="G121" s="66"/>
      <c r="H121" s="66"/>
      <c r="I121" s="66"/>
      <c r="J121" s="66"/>
      <c r="K121" s="69"/>
      <c r="L121" s="69"/>
      <c r="M121" s="69"/>
      <c r="N121" s="65"/>
      <c r="O121" s="20"/>
      <c r="P121" s="20"/>
    </row>
    <row r="122" spans="1:16" s="30" customFormat="1" ht="21" x14ac:dyDescent="0.35">
      <c r="A122" s="65"/>
      <c r="B122" s="66"/>
      <c r="C122" s="66"/>
      <c r="D122" s="66"/>
      <c r="E122" s="66"/>
      <c r="F122" s="66"/>
      <c r="G122" s="66"/>
      <c r="H122" s="66"/>
      <c r="I122" s="66"/>
      <c r="J122" s="66"/>
      <c r="K122" s="69"/>
      <c r="L122" s="69"/>
      <c r="M122" s="69"/>
      <c r="N122" s="65"/>
      <c r="O122" s="20"/>
      <c r="P122" s="20"/>
    </row>
    <row r="123" spans="1:16" s="30" customFormat="1" ht="21" x14ac:dyDescent="0.35">
      <c r="A123" s="65"/>
      <c r="B123" s="66"/>
      <c r="C123" s="66"/>
      <c r="D123" s="66"/>
      <c r="E123" s="66"/>
      <c r="F123" s="66"/>
      <c r="G123" s="66"/>
      <c r="H123" s="66"/>
      <c r="I123" s="66"/>
      <c r="J123" s="66"/>
      <c r="K123" s="69"/>
      <c r="L123" s="69"/>
      <c r="M123" s="69"/>
      <c r="N123" s="65"/>
      <c r="O123" s="20"/>
      <c r="P123" s="20"/>
    </row>
    <row r="124" spans="1:16" s="30" customFormat="1" ht="21" x14ac:dyDescent="0.35">
      <c r="A124" s="65"/>
      <c r="B124" s="66"/>
      <c r="C124" s="66"/>
      <c r="D124" s="66"/>
      <c r="E124" s="66"/>
      <c r="F124" s="66"/>
      <c r="G124" s="66"/>
      <c r="H124" s="66"/>
      <c r="I124" s="66"/>
      <c r="J124" s="66"/>
      <c r="K124" s="69"/>
      <c r="L124" s="69"/>
      <c r="M124" s="69"/>
      <c r="N124" s="65"/>
      <c r="O124" s="20"/>
      <c r="P124" s="20"/>
    </row>
    <row r="125" spans="1:16" s="30" customFormat="1" ht="21" x14ac:dyDescent="0.35">
      <c r="A125" s="65"/>
      <c r="B125" s="66"/>
      <c r="C125" s="66"/>
      <c r="D125" s="66"/>
      <c r="E125" s="66"/>
      <c r="F125" s="66"/>
      <c r="G125" s="66"/>
      <c r="H125" s="66"/>
      <c r="I125" s="66"/>
      <c r="J125" s="66"/>
      <c r="K125" s="69"/>
      <c r="L125" s="69"/>
      <c r="M125" s="69"/>
      <c r="N125" s="65"/>
      <c r="O125" s="20"/>
      <c r="P125" s="20"/>
    </row>
    <row r="126" spans="1:16" s="30" customFormat="1" ht="21" x14ac:dyDescent="0.35">
      <c r="A126" s="65"/>
      <c r="B126" s="66"/>
      <c r="C126" s="66"/>
      <c r="D126" s="66"/>
      <c r="E126" s="66"/>
      <c r="F126" s="66"/>
      <c r="G126" s="66"/>
      <c r="H126" s="66"/>
      <c r="I126" s="66"/>
      <c r="J126" s="66"/>
      <c r="K126" s="69"/>
      <c r="L126" s="69"/>
      <c r="M126" s="69"/>
      <c r="N126" s="65"/>
      <c r="O126" s="20"/>
      <c r="P126" s="20"/>
    </row>
    <row r="127" spans="1:16" s="30" customFormat="1" ht="18.75" x14ac:dyDescent="0.3">
      <c r="A127" s="65"/>
      <c r="B127" s="20"/>
      <c r="C127" s="66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9"/>
      <c r="O127" s="20"/>
      <c r="P127" s="20"/>
    </row>
    <row r="128" spans="1:16" s="30" customFormat="1" ht="18.75" x14ac:dyDescent="0.3">
      <c r="B128" s="20"/>
      <c r="C128" s="66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9"/>
      <c r="O128" s="20"/>
      <c r="P128" s="20"/>
    </row>
    <row r="129" spans="1:19" s="30" customFormat="1" ht="18.75" x14ac:dyDescent="0.3">
      <c r="C129" s="66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</row>
    <row r="130" spans="1:19" s="30" customFormat="1" ht="18.75" x14ac:dyDescent="0.3">
      <c r="A130" s="76"/>
      <c r="B130" s="72"/>
      <c r="C130" s="66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</row>
    <row r="131" spans="1:19" s="30" customFormat="1" ht="18.75" x14ac:dyDescent="0.3">
      <c r="A131" s="72"/>
      <c r="B131" s="72"/>
      <c r="C131" s="66"/>
      <c r="D131" s="42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</row>
    <row r="132" spans="1:19" s="30" customFormat="1" ht="18.75" x14ac:dyDescent="0.3">
      <c r="A132" s="72"/>
      <c r="B132" s="72"/>
      <c r="C132" s="66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20"/>
    </row>
    <row r="133" spans="1:19" s="30" customFormat="1" ht="18.75" x14ac:dyDescent="0.3">
      <c r="A133" s="72"/>
      <c r="B133" s="72"/>
      <c r="C133" s="66"/>
      <c r="D133" s="77"/>
      <c r="E133" s="78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79"/>
      <c r="R133" s="79"/>
      <c r="S133" s="79"/>
    </row>
    <row r="134" spans="1:19" s="30" customFormat="1" ht="18.75" x14ac:dyDescent="0.3">
      <c r="A134" s="76"/>
      <c r="B134" s="72"/>
      <c r="C134" s="66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P134" s="77"/>
      <c r="Q134" s="79"/>
      <c r="R134" s="79"/>
      <c r="S134" s="79"/>
    </row>
    <row r="135" spans="1:19" s="30" customFormat="1" ht="18.75" x14ac:dyDescent="0.3">
      <c r="A135" s="76"/>
      <c r="B135" s="72"/>
      <c r="C135" s="66"/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/>
    </row>
    <row r="136" spans="1:19" s="30" customFormat="1" ht="18.75" x14ac:dyDescent="0.3">
      <c r="A136" s="72"/>
      <c r="B136" s="72"/>
      <c r="C136" s="66"/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7"/>
      <c r="P136" s="77"/>
      <c r="Q136" s="79"/>
      <c r="R136" s="79"/>
      <c r="S136" s="79"/>
    </row>
    <row r="137" spans="1:19" s="30" customFormat="1" ht="18.75" x14ac:dyDescent="0.3">
      <c r="A137" s="72"/>
      <c r="B137" s="72"/>
      <c r="C137" s="66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9"/>
      <c r="R137" s="79"/>
      <c r="S137" s="79"/>
    </row>
    <row r="138" spans="1:19" s="30" customFormat="1" ht="18.75" x14ac:dyDescent="0.3">
      <c r="A138" s="72"/>
      <c r="B138" s="72"/>
      <c r="C138" s="66"/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9"/>
      <c r="R138" s="79"/>
      <c r="S138" s="79"/>
    </row>
    <row r="139" spans="1:19" s="30" customFormat="1" ht="18.75" x14ac:dyDescent="0.3">
      <c r="A139" s="72"/>
      <c r="B139" s="72"/>
      <c r="C139" s="72"/>
      <c r="D139" s="79"/>
      <c r="E139" s="79"/>
      <c r="F139" s="79"/>
      <c r="G139" s="79"/>
      <c r="H139" s="79"/>
      <c r="I139" s="79"/>
      <c r="J139" s="79"/>
      <c r="K139" s="79"/>
      <c r="L139" s="79"/>
      <c r="M139" s="79"/>
      <c r="N139" s="79"/>
      <c r="O139" s="79"/>
      <c r="P139" s="77"/>
      <c r="Q139" s="79"/>
      <c r="R139" s="79"/>
      <c r="S139" s="79"/>
    </row>
    <row r="140" spans="1:19" s="30" customFormat="1" ht="18.75" x14ac:dyDescent="0.3">
      <c r="A140" s="72"/>
      <c r="B140" s="72"/>
      <c r="C140" s="72"/>
      <c r="D140" s="79"/>
      <c r="E140" s="79"/>
      <c r="F140" s="79"/>
      <c r="G140" s="79"/>
      <c r="H140" s="79"/>
      <c r="I140" s="79"/>
      <c r="J140" s="79"/>
      <c r="K140" s="79"/>
      <c r="L140" s="79"/>
      <c r="M140" s="79"/>
      <c r="N140" s="79"/>
      <c r="O140" s="79"/>
      <c r="P140" s="79"/>
      <c r="Q140" s="79"/>
      <c r="R140" s="79"/>
      <c r="S140" s="79"/>
    </row>
    <row r="141" spans="1:19" s="30" customFormat="1" ht="18.75" x14ac:dyDescent="0.3">
      <c r="A141" s="72"/>
      <c r="B141" s="72"/>
      <c r="C141" s="72"/>
      <c r="D141" s="79"/>
      <c r="E141" s="79"/>
      <c r="F141" s="79"/>
      <c r="G141" s="79"/>
      <c r="H141" s="79"/>
      <c r="I141" s="79"/>
      <c r="J141" s="79"/>
      <c r="K141" s="79"/>
      <c r="L141" s="79"/>
      <c r="M141" s="79"/>
      <c r="N141" s="79"/>
      <c r="O141" s="79"/>
      <c r="P141" s="79"/>
      <c r="Q141" s="79"/>
      <c r="R141" s="79"/>
      <c r="S141" s="79"/>
    </row>
    <row r="142" spans="1:19" s="30" customFormat="1" ht="18.75" x14ac:dyDescent="0.3">
      <c r="A142" s="72"/>
      <c r="B142" s="72"/>
      <c r="C142" s="72"/>
      <c r="D142" s="79"/>
      <c r="E142" s="79"/>
      <c r="F142" s="79"/>
      <c r="G142" s="79"/>
      <c r="H142" s="79"/>
      <c r="I142" s="79"/>
      <c r="J142" s="79"/>
      <c r="K142" s="79"/>
      <c r="L142" s="79"/>
      <c r="M142" s="79"/>
      <c r="N142" s="79"/>
      <c r="O142" s="79"/>
      <c r="P142" s="79"/>
      <c r="Q142" s="79"/>
      <c r="R142" s="79"/>
      <c r="S142" s="79"/>
    </row>
    <row r="143" spans="1:19" s="30" customFormat="1" ht="18.75" x14ac:dyDescent="0.3">
      <c r="A143" s="72"/>
      <c r="B143" s="72"/>
      <c r="C143" s="72"/>
      <c r="D143" s="79"/>
      <c r="E143" s="79"/>
      <c r="F143" s="79"/>
      <c r="G143" s="79"/>
      <c r="H143" s="79"/>
      <c r="I143" s="79"/>
      <c r="J143" s="79"/>
      <c r="K143" s="79"/>
      <c r="L143" s="79"/>
      <c r="M143" s="79"/>
      <c r="N143" s="79"/>
      <c r="O143" s="79"/>
      <c r="P143" s="79"/>
      <c r="Q143" s="79"/>
      <c r="R143" s="79"/>
      <c r="S143" s="79"/>
    </row>
    <row r="144" spans="1:19" s="30" customFormat="1" ht="18.75" x14ac:dyDescent="0.3">
      <c r="A144" s="72"/>
      <c r="B144" s="72"/>
      <c r="C144" s="72"/>
      <c r="D144" s="79"/>
      <c r="E144" s="79"/>
      <c r="F144" s="79"/>
      <c r="G144" s="79"/>
      <c r="H144" s="79"/>
      <c r="I144" s="79"/>
      <c r="J144" s="79"/>
      <c r="K144" s="79"/>
      <c r="L144" s="79"/>
      <c r="M144" s="79"/>
      <c r="N144" s="79"/>
      <c r="O144" s="79"/>
      <c r="P144" s="79"/>
      <c r="Q144" s="79"/>
      <c r="R144" s="79"/>
      <c r="S144" s="79"/>
    </row>
    <row r="145" spans="1:19" s="30" customFormat="1" ht="18.75" x14ac:dyDescent="0.3">
      <c r="A145" s="72"/>
      <c r="B145" s="72"/>
      <c r="P145" s="79"/>
      <c r="Q145" s="79"/>
      <c r="R145" s="79"/>
      <c r="S145" s="79"/>
    </row>
    <row r="146" spans="1:19" s="30" customFormat="1" x14ac:dyDescent="0.25">
      <c r="Q146" s="79"/>
      <c r="R146" s="79"/>
      <c r="S146" s="79"/>
    </row>
    <row r="147" spans="1:19" s="30" customFormat="1" ht="149.25" customHeight="1" x14ac:dyDescent="0.25">
      <c r="Q147" s="79"/>
      <c r="R147" s="79"/>
      <c r="S147" s="79"/>
    </row>
    <row r="148" spans="1:19" s="30" customFormat="1" x14ac:dyDescent="0.25">
      <c r="Q148" s="79"/>
      <c r="R148" s="79"/>
      <c r="S148" s="79"/>
    </row>
    <row r="149" spans="1:19" s="30" customFormat="1" x14ac:dyDescent="0.25">
      <c r="Q149" s="79"/>
      <c r="R149" s="79"/>
      <c r="S149" s="79"/>
    </row>
    <row r="150" spans="1:19" s="30" customFormat="1" x14ac:dyDescent="0.25">
      <c r="Q150" s="79"/>
      <c r="R150" s="79"/>
      <c r="S150" s="79"/>
    </row>
    <row r="151" spans="1:19" s="30" customFormat="1" x14ac:dyDescent="0.25">
      <c r="Q151" s="79"/>
      <c r="R151" s="79"/>
      <c r="S151" s="79"/>
    </row>
    <row r="152" spans="1:19" s="30" customFormat="1" x14ac:dyDescent="0.25">
      <c r="Q152" s="79"/>
      <c r="R152" s="79"/>
      <c r="S152" s="79"/>
    </row>
    <row r="153" spans="1:19" s="30" customFormat="1" x14ac:dyDescent="0.25">
      <c r="Q153" s="79"/>
      <c r="R153" s="79"/>
      <c r="S153" s="79"/>
    </row>
    <row r="154" spans="1:19" s="30" customFormat="1" x14ac:dyDescent="0.25">
      <c r="Q154" s="79"/>
      <c r="R154" s="79"/>
      <c r="S154" s="79"/>
    </row>
    <row r="155" spans="1:19" s="30" customFormat="1" x14ac:dyDescent="0.25">
      <c r="Q155" s="79"/>
      <c r="R155" s="79"/>
      <c r="S155" s="79"/>
    </row>
    <row r="156" spans="1:19" s="30" customFormat="1" x14ac:dyDescent="0.25">
      <c r="Q156" s="79"/>
      <c r="R156" s="79"/>
      <c r="S156" s="79"/>
    </row>
    <row r="157" spans="1:19" s="30" customFormat="1" x14ac:dyDescent="0.25">
      <c r="Q157" s="79"/>
      <c r="R157" s="79"/>
      <c r="S157" s="79"/>
    </row>
    <row r="158" spans="1:19" s="30" customFormat="1" x14ac:dyDescent="0.25">
      <c r="Q158" s="79"/>
      <c r="R158" s="79"/>
      <c r="S158" s="79"/>
    </row>
    <row r="159" spans="1:19" s="30" customFormat="1" x14ac:dyDescent="0.25">
      <c r="Q159" s="79"/>
      <c r="R159" s="79"/>
      <c r="S159" s="79"/>
    </row>
    <row r="160" spans="1:19" s="30" customFormat="1" x14ac:dyDescent="0.25">
      <c r="Q160" s="79"/>
      <c r="R160" s="79"/>
      <c r="S160" s="79"/>
    </row>
    <row r="161" spans="17:19" s="30" customFormat="1" x14ac:dyDescent="0.25">
      <c r="Q161" s="79"/>
      <c r="R161" s="79"/>
      <c r="S161" s="79"/>
    </row>
    <row r="162" spans="17:19" s="30" customFormat="1" x14ac:dyDescent="0.25">
      <c r="Q162" s="79"/>
      <c r="R162" s="79"/>
      <c r="S162" s="79"/>
    </row>
    <row r="163" spans="17:19" s="30" customFormat="1" x14ac:dyDescent="0.25">
      <c r="Q163" s="79"/>
      <c r="R163" s="79"/>
      <c r="S163" s="79"/>
    </row>
    <row r="164" spans="17:19" s="30" customFormat="1" x14ac:dyDescent="0.25">
      <c r="Q164" s="79"/>
      <c r="R164" s="79"/>
      <c r="S164" s="79"/>
    </row>
    <row r="165" spans="17:19" x14ac:dyDescent="0.25">
      <c r="Q165" s="80"/>
      <c r="R165" s="80"/>
      <c r="S165" s="80"/>
    </row>
    <row r="166" spans="17:19" x14ac:dyDescent="0.25">
      <c r="Q166" s="80"/>
      <c r="R166" s="80"/>
      <c r="S166" s="80"/>
    </row>
    <row r="167" spans="17:19" x14ac:dyDescent="0.25">
      <c r="Q167" s="80"/>
      <c r="R167" s="80"/>
      <c r="S167" s="80"/>
    </row>
    <row r="168" spans="17:19" x14ac:dyDescent="0.25">
      <c r="Q168" s="80"/>
      <c r="R168" s="80"/>
      <c r="S168" s="80"/>
    </row>
    <row r="169" spans="17:19" x14ac:dyDescent="0.25">
      <c r="Q169" s="80"/>
      <c r="R169" s="80"/>
      <c r="S169" s="80"/>
    </row>
    <row r="170" spans="17:19" x14ac:dyDescent="0.25">
      <c r="Q170" s="80"/>
      <c r="R170" s="80"/>
      <c r="S170" s="80"/>
    </row>
    <row r="171" spans="17:19" x14ac:dyDescent="0.25">
      <c r="Q171" s="80"/>
      <c r="R171" s="80"/>
      <c r="S171" s="80"/>
    </row>
    <row r="172" spans="17:19" x14ac:dyDescent="0.25">
      <c r="Q172" s="80"/>
      <c r="R172" s="80"/>
      <c r="S172" s="80"/>
    </row>
    <row r="173" spans="17:19" x14ac:dyDescent="0.25">
      <c r="Q173" s="80"/>
      <c r="R173" s="80"/>
      <c r="S173" s="80"/>
    </row>
    <row r="174" spans="17:19" x14ac:dyDescent="0.25">
      <c r="Q174" s="80"/>
      <c r="R174" s="80"/>
      <c r="S174" s="80"/>
    </row>
    <row r="175" spans="17:19" x14ac:dyDescent="0.25">
      <c r="Q175" s="80"/>
      <c r="R175" s="80"/>
      <c r="S175" s="80"/>
    </row>
    <row r="176" spans="17:19" x14ac:dyDescent="0.25">
      <c r="Q176" s="80"/>
      <c r="R176" s="80"/>
      <c r="S176" s="80"/>
    </row>
    <row r="177" spans="17:19" x14ac:dyDescent="0.25">
      <c r="Q177" s="80"/>
      <c r="R177" s="80"/>
      <c r="S177" s="80"/>
    </row>
    <row r="178" spans="17:19" x14ac:dyDescent="0.25">
      <c r="Q178" s="80"/>
      <c r="R178" s="80"/>
      <c r="S178" s="80"/>
    </row>
    <row r="179" spans="17:19" x14ac:dyDescent="0.25">
      <c r="Q179" s="80"/>
      <c r="R179" s="80"/>
      <c r="S179" s="80"/>
    </row>
    <row r="180" spans="17:19" x14ac:dyDescent="0.25">
      <c r="Q180" s="80"/>
      <c r="R180" s="80"/>
      <c r="S180" s="80"/>
    </row>
    <row r="181" spans="17:19" x14ac:dyDescent="0.25">
      <c r="Q181" s="80"/>
      <c r="R181" s="80"/>
      <c r="S181" s="80"/>
    </row>
    <row r="182" spans="17:19" x14ac:dyDescent="0.25">
      <c r="Q182" s="80"/>
      <c r="R182" s="80"/>
      <c r="S182" s="80"/>
    </row>
    <row r="183" spans="17:19" x14ac:dyDescent="0.25">
      <c r="Q183" s="80"/>
      <c r="R183" s="80"/>
      <c r="S183" s="80"/>
    </row>
    <row r="184" spans="17:19" x14ac:dyDescent="0.25">
      <c r="Q184" s="80"/>
      <c r="R184" s="80"/>
      <c r="S184" s="80"/>
    </row>
    <row r="185" spans="17:19" x14ac:dyDescent="0.25">
      <c r="Q185" s="80"/>
      <c r="R185" s="80"/>
      <c r="S185" s="80"/>
    </row>
    <row r="186" spans="17:19" x14ac:dyDescent="0.25">
      <c r="Q186" s="80"/>
      <c r="R186" s="80"/>
      <c r="S186" s="80"/>
    </row>
    <row r="187" spans="17:19" x14ac:dyDescent="0.25">
      <c r="Q187" s="80"/>
      <c r="R187" s="80"/>
      <c r="S187" s="80"/>
    </row>
    <row r="188" spans="17:19" x14ac:dyDescent="0.25">
      <c r="Q188" s="80"/>
      <c r="R188" s="80"/>
      <c r="S188" s="80"/>
    </row>
    <row r="189" spans="17:19" x14ac:dyDescent="0.25">
      <c r="Q189" s="80"/>
      <c r="R189" s="80"/>
      <c r="S189" s="80"/>
    </row>
    <row r="190" spans="17:19" x14ac:dyDescent="0.25">
      <c r="Q190" s="80"/>
      <c r="R190" s="80"/>
      <c r="S190" s="80"/>
    </row>
    <row r="191" spans="17:19" x14ac:dyDescent="0.25">
      <c r="Q191" s="80"/>
      <c r="R191" s="80"/>
      <c r="S191" s="80"/>
    </row>
    <row r="192" spans="17:19" x14ac:dyDescent="0.25">
      <c r="Q192" s="80"/>
      <c r="R192" s="80"/>
      <c r="S192" s="80"/>
    </row>
    <row r="193" spans="17:19" x14ac:dyDescent="0.25">
      <c r="Q193" s="80"/>
      <c r="R193" s="80"/>
      <c r="S193" s="80"/>
    </row>
    <row r="194" spans="17:19" x14ac:dyDescent="0.25">
      <c r="Q194" s="80"/>
      <c r="R194" s="80"/>
      <c r="S194" s="80"/>
    </row>
    <row r="195" spans="17:19" x14ac:dyDescent="0.25">
      <c r="Q195" s="80"/>
      <c r="R195" s="80"/>
      <c r="S195" s="80"/>
    </row>
    <row r="196" spans="17:19" x14ac:dyDescent="0.25">
      <c r="Q196" s="80"/>
      <c r="R196" s="80"/>
      <c r="S196" s="80"/>
    </row>
    <row r="197" spans="17:19" x14ac:dyDescent="0.25">
      <c r="Q197" s="80"/>
      <c r="R197" s="80"/>
      <c r="S197" s="80"/>
    </row>
    <row r="198" spans="17:19" x14ac:dyDescent="0.25">
      <c r="Q198" s="80"/>
      <c r="R198" s="80"/>
      <c r="S198" s="80"/>
    </row>
    <row r="199" spans="17:19" x14ac:dyDescent="0.25">
      <c r="Q199" s="80"/>
      <c r="R199" s="80"/>
      <c r="S199" s="80"/>
    </row>
    <row r="200" spans="17:19" x14ac:dyDescent="0.25">
      <c r="Q200" s="80"/>
      <c r="R200" s="80"/>
      <c r="S200" s="80"/>
    </row>
    <row r="201" spans="17:19" x14ac:dyDescent="0.25">
      <c r="Q201" s="80"/>
      <c r="R201" s="80"/>
      <c r="S201" s="80"/>
    </row>
    <row r="202" spans="17:19" x14ac:dyDescent="0.25">
      <c r="Q202" s="80"/>
      <c r="R202" s="80"/>
      <c r="S202" s="80"/>
    </row>
    <row r="203" spans="17:19" x14ac:dyDescent="0.25">
      <c r="Q203" s="80"/>
      <c r="R203" s="80"/>
      <c r="S203" s="80"/>
    </row>
    <row r="204" spans="17:19" x14ac:dyDescent="0.25">
      <c r="Q204" s="80"/>
      <c r="R204" s="80"/>
      <c r="S204" s="80"/>
    </row>
    <row r="205" spans="17:19" x14ac:dyDescent="0.25">
      <c r="Q205" s="80"/>
      <c r="R205" s="80"/>
      <c r="S205" s="80"/>
    </row>
    <row r="206" spans="17:19" x14ac:dyDescent="0.25">
      <c r="Q206" s="80"/>
      <c r="R206" s="80"/>
      <c r="S206" s="80"/>
    </row>
    <row r="207" spans="17:19" x14ac:dyDescent="0.25">
      <c r="Q207" s="80"/>
      <c r="R207" s="80"/>
      <c r="S207" s="80"/>
    </row>
    <row r="208" spans="17:19" x14ac:dyDescent="0.25">
      <c r="Q208" s="80"/>
      <c r="R208" s="80"/>
      <c r="S208" s="80"/>
    </row>
    <row r="209" spans="17:19" x14ac:dyDescent="0.25">
      <c r="Q209" s="80"/>
      <c r="R209" s="80"/>
      <c r="S209" s="80"/>
    </row>
    <row r="210" spans="17:19" x14ac:dyDescent="0.25">
      <c r="Q210" s="80"/>
      <c r="R210" s="80"/>
      <c r="S210" s="80"/>
    </row>
    <row r="211" spans="17:19" x14ac:dyDescent="0.25">
      <c r="Q211" s="80"/>
      <c r="R211" s="80"/>
      <c r="S211" s="80"/>
    </row>
    <row r="212" spans="17:19" x14ac:dyDescent="0.25">
      <c r="Q212" s="80"/>
      <c r="R212" s="80"/>
      <c r="S212" s="80"/>
    </row>
    <row r="213" spans="17:19" x14ac:dyDescent="0.25">
      <c r="Q213" s="80"/>
      <c r="R213" s="80"/>
      <c r="S213" s="80"/>
    </row>
    <row r="214" spans="17:19" x14ac:dyDescent="0.25">
      <c r="Q214" s="80"/>
      <c r="R214" s="80"/>
      <c r="S214" s="80"/>
    </row>
    <row r="215" spans="17:19" x14ac:dyDescent="0.25">
      <c r="Q215" s="80"/>
      <c r="R215" s="80"/>
      <c r="S215" s="80"/>
    </row>
    <row r="216" spans="17:19" x14ac:dyDescent="0.25">
      <c r="Q216" s="80"/>
      <c r="R216" s="80"/>
      <c r="S216" s="80"/>
    </row>
    <row r="217" spans="17:19" x14ac:dyDescent="0.25">
      <c r="Q217" s="80"/>
      <c r="R217" s="80"/>
      <c r="S217" s="80"/>
    </row>
    <row r="218" spans="17:19" x14ac:dyDescent="0.25">
      <c r="Q218" s="80"/>
      <c r="R218" s="80"/>
      <c r="S218" s="80"/>
    </row>
    <row r="219" spans="17:19" x14ac:dyDescent="0.25">
      <c r="Q219" s="80"/>
      <c r="R219" s="80"/>
      <c r="S219" s="80"/>
    </row>
    <row r="220" spans="17:19" x14ac:dyDescent="0.25">
      <c r="Q220" s="80"/>
      <c r="R220" s="80"/>
      <c r="S220" s="80"/>
    </row>
    <row r="221" spans="17:19" x14ac:dyDescent="0.25">
      <c r="Q221" s="80"/>
      <c r="R221" s="80"/>
      <c r="S221" s="80"/>
    </row>
    <row r="222" spans="17:19" x14ac:dyDescent="0.25">
      <c r="Q222" s="80"/>
      <c r="R222" s="80"/>
      <c r="S222" s="80"/>
    </row>
    <row r="223" spans="17:19" x14ac:dyDescent="0.25">
      <c r="Q223" s="80"/>
      <c r="R223" s="80"/>
      <c r="S223" s="80"/>
    </row>
    <row r="224" spans="17:19" x14ac:dyDescent="0.25">
      <c r="Q224" s="80"/>
      <c r="R224" s="80"/>
      <c r="S224" s="80"/>
    </row>
    <row r="225" spans="17:19" x14ac:dyDescent="0.25">
      <c r="Q225" s="80"/>
      <c r="R225" s="80"/>
      <c r="S225" s="80"/>
    </row>
    <row r="226" spans="17:19" x14ac:dyDescent="0.25">
      <c r="Q226" s="80"/>
      <c r="R226" s="80"/>
      <c r="S226" s="80"/>
    </row>
    <row r="227" spans="17:19" x14ac:dyDescent="0.25">
      <c r="Q227" s="80"/>
      <c r="R227" s="80"/>
      <c r="S227" s="80"/>
    </row>
    <row r="228" spans="17:19" x14ac:dyDescent="0.25">
      <c r="Q228" s="80"/>
      <c r="R228" s="80"/>
      <c r="S228" s="80"/>
    </row>
    <row r="229" spans="17:19" x14ac:dyDescent="0.25">
      <c r="Q229" s="80"/>
      <c r="R229" s="80"/>
      <c r="S229" s="80"/>
    </row>
    <row r="230" spans="17:19" x14ac:dyDescent="0.25">
      <c r="Q230" s="80"/>
      <c r="R230" s="80"/>
      <c r="S230" s="80"/>
    </row>
    <row r="231" spans="17:19" x14ac:dyDescent="0.25">
      <c r="Q231" s="80"/>
      <c r="R231" s="80"/>
      <c r="S231" s="80"/>
    </row>
    <row r="232" spans="17:19" x14ac:dyDescent="0.25">
      <c r="Q232" s="80"/>
      <c r="R232" s="80"/>
      <c r="S232" s="80"/>
    </row>
    <row r="233" spans="17:19" x14ac:dyDescent="0.25">
      <c r="Q233" s="80"/>
      <c r="R233" s="80"/>
      <c r="S233" s="80"/>
    </row>
    <row r="234" spans="17:19" x14ac:dyDescent="0.25">
      <c r="Q234" s="80"/>
      <c r="R234" s="80"/>
      <c r="S234" s="80"/>
    </row>
    <row r="235" spans="17:19" x14ac:dyDescent="0.25">
      <c r="Q235" s="80"/>
      <c r="R235" s="80"/>
      <c r="S235" s="80"/>
    </row>
    <row r="236" spans="17:19" x14ac:dyDescent="0.25">
      <c r="Q236" s="80"/>
      <c r="R236" s="80"/>
      <c r="S236" s="80"/>
    </row>
    <row r="237" spans="17:19" x14ac:dyDescent="0.25">
      <c r="Q237" s="80"/>
      <c r="R237" s="80"/>
      <c r="S237" s="80"/>
    </row>
    <row r="238" spans="17:19" x14ac:dyDescent="0.25">
      <c r="Q238" s="80"/>
      <c r="R238" s="80"/>
      <c r="S238" s="80"/>
    </row>
    <row r="239" spans="17:19" x14ac:dyDescent="0.25">
      <c r="Q239" s="80"/>
      <c r="R239" s="80"/>
      <c r="S239" s="80"/>
    </row>
    <row r="240" spans="17:19" x14ac:dyDescent="0.25">
      <c r="Q240" s="80"/>
      <c r="R240" s="80"/>
      <c r="S240" s="80"/>
    </row>
    <row r="241" spans="17:19" x14ac:dyDescent="0.25">
      <c r="Q241" s="80"/>
      <c r="R241" s="80"/>
      <c r="S241" s="80"/>
    </row>
    <row r="242" spans="17:19" x14ac:dyDescent="0.25">
      <c r="Q242" s="80"/>
      <c r="R242" s="80"/>
      <c r="S242" s="80"/>
    </row>
    <row r="243" spans="17:19" x14ac:dyDescent="0.25">
      <c r="Q243" s="80"/>
      <c r="R243" s="80"/>
      <c r="S243" s="80"/>
    </row>
    <row r="244" spans="17:19" x14ac:dyDescent="0.25">
      <c r="Q244" s="80"/>
      <c r="R244" s="80"/>
      <c r="S244" s="80"/>
    </row>
    <row r="245" spans="17:19" x14ac:dyDescent="0.25">
      <c r="Q245" s="80"/>
      <c r="R245" s="80"/>
      <c r="S245" s="80"/>
    </row>
    <row r="246" spans="17:19" x14ac:dyDescent="0.25">
      <c r="Q246" s="80"/>
      <c r="R246" s="80"/>
      <c r="S246" s="80"/>
    </row>
    <row r="247" spans="17:19" x14ac:dyDescent="0.25">
      <c r="Q247" s="80"/>
      <c r="R247" s="80"/>
      <c r="S247" s="80"/>
    </row>
    <row r="248" spans="17:19" x14ac:dyDescent="0.25">
      <c r="Q248" s="80"/>
      <c r="R248" s="80"/>
      <c r="S248" s="80"/>
    </row>
    <row r="249" spans="17:19" x14ac:dyDescent="0.25">
      <c r="Q249" s="80"/>
      <c r="R249" s="80"/>
      <c r="S249" s="80"/>
    </row>
    <row r="250" spans="17:19" x14ac:dyDescent="0.25">
      <c r="Q250" s="80"/>
      <c r="R250" s="80"/>
      <c r="S250" s="80"/>
    </row>
    <row r="251" spans="17:19" x14ac:dyDescent="0.25">
      <c r="Q251" s="80"/>
      <c r="R251" s="80"/>
      <c r="S251" s="80"/>
    </row>
    <row r="252" spans="17:19" x14ac:dyDescent="0.25">
      <c r="Q252" s="80"/>
      <c r="R252" s="80"/>
      <c r="S252" s="80"/>
    </row>
    <row r="253" spans="17:19" x14ac:dyDescent="0.25">
      <c r="Q253" s="80"/>
      <c r="R253" s="80"/>
      <c r="S253" s="80"/>
    </row>
    <row r="254" spans="17:19" x14ac:dyDescent="0.25">
      <c r="Q254" s="80"/>
      <c r="R254" s="80"/>
      <c r="S254" s="80"/>
    </row>
    <row r="255" spans="17:19" x14ac:dyDescent="0.25">
      <c r="Q255" s="80"/>
      <c r="R255" s="80"/>
      <c r="S255" s="80"/>
    </row>
    <row r="256" spans="17:19" x14ac:dyDescent="0.25">
      <c r="Q256" s="80"/>
      <c r="R256" s="80"/>
      <c r="S256" s="80"/>
    </row>
    <row r="257" spans="17:19" x14ac:dyDescent="0.25">
      <c r="Q257" s="80"/>
      <c r="R257" s="80"/>
      <c r="S257" s="80"/>
    </row>
    <row r="258" spans="17:19" x14ac:dyDescent="0.25">
      <c r="Q258" s="80"/>
      <c r="R258" s="80"/>
      <c r="S258" s="80"/>
    </row>
    <row r="259" spans="17:19" x14ac:dyDescent="0.25">
      <c r="Q259" s="80"/>
      <c r="R259" s="80"/>
      <c r="S259" s="80"/>
    </row>
    <row r="260" spans="17:19" x14ac:dyDescent="0.25">
      <c r="Q260" s="80"/>
      <c r="R260" s="80"/>
      <c r="S260" s="80"/>
    </row>
    <row r="261" spans="17:19" x14ac:dyDescent="0.25">
      <c r="Q261" s="80"/>
      <c r="R261" s="80"/>
      <c r="S261" s="80"/>
    </row>
    <row r="262" spans="17:19" x14ac:dyDescent="0.25">
      <c r="Q262" s="80"/>
      <c r="R262" s="80"/>
      <c r="S262" s="80"/>
    </row>
    <row r="263" spans="17:19" x14ac:dyDescent="0.25">
      <c r="Q263" s="80"/>
      <c r="R263" s="80"/>
      <c r="S263" s="80"/>
    </row>
    <row r="264" spans="17:19" x14ac:dyDescent="0.25">
      <c r="Q264" s="80"/>
      <c r="R264" s="80"/>
      <c r="S264" s="80"/>
    </row>
    <row r="265" spans="17:19" x14ac:dyDescent="0.25">
      <c r="Q265" s="80"/>
      <c r="R265" s="80"/>
      <c r="S265" s="80"/>
    </row>
    <row r="266" spans="17:19" x14ac:dyDescent="0.25">
      <c r="Q266" s="80"/>
      <c r="R266" s="80"/>
      <c r="S266" s="80"/>
    </row>
    <row r="267" spans="17:19" x14ac:dyDescent="0.25">
      <c r="Q267" s="80"/>
      <c r="R267" s="80"/>
      <c r="S267" s="80"/>
    </row>
    <row r="268" spans="17:19" x14ac:dyDescent="0.25">
      <c r="Q268" s="80"/>
      <c r="R268" s="80"/>
      <c r="S268" s="80"/>
    </row>
    <row r="269" spans="17:19" x14ac:dyDescent="0.25">
      <c r="Q269" s="80"/>
      <c r="R269" s="80"/>
      <c r="S269" s="80"/>
    </row>
    <row r="270" spans="17:19" x14ac:dyDescent="0.25">
      <c r="Q270" s="80"/>
      <c r="R270" s="80"/>
      <c r="S270" s="80"/>
    </row>
    <row r="271" spans="17:19" x14ac:dyDescent="0.25">
      <c r="Q271" s="80"/>
      <c r="R271" s="80"/>
      <c r="S271" s="80"/>
    </row>
    <row r="272" spans="17:19" x14ac:dyDescent="0.25">
      <c r="Q272" s="80"/>
      <c r="R272" s="80"/>
      <c r="S272" s="80"/>
    </row>
    <row r="273" spans="3:19" x14ac:dyDescent="0.25">
      <c r="Q273" s="80"/>
      <c r="R273" s="80"/>
      <c r="S273" s="80"/>
    </row>
    <row r="274" spans="3:19" x14ac:dyDescent="0.25">
      <c r="Q274" s="80"/>
      <c r="R274" s="80"/>
      <c r="S274" s="80"/>
    </row>
    <row r="275" spans="3:19" x14ac:dyDescent="0.25">
      <c r="Q275" s="80"/>
      <c r="R275" s="80"/>
      <c r="S275" s="80"/>
    </row>
    <row r="276" spans="3:19" x14ac:dyDescent="0.25">
      <c r="Q276" s="80"/>
      <c r="R276" s="80"/>
      <c r="S276" s="80"/>
    </row>
    <row r="277" spans="3:19" x14ac:dyDescent="0.25">
      <c r="Q277" s="80"/>
      <c r="R277" s="80"/>
      <c r="S277" s="80"/>
    </row>
    <row r="278" spans="3:19" x14ac:dyDescent="0.25">
      <c r="Q278" s="80"/>
      <c r="R278" s="80"/>
      <c r="S278" s="80"/>
    </row>
    <row r="279" spans="3:19" x14ac:dyDescent="0.25">
      <c r="Q279" s="80"/>
      <c r="R279" s="80"/>
      <c r="S279" s="80"/>
    </row>
    <row r="280" spans="3:19" x14ac:dyDescent="0.25">
      <c r="Q280" s="80"/>
      <c r="R280" s="80"/>
      <c r="S280" s="80"/>
    </row>
    <row r="281" spans="3:19" x14ac:dyDescent="0.25">
      <c r="Q281" s="80"/>
      <c r="R281" s="80"/>
      <c r="S281" s="80"/>
    </row>
    <row r="282" spans="3:19" x14ac:dyDescent="0.25">
      <c r="Q282" s="80"/>
      <c r="R282" s="80"/>
      <c r="S282" s="80"/>
    </row>
    <row r="283" spans="3:19" x14ac:dyDescent="0.25">
      <c r="Q283" s="80"/>
      <c r="R283" s="80"/>
      <c r="S283" s="80"/>
    </row>
    <row r="284" spans="3:19" x14ac:dyDescent="0.25">
      <c r="Q284" s="80"/>
      <c r="R284" s="80"/>
      <c r="S284" s="80"/>
    </row>
    <row r="285" spans="3:19" x14ac:dyDescent="0.25">
      <c r="Q285" s="80"/>
      <c r="R285" s="80"/>
      <c r="S285" s="80"/>
    </row>
    <row r="286" spans="3:19" x14ac:dyDescent="0.25">
      <c r="Q286" s="80"/>
      <c r="R286" s="80"/>
      <c r="S286" s="80"/>
    </row>
    <row r="287" spans="3:19" x14ac:dyDescent="0.25">
      <c r="Q287" s="80"/>
      <c r="R287" s="80"/>
      <c r="S287" s="80"/>
    </row>
    <row r="288" spans="3:19" x14ac:dyDescent="0.25">
      <c r="C288" s="80"/>
      <c r="D288" s="80"/>
      <c r="E288" s="80"/>
      <c r="F288" s="80"/>
      <c r="G288" s="80"/>
      <c r="H288" s="80"/>
      <c r="I288" s="80"/>
      <c r="J288" s="80"/>
      <c r="K288" s="80"/>
      <c r="L288" s="80"/>
      <c r="M288" s="80"/>
      <c r="N288" s="80"/>
      <c r="O288" s="80"/>
      <c r="Q288" s="80"/>
      <c r="R288" s="80"/>
      <c r="S288" s="80"/>
    </row>
    <row r="289" spans="3:19" x14ac:dyDescent="0.25">
      <c r="C289" s="80"/>
      <c r="D289" s="80"/>
      <c r="E289" s="80"/>
      <c r="F289" s="80"/>
      <c r="G289" s="80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</row>
    <row r="290" spans="3:19" x14ac:dyDescent="0.25">
      <c r="C290" s="80"/>
      <c r="D290" s="80"/>
      <c r="E290" s="80"/>
      <c r="F290" s="80"/>
      <c r="G290" s="80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</row>
    <row r="291" spans="3:19" x14ac:dyDescent="0.25">
      <c r="C291" s="80"/>
      <c r="D291" s="80"/>
      <c r="E291" s="80"/>
      <c r="F291" s="80"/>
      <c r="G291" s="80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</row>
    <row r="292" spans="3:19" x14ac:dyDescent="0.25">
      <c r="C292" s="80"/>
      <c r="D292" s="80"/>
      <c r="E292" s="80"/>
      <c r="F292" s="80"/>
      <c r="G292" s="80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</row>
    <row r="293" spans="3:19" x14ac:dyDescent="0.25">
      <c r="C293" s="80"/>
      <c r="D293" s="80"/>
      <c r="E293" s="80"/>
      <c r="F293" s="80"/>
      <c r="G293" s="80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</row>
    <row r="294" spans="3:19" x14ac:dyDescent="0.25">
      <c r="C294" s="80"/>
      <c r="D294" s="80"/>
      <c r="E294" s="80"/>
      <c r="F294" s="80"/>
      <c r="G294" s="80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</row>
    <row r="295" spans="3:19" x14ac:dyDescent="0.25">
      <c r="C295" s="80"/>
      <c r="D295" s="80"/>
      <c r="E295" s="80"/>
      <c r="F295" s="80"/>
      <c r="G295" s="80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</row>
    <row r="296" spans="3:19" x14ac:dyDescent="0.25">
      <c r="C296" s="80"/>
      <c r="D296" s="80"/>
      <c r="E296" s="80"/>
      <c r="F296" s="80"/>
      <c r="G296" s="80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</row>
    <row r="297" spans="3:19" x14ac:dyDescent="0.25">
      <c r="C297" s="80"/>
      <c r="D297" s="80"/>
      <c r="E297" s="80"/>
      <c r="F297" s="80"/>
      <c r="G297" s="80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</row>
    <row r="298" spans="3:19" x14ac:dyDescent="0.25">
      <c r="C298" s="80"/>
      <c r="D298" s="80"/>
      <c r="E298" s="80"/>
      <c r="F298" s="80"/>
      <c r="G298" s="80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</row>
    <row r="299" spans="3:19" x14ac:dyDescent="0.25">
      <c r="C299" s="80"/>
      <c r="D299" s="80"/>
      <c r="E299" s="80"/>
      <c r="F299" s="80"/>
      <c r="G299" s="80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</row>
    <row r="300" spans="3:19" x14ac:dyDescent="0.25">
      <c r="C300" s="80"/>
      <c r="D300" s="80"/>
      <c r="E300" s="80"/>
      <c r="F300" s="80"/>
      <c r="G300" s="80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</row>
    <row r="301" spans="3:19" x14ac:dyDescent="0.25">
      <c r="C301" s="80"/>
      <c r="D301" s="80"/>
      <c r="E301" s="80"/>
      <c r="F301" s="80"/>
      <c r="G301" s="80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</row>
    <row r="302" spans="3:19" x14ac:dyDescent="0.25">
      <c r="C302" s="80"/>
      <c r="D302" s="80"/>
      <c r="E302" s="80"/>
      <c r="F302" s="80"/>
      <c r="G302" s="80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</row>
    <row r="303" spans="3:19" x14ac:dyDescent="0.25">
      <c r="C303" s="80"/>
      <c r="D303" s="80"/>
      <c r="E303" s="80"/>
      <c r="F303" s="80"/>
      <c r="G303" s="80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</row>
    <row r="304" spans="3:19" x14ac:dyDescent="0.25">
      <c r="C304" s="80"/>
      <c r="D304" s="80"/>
      <c r="E304" s="80"/>
      <c r="F304" s="80"/>
      <c r="G304" s="80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</row>
    <row r="305" spans="3:19" x14ac:dyDescent="0.25">
      <c r="C305" s="80"/>
      <c r="D305" s="80"/>
      <c r="E305" s="80"/>
      <c r="F305" s="80"/>
      <c r="G305" s="80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</row>
    <row r="306" spans="3:19" x14ac:dyDescent="0.25">
      <c r="C306" s="80"/>
      <c r="D306" s="80"/>
      <c r="E306" s="80"/>
      <c r="F306" s="80"/>
      <c r="G306" s="80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</row>
    <row r="307" spans="3:19" x14ac:dyDescent="0.25">
      <c r="C307" s="80"/>
      <c r="D307" s="80"/>
      <c r="E307" s="80"/>
      <c r="F307" s="80"/>
      <c r="G307" s="80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</row>
    <row r="308" spans="3:19" x14ac:dyDescent="0.25">
      <c r="C308" s="80"/>
      <c r="D308" s="80"/>
      <c r="E308" s="80"/>
      <c r="F308" s="80"/>
      <c r="G308" s="80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</row>
    <row r="309" spans="3:19" x14ac:dyDescent="0.25">
      <c r="C309" s="80"/>
      <c r="D309" s="80"/>
      <c r="E309" s="80"/>
      <c r="F309" s="80"/>
      <c r="G309" s="80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</row>
    <row r="310" spans="3:19" x14ac:dyDescent="0.25">
      <c r="C310" s="80"/>
      <c r="D310" s="80"/>
      <c r="E310" s="80"/>
      <c r="F310" s="80"/>
      <c r="G310" s="80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</row>
    <row r="311" spans="3:19" x14ac:dyDescent="0.25">
      <c r="C311" s="80"/>
      <c r="D311" s="80"/>
      <c r="E311" s="80"/>
      <c r="F311" s="80"/>
      <c r="G311" s="80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</row>
    <row r="312" spans="3:19" x14ac:dyDescent="0.25">
      <c r="C312" s="80"/>
      <c r="D312" s="80"/>
      <c r="E312" s="80"/>
      <c r="F312" s="80"/>
      <c r="G312" s="80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</row>
    <row r="313" spans="3:19" x14ac:dyDescent="0.25">
      <c r="C313" s="80"/>
      <c r="D313" s="80"/>
      <c r="E313" s="80"/>
      <c r="F313" s="80"/>
      <c r="G313" s="80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</row>
    <row r="314" spans="3:19" x14ac:dyDescent="0.25">
      <c r="C314" s="80"/>
      <c r="D314" s="80"/>
      <c r="E314" s="80"/>
      <c r="F314" s="80"/>
      <c r="G314" s="80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</row>
    <row r="315" spans="3:19" x14ac:dyDescent="0.25">
      <c r="C315" s="80"/>
      <c r="D315" s="80"/>
      <c r="E315" s="80"/>
      <c r="F315" s="80"/>
      <c r="G315" s="80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</row>
    <row r="316" spans="3:19" x14ac:dyDescent="0.25">
      <c r="C316" s="80"/>
      <c r="D316" s="80"/>
      <c r="E316" s="80"/>
      <c r="F316" s="80"/>
      <c r="G316" s="80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</row>
    <row r="317" spans="3:19" x14ac:dyDescent="0.25">
      <c r="C317" s="80"/>
      <c r="D317" s="80"/>
      <c r="E317" s="80"/>
      <c r="F317" s="80"/>
      <c r="G317" s="80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</row>
    <row r="318" spans="3:19" x14ac:dyDescent="0.25">
      <c r="C318" s="80"/>
      <c r="D318" s="80"/>
      <c r="E318" s="80"/>
      <c r="F318" s="80"/>
      <c r="G318" s="80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</row>
    <row r="319" spans="3:19" x14ac:dyDescent="0.25">
      <c r="C319" s="80"/>
      <c r="D319" s="80"/>
      <c r="E319" s="80"/>
      <c r="F319" s="80"/>
      <c r="G319" s="80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</row>
    <row r="320" spans="3:19" x14ac:dyDescent="0.25">
      <c r="C320" s="80"/>
      <c r="D320" s="80"/>
      <c r="E320" s="80"/>
      <c r="F320" s="80"/>
      <c r="G320" s="80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</row>
    <row r="321" spans="3:19" x14ac:dyDescent="0.25">
      <c r="C321" s="80"/>
      <c r="D321" s="80"/>
      <c r="E321" s="80"/>
      <c r="F321" s="80"/>
      <c r="G321" s="80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</row>
    <row r="322" spans="3:19" x14ac:dyDescent="0.25">
      <c r="C322" s="80"/>
      <c r="D322" s="80"/>
      <c r="E322" s="80"/>
      <c r="F322" s="80"/>
      <c r="G322" s="80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</row>
    <row r="323" spans="3:19" x14ac:dyDescent="0.25">
      <c r="C323" s="80"/>
      <c r="D323" s="80"/>
      <c r="E323" s="80"/>
      <c r="F323" s="80"/>
      <c r="G323" s="80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</row>
    <row r="324" spans="3:19" x14ac:dyDescent="0.25">
      <c r="C324" s="80"/>
      <c r="D324" s="80"/>
      <c r="E324" s="80"/>
      <c r="F324" s="80"/>
      <c r="G324" s="80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</row>
    <row r="325" spans="3:19" x14ac:dyDescent="0.25">
      <c r="C325" s="80"/>
      <c r="D325" s="80"/>
      <c r="E325" s="80"/>
      <c r="F325" s="80"/>
      <c r="G325" s="80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</row>
    <row r="326" spans="3:19" x14ac:dyDescent="0.25">
      <c r="C326" s="80"/>
      <c r="D326" s="80"/>
      <c r="E326" s="80"/>
      <c r="F326" s="80"/>
      <c r="G326" s="80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</row>
    <row r="327" spans="3:19" x14ac:dyDescent="0.25">
      <c r="C327" s="80"/>
      <c r="D327" s="80"/>
      <c r="E327" s="80"/>
      <c r="F327" s="80"/>
      <c r="G327" s="80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</row>
    <row r="328" spans="3:19" x14ac:dyDescent="0.25">
      <c r="C328" s="80"/>
      <c r="D328" s="80"/>
      <c r="E328" s="80"/>
      <c r="F328" s="80"/>
      <c r="G328" s="80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</row>
    <row r="329" spans="3:19" x14ac:dyDescent="0.25">
      <c r="C329" s="80"/>
      <c r="D329" s="80"/>
      <c r="E329" s="80"/>
      <c r="F329" s="80"/>
      <c r="G329" s="80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</row>
    <row r="330" spans="3:19" x14ac:dyDescent="0.25">
      <c r="C330" s="80"/>
      <c r="D330" s="80"/>
      <c r="E330" s="80"/>
      <c r="F330" s="80"/>
      <c r="G330" s="80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</row>
    <row r="331" spans="3:19" x14ac:dyDescent="0.25">
      <c r="C331" s="80"/>
      <c r="D331" s="80"/>
      <c r="E331" s="80"/>
      <c r="F331" s="80"/>
      <c r="G331" s="80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</row>
    <row r="332" spans="3:19" x14ac:dyDescent="0.25">
      <c r="C332" s="80"/>
      <c r="D332" s="80"/>
      <c r="E332" s="80"/>
      <c r="F332" s="80"/>
      <c r="G332" s="80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</row>
    <row r="333" spans="3:19" x14ac:dyDescent="0.25">
      <c r="C333" s="80"/>
      <c r="D333" s="80"/>
      <c r="E333" s="80"/>
      <c r="F333" s="80"/>
      <c r="G333" s="80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</row>
    <row r="334" spans="3:19" x14ac:dyDescent="0.25">
      <c r="C334" s="80"/>
      <c r="D334" s="80"/>
      <c r="E334" s="80"/>
      <c r="F334" s="80"/>
      <c r="G334" s="80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</row>
    <row r="335" spans="3:19" x14ac:dyDescent="0.25">
      <c r="C335" s="80"/>
      <c r="D335" s="80"/>
      <c r="E335" s="80"/>
      <c r="F335" s="80"/>
      <c r="G335" s="80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</row>
    <row r="336" spans="3:19" x14ac:dyDescent="0.25">
      <c r="C336" s="80"/>
      <c r="D336" s="80"/>
      <c r="E336" s="80"/>
      <c r="F336" s="80"/>
      <c r="G336" s="80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</row>
    <row r="337" spans="3:19" x14ac:dyDescent="0.25">
      <c r="C337" s="80"/>
      <c r="D337" s="80"/>
      <c r="E337" s="80"/>
      <c r="F337" s="80"/>
      <c r="G337" s="80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</row>
    <row r="338" spans="3:19" x14ac:dyDescent="0.25">
      <c r="C338" s="80"/>
      <c r="D338" s="80"/>
      <c r="E338" s="80"/>
      <c r="F338" s="80"/>
      <c r="G338" s="80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x14ac:dyDescent="0.25">
      <c r="C339" s="80"/>
      <c r="D339" s="80"/>
      <c r="E339" s="80"/>
      <c r="F339" s="80"/>
      <c r="G339" s="80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x14ac:dyDescent="0.25">
      <c r="C340" s="80"/>
      <c r="D340" s="80"/>
      <c r="E340" s="80"/>
      <c r="F340" s="80"/>
      <c r="G340" s="80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x14ac:dyDescent="0.25">
      <c r="C341" s="80"/>
      <c r="D341" s="80"/>
      <c r="E341" s="80"/>
      <c r="F341" s="80"/>
      <c r="G341" s="80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x14ac:dyDescent="0.25">
      <c r="C342" s="80"/>
      <c r="D342" s="80"/>
      <c r="E342" s="80"/>
      <c r="F342" s="80"/>
      <c r="G342" s="80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x14ac:dyDescent="0.25">
      <c r="C343" s="80"/>
      <c r="D343" s="80"/>
      <c r="E343" s="80"/>
      <c r="F343" s="80"/>
      <c r="G343" s="80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x14ac:dyDescent="0.25">
      <c r="P344" s="80"/>
      <c r="Q344" s="80"/>
      <c r="R344" s="80"/>
      <c r="S344" s="80"/>
    </row>
  </sheetData>
  <mergeCells count="5">
    <mergeCell ref="L77:M77"/>
    <mergeCell ref="C17:D17"/>
    <mergeCell ref="K49:M49"/>
    <mergeCell ref="L52:M52"/>
    <mergeCell ref="K76:M76"/>
  </mergeCells>
  <printOptions horizontalCentered="1"/>
  <pageMargins left="0.75" right="0.75" top="0.52" bottom="0.52" header="0.5" footer="0.5"/>
  <pageSetup scale="65" orientation="landscape" r:id="rId1"/>
  <headerFooter alignWithMargins="0"/>
  <rowBreaks count="1" manualBreakCount="1">
    <brk id="42" max="12" man="1"/>
  </rowBreaks>
  <colBreaks count="1" manualBreakCount="1">
    <brk id="13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575"/>
  <sheetViews>
    <sheetView workbookViewId="0"/>
  </sheetViews>
  <sheetFormatPr defaultColWidth="9.33203125" defaultRowHeight="15.75" x14ac:dyDescent="0.25"/>
  <cols>
    <col min="1" max="1" width="9" style="1" customWidth="1"/>
    <col min="2" max="2" width="2.1640625" style="1" customWidth="1"/>
    <col min="3" max="3" width="75.5" style="1" bestFit="1" customWidth="1"/>
    <col min="4" max="4" width="31.1640625" style="1" customWidth="1"/>
    <col min="5" max="5" width="24.1640625" style="1" customWidth="1"/>
    <col min="6" max="6" width="15" style="1" customWidth="1"/>
    <col min="7" max="7" width="20.6640625" style="1" customWidth="1"/>
    <col min="8" max="8" width="18.5" style="1" customWidth="1"/>
    <col min="9" max="9" width="8.6640625" style="1" customWidth="1"/>
    <col min="10" max="10" width="23" style="1" customWidth="1"/>
    <col min="11" max="11" width="9.33203125" style="1" customWidth="1"/>
    <col min="12" max="12" width="11.6640625" style="1" customWidth="1"/>
    <col min="13" max="13" width="2.83203125" style="1" customWidth="1"/>
    <col min="14" max="14" width="41" style="30" customWidth="1"/>
    <col min="15" max="15" width="48.83203125" style="30" customWidth="1"/>
    <col min="16" max="16" width="23.5" style="30" customWidth="1"/>
    <col min="17" max="17" width="20.5" style="30" customWidth="1"/>
    <col min="18" max="18" width="20.83203125" style="30" customWidth="1"/>
    <col min="19" max="19" width="23.6640625" style="30" bestFit="1" customWidth="1"/>
    <col min="20" max="20" width="22.1640625" style="30" bestFit="1" customWidth="1"/>
    <col min="21" max="21" width="23" style="30" bestFit="1" customWidth="1"/>
    <col min="22" max="22" width="19.83203125" style="30" customWidth="1"/>
    <col min="23" max="23" width="20.33203125" style="30" customWidth="1"/>
    <col min="24" max="24" width="23.5" style="30" bestFit="1" customWidth="1"/>
    <col min="25" max="25" width="21.6640625" style="30" bestFit="1" customWidth="1"/>
    <col min="26" max="26" width="16.1640625" style="30" customWidth="1"/>
    <col min="27" max="28" width="23.5" style="30" bestFit="1" customWidth="1"/>
    <col min="29" max="29" width="21.33203125" style="30" bestFit="1" customWidth="1"/>
    <col min="30" max="30" width="23.5" style="30" bestFit="1" customWidth="1"/>
    <col min="31" max="31" width="21.33203125" style="30" bestFit="1" customWidth="1"/>
    <col min="32" max="32" width="20.6640625" style="30" bestFit="1" customWidth="1"/>
    <col min="33" max="43" width="9.33203125" style="30"/>
    <col min="44" max="16384" width="9.33203125" style="1"/>
  </cols>
  <sheetData>
    <row r="1" spans="1:32" s="1" customFormat="1" x14ac:dyDescent="0.25">
      <c r="A1" s="190" t="s">
        <v>185</v>
      </c>
      <c r="B1" s="191"/>
      <c r="C1" s="192"/>
      <c r="D1" s="192"/>
      <c r="E1" s="192"/>
      <c r="F1" s="192"/>
      <c r="G1" s="192"/>
      <c r="H1" s="192"/>
      <c r="I1" s="192"/>
      <c r="J1" s="192"/>
      <c r="K1" s="2"/>
      <c r="L1" s="2"/>
      <c r="M1" s="188"/>
      <c r="N1" s="20"/>
      <c r="O1" s="35"/>
      <c r="P1" s="36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</row>
    <row r="2" spans="1:32" s="1" customFormat="1" x14ac:dyDescent="0.25">
      <c r="A2" s="190" t="s">
        <v>249</v>
      </c>
      <c r="B2" s="191"/>
      <c r="C2" s="192"/>
      <c r="D2" s="192"/>
      <c r="E2" s="192"/>
      <c r="F2" s="192"/>
      <c r="G2" s="192"/>
      <c r="H2" s="192"/>
      <c r="I2" s="192"/>
      <c r="J2" s="192"/>
      <c r="K2" s="2"/>
      <c r="L2" s="2"/>
      <c r="M2" s="188"/>
      <c r="N2" s="20"/>
      <c r="O2" s="20"/>
      <c r="P2" s="37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</row>
    <row r="3" spans="1:32" s="1" customFormat="1" x14ac:dyDescent="0.25">
      <c r="C3" s="6"/>
      <c r="D3" s="2"/>
      <c r="E3" s="3"/>
      <c r="F3" s="2"/>
      <c r="G3" s="2"/>
      <c r="H3" s="2"/>
      <c r="I3" s="4"/>
      <c r="J3" s="4"/>
      <c r="K3" s="4"/>
      <c r="L3" s="4"/>
      <c r="M3" s="4"/>
      <c r="N3" s="20"/>
      <c r="O3" s="20"/>
      <c r="P3" s="37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</row>
    <row r="4" spans="1:32" s="1" customFormat="1" x14ac:dyDescent="0.25">
      <c r="A4" s="1" t="s">
        <v>186</v>
      </c>
      <c r="C4" s="2"/>
      <c r="D4" s="2"/>
      <c r="E4" s="7"/>
      <c r="F4" s="2"/>
      <c r="G4" s="2"/>
      <c r="H4" s="2"/>
      <c r="I4" s="4"/>
      <c r="J4" s="206" t="str">
        <f>"For the 12 months ended "&amp;TEXT('OATT Input Data'!B4,"MM/DD/YYYY")</f>
        <v>For the 12 months ended 12/31/2015</v>
      </c>
      <c r="K4" s="4"/>
      <c r="L4" s="4"/>
      <c r="M4" s="4"/>
      <c r="N4" s="20"/>
      <c r="O4" s="20"/>
      <c r="P4" s="2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</row>
    <row r="5" spans="1:32" s="1" customFormat="1" x14ac:dyDescent="0.25">
      <c r="A5" s="207" t="s">
        <v>187</v>
      </c>
      <c r="C5" s="2"/>
      <c r="F5" s="8"/>
      <c r="G5" s="8"/>
      <c r="H5" s="8"/>
      <c r="I5" s="2"/>
      <c r="J5" s="206" t="s">
        <v>123</v>
      </c>
      <c r="K5" s="192"/>
      <c r="L5" s="192"/>
      <c r="M5" s="4"/>
      <c r="N5" s="20"/>
      <c r="O5" s="20"/>
      <c r="P5" s="2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</row>
    <row r="6" spans="1:32" s="1" customFormat="1" x14ac:dyDescent="0.25"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20"/>
      <c r="O6" s="20"/>
      <c r="P6" s="2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</row>
    <row r="7" spans="1:32" s="1" customFormat="1" x14ac:dyDescent="0.25">
      <c r="A7" s="209" t="s">
        <v>130</v>
      </c>
      <c r="B7" s="191"/>
      <c r="C7" s="192"/>
      <c r="D7" s="192"/>
      <c r="E7" s="191"/>
      <c r="F7" s="192"/>
      <c r="G7" s="192"/>
      <c r="H7" s="192"/>
      <c r="I7" s="192"/>
      <c r="J7" s="192"/>
      <c r="K7" s="2"/>
      <c r="L7" s="2"/>
      <c r="M7" s="4"/>
      <c r="N7" s="44"/>
      <c r="O7" s="44"/>
      <c r="P7" s="19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</row>
    <row r="8" spans="1:32" s="1" customFormat="1" x14ac:dyDescent="0.25">
      <c r="C8" s="5" t="s">
        <v>18</v>
      </c>
      <c r="D8" s="5" t="s">
        <v>19</v>
      </c>
      <c r="E8" s="5" t="s">
        <v>20</v>
      </c>
      <c r="F8" s="8" t="s">
        <v>0</v>
      </c>
      <c r="G8" s="8"/>
      <c r="H8" s="383" t="s">
        <v>21</v>
      </c>
      <c r="I8" s="8"/>
      <c r="J8" s="384" t="s">
        <v>22</v>
      </c>
      <c r="K8" s="8"/>
      <c r="L8" s="5"/>
      <c r="M8" s="8"/>
      <c r="N8" s="29"/>
      <c r="O8" s="44"/>
      <c r="P8" s="19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</row>
    <row r="9" spans="1:32" s="1" customFormat="1" x14ac:dyDescent="0.25">
      <c r="C9" s="2"/>
      <c r="D9" s="385" t="s">
        <v>23</v>
      </c>
      <c r="E9" s="8"/>
      <c r="F9" s="8"/>
      <c r="G9" s="8"/>
      <c r="H9" s="5"/>
      <c r="I9" s="8"/>
      <c r="J9" s="386" t="s">
        <v>24</v>
      </c>
      <c r="K9" s="8"/>
      <c r="L9" s="5"/>
      <c r="M9" s="8"/>
      <c r="N9" s="29"/>
      <c r="O9" s="29"/>
      <c r="P9" s="19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</row>
    <row r="10" spans="1:32" s="1" customFormat="1" x14ac:dyDescent="0.25">
      <c r="A10" s="5" t="s">
        <v>1</v>
      </c>
      <c r="C10" s="2"/>
      <c r="D10" s="387" t="s">
        <v>25</v>
      </c>
      <c r="E10" s="386" t="s">
        <v>26</v>
      </c>
      <c r="F10" s="388"/>
      <c r="G10" s="386" t="s">
        <v>27</v>
      </c>
      <c r="I10" s="388"/>
      <c r="J10" s="389" t="s">
        <v>28</v>
      </c>
      <c r="K10" s="8"/>
      <c r="L10" s="5"/>
      <c r="M10" s="4"/>
      <c r="N10" s="29"/>
      <c r="O10" s="29"/>
      <c r="P10" s="19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</row>
    <row r="11" spans="1:32" s="1" customFormat="1" ht="16.5" thickBot="1" x14ac:dyDescent="0.3">
      <c r="A11" s="10" t="s">
        <v>3</v>
      </c>
      <c r="C11" s="390" t="s">
        <v>29</v>
      </c>
      <c r="D11" s="8"/>
      <c r="E11" s="8"/>
      <c r="F11" s="8"/>
      <c r="G11" s="8"/>
      <c r="H11" s="8"/>
      <c r="I11" s="8"/>
      <c r="J11" s="8"/>
      <c r="K11" s="8"/>
      <c r="L11" s="8"/>
      <c r="M11" s="4"/>
      <c r="N11" s="44"/>
      <c r="O11" s="44"/>
      <c r="P11" s="19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</row>
    <row r="12" spans="1:32" s="1" customFormat="1" x14ac:dyDescent="0.25">
      <c r="A12" s="5"/>
      <c r="C12" s="2"/>
      <c r="D12" s="8"/>
      <c r="E12" s="8"/>
      <c r="F12" s="8"/>
      <c r="G12" s="8"/>
      <c r="H12" s="8"/>
      <c r="I12" s="8"/>
      <c r="J12" s="8"/>
      <c r="K12" s="8"/>
      <c r="L12" s="8"/>
      <c r="M12" s="4"/>
      <c r="N12" s="44"/>
      <c r="O12" s="44"/>
      <c r="P12" s="19"/>
      <c r="Q12" s="30"/>
      <c r="R12" s="30"/>
      <c r="S12" s="123"/>
      <c r="T12" s="123"/>
      <c r="U12" s="30"/>
      <c r="V12" s="30"/>
      <c r="W12" s="30"/>
      <c r="X12" s="30"/>
      <c r="Y12" s="30"/>
      <c r="Z12" s="30"/>
      <c r="AA12" s="30"/>
      <c r="AB12" s="124"/>
      <c r="AC12" s="30"/>
      <c r="AD12" s="30"/>
      <c r="AE12" s="30"/>
      <c r="AF12" s="30"/>
    </row>
    <row r="13" spans="1:32" s="1" customFormat="1" x14ac:dyDescent="0.25">
      <c r="A13" s="5"/>
      <c r="C13" s="2" t="s">
        <v>30</v>
      </c>
      <c r="D13" s="8"/>
      <c r="E13" s="8"/>
      <c r="F13" s="8"/>
      <c r="G13" s="8"/>
      <c r="H13" s="8"/>
      <c r="I13" s="8"/>
      <c r="J13" s="8"/>
      <c r="K13" s="8"/>
      <c r="L13" s="8"/>
      <c r="M13" s="4"/>
      <c r="N13" s="44"/>
      <c r="O13" s="44"/>
      <c r="P13" s="19"/>
      <c r="Q13" s="30"/>
      <c r="R13" s="30"/>
      <c r="S13" s="19"/>
      <c r="T13" s="124"/>
      <c r="U13" s="19"/>
      <c r="V13" s="124"/>
      <c r="W13" s="30"/>
      <c r="X13" s="30"/>
      <c r="Y13" s="30"/>
      <c r="Z13" s="30"/>
      <c r="AA13" s="30"/>
      <c r="AB13" s="63"/>
      <c r="AC13" s="124"/>
      <c r="AD13" s="125"/>
      <c r="AE13" s="125"/>
      <c r="AF13" s="125"/>
    </row>
    <row r="14" spans="1:32" s="1" customFormat="1" x14ac:dyDescent="0.25">
      <c r="A14" s="5">
        <v>1</v>
      </c>
      <c r="C14" s="2" t="s">
        <v>31</v>
      </c>
      <c r="D14" s="184" t="s">
        <v>175</v>
      </c>
      <c r="E14" s="128">
        <f>'OATT Input Data'!$E$111</f>
        <v>9280392053</v>
      </c>
      <c r="F14" s="8"/>
      <c r="G14" s="8" t="s">
        <v>32</v>
      </c>
      <c r="H14" s="391"/>
      <c r="I14" s="8"/>
      <c r="J14" s="128"/>
      <c r="K14" s="8"/>
      <c r="L14" s="8"/>
      <c r="M14" s="4"/>
      <c r="N14" s="126"/>
      <c r="O14" s="44"/>
      <c r="P14" s="44"/>
      <c r="Q14" s="44"/>
      <c r="R14" s="44"/>
      <c r="S14" s="127"/>
      <c r="T14" s="128"/>
      <c r="U14" s="127"/>
      <c r="V14" s="128"/>
      <c r="W14" s="30"/>
      <c r="X14" s="30"/>
      <c r="Y14" s="30"/>
      <c r="Z14" s="30"/>
      <c r="AA14" s="30"/>
      <c r="AB14" s="63"/>
      <c r="AC14" s="63"/>
      <c r="AD14" s="63"/>
      <c r="AE14" s="63"/>
      <c r="AF14" s="63"/>
    </row>
    <row r="15" spans="1:32" s="1" customFormat="1" x14ac:dyDescent="0.25">
      <c r="A15" s="5">
        <v>2</v>
      </c>
      <c r="C15" s="2" t="s">
        <v>33</v>
      </c>
      <c r="D15" s="184" t="s">
        <v>176</v>
      </c>
      <c r="E15" s="392">
        <f>'OATT Input Data'!$E$112</f>
        <v>1189651345</v>
      </c>
      <c r="F15" s="8"/>
      <c r="G15" s="8" t="s">
        <v>9</v>
      </c>
      <c r="H15" s="391">
        <f>'PTP Pg 4 of 5'!$J$16</f>
        <v>0.95574999999999999</v>
      </c>
      <c r="I15" s="8"/>
      <c r="J15" s="128">
        <f>ROUND(E15*H15,0)</f>
        <v>1137009273</v>
      </c>
      <c r="K15" s="8"/>
      <c r="L15" s="8"/>
      <c r="M15" s="4"/>
      <c r="N15" s="30"/>
      <c r="O15" s="44"/>
      <c r="P15" s="44"/>
      <c r="Q15" s="44"/>
      <c r="R15" s="44"/>
      <c r="S15" s="127"/>
      <c r="T15" s="128"/>
      <c r="U15" s="127"/>
      <c r="V15" s="128"/>
      <c r="W15" s="30"/>
      <c r="X15" s="30"/>
      <c r="Y15" s="30"/>
      <c r="Z15" s="30"/>
      <c r="AA15" s="30"/>
      <c r="AB15" s="63"/>
      <c r="AC15" s="63"/>
      <c r="AD15" s="63"/>
      <c r="AE15" s="63"/>
      <c r="AF15" s="63"/>
    </row>
    <row r="16" spans="1:32" s="1" customFormat="1" x14ac:dyDescent="0.25">
      <c r="A16" s="5">
        <v>3</v>
      </c>
      <c r="C16" s="2" t="s">
        <v>34</v>
      </c>
      <c r="D16" s="184" t="s">
        <v>177</v>
      </c>
      <c r="E16" s="46">
        <f>'OATT Input Data'!$E$113</f>
        <v>2895042841</v>
      </c>
      <c r="F16" s="8"/>
      <c r="G16" s="8" t="s">
        <v>32</v>
      </c>
      <c r="H16" s="391"/>
      <c r="I16" s="8"/>
      <c r="J16" s="46"/>
      <c r="K16" s="8"/>
      <c r="L16" s="8"/>
      <c r="M16" s="4"/>
      <c r="N16" s="30"/>
      <c r="O16" s="44"/>
      <c r="P16" s="44"/>
      <c r="Q16" s="44"/>
      <c r="R16" s="44"/>
      <c r="S16" s="127"/>
      <c r="T16" s="128"/>
      <c r="U16" s="127"/>
      <c r="V16" s="128"/>
      <c r="W16" s="30"/>
      <c r="X16" s="30"/>
      <c r="Y16" s="30"/>
      <c r="Z16" s="30"/>
      <c r="AA16" s="30"/>
      <c r="AB16" s="63"/>
      <c r="AC16" s="30"/>
      <c r="AD16" s="30"/>
      <c r="AE16" s="30"/>
      <c r="AF16" s="30"/>
    </row>
    <row r="17" spans="1:31" s="1" customFormat="1" x14ac:dyDescent="0.25">
      <c r="A17" s="5">
        <v>4</v>
      </c>
      <c r="C17" s="2" t="s">
        <v>35</v>
      </c>
      <c r="D17" s="184" t="s">
        <v>178</v>
      </c>
      <c r="E17" s="46">
        <f>'OATT Input Data'!$E$114+'OATT Input Data'!$E$110</f>
        <v>287728120</v>
      </c>
      <c r="F17" s="8"/>
      <c r="G17" s="8" t="s">
        <v>36</v>
      </c>
      <c r="H17" s="391">
        <f>'PTP Pg 4 of 5'!$J$33</f>
        <v>6.5890000000000004E-2</v>
      </c>
      <c r="I17" s="8"/>
      <c r="J17" s="46">
        <f>ROUND(E17*H17,0)</f>
        <v>18958406</v>
      </c>
      <c r="K17" s="8"/>
      <c r="L17" s="8"/>
      <c r="M17" s="8"/>
      <c r="N17" s="30"/>
      <c r="O17" s="129"/>
      <c r="P17" s="44"/>
      <c r="Q17" s="44"/>
      <c r="R17" s="44"/>
      <c r="S17" s="127"/>
      <c r="T17" s="128"/>
      <c r="U17" s="127"/>
      <c r="V17" s="128"/>
      <c r="W17" s="30"/>
      <c r="X17" s="30"/>
      <c r="Y17" s="30"/>
      <c r="Z17" s="30"/>
      <c r="AA17" s="30"/>
      <c r="AB17" s="63"/>
      <c r="AC17" s="30"/>
      <c r="AD17" s="30"/>
      <c r="AE17" s="30"/>
    </row>
    <row r="18" spans="1:31" s="1" customFormat="1" ht="18" x14ac:dyDescent="0.4">
      <c r="A18" s="5">
        <v>5</v>
      </c>
      <c r="C18" s="2" t="s">
        <v>37</v>
      </c>
      <c r="D18" s="184" t="s">
        <v>179</v>
      </c>
      <c r="E18" s="393">
        <f>'OATT Input Data'!$E$115</f>
        <v>186160467.5</v>
      </c>
      <c r="F18" s="8"/>
      <c r="G18" s="8" t="s">
        <v>38</v>
      </c>
      <c r="H18" s="391">
        <f>'PTP Pg 4 of 5'!$J$41</f>
        <v>6.0560000000000003E-2</v>
      </c>
      <c r="I18" s="8"/>
      <c r="J18" s="393">
        <f>ROUND(E18*H18,0)</f>
        <v>11273878</v>
      </c>
      <c r="K18" s="8"/>
      <c r="L18" s="8"/>
      <c r="M18" s="8"/>
      <c r="N18" s="30"/>
      <c r="O18" s="525"/>
      <c r="P18" s="44"/>
      <c r="Q18" s="44"/>
      <c r="R18" s="44"/>
      <c r="S18" s="127"/>
      <c r="T18" s="128"/>
      <c r="U18" s="127"/>
      <c r="V18" s="128"/>
      <c r="W18" s="30"/>
      <c r="X18" s="30"/>
      <c r="Y18" s="30"/>
      <c r="Z18" s="30"/>
      <c r="AA18" s="30"/>
      <c r="AB18" s="63"/>
      <c r="AC18" s="30"/>
      <c r="AD18" s="30"/>
      <c r="AE18" s="30"/>
    </row>
    <row r="19" spans="1:31" s="1" customFormat="1" x14ac:dyDescent="0.25">
      <c r="A19" s="5">
        <v>6</v>
      </c>
      <c r="C19" s="7" t="s">
        <v>173</v>
      </c>
      <c r="D19" s="187" t="s">
        <v>266</v>
      </c>
      <c r="E19" s="128">
        <f>ROUND(SUM(E14:E18),0)</f>
        <v>13838974827</v>
      </c>
      <c r="F19" s="8"/>
      <c r="G19" s="8" t="s">
        <v>39</v>
      </c>
      <c r="H19" s="394">
        <f>ROUND(J19/E19,5)</f>
        <v>8.4339999999999998E-2</v>
      </c>
      <c r="I19" s="8"/>
      <c r="J19" s="128">
        <f>ROUND(SUM(J15,J17:J18),0)</f>
        <v>1167241557</v>
      </c>
      <c r="K19" s="8"/>
      <c r="L19" s="395"/>
      <c r="M19" s="4"/>
      <c r="N19" s="30"/>
      <c r="O19" s="44"/>
      <c r="P19" s="44"/>
      <c r="Q19" s="30"/>
      <c r="R19" s="30"/>
      <c r="S19" s="127"/>
      <c r="T19" s="128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1" customFormat="1" x14ac:dyDescent="0.25">
      <c r="C20" s="2"/>
      <c r="D20" s="187"/>
      <c r="E20" s="46"/>
      <c r="F20" s="8"/>
      <c r="G20" s="8"/>
      <c r="H20" s="395"/>
      <c r="I20" s="8"/>
      <c r="J20" s="46"/>
      <c r="K20" s="8"/>
      <c r="L20" s="395"/>
      <c r="M20" s="4"/>
      <c r="N20" s="44"/>
      <c r="O20" s="44"/>
      <c r="P20" s="19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1" customFormat="1" x14ac:dyDescent="0.25">
      <c r="C21" s="2" t="s">
        <v>40</v>
      </c>
      <c r="D21" s="187" t="s">
        <v>252</v>
      </c>
      <c r="E21" s="46"/>
      <c r="F21" s="8"/>
      <c r="G21" s="8"/>
      <c r="H21" s="8"/>
      <c r="I21" s="8"/>
      <c r="J21" s="46"/>
      <c r="K21" s="8"/>
      <c r="L21" s="8"/>
      <c r="M21" s="4"/>
      <c r="N21" s="44"/>
      <c r="O21" s="44"/>
      <c r="P21" s="30"/>
      <c r="Q21" s="30"/>
      <c r="R21" s="30"/>
      <c r="S21" s="30"/>
      <c r="T21" s="30"/>
      <c r="U21" s="30"/>
      <c r="V21" s="30"/>
      <c r="W21" s="30"/>
      <c r="X21" s="30"/>
      <c r="Y21" s="126"/>
      <c r="Z21" s="30"/>
      <c r="AA21" s="30"/>
      <c r="AB21" s="30"/>
      <c r="AC21" s="30"/>
      <c r="AD21" s="30"/>
      <c r="AE21" s="126"/>
    </row>
    <row r="22" spans="1:31" s="1" customFormat="1" x14ac:dyDescent="0.25">
      <c r="A22" s="5">
        <v>7</v>
      </c>
      <c r="C22" s="2" t="str">
        <f>+C14</f>
        <v xml:space="preserve">  Production</v>
      </c>
      <c r="D22" s="184" t="s">
        <v>190</v>
      </c>
      <c r="E22" s="128">
        <f>SUM('OATT Input Data'!$E$121:$E$123)</f>
        <v>2804379145.21</v>
      </c>
      <c r="F22" s="8"/>
      <c r="G22" s="8" t="s">
        <v>32</v>
      </c>
      <c r="H22" s="391"/>
      <c r="I22" s="8"/>
      <c r="J22" s="128"/>
      <c r="K22" s="8"/>
      <c r="L22" s="8"/>
      <c r="M22" s="4"/>
      <c r="N22" s="44"/>
      <c r="O22" s="130"/>
      <c r="P22" s="44"/>
      <c r="Q22" s="44"/>
      <c r="R22" s="30"/>
      <c r="S22" s="127"/>
      <c r="T22" s="128"/>
      <c r="U22" s="127"/>
      <c r="V22" s="128"/>
      <c r="W22" s="30"/>
      <c r="X22" s="63"/>
      <c r="Y22" s="63"/>
      <c r="Z22" s="30"/>
      <c r="AA22" s="63"/>
      <c r="AB22" s="63"/>
      <c r="AC22" s="63"/>
      <c r="AD22" s="63"/>
      <c r="AE22" s="63"/>
    </row>
    <row r="23" spans="1:31" s="1" customFormat="1" x14ac:dyDescent="0.25">
      <c r="A23" s="5">
        <v>8</v>
      </c>
      <c r="C23" s="2" t="str">
        <f>+C15</f>
        <v xml:space="preserve">  Transmission</v>
      </c>
      <c r="D23" s="184" t="s">
        <v>180</v>
      </c>
      <c r="E23" s="46">
        <f>'OATT Input Data'!$E$124</f>
        <v>480669533.38999999</v>
      </c>
      <c r="F23" s="8"/>
      <c r="G23" s="8" t="s">
        <v>9</v>
      </c>
      <c r="H23" s="144">
        <f>+H15</f>
        <v>0.95574999999999999</v>
      </c>
      <c r="I23" s="8"/>
      <c r="J23" s="128">
        <f>ROUND(E23*H23,0)</f>
        <v>459399907</v>
      </c>
      <c r="K23" s="8"/>
      <c r="L23" s="8"/>
      <c r="M23" s="4"/>
      <c r="N23" s="44"/>
      <c r="O23" s="50"/>
      <c r="P23" s="44"/>
      <c r="Q23" s="44"/>
      <c r="R23" s="30"/>
      <c r="S23" s="128"/>
      <c r="T23" s="128"/>
      <c r="U23" s="128"/>
      <c r="V23" s="128"/>
      <c r="W23" s="30"/>
      <c r="X23" s="63"/>
      <c r="Y23" s="63"/>
      <c r="Z23" s="30"/>
      <c r="AA23" s="63"/>
      <c r="AB23" s="63"/>
      <c r="AC23" s="63"/>
      <c r="AD23" s="63"/>
      <c r="AE23" s="63"/>
    </row>
    <row r="24" spans="1:31" s="1" customFormat="1" x14ac:dyDescent="0.25">
      <c r="A24" s="5">
        <v>9</v>
      </c>
      <c r="C24" s="2" t="str">
        <f>+C16</f>
        <v xml:space="preserve">  Distribution</v>
      </c>
      <c r="D24" s="184" t="s">
        <v>181</v>
      </c>
      <c r="E24" s="46">
        <f>'OATT Input Data'!$E$125</f>
        <v>1098402224.73</v>
      </c>
      <c r="F24" s="8"/>
      <c r="G24" s="8" t="str">
        <f>+G16</f>
        <v>NA</v>
      </c>
      <c r="H24" s="391"/>
      <c r="I24" s="8"/>
      <c r="J24" s="46"/>
      <c r="K24" s="8"/>
      <c r="L24" s="8"/>
      <c r="M24" s="4"/>
      <c r="N24" s="44"/>
      <c r="O24" s="130"/>
      <c r="P24" s="44"/>
      <c r="Q24" s="44"/>
      <c r="R24" s="30"/>
      <c r="S24" s="127"/>
      <c r="T24" s="128"/>
      <c r="U24" s="63"/>
      <c r="V24" s="128"/>
      <c r="W24" s="30"/>
      <c r="X24" s="63"/>
      <c r="Y24" s="63"/>
      <c r="Z24" s="30"/>
      <c r="AA24" s="63"/>
      <c r="AB24" s="63"/>
      <c r="AC24" s="63"/>
      <c r="AD24" s="30"/>
      <c r="AE24" s="30"/>
    </row>
    <row r="25" spans="1:31" s="1" customFormat="1" x14ac:dyDescent="0.25">
      <c r="A25" s="5">
        <v>10</v>
      </c>
      <c r="C25" s="2" t="str">
        <f>+C17</f>
        <v xml:space="preserve">  General &amp; Intangible</v>
      </c>
      <c r="D25" s="184" t="s">
        <v>182</v>
      </c>
      <c r="E25" s="46">
        <f>'OATT Input Data'!$E$120+'OATT Input Data'!$E$126</f>
        <v>112269946.09</v>
      </c>
      <c r="F25" s="8"/>
      <c r="G25" s="8" t="str">
        <f>+G17</f>
        <v>W/S</v>
      </c>
      <c r="H25" s="391">
        <f>+H17</f>
        <v>6.5890000000000004E-2</v>
      </c>
      <c r="I25" s="8"/>
      <c r="J25" s="46">
        <f>ROUND(E25*H25,0)</f>
        <v>7397467</v>
      </c>
      <c r="K25" s="8"/>
      <c r="L25" s="8"/>
      <c r="M25" s="4"/>
      <c r="N25" s="44"/>
      <c r="O25" s="130"/>
      <c r="P25" s="44"/>
      <c r="Q25" s="44"/>
      <c r="R25" s="30"/>
      <c r="S25" s="128"/>
      <c r="T25" s="128"/>
      <c r="U25" s="128"/>
      <c r="V25" s="128"/>
      <c r="W25" s="30"/>
      <c r="X25" s="63"/>
      <c r="Y25" s="63"/>
      <c r="Z25" s="30"/>
      <c r="AA25" s="30"/>
      <c r="AB25" s="63"/>
      <c r="AC25" s="30"/>
      <c r="AD25" s="30"/>
      <c r="AE25" s="30"/>
    </row>
    <row r="26" spans="1:31" s="1" customFormat="1" ht="18" x14ac:dyDescent="0.4">
      <c r="A26" s="5">
        <v>11</v>
      </c>
      <c r="C26" s="2" t="str">
        <f>+C18</f>
        <v xml:space="preserve">  Common</v>
      </c>
      <c r="D26" s="184" t="s">
        <v>179</v>
      </c>
      <c r="E26" s="393">
        <f>'OATT Input Data'!$E$127</f>
        <v>104974058.37199999</v>
      </c>
      <c r="F26" s="8"/>
      <c r="G26" s="8" t="str">
        <f>+G18</f>
        <v>CE</v>
      </c>
      <c r="H26" s="391">
        <f>+H18</f>
        <v>6.0560000000000003E-2</v>
      </c>
      <c r="I26" s="8"/>
      <c r="J26" s="393">
        <f>ROUND(E26*H26,0)</f>
        <v>6357229</v>
      </c>
      <c r="K26" s="8"/>
      <c r="L26" s="8"/>
      <c r="M26" s="4"/>
      <c r="N26" s="44"/>
      <c r="O26" s="131"/>
      <c r="P26" s="44"/>
      <c r="Q26" s="44"/>
      <c r="R26" s="30"/>
      <c r="S26" s="127"/>
      <c r="T26" s="128"/>
      <c r="U26" s="63"/>
      <c r="V26" s="128"/>
      <c r="W26" s="30"/>
      <c r="X26" s="30"/>
      <c r="Y26" s="30"/>
      <c r="Z26" s="30"/>
      <c r="AA26" s="30"/>
      <c r="AB26" s="63"/>
      <c r="AC26" s="30"/>
      <c r="AD26" s="30"/>
      <c r="AE26" s="30"/>
    </row>
    <row r="27" spans="1:31" s="1" customFormat="1" x14ac:dyDescent="0.25">
      <c r="A27" s="5">
        <v>12</v>
      </c>
      <c r="C27" s="7" t="s">
        <v>172</v>
      </c>
      <c r="D27" s="187" t="s">
        <v>267</v>
      </c>
      <c r="E27" s="128">
        <f>ROUND(SUM(E22:E26),0)</f>
        <v>4600694908</v>
      </c>
      <c r="F27" s="8"/>
      <c r="G27" s="8"/>
      <c r="H27" s="8"/>
      <c r="I27" s="8"/>
      <c r="J27" s="128">
        <f>ROUND(SUM(J23,J25:J26),0)</f>
        <v>473154603</v>
      </c>
      <c r="K27" s="8"/>
      <c r="L27" s="8"/>
      <c r="M27" s="4"/>
      <c r="N27" s="132"/>
      <c r="O27" s="29"/>
      <c r="P27" s="44"/>
      <c r="Q27" s="44"/>
      <c r="R27" s="30"/>
      <c r="S27" s="128"/>
      <c r="T27" s="128"/>
      <c r="U27" s="30"/>
      <c r="V27" s="30"/>
      <c r="W27" s="126"/>
      <c r="X27" s="63"/>
      <c r="Y27" s="30"/>
      <c r="Z27" s="30"/>
      <c r="AA27" s="30"/>
      <c r="AB27" s="63"/>
      <c r="AC27" s="30"/>
      <c r="AD27" s="30"/>
      <c r="AE27" s="30"/>
    </row>
    <row r="28" spans="1:31" s="1" customFormat="1" x14ac:dyDescent="0.25">
      <c r="A28" s="5"/>
      <c r="D28" s="8" t="s">
        <v>0</v>
      </c>
      <c r="E28" s="46"/>
      <c r="F28" s="8"/>
      <c r="G28" s="8"/>
      <c r="H28" s="395"/>
      <c r="I28" s="8"/>
      <c r="J28" s="46"/>
      <c r="K28" s="8"/>
      <c r="L28" s="395"/>
      <c r="M28" s="4"/>
      <c r="N28" s="44"/>
      <c r="O28" s="44"/>
      <c r="P28" s="19"/>
      <c r="Q28" s="30"/>
      <c r="R28" s="30"/>
      <c r="S28" s="30"/>
      <c r="T28" s="30"/>
      <c r="U28" s="30"/>
      <c r="V28" s="30"/>
      <c r="W28" s="30"/>
      <c r="X28" s="63"/>
      <c r="Y28" s="30"/>
      <c r="Z28" s="30"/>
      <c r="AA28" s="30"/>
      <c r="AB28" s="63"/>
      <c r="AC28" s="30"/>
      <c r="AD28" s="30"/>
      <c r="AE28" s="30"/>
    </row>
    <row r="29" spans="1:31" s="1" customFormat="1" x14ac:dyDescent="0.25">
      <c r="A29" s="5"/>
      <c r="C29" s="2" t="s">
        <v>42</v>
      </c>
      <c r="D29" s="8"/>
      <c r="E29" s="46"/>
      <c r="F29" s="8"/>
      <c r="G29" s="8"/>
      <c r="H29" s="8"/>
      <c r="I29" s="8"/>
      <c r="J29" s="46"/>
      <c r="K29" s="8"/>
      <c r="L29" s="8"/>
      <c r="M29" s="4"/>
      <c r="N29" s="44"/>
      <c r="O29" s="44"/>
      <c r="P29" s="44"/>
      <c r="Q29" s="44"/>
      <c r="R29" s="30"/>
      <c r="S29" s="127"/>
      <c r="T29" s="128"/>
      <c r="U29" s="127"/>
      <c r="V29" s="30"/>
      <c r="W29" s="30"/>
      <c r="X29" s="63"/>
      <c r="Y29" s="30"/>
      <c r="Z29" s="30"/>
      <c r="AA29" s="30"/>
      <c r="AB29" s="30"/>
      <c r="AC29" s="30"/>
      <c r="AD29" s="30"/>
      <c r="AE29" s="30"/>
    </row>
    <row r="30" spans="1:31" s="1" customFormat="1" x14ac:dyDescent="0.25">
      <c r="A30" s="5">
        <v>13</v>
      </c>
      <c r="C30" s="2" t="str">
        <f>+C22</f>
        <v xml:space="preserve">  Production</v>
      </c>
      <c r="D30" s="187" t="s">
        <v>268</v>
      </c>
      <c r="E30" s="128">
        <f>E14-E22</f>
        <v>6476012907.79</v>
      </c>
      <c r="F30" s="8"/>
      <c r="G30" s="8"/>
      <c r="H30" s="395"/>
      <c r="I30" s="8"/>
      <c r="J30" s="128"/>
      <c r="K30" s="8"/>
      <c r="L30" s="395"/>
      <c r="M30" s="4"/>
      <c r="N30" s="44"/>
      <c r="O30" s="44"/>
      <c r="P30" s="44"/>
      <c r="Q30" s="44"/>
      <c r="R30" s="30"/>
      <c r="S30" s="127"/>
      <c r="T30" s="128"/>
      <c r="U30" s="127"/>
      <c r="V30" s="30"/>
      <c r="W30" s="30"/>
      <c r="X30" s="63"/>
      <c r="Y30" s="63"/>
      <c r="Z30" s="30"/>
      <c r="AA30" s="30"/>
      <c r="AB30" s="126"/>
      <c r="AC30" s="126"/>
      <c r="AD30" s="30"/>
      <c r="AE30" s="30"/>
    </row>
    <row r="31" spans="1:31" s="1" customFormat="1" x14ac:dyDescent="0.25">
      <c r="A31" s="5">
        <v>14</v>
      </c>
      <c r="C31" s="2" t="str">
        <f>+C23</f>
        <v xml:space="preserve">  Transmission</v>
      </c>
      <c r="D31" s="187" t="s">
        <v>269</v>
      </c>
      <c r="E31" s="46">
        <f t="shared" ref="E31:E34" si="0">E15-E23</f>
        <v>708981811.61000001</v>
      </c>
      <c r="F31" s="8"/>
      <c r="G31" s="8"/>
      <c r="H31" s="391"/>
      <c r="I31" s="8"/>
      <c r="J31" s="128">
        <f>J15-J23</f>
        <v>677609366</v>
      </c>
      <c r="K31" s="8"/>
      <c r="L31" s="395"/>
      <c r="M31" s="4"/>
      <c r="N31" s="44"/>
      <c r="O31" s="44"/>
      <c r="P31" s="44"/>
      <c r="Q31" s="44"/>
      <c r="R31" s="30"/>
      <c r="S31" s="127"/>
      <c r="T31" s="128"/>
      <c r="U31" s="127"/>
      <c r="V31" s="30"/>
      <c r="W31" s="30"/>
      <c r="X31" s="30"/>
      <c r="Y31" s="63"/>
      <c r="Z31" s="30"/>
      <c r="AA31" s="63"/>
      <c r="AB31" s="63"/>
      <c r="AC31" s="30"/>
      <c r="AD31" s="30"/>
      <c r="AE31" s="30"/>
    </row>
    <row r="32" spans="1:31" s="1" customFormat="1" x14ac:dyDescent="0.25">
      <c r="A32" s="5">
        <v>15</v>
      </c>
      <c r="C32" s="2" t="str">
        <f>+C24</f>
        <v xml:space="preserve">  Distribution</v>
      </c>
      <c r="D32" s="187" t="s">
        <v>270</v>
      </c>
      <c r="E32" s="46">
        <f t="shared" si="0"/>
        <v>1796640616.27</v>
      </c>
      <c r="F32" s="8"/>
      <c r="G32" s="8"/>
      <c r="H32" s="395"/>
      <c r="I32" s="8"/>
      <c r="J32" s="46"/>
      <c r="K32" s="8"/>
      <c r="L32" s="395"/>
      <c r="M32" s="4"/>
      <c r="N32" s="44"/>
      <c r="O32" s="81"/>
      <c r="P32" s="44"/>
      <c r="Q32" s="30"/>
      <c r="R32" s="126"/>
      <c r="S32" s="127"/>
      <c r="T32" s="128"/>
      <c r="U32" s="128"/>
      <c r="V32" s="30"/>
      <c r="W32" s="30"/>
      <c r="X32" s="63"/>
      <c r="Y32" s="63"/>
      <c r="Z32" s="30"/>
      <c r="AA32" s="63"/>
      <c r="AB32" s="63"/>
      <c r="AC32" s="133"/>
      <c r="AD32" s="30"/>
      <c r="AE32" s="30"/>
    </row>
    <row r="33" spans="1:28" s="1" customFormat="1" x14ac:dyDescent="0.25">
      <c r="A33" s="5">
        <v>16</v>
      </c>
      <c r="C33" s="2" t="str">
        <f>+C25</f>
        <v xml:space="preserve">  General &amp; Intangible</v>
      </c>
      <c r="D33" s="187" t="s">
        <v>271</v>
      </c>
      <c r="E33" s="46">
        <f t="shared" si="0"/>
        <v>175458173.91</v>
      </c>
      <c r="F33" s="8"/>
      <c r="G33" s="8"/>
      <c r="H33" s="395"/>
      <c r="I33" s="8"/>
      <c r="J33" s="46">
        <f>J17-J25</f>
        <v>11560939</v>
      </c>
      <c r="K33" s="8"/>
      <c r="L33" s="395"/>
      <c r="M33" s="4"/>
      <c r="N33" s="44"/>
      <c r="O33" s="29"/>
      <c r="P33" s="19"/>
      <c r="Q33" s="30"/>
      <c r="R33" s="30"/>
      <c r="S33" s="30"/>
      <c r="T33" s="30"/>
      <c r="U33" s="30"/>
      <c r="V33" s="30"/>
      <c r="W33" s="30"/>
      <c r="X33" s="63"/>
      <c r="Y33" s="63"/>
      <c r="Z33" s="30"/>
      <c r="AA33" s="63"/>
      <c r="AB33" s="63"/>
    </row>
    <row r="34" spans="1:28" s="1" customFormat="1" ht="18" x14ac:dyDescent="0.4">
      <c r="A34" s="5">
        <v>17</v>
      </c>
      <c r="C34" s="2" t="str">
        <f>+C26</f>
        <v xml:space="preserve">  Common</v>
      </c>
      <c r="D34" s="187" t="s">
        <v>272</v>
      </c>
      <c r="E34" s="393">
        <f t="shared" si="0"/>
        <v>81186409.128000006</v>
      </c>
      <c r="F34" s="8"/>
      <c r="G34" s="8"/>
      <c r="H34" s="395"/>
      <c r="I34" s="8"/>
      <c r="J34" s="393">
        <f>J18-J26</f>
        <v>4916649</v>
      </c>
      <c r="K34" s="8"/>
      <c r="L34" s="395"/>
      <c r="M34" s="4"/>
      <c r="N34" s="44"/>
      <c r="O34" s="29"/>
      <c r="P34" s="19"/>
      <c r="Q34" s="30"/>
      <c r="R34" s="30"/>
      <c r="S34" s="30"/>
      <c r="T34" s="30"/>
      <c r="U34" s="30"/>
      <c r="V34" s="30"/>
      <c r="W34" s="30"/>
      <c r="X34" s="63"/>
      <c r="Y34" s="30"/>
      <c r="Z34" s="30"/>
      <c r="AA34" s="30"/>
      <c r="AB34" s="63"/>
    </row>
    <row r="35" spans="1:28" s="1" customFormat="1" x14ac:dyDescent="0.25">
      <c r="A35" s="5">
        <v>18</v>
      </c>
      <c r="C35" s="7" t="s">
        <v>171</v>
      </c>
      <c r="D35" s="187" t="s">
        <v>273</v>
      </c>
      <c r="E35" s="128">
        <f>ROUND(SUM(E30:E34),0)</f>
        <v>9238279919</v>
      </c>
      <c r="F35" s="8"/>
      <c r="G35" s="8" t="s">
        <v>321</v>
      </c>
      <c r="H35" s="394">
        <f>ROUND(J35/E35,5)</f>
        <v>7.5130000000000002E-2</v>
      </c>
      <c r="I35" s="8"/>
      <c r="J35" s="128">
        <f>ROUND(SUM(J31,J33:J34),0)</f>
        <v>694086954</v>
      </c>
      <c r="K35" s="8"/>
      <c r="L35" s="8"/>
      <c r="M35" s="4"/>
      <c r="N35" s="134"/>
      <c r="O35" s="44"/>
      <c r="P35" s="19"/>
      <c r="Q35" s="30"/>
      <c r="R35" s="30"/>
      <c r="S35" s="30"/>
      <c r="T35" s="30"/>
      <c r="U35" s="30"/>
      <c r="V35" s="30"/>
      <c r="W35" s="30"/>
      <c r="X35" s="63"/>
      <c r="Y35" s="30"/>
      <c r="Z35" s="30"/>
      <c r="AA35" s="30"/>
      <c r="AB35" s="30"/>
    </row>
    <row r="36" spans="1:28" s="1" customFormat="1" x14ac:dyDescent="0.25">
      <c r="A36" s="5"/>
      <c r="D36" s="8"/>
      <c r="E36" s="46"/>
      <c r="F36" s="8"/>
      <c r="I36" s="8"/>
      <c r="J36" s="46"/>
      <c r="K36" s="8"/>
      <c r="L36" s="395"/>
      <c r="M36" s="4"/>
      <c r="N36" s="44"/>
      <c r="O36" s="44"/>
      <c r="P36" s="19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63"/>
    </row>
    <row r="37" spans="1:28" s="1" customFormat="1" x14ac:dyDescent="0.25">
      <c r="A37" s="5"/>
      <c r="C37" s="7" t="s">
        <v>191</v>
      </c>
      <c r="D37" s="187" t="s">
        <v>253</v>
      </c>
      <c r="E37" s="46"/>
      <c r="F37" s="8"/>
      <c r="G37" s="8"/>
      <c r="H37" s="8"/>
      <c r="I37" s="8"/>
      <c r="J37" s="46"/>
      <c r="K37" s="8"/>
      <c r="L37" s="8"/>
      <c r="M37" s="4"/>
      <c r="N37" s="44"/>
      <c r="O37" s="44"/>
      <c r="P37" s="19"/>
      <c r="Q37" s="30"/>
      <c r="R37" s="30"/>
      <c r="S37" s="30"/>
      <c r="T37" s="30"/>
      <c r="U37" s="30"/>
      <c r="V37" s="44"/>
      <c r="W37" s="30"/>
      <c r="X37" s="30"/>
      <c r="Y37" s="30"/>
      <c r="Z37" s="30"/>
      <c r="AA37" s="30"/>
      <c r="AB37" s="30"/>
    </row>
    <row r="38" spans="1:28" s="1" customFormat="1" x14ac:dyDescent="0.25">
      <c r="A38" s="5">
        <v>19</v>
      </c>
      <c r="C38" s="2" t="s">
        <v>44</v>
      </c>
      <c r="D38" s="184" t="s">
        <v>380</v>
      </c>
      <c r="E38" s="330">
        <f>'OATT Input Data'!$E$133*-1</f>
        <v>0</v>
      </c>
      <c r="F38" s="8"/>
      <c r="G38" s="8" t="s">
        <v>32</v>
      </c>
      <c r="H38" s="144"/>
      <c r="I38" s="8"/>
      <c r="J38" s="128"/>
      <c r="K38" s="8"/>
      <c r="L38" s="395"/>
      <c r="M38" s="4"/>
      <c r="N38" s="135"/>
      <c r="O38" s="29"/>
      <c r="P38" s="44"/>
      <c r="Q38" s="44"/>
      <c r="R38" s="30"/>
      <c r="S38" s="128"/>
      <c r="T38" s="128"/>
      <c r="U38" s="128"/>
      <c r="V38" s="128"/>
      <c r="W38" s="30"/>
      <c r="X38" s="30"/>
      <c r="Y38" s="30"/>
      <c r="Z38" s="30"/>
      <c r="AA38" s="30"/>
      <c r="AB38" s="30"/>
    </row>
    <row r="39" spans="1:28" s="1" customFormat="1" x14ac:dyDescent="0.25">
      <c r="A39" s="5">
        <f>A38+1</f>
        <v>20</v>
      </c>
      <c r="C39" s="2" t="s">
        <v>45</v>
      </c>
      <c r="D39" s="184" t="s">
        <v>261</v>
      </c>
      <c r="E39" s="46">
        <f>'OATT Input Data'!$E$134*-1</f>
        <v>-2010522465</v>
      </c>
      <c r="F39" s="8"/>
      <c r="G39" s="8" t="s">
        <v>46</v>
      </c>
      <c r="H39" s="391">
        <f>+H35</f>
        <v>7.5130000000000002E-2</v>
      </c>
      <c r="I39" s="8"/>
      <c r="J39" s="128">
        <f t="shared" ref="J39:J46" si="1">ROUND(E39*H39,0)</f>
        <v>-151050553</v>
      </c>
      <c r="K39" s="8"/>
      <c r="L39" s="395"/>
      <c r="M39" s="4"/>
      <c r="N39" s="135"/>
      <c r="O39" s="29"/>
      <c r="P39" s="44"/>
      <c r="Q39" s="44"/>
      <c r="R39" s="30"/>
      <c r="S39" s="127"/>
      <c r="T39" s="128"/>
      <c r="U39" s="127"/>
      <c r="V39" s="128"/>
      <c r="W39" s="30"/>
      <c r="X39" s="30"/>
      <c r="Y39" s="30"/>
      <c r="Z39" s="30"/>
      <c r="AA39" s="30"/>
      <c r="AB39" s="30"/>
    </row>
    <row r="40" spans="1:28" s="1" customFormat="1" x14ac:dyDescent="0.25">
      <c r="A40" s="5">
        <f>A39+1</f>
        <v>21</v>
      </c>
      <c r="C40" s="2" t="s">
        <v>47</v>
      </c>
      <c r="D40" s="262" t="s">
        <v>262</v>
      </c>
      <c r="E40" s="46">
        <f>'OATT Input Data'!$E$138*-1</f>
        <v>-260320730</v>
      </c>
      <c r="F40" s="8"/>
      <c r="G40" s="8" t="s">
        <v>46</v>
      </c>
      <c r="H40" s="391">
        <f>+H39</f>
        <v>7.5130000000000002E-2</v>
      </c>
      <c r="I40" s="8"/>
      <c r="J40" s="46">
        <f t="shared" si="1"/>
        <v>-19557896</v>
      </c>
      <c r="K40" s="8"/>
      <c r="L40" s="395"/>
      <c r="M40" s="4"/>
      <c r="N40" s="135"/>
      <c r="O40" s="29"/>
      <c r="P40" s="44"/>
      <c r="Q40" s="44"/>
      <c r="R40" s="30"/>
      <c r="S40" s="127"/>
      <c r="T40" s="127"/>
      <c r="U40" s="127"/>
      <c r="V40" s="127"/>
      <c r="W40" s="30"/>
      <c r="X40" s="30"/>
      <c r="Y40" s="30"/>
      <c r="Z40" s="30"/>
      <c r="AA40" s="30"/>
      <c r="AB40" s="30"/>
    </row>
    <row r="41" spans="1:28" s="1" customFormat="1" x14ac:dyDescent="0.25">
      <c r="A41" s="5">
        <f>A40+1</f>
        <v>22</v>
      </c>
      <c r="C41" s="2" t="s">
        <v>48</v>
      </c>
      <c r="D41" s="262" t="s">
        <v>263</v>
      </c>
      <c r="E41" s="46">
        <f>'OATT Input Data'!$E$142</f>
        <v>576941127</v>
      </c>
      <c r="F41" s="8"/>
      <c r="G41" s="8" t="str">
        <f>+G40</f>
        <v>NP</v>
      </c>
      <c r="H41" s="391">
        <f>+H40</f>
        <v>7.5130000000000002E-2</v>
      </c>
      <c r="I41" s="8"/>
      <c r="J41" s="46">
        <f t="shared" si="1"/>
        <v>43345587</v>
      </c>
      <c r="K41" s="8"/>
      <c r="L41" s="395"/>
      <c r="M41" s="4"/>
      <c r="N41" s="135"/>
      <c r="O41" s="29"/>
      <c r="P41" s="44"/>
      <c r="Q41" s="44"/>
      <c r="R41" s="30"/>
      <c r="S41" s="127"/>
      <c r="T41" s="127"/>
      <c r="U41" s="127"/>
      <c r="V41" s="127"/>
      <c r="W41" s="30"/>
      <c r="X41" s="30"/>
      <c r="Y41" s="30"/>
      <c r="Z41" s="30"/>
      <c r="AA41" s="30"/>
      <c r="AB41" s="30"/>
    </row>
    <row r="42" spans="1:28" s="1" customFormat="1" x14ac:dyDescent="0.25">
      <c r="A42" s="5">
        <f>A41+1</f>
        <v>23</v>
      </c>
      <c r="C42" s="1" t="s">
        <v>49</v>
      </c>
      <c r="D42" s="184" t="s">
        <v>264</v>
      </c>
      <c r="E42" s="396">
        <f>'OATT Input Data'!$E$143*-1</f>
        <v>0</v>
      </c>
      <c r="F42" s="8"/>
      <c r="G42" s="8" t="s">
        <v>46</v>
      </c>
      <c r="H42" s="391">
        <f>+H40</f>
        <v>7.5130000000000002E-2</v>
      </c>
      <c r="I42" s="8"/>
      <c r="J42" s="396">
        <f t="shared" si="1"/>
        <v>0</v>
      </c>
      <c r="K42" s="8"/>
      <c r="L42" s="395"/>
      <c r="M42" s="4"/>
      <c r="N42" s="136"/>
      <c r="O42" s="29"/>
      <c r="P42" s="44"/>
      <c r="Q42" s="44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</row>
    <row r="43" spans="1:28" s="1" customFormat="1" x14ac:dyDescent="0.25">
      <c r="A43" s="5">
        <f t="shared" ref="A43:A47" si="2">A42+1</f>
        <v>24</v>
      </c>
      <c r="C43" s="2" t="s">
        <v>50</v>
      </c>
      <c r="D43" s="260" t="s">
        <v>287</v>
      </c>
      <c r="E43" s="396">
        <f>'OATT Input Data'!$E$156*-1</f>
        <v>-2022807.8679858125</v>
      </c>
      <c r="F43" s="8"/>
      <c r="G43" s="8" t="str">
        <f>G15</f>
        <v>TP</v>
      </c>
      <c r="H43" s="144">
        <f>H15</f>
        <v>0.95574999999999999</v>
      </c>
      <c r="I43" s="8"/>
      <c r="J43" s="396">
        <f t="shared" si="1"/>
        <v>-1933299</v>
      </c>
      <c r="K43" s="8"/>
      <c r="L43" s="395"/>
      <c r="M43" s="4"/>
      <c r="N43" s="136"/>
      <c r="O43" s="29"/>
      <c r="P43" s="44"/>
      <c r="Q43" s="44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</row>
    <row r="44" spans="1:28" s="1" customFormat="1" x14ac:dyDescent="0.25">
      <c r="A44" s="5">
        <f t="shared" si="2"/>
        <v>25</v>
      </c>
      <c r="C44" s="397" t="s">
        <v>51</v>
      </c>
      <c r="D44" s="260" t="s">
        <v>287</v>
      </c>
      <c r="E44" s="46">
        <f>'OATT Input Data'!$E$163*-1</f>
        <v>-7692295.5594869489</v>
      </c>
      <c r="F44" s="8"/>
      <c r="G44" s="8"/>
      <c r="H44" s="398">
        <v>1</v>
      </c>
      <c r="I44" s="8"/>
      <c r="J44" s="46">
        <f t="shared" si="1"/>
        <v>-7692296</v>
      </c>
      <c r="K44" s="8"/>
      <c r="L44" s="395"/>
      <c r="M44" s="4"/>
      <c r="N44" s="137"/>
      <c r="O44" s="29"/>
      <c r="P44" s="44"/>
      <c r="Q44" s="44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</row>
    <row r="45" spans="1:28" s="1" customFormat="1" x14ac:dyDescent="0.25">
      <c r="A45" s="5">
        <f t="shared" si="2"/>
        <v>26</v>
      </c>
      <c r="C45" s="399" t="s">
        <v>183</v>
      </c>
      <c r="E45" s="46">
        <f>'OATT Input Data'!$E$147*-1</f>
        <v>-563237.4</v>
      </c>
      <c r="F45" s="8"/>
      <c r="G45" s="8" t="str">
        <f>$G$15</f>
        <v>TP</v>
      </c>
      <c r="H45" s="144">
        <f>$H$15</f>
        <v>0.95574999999999999</v>
      </c>
      <c r="I45" s="8"/>
      <c r="J45" s="46">
        <f t="shared" si="1"/>
        <v>-538314</v>
      </c>
      <c r="K45" s="8"/>
      <c r="L45" s="395"/>
      <c r="M45" s="4"/>
      <c r="N45" s="137"/>
      <c r="O45" s="29"/>
      <c r="P45" s="44"/>
      <c r="Q45" s="44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</row>
    <row r="46" spans="1:28" s="1" customFormat="1" ht="18" x14ac:dyDescent="0.4">
      <c r="A46" s="5">
        <f t="shared" si="2"/>
        <v>27</v>
      </c>
      <c r="C46" s="399" t="s">
        <v>184</v>
      </c>
      <c r="E46" s="400">
        <f>'OATT Input Data'!$E$150*-1</f>
        <v>0</v>
      </c>
      <c r="F46" s="8"/>
      <c r="G46" s="8" t="str">
        <f>$G$18</f>
        <v>CE</v>
      </c>
      <c r="H46" s="144">
        <f>$H$18</f>
        <v>6.0560000000000003E-2</v>
      </c>
      <c r="I46" s="8"/>
      <c r="J46" s="400">
        <f t="shared" si="1"/>
        <v>0</v>
      </c>
      <c r="K46" s="8"/>
      <c r="L46" s="395"/>
      <c r="M46" s="4"/>
      <c r="N46" s="137"/>
      <c r="O46" s="29"/>
      <c r="P46" s="44"/>
      <c r="Q46" s="44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</row>
    <row r="47" spans="1:28" s="1" customFormat="1" x14ac:dyDescent="0.25">
      <c r="A47" s="5">
        <f t="shared" si="2"/>
        <v>28</v>
      </c>
      <c r="C47" s="7" t="s">
        <v>192</v>
      </c>
      <c r="D47" s="187" t="s">
        <v>265</v>
      </c>
      <c r="E47" s="128">
        <f>ROUND(SUM(E38:E46),0)</f>
        <v>-1704180409</v>
      </c>
      <c r="F47" s="8"/>
      <c r="G47" s="8"/>
      <c r="H47" s="8"/>
      <c r="I47" s="8"/>
      <c r="J47" s="128">
        <f>ROUND(SUM(J39:J46),0)</f>
        <v>-137426771</v>
      </c>
      <c r="K47" s="8"/>
      <c r="L47" s="8"/>
      <c r="M47" s="4"/>
      <c r="N47" s="137"/>
      <c r="O47" s="44"/>
      <c r="P47" s="19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</row>
    <row r="48" spans="1:28" s="1" customFormat="1" x14ac:dyDescent="0.25">
      <c r="A48" s="5"/>
      <c r="D48" s="8"/>
      <c r="E48" s="46"/>
      <c r="F48" s="8"/>
      <c r="G48" s="8"/>
      <c r="H48" s="395"/>
      <c r="I48" s="8"/>
      <c r="J48" s="46"/>
      <c r="K48" s="8"/>
      <c r="L48" s="395"/>
      <c r="M48" s="4"/>
      <c r="N48" s="62"/>
      <c r="O48" s="44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</row>
    <row r="49" spans="1:19" x14ac:dyDescent="0.25">
      <c r="A49" s="5">
        <f>A47+1</f>
        <v>29</v>
      </c>
      <c r="C49" s="2" t="s">
        <v>260</v>
      </c>
      <c r="D49" s="184" t="s">
        <v>335</v>
      </c>
      <c r="E49" s="330">
        <f>'OATT Input Data'!$E$165*-1</f>
        <v>0</v>
      </c>
      <c r="F49" s="8"/>
      <c r="G49" s="8" t="str">
        <f>+G23</f>
        <v>TP</v>
      </c>
      <c r="H49" s="391">
        <f>+H23</f>
        <v>0.95574999999999999</v>
      </c>
      <c r="I49" s="8"/>
      <c r="J49" s="330">
        <f>ROUND(E49*H49,0)</f>
        <v>0</v>
      </c>
      <c r="K49" s="8"/>
      <c r="L49" s="8"/>
      <c r="M49" s="4"/>
      <c r="N49" s="62"/>
      <c r="O49" s="44"/>
      <c r="P49" s="44"/>
      <c r="Q49" s="44"/>
    </row>
    <row r="50" spans="1:19" x14ac:dyDescent="0.25">
      <c r="A50" s="5"/>
      <c r="C50" s="2"/>
      <c r="D50" s="8"/>
      <c r="E50" s="46"/>
      <c r="F50" s="8"/>
      <c r="G50" s="8"/>
      <c r="H50" s="8"/>
      <c r="I50" s="8"/>
      <c r="J50" s="46"/>
      <c r="K50" s="8"/>
      <c r="L50" s="8"/>
      <c r="M50" s="4"/>
      <c r="N50" s="62"/>
      <c r="O50" s="44"/>
      <c r="P50" s="19"/>
    </row>
    <row r="51" spans="1:19" x14ac:dyDescent="0.25">
      <c r="A51" s="5"/>
      <c r="C51" s="7" t="s">
        <v>256</v>
      </c>
      <c r="D51" s="187" t="s">
        <v>255</v>
      </c>
      <c r="E51" s="46"/>
      <c r="F51" s="8"/>
      <c r="G51" s="8"/>
      <c r="H51" s="8"/>
      <c r="I51" s="8"/>
      <c r="J51" s="46"/>
      <c r="K51" s="8"/>
      <c r="L51" s="8"/>
      <c r="M51" s="4"/>
      <c r="N51" s="44"/>
      <c r="O51" s="44"/>
      <c r="P51" s="19"/>
    </row>
    <row r="52" spans="1:19" x14ac:dyDescent="0.25">
      <c r="A52" s="5">
        <f>A49+1</f>
        <v>30</v>
      </c>
      <c r="C52" s="399" t="s">
        <v>169</v>
      </c>
      <c r="D52" s="80" t="s">
        <v>52</v>
      </c>
      <c r="E52" s="128">
        <f>ROUND('NITS Pg 3 of 5'!$E$22/8,0)</f>
        <v>30055438</v>
      </c>
      <c r="F52" s="8"/>
      <c r="G52" s="8"/>
      <c r="H52" s="395"/>
      <c r="I52" s="8"/>
      <c r="J52" s="128">
        <f>ROUND('NITS Pg 3 of 5'!$J$22/8,0)</f>
        <v>5923462</v>
      </c>
      <c r="K52" s="4"/>
      <c r="L52" s="395"/>
      <c r="M52" s="4"/>
      <c r="N52" s="138"/>
      <c r="O52" s="139"/>
      <c r="P52" s="19"/>
    </row>
    <row r="53" spans="1:19" x14ac:dyDescent="0.25">
      <c r="A53" s="5">
        <f>A52+1</f>
        <v>31</v>
      </c>
      <c r="C53" s="399" t="s">
        <v>257</v>
      </c>
      <c r="D53" s="184" t="s">
        <v>383</v>
      </c>
      <c r="E53" s="46">
        <f>'OATT Input Data'!$E$172</f>
        <v>10671808.87209779</v>
      </c>
      <c r="F53" s="8"/>
      <c r="G53" s="8" t="s">
        <v>53</v>
      </c>
      <c r="H53" s="391">
        <f>'PTP Pg 4 of 5'!$J$25</f>
        <v>0.82591000000000003</v>
      </c>
      <c r="I53" s="8"/>
      <c r="J53" s="46">
        <f t="shared" ref="J53:J54" si="3">ROUND(E53*H53,0)</f>
        <v>8813954</v>
      </c>
      <c r="K53" s="8" t="s">
        <v>0</v>
      </c>
      <c r="L53" s="395"/>
      <c r="M53" s="4"/>
      <c r="N53" s="140"/>
      <c r="O53" s="139"/>
      <c r="P53" s="47"/>
      <c r="Q53" s="47"/>
    </row>
    <row r="54" spans="1:19" ht="18" x14ac:dyDescent="0.4">
      <c r="A54" s="5">
        <f t="shared" ref="A54:A55" si="4">A53+1</f>
        <v>32</v>
      </c>
      <c r="C54" s="397" t="s">
        <v>170</v>
      </c>
      <c r="D54" s="184" t="s">
        <v>419</v>
      </c>
      <c r="E54" s="401">
        <f>'OATT Input Data'!$E$178</f>
        <v>13985848</v>
      </c>
      <c r="F54" s="8"/>
      <c r="G54" s="8" t="s">
        <v>54</v>
      </c>
      <c r="H54" s="391">
        <f>+H19</f>
        <v>8.4339999999999998E-2</v>
      </c>
      <c r="I54" s="8"/>
      <c r="J54" s="393">
        <f t="shared" si="3"/>
        <v>1179566</v>
      </c>
      <c r="K54" s="8"/>
      <c r="L54" s="395"/>
      <c r="M54" s="4"/>
      <c r="N54" s="140"/>
      <c r="O54" s="29"/>
      <c r="P54" s="47"/>
      <c r="Q54" s="47"/>
    </row>
    <row r="55" spans="1:19" x14ac:dyDescent="0.25">
      <c r="A55" s="5">
        <f t="shared" si="4"/>
        <v>33</v>
      </c>
      <c r="C55" s="7" t="s">
        <v>193</v>
      </c>
      <c r="D55" s="187" t="str">
        <f>"Sum of Ls. "&amp;A52&amp;" - "&amp;A54</f>
        <v>Sum of Ls. 30 - 32</v>
      </c>
      <c r="E55" s="128">
        <f>ROUND(SUM(E52:E54),0)</f>
        <v>54713095</v>
      </c>
      <c r="F55" s="4"/>
      <c r="G55" s="4"/>
      <c r="H55" s="4"/>
      <c r="I55" s="4"/>
      <c r="J55" s="128">
        <f>ROUND(SUM(J52:J54),0)</f>
        <v>15916982</v>
      </c>
      <c r="K55" s="4"/>
      <c r="L55" s="4"/>
      <c r="M55" s="4"/>
      <c r="N55" s="132"/>
      <c r="O55" s="44"/>
      <c r="P55" s="19"/>
    </row>
    <row r="56" spans="1:19" x14ac:dyDescent="0.25">
      <c r="D56" s="8"/>
      <c r="E56" s="46"/>
      <c r="F56" s="8"/>
      <c r="G56" s="8"/>
      <c r="H56" s="8"/>
      <c r="I56" s="8"/>
      <c r="J56" s="46"/>
      <c r="K56" s="8"/>
      <c r="L56" s="8"/>
      <c r="M56" s="4"/>
      <c r="N56" s="44"/>
      <c r="O56" s="44"/>
      <c r="P56" s="19"/>
    </row>
    <row r="57" spans="1:19" x14ac:dyDescent="0.25">
      <c r="A57" s="5">
        <f>A55+1</f>
        <v>34</v>
      </c>
      <c r="C57" s="2" t="s">
        <v>258</v>
      </c>
      <c r="D57" s="187" t="s">
        <v>259</v>
      </c>
      <c r="E57" s="402">
        <f>ROUND(E55+E49+E47+E35,0)</f>
        <v>7588812605</v>
      </c>
      <c r="F57" s="8"/>
      <c r="G57" s="8"/>
      <c r="H57" s="395"/>
      <c r="I57" s="8"/>
      <c r="J57" s="402">
        <f>ROUND(J55+J49+J47+J35,0)</f>
        <v>572577165</v>
      </c>
      <c r="K57" s="8"/>
      <c r="L57" s="395"/>
      <c r="M57" s="8"/>
      <c r="N57" s="44"/>
      <c r="O57" s="44"/>
      <c r="P57" s="19"/>
    </row>
    <row r="58" spans="1:19" x14ac:dyDescent="0.25">
      <c r="A58" s="5"/>
      <c r="C58" s="2"/>
      <c r="D58" s="8"/>
      <c r="E58" s="8"/>
      <c r="F58" s="8"/>
      <c r="G58" s="8"/>
      <c r="H58" s="8"/>
      <c r="I58" s="8"/>
      <c r="J58" s="8"/>
      <c r="K58" s="8"/>
      <c r="L58" s="8"/>
      <c r="M58" s="8"/>
      <c r="N58" s="44"/>
      <c r="O58" s="44"/>
      <c r="P58" s="19"/>
    </row>
    <row r="59" spans="1:19" x14ac:dyDescent="0.25">
      <c r="Q59" s="79"/>
      <c r="R59" s="79"/>
      <c r="S59" s="79"/>
    </row>
    <row r="60" spans="1:19" x14ac:dyDescent="0.25">
      <c r="Q60" s="79"/>
      <c r="R60" s="79"/>
      <c r="S60" s="79"/>
    </row>
    <row r="61" spans="1:19" x14ac:dyDescent="0.25">
      <c r="Q61" s="79"/>
      <c r="R61" s="79"/>
      <c r="S61" s="79"/>
    </row>
    <row r="62" spans="1:19" x14ac:dyDescent="0.25">
      <c r="Q62" s="79"/>
      <c r="R62" s="79"/>
      <c r="S62" s="79"/>
    </row>
    <row r="63" spans="1:19" x14ac:dyDescent="0.25">
      <c r="Q63" s="79"/>
      <c r="R63" s="79"/>
      <c r="S63" s="79"/>
    </row>
    <row r="64" spans="1:19" x14ac:dyDescent="0.25">
      <c r="Q64" s="79"/>
      <c r="R64" s="79"/>
      <c r="S64" s="79"/>
    </row>
    <row r="65" spans="17:43" s="1" customFormat="1" x14ac:dyDescent="0.25">
      <c r="Q65" s="79"/>
      <c r="R65" s="79"/>
      <c r="S65" s="79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</row>
    <row r="66" spans="17:43" s="1" customFormat="1" x14ac:dyDescent="0.25">
      <c r="Q66" s="79"/>
      <c r="R66" s="79"/>
      <c r="S66" s="79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</row>
    <row r="67" spans="17:43" s="1" customFormat="1" x14ac:dyDescent="0.25">
      <c r="Q67" s="79"/>
      <c r="R67" s="79"/>
      <c r="S67" s="79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</row>
    <row r="68" spans="17:43" s="1" customFormat="1" x14ac:dyDescent="0.25">
      <c r="Q68" s="79"/>
      <c r="R68" s="79"/>
      <c r="S68" s="79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</row>
    <row r="69" spans="17:43" s="1" customFormat="1" x14ac:dyDescent="0.25">
      <c r="Q69" s="79"/>
      <c r="R69" s="79"/>
      <c r="S69" s="79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</row>
    <row r="70" spans="17:43" s="1" customFormat="1" x14ac:dyDescent="0.25">
      <c r="Q70" s="79"/>
      <c r="R70" s="79"/>
      <c r="S70" s="79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</row>
    <row r="71" spans="17:43" s="1" customFormat="1" x14ac:dyDescent="0.25">
      <c r="Q71" s="79"/>
      <c r="R71" s="79"/>
      <c r="S71" s="79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</row>
    <row r="72" spans="17:43" s="1" customFormat="1" x14ac:dyDescent="0.25">
      <c r="Q72" s="79"/>
      <c r="R72" s="79"/>
      <c r="S72" s="79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</row>
    <row r="73" spans="17:43" s="1" customFormat="1" x14ac:dyDescent="0.25">
      <c r="Q73" s="79"/>
      <c r="R73" s="79"/>
      <c r="S73" s="79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</row>
    <row r="74" spans="17:43" s="1" customFormat="1" x14ac:dyDescent="0.25">
      <c r="Q74" s="79"/>
      <c r="R74" s="79"/>
      <c r="S74" s="79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</row>
    <row r="75" spans="17:43" s="1" customFormat="1" x14ac:dyDescent="0.25">
      <c r="Q75" s="79"/>
      <c r="R75" s="79"/>
      <c r="S75" s="79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</row>
    <row r="76" spans="17:43" s="1" customFormat="1" x14ac:dyDescent="0.25">
      <c r="Q76" s="79"/>
      <c r="R76" s="79"/>
      <c r="S76" s="79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</row>
    <row r="77" spans="17:43" s="1" customFormat="1" x14ac:dyDescent="0.25">
      <c r="Q77" s="79"/>
      <c r="R77" s="79"/>
      <c r="S77" s="79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</row>
    <row r="78" spans="17:43" s="1" customFormat="1" x14ac:dyDescent="0.25">
      <c r="Q78" s="79"/>
      <c r="R78" s="79"/>
      <c r="S78" s="79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</row>
    <row r="79" spans="17:43" s="1" customFormat="1" x14ac:dyDescent="0.25">
      <c r="Q79" s="79"/>
      <c r="R79" s="79"/>
      <c r="S79" s="79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</row>
    <row r="80" spans="17:43" s="1" customFormat="1" x14ac:dyDescent="0.25">
      <c r="Q80" s="79"/>
      <c r="R80" s="79"/>
      <c r="S80" s="79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</row>
    <row r="81" spans="17:43" s="1" customFormat="1" x14ac:dyDescent="0.25">
      <c r="Q81" s="79"/>
      <c r="R81" s="79"/>
      <c r="S81" s="79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</row>
    <row r="82" spans="17:43" s="1" customFormat="1" x14ac:dyDescent="0.25">
      <c r="Q82" s="79"/>
      <c r="R82" s="79"/>
      <c r="S82" s="79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</row>
    <row r="83" spans="17:43" s="1" customFormat="1" x14ac:dyDescent="0.25">
      <c r="Q83" s="79"/>
      <c r="R83" s="79"/>
      <c r="S83" s="79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</row>
    <row r="84" spans="17:43" s="1" customFormat="1" x14ac:dyDescent="0.25">
      <c r="Q84" s="79"/>
      <c r="R84" s="79"/>
      <c r="S84" s="79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</row>
    <row r="85" spans="17:43" s="1" customFormat="1" x14ac:dyDescent="0.25">
      <c r="Q85" s="79"/>
      <c r="R85" s="79"/>
      <c r="S85" s="79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</row>
    <row r="86" spans="17:43" s="1" customFormat="1" x14ac:dyDescent="0.25">
      <c r="Q86" s="79"/>
      <c r="R86" s="79"/>
      <c r="S86" s="79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</row>
    <row r="87" spans="17:43" s="1" customFormat="1" x14ac:dyDescent="0.25">
      <c r="Q87" s="79"/>
      <c r="R87" s="79"/>
      <c r="S87" s="79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</row>
    <row r="88" spans="17:43" s="1" customFormat="1" x14ac:dyDescent="0.25">
      <c r="Q88" s="79"/>
      <c r="R88" s="79"/>
      <c r="S88" s="79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</row>
    <row r="89" spans="17:43" s="1" customFormat="1" x14ac:dyDescent="0.25">
      <c r="Q89" s="79"/>
      <c r="R89" s="79"/>
      <c r="S89" s="79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</row>
    <row r="90" spans="17:43" s="1" customFormat="1" x14ac:dyDescent="0.25">
      <c r="Q90" s="79"/>
      <c r="R90" s="79"/>
      <c r="S90" s="79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</row>
    <row r="91" spans="17:43" s="1" customFormat="1" x14ac:dyDescent="0.25">
      <c r="Q91" s="79"/>
      <c r="R91" s="79"/>
      <c r="S91" s="79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</row>
    <row r="92" spans="17:43" s="1" customFormat="1" x14ac:dyDescent="0.25">
      <c r="Q92" s="79"/>
      <c r="R92" s="79"/>
      <c r="S92" s="79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</row>
    <row r="93" spans="17:43" s="1" customFormat="1" x14ac:dyDescent="0.25">
      <c r="Q93" s="79"/>
      <c r="R93" s="79"/>
      <c r="S93" s="79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</row>
    <row r="94" spans="17:43" s="1" customFormat="1" x14ac:dyDescent="0.25">
      <c r="Q94" s="79"/>
      <c r="R94" s="79"/>
      <c r="S94" s="79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</row>
    <row r="95" spans="17:43" s="1" customFormat="1" x14ac:dyDescent="0.25">
      <c r="Q95" s="79"/>
      <c r="R95" s="79"/>
      <c r="S95" s="79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</row>
    <row r="96" spans="17:43" s="1" customFormat="1" x14ac:dyDescent="0.25">
      <c r="Q96" s="79"/>
      <c r="R96" s="79"/>
      <c r="S96" s="79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</row>
    <row r="97" spans="17:43" s="1" customFormat="1" x14ac:dyDescent="0.25">
      <c r="Q97" s="79"/>
      <c r="R97" s="79"/>
      <c r="S97" s="79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</row>
    <row r="98" spans="17:43" s="1" customFormat="1" x14ac:dyDescent="0.25">
      <c r="Q98" s="79"/>
      <c r="R98" s="79"/>
      <c r="S98" s="79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</row>
    <row r="99" spans="17:43" s="1" customFormat="1" x14ac:dyDescent="0.25">
      <c r="Q99" s="79"/>
      <c r="R99" s="79"/>
      <c r="S99" s="79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</row>
    <row r="100" spans="17:43" s="1" customFormat="1" x14ac:dyDescent="0.25">
      <c r="Q100" s="79"/>
      <c r="R100" s="79"/>
      <c r="S100" s="79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</row>
    <row r="101" spans="17:43" s="1" customFormat="1" x14ac:dyDescent="0.25">
      <c r="Q101" s="79"/>
      <c r="R101" s="79"/>
      <c r="S101" s="79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</row>
    <row r="102" spans="17:43" s="1" customFormat="1" x14ac:dyDescent="0.25">
      <c r="Q102" s="79"/>
      <c r="R102" s="79"/>
      <c r="S102" s="79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</row>
    <row r="103" spans="17:43" s="1" customFormat="1" x14ac:dyDescent="0.25">
      <c r="Q103" s="79"/>
      <c r="R103" s="79"/>
      <c r="S103" s="79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</row>
    <row r="104" spans="17:43" s="1" customFormat="1" x14ac:dyDescent="0.25">
      <c r="Q104" s="79"/>
      <c r="R104" s="79"/>
      <c r="S104" s="79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</row>
    <row r="105" spans="17:43" s="1" customFormat="1" x14ac:dyDescent="0.25">
      <c r="Q105" s="79"/>
      <c r="R105" s="79"/>
      <c r="S105" s="79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</row>
    <row r="106" spans="17:43" s="1" customFormat="1" x14ac:dyDescent="0.25">
      <c r="Q106" s="79"/>
      <c r="R106" s="79"/>
      <c r="S106" s="79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</row>
    <row r="107" spans="17:43" s="1" customFormat="1" x14ac:dyDescent="0.25">
      <c r="Q107" s="79"/>
      <c r="R107" s="79"/>
      <c r="S107" s="79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</row>
    <row r="108" spans="17:43" s="1" customFormat="1" x14ac:dyDescent="0.25">
      <c r="Q108" s="79"/>
      <c r="R108" s="79"/>
      <c r="S108" s="79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</row>
    <row r="109" spans="17:43" s="1" customFormat="1" x14ac:dyDescent="0.25">
      <c r="Q109" s="79"/>
      <c r="R109" s="79"/>
      <c r="S109" s="79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</row>
    <row r="110" spans="17:43" s="1" customFormat="1" x14ac:dyDescent="0.25">
      <c r="Q110" s="79"/>
      <c r="R110" s="79"/>
      <c r="S110" s="79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</row>
    <row r="111" spans="17:43" s="1" customFormat="1" x14ac:dyDescent="0.25">
      <c r="Q111" s="79"/>
      <c r="R111" s="79"/>
      <c r="S111" s="79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</row>
    <row r="112" spans="17:43" s="1" customFormat="1" x14ac:dyDescent="0.25">
      <c r="Q112" s="79"/>
      <c r="R112" s="79"/>
      <c r="S112" s="79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</row>
    <row r="113" spans="17:43" s="1" customFormat="1" x14ac:dyDescent="0.25">
      <c r="Q113" s="79"/>
      <c r="R113" s="79"/>
      <c r="S113" s="79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</row>
    <row r="114" spans="17:43" s="1" customFormat="1" x14ac:dyDescent="0.25">
      <c r="Q114" s="79"/>
      <c r="R114" s="79"/>
      <c r="S114" s="79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</row>
    <row r="115" spans="17:43" s="1" customFormat="1" x14ac:dyDescent="0.25">
      <c r="Q115" s="79"/>
      <c r="R115" s="79"/>
      <c r="S115" s="79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</row>
    <row r="116" spans="17:43" s="1" customFormat="1" x14ac:dyDescent="0.25">
      <c r="Q116" s="79"/>
      <c r="R116" s="79"/>
      <c r="S116" s="79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</row>
    <row r="117" spans="17:43" s="1" customFormat="1" x14ac:dyDescent="0.25">
      <c r="Q117" s="79"/>
      <c r="R117" s="79"/>
      <c r="S117" s="79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</row>
    <row r="118" spans="17:43" s="1" customFormat="1" x14ac:dyDescent="0.25">
      <c r="Q118" s="79"/>
      <c r="R118" s="79"/>
      <c r="S118" s="79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</row>
    <row r="119" spans="17:43" s="1" customFormat="1" x14ac:dyDescent="0.25">
      <c r="Q119" s="79"/>
      <c r="R119" s="79"/>
      <c r="S119" s="79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</row>
    <row r="120" spans="17:43" s="1" customFormat="1" x14ac:dyDescent="0.25">
      <c r="Q120" s="79"/>
      <c r="R120" s="79"/>
      <c r="S120" s="79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</row>
    <row r="121" spans="17:43" s="1" customFormat="1" x14ac:dyDescent="0.25">
      <c r="Q121" s="79"/>
      <c r="R121" s="79"/>
      <c r="S121" s="79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</row>
    <row r="122" spans="17:43" s="1" customFormat="1" x14ac:dyDescent="0.25">
      <c r="Q122" s="79"/>
      <c r="R122" s="79"/>
      <c r="S122" s="79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</row>
    <row r="123" spans="17:43" s="1" customFormat="1" x14ac:dyDescent="0.25">
      <c r="Q123" s="79"/>
      <c r="R123" s="79"/>
      <c r="S123" s="79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</row>
    <row r="124" spans="17:43" s="1" customFormat="1" x14ac:dyDescent="0.25">
      <c r="Q124" s="79"/>
      <c r="R124" s="79"/>
      <c r="S124" s="79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</row>
    <row r="125" spans="17:43" s="1" customFormat="1" x14ac:dyDescent="0.25">
      <c r="Q125" s="79"/>
      <c r="R125" s="79"/>
      <c r="S125" s="79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</row>
    <row r="126" spans="17:43" s="1" customFormat="1" x14ac:dyDescent="0.25">
      <c r="Q126" s="79"/>
      <c r="R126" s="79"/>
      <c r="S126" s="79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</row>
    <row r="127" spans="17:43" s="1" customFormat="1" x14ac:dyDescent="0.25">
      <c r="Q127" s="79"/>
      <c r="R127" s="79"/>
      <c r="S127" s="79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</row>
    <row r="128" spans="17:43" s="1" customFormat="1" x14ac:dyDescent="0.25">
      <c r="Q128" s="79"/>
      <c r="R128" s="79"/>
      <c r="S128" s="79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</row>
    <row r="129" spans="17:43" s="1" customFormat="1" x14ac:dyDescent="0.25">
      <c r="Q129" s="79"/>
      <c r="R129" s="79"/>
      <c r="S129" s="79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</row>
    <row r="130" spans="17:43" s="1" customFormat="1" x14ac:dyDescent="0.25">
      <c r="Q130" s="79"/>
      <c r="R130" s="79"/>
      <c r="S130" s="79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</row>
    <row r="131" spans="17:43" s="1" customFormat="1" x14ac:dyDescent="0.25">
      <c r="Q131" s="79"/>
      <c r="R131" s="79"/>
      <c r="S131" s="79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</row>
    <row r="132" spans="17:43" s="1" customFormat="1" x14ac:dyDescent="0.25">
      <c r="Q132" s="79"/>
      <c r="R132" s="79"/>
      <c r="S132" s="79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</row>
    <row r="133" spans="17:43" s="1" customFormat="1" x14ac:dyDescent="0.25">
      <c r="Q133" s="79"/>
      <c r="R133" s="79"/>
      <c r="S133" s="79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</row>
    <row r="134" spans="17:43" s="1" customFormat="1" x14ac:dyDescent="0.25">
      <c r="Q134" s="79"/>
      <c r="R134" s="79"/>
      <c r="S134" s="79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</row>
    <row r="135" spans="17:43" s="1" customFormat="1" x14ac:dyDescent="0.25">
      <c r="Q135" s="79"/>
      <c r="R135" s="79"/>
      <c r="S135" s="79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</row>
    <row r="136" spans="17:43" s="1" customFormat="1" x14ac:dyDescent="0.25">
      <c r="Q136" s="79"/>
      <c r="R136" s="79"/>
      <c r="S136" s="79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</row>
    <row r="137" spans="17:43" s="1" customFormat="1" x14ac:dyDescent="0.25">
      <c r="Q137" s="79"/>
      <c r="R137" s="79"/>
      <c r="S137" s="79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</row>
    <row r="138" spans="17:43" s="1" customFormat="1" x14ac:dyDescent="0.25">
      <c r="Q138" s="79"/>
      <c r="R138" s="79"/>
      <c r="S138" s="79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</row>
    <row r="139" spans="17:43" s="1" customFormat="1" x14ac:dyDescent="0.25">
      <c r="Q139" s="79"/>
      <c r="R139" s="79"/>
      <c r="S139" s="79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</row>
    <row r="140" spans="17:43" s="1" customFormat="1" x14ac:dyDescent="0.25">
      <c r="Q140" s="79"/>
      <c r="R140" s="79"/>
      <c r="S140" s="79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</row>
    <row r="141" spans="17:43" s="1" customFormat="1" x14ac:dyDescent="0.25">
      <c r="Q141" s="79"/>
      <c r="R141" s="79"/>
      <c r="S141" s="79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</row>
    <row r="142" spans="17:43" s="1" customFormat="1" x14ac:dyDescent="0.25">
      <c r="Q142" s="79"/>
      <c r="R142" s="79"/>
      <c r="S142" s="79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</row>
    <row r="143" spans="17:43" s="1" customFormat="1" x14ac:dyDescent="0.25">
      <c r="Q143" s="79"/>
      <c r="R143" s="79"/>
      <c r="S143" s="79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</row>
    <row r="144" spans="17:43" s="1" customFormat="1" x14ac:dyDescent="0.25">
      <c r="Q144" s="79"/>
      <c r="R144" s="79"/>
      <c r="S144" s="79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</row>
    <row r="145" spans="17:43" s="1" customFormat="1" x14ac:dyDescent="0.25">
      <c r="Q145" s="79"/>
      <c r="R145" s="79"/>
      <c r="S145" s="79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</row>
    <row r="146" spans="17:43" s="1" customFormat="1" x14ac:dyDescent="0.25">
      <c r="Q146" s="79"/>
      <c r="R146" s="79"/>
      <c r="S146" s="79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</row>
    <row r="147" spans="17:43" s="1" customFormat="1" x14ac:dyDescent="0.25">
      <c r="Q147" s="79"/>
      <c r="R147" s="79"/>
      <c r="S147" s="79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</row>
    <row r="148" spans="17:43" s="1" customFormat="1" x14ac:dyDescent="0.25">
      <c r="Q148" s="79"/>
      <c r="R148" s="79"/>
      <c r="S148" s="79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</row>
    <row r="149" spans="17:43" s="1" customFormat="1" x14ac:dyDescent="0.25">
      <c r="Q149" s="79"/>
      <c r="R149" s="79"/>
      <c r="S149" s="79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</row>
    <row r="150" spans="17:43" s="1" customFormat="1" x14ac:dyDescent="0.25">
      <c r="Q150" s="79"/>
      <c r="R150" s="79"/>
      <c r="S150" s="79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</row>
    <row r="151" spans="17:43" s="1" customFormat="1" x14ac:dyDescent="0.25">
      <c r="Q151" s="79"/>
      <c r="R151" s="79"/>
      <c r="S151" s="79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</row>
    <row r="152" spans="17:43" s="1" customFormat="1" x14ac:dyDescent="0.25">
      <c r="Q152" s="79"/>
      <c r="R152" s="79"/>
      <c r="S152" s="79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</row>
    <row r="153" spans="17:43" s="1" customFormat="1" x14ac:dyDescent="0.25">
      <c r="Q153" s="79"/>
      <c r="R153" s="79"/>
      <c r="S153" s="79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</row>
    <row r="154" spans="17:43" s="1" customFormat="1" x14ac:dyDescent="0.25">
      <c r="Q154" s="79"/>
      <c r="R154" s="79"/>
      <c r="S154" s="79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</row>
    <row r="155" spans="17:43" s="1" customFormat="1" x14ac:dyDescent="0.25">
      <c r="Q155" s="79"/>
      <c r="R155" s="79"/>
      <c r="S155" s="79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</row>
    <row r="156" spans="17:43" s="1" customFormat="1" x14ac:dyDescent="0.25">
      <c r="Q156" s="79"/>
      <c r="R156" s="79"/>
      <c r="S156" s="79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</row>
    <row r="157" spans="17:43" s="1" customFormat="1" x14ac:dyDescent="0.25">
      <c r="Q157" s="79"/>
      <c r="R157" s="79"/>
      <c r="S157" s="79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</row>
    <row r="158" spans="17:43" s="1" customFormat="1" x14ac:dyDescent="0.25">
      <c r="Q158" s="79"/>
      <c r="R158" s="79"/>
      <c r="S158" s="79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</row>
    <row r="159" spans="17:43" s="1" customFormat="1" x14ac:dyDescent="0.25">
      <c r="Q159" s="79"/>
      <c r="R159" s="79"/>
      <c r="S159" s="79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</row>
    <row r="160" spans="17:43" s="1" customFormat="1" x14ac:dyDescent="0.25">
      <c r="Q160" s="79"/>
      <c r="R160" s="79"/>
      <c r="S160" s="79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</row>
    <row r="161" spans="17:43" s="1" customFormat="1" x14ac:dyDescent="0.25">
      <c r="Q161" s="79"/>
      <c r="R161" s="79"/>
      <c r="S161" s="79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</row>
    <row r="162" spans="17:43" s="1" customFormat="1" x14ac:dyDescent="0.25">
      <c r="Q162" s="79"/>
      <c r="R162" s="79"/>
      <c r="S162" s="79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</row>
    <row r="163" spans="17:43" s="1" customFormat="1" x14ac:dyDescent="0.25">
      <c r="Q163" s="79"/>
      <c r="R163" s="79"/>
      <c r="S163" s="79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</row>
    <row r="164" spans="17:43" s="1" customFormat="1" x14ac:dyDescent="0.25">
      <c r="Q164" s="79"/>
      <c r="R164" s="79"/>
      <c r="S164" s="79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</row>
    <row r="165" spans="17:43" s="1" customFormat="1" x14ac:dyDescent="0.25">
      <c r="Q165" s="79"/>
      <c r="R165" s="79"/>
      <c r="S165" s="79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</row>
    <row r="166" spans="17:43" s="1" customFormat="1" x14ac:dyDescent="0.25">
      <c r="Q166" s="79"/>
      <c r="R166" s="79"/>
      <c r="S166" s="79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</row>
    <row r="167" spans="17:43" s="1" customFormat="1" x14ac:dyDescent="0.25">
      <c r="Q167" s="79"/>
      <c r="R167" s="79"/>
      <c r="S167" s="79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</row>
    <row r="168" spans="17:43" s="1" customFormat="1" x14ac:dyDescent="0.25">
      <c r="Q168" s="79"/>
      <c r="R168" s="79"/>
      <c r="S168" s="79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</row>
    <row r="169" spans="17:43" s="1" customFormat="1" x14ac:dyDescent="0.25">
      <c r="Q169" s="79"/>
      <c r="R169" s="79"/>
      <c r="S169" s="79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</row>
    <row r="170" spans="17:43" s="1" customFormat="1" x14ac:dyDescent="0.25">
      <c r="Q170" s="79"/>
      <c r="R170" s="79"/>
      <c r="S170" s="79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</row>
    <row r="171" spans="17:43" s="1" customFormat="1" x14ac:dyDescent="0.25">
      <c r="Q171" s="79"/>
      <c r="R171" s="79"/>
      <c r="S171" s="79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</row>
    <row r="172" spans="17:43" s="1" customFormat="1" x14ac:dyDescent="0.25">
      <c r="Q172" s="79"/>
      <c r="R172" s="79"/>
      <c r="S172" s="79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</row>
    <row r="173" spans="17:43" s="1" customFormat="1" x14ac:dyDescent="0.25">
      <c r="Q173" s="79"/>
      <c r="R173" s="79"/>
      <c r="S173" s="79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</row>
    <row r="174" spans="17:43" s="1" customFormat="1" x14ac:dyDescent="0.25">
      <c r="Q174" s="79"/>
      <c r="R174" s="79"/>
      <c r="S174" s="79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</row>
    <row r="175" spans="17:43" s="1" customFormat="1" x14ac:dyDescent="0.25">
      <c r="Q175" s="79"/>
      <c r="R175" s="79"/>
      <c r="S175" s="79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</row>
    <row r="176" spans="17:43" s="1" customFormat="1" x14ac:dyDescent="0.25">
      <c r="Q176" s="79"/>
      <c r="R176" s="79"/>
      <c r="S176" s="79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</row>
    <row r="177" spans="3:19" x14ac:dyDescent="0.25">
      <c r="Q177" s="79"/>
      <c r="R177" s="79"/>
      <c r="S177" s="79"/>
    </row>
    <row r="178" spans="3:19" x14ac:dyDescent="0.25">
      <c r="Q178" s="79"/>
      <c r="R178" s="79"/>
      <c r="S178" s="79"/>
    </row>
    <row r="179" spans="3:19" x14ac:dyDescent="0.25">
      <c r="Q179" s="79"/>
      <c r="R179" s="79"/>
      <c r="S179" s="79"/>
    </row>
    <row r="180" spans="3:19" x14ac:dyDescent="0.25">
      <c r="Q180" s="79"/>
      <c r="R180" s="79"/>
      <c r="S180" s="79"/>
    </row>
    <row r="181" spans="3:19" x14ac:dyDescent="0.25">
      <c r="Q181" s="79"/>
      <c r="R181" s="79"/>
      <c r="S181" s="79"/>
    </row>
    <row r="182" spans="3:19" x14ac:dyDescent="0.25">
      <c r="Q182" s="79"/>
      <c r="R182" s="79"/>
      <c r="S182" s="79"/>
    </row>
    <row r="183" spans="3:19" x14ac:dyDescent="0.25">
      <c r="C183" s="80"/>
      <c r="D183" s="80"/>
      <c r="E183" s="80"/>
      <c r="F183" s="80"/>
      <c r="G183" s="80"/>
      <c r="H183" s="80"/>
      <c r="I183" s="80"/>
      <c r="J183" s="80"/>
      <c r="K183" s="80"/>
      <c r="L183" s="80"/>
      <c r="M183" s="80"/>
      <c r="N183" s="79"/>
      <c r="O183" s="79"/>
      <c r="Q183" s="79"/>
      <c r="R183" s="79"/>
      <c r="S183" s="79"/>
    </row>
    <row r="184" spans="3:19" x14ac:dyDescent="0.25">
      <c r="C184" s="80"/>
      <c r="D184" s="80"/>
      <c r="E184" s="80"/>
      <c r="F184" s="80"/>
      <c r="G184" s="80"/>
      <c r="H184" s="80"/>
      <c r="I184" s="80"/>
      <c r="J184" s="80"/>
      <c r="K184" s="80"/>
      <c r="L184" s="80"/>
      <c r="M184" s="80"/>
      <c r="N184" s="79"/>
      <c r="O184" s="79"/>
      <c r="P184" s="79"/>
      <c r="Q184" s="79"/>
      <c r="R184" s="79"/>
      <c r="S184" s="79"/>
    </row>
    <row r="185" spans="3:19" x14ac:dyDescent="0.25">
      <c r="C185" s="80"/>
      <c r="D185" s="80"/>
      <c r="E185" s="80"/>
      <c r="F185" s="80"/>
      <c r="G185" s="80"/>
      <c r="H185" s="80"/>
      <c r="I185" s="80"/>
      <c r="J185" s="80"/>
      <c r="K185" s="80"/>
      <c r="L185" s="80"/>
      <c r="M185" s="80"/>
      <c r="N185" s="79"/>
      <c r="O185" s="79"/>
      <c r="P185" s="79"/>
      <c r="Q185" s="79"/>
      <c r="R185" s="79"/>
      <c r="S185" s="79"/>
    </row>
    <row r="186" spans="3:19" x14ac:dyDescent="0.25">
      <c r="C186" s="80"/>
      <c r="D186" s="80"/>
      <c r="E186" s="80"/>
      <c r="F186" s="80"/>
      <c r="G186" s="80"/>
      <c r="H186" s="80"/>
      <c r="I186" s="80"/>
      <c r="J186" s="80"/>
      <c r="K186" s="80"/>
      <c r="L186" s="80"/>
      <c r="M186" s="80"/>
      <c r="N186" s="79"/>
      <c r="O186" s="79"/>
      <c r="P186" s="79"/>
      <c r="Q186" s="79"/>
      <c r="R186" s="79"/>
      <c r="S186" s="79"/>
    </row>
    <row r="187" spans="3:19" x14ac:dyDescent="0.25">
      <c r="C187" s="80"/>
      <c r="D187" s="80"/>
      <c r="E187" s="80"/>
      <c r="F187" s="80"/>
      <c r="G187" s="80"/>
      <c r="H187" s="80"/>
      <c r="I187" s="80"/>
      <c r="J187" s="80"/>
      <c r="K187" s="80"/>
      <c r="L187" s="80"/>
      <c r="M187" s="80"/>
      <c r="N187" s="79"/>
      <c r="O187" s="79"/>
      <c r="P187" s="79"/>
      <c r="Q187" s="79"/>
      <c r="R187" s="79"/>
      <c r="S187" s="79"/>
    </row>
    <row r="188" spans="3:19" x14ac:dyDescent="0.25">
      <c r="C188" s="80"/>
      <c r="D188" s="80"/>
      <c r="E188" s="80"/>
      <c r="F188" s="80"/>
      <c r="G188" s="80"/>
      <c r="H188" s="80"/>
      <c r="I188" s="80"/>
      <c r="J188" s="80"/>
      <c r="K188" s="80"/>
      <c r="L188" s="80"/>
      <c r="M188" s="80"/>
      <c r="N188" s="79"/>
      <c r="O188" s="79"/>
      <c r="P188" s="79"/>
      <c r="Q188" s="79"/>
      <c r="R188" s="79"/>
      <c r="S188" s="79"/>
    </row>
    <row r="189" spans="3:19" x14ac:dyDescent="0.25">
      <c r="C189" s="80"/>
      <c r="D189" s="80"/>
      <c r="E189" s="80"/>
      <c r="F189" s="80"/>
      <c r="G189" s="80"/>
      <c r="H189" s="80"/>
      <c r="I189" s="80"/>
      <c r="J189" s="80"/>
      <c r="K189" s="80"/>
      <c r="L189" s="80"/>
      <c r="M189" s="80"/>
      <c r="N189" s="79"/>
      <c r="O189" s="79"/>
      <c r="P189" s="79"/>
      <c r="Q189" s="79"/>
      <c r="R189" s="79"/>
      <c r="S189" s="79"/>
    </row>
    <row r="190" spans="3:19" x14ac:dyDescent="0.25">
      <c r="C190" s="80"/>
      <c r="D190" s="80"/>
      <c r="E190" s="80"/>
      <c r="F190" s="80"/>
      <c r="G190" s="80"/>
      <c r="H190" s="80"/>
      <c r="I190" s="80"/>
      <c r="J190" s="80"/>
      <c r="K190" s="80"/>
      <c r="L190" s="80"/>
      <c r="M190" s="80"/>
      <c r="N190" s="79"/>
      <c r="O190" s="79"/>
      <c r="P190" s="79"/>
      <c r="Q190" s="79"/>
      <c r="R190" s="79"/>
      <c r="S190" s="79"/>
    </row>
    <row r="191" spans="3:19" x14ac:dyDescent="0.25">
      <c r="C191" s="80"/>
      <c r="D191" s="80"/>
      <c r="E191" s="80"/>
      <c r="F191" s="80"/>
      <c r="G191" s="80"/>
      <c r="H191" s="80"/>
      <c r="I191" s="80"/>
      <c r="J191" s="80"/>
      <c r="K191" s="80"/>
      <c r="L191" s="80"/>
      <c r="M191" s="80"/>
      <c r="N191" s="79"/>
      <c r="O191" s="79"/>
      <c r="P191" s="79"/>
      <c r="Q191" s="79"/>
      <c r="R191" s="79"/>
      <c r="S191" s="79"/>
    </row>
    <row r="192" spans="3:19" x14ac:dyDescent="0.25">
      <c r="C192" s="80"/>
      <c r="D192" s="80"/>
      <c r="E192" s="80"/>
      <c r="F192" s="80"/>
      <c r="G192" s="80"/>
      <c r="H192" s="80"/>
      <c r="I192" s="80"/>
      <c r="J192" s="80"/>
      <c r="K192" s="80"/>
      <c r="L192" s="80"/>
      <c r="M192" s="80"/>
      <c r="N192" s="79"/>
      <c r="O192" s="79"/>
      <c r="P192" s="79"/>
      <c r="Q192" s="79"/>
      <c r="R192" s="79"/>
      <c r="S192" s="79"/>
    </row>
    <row r="193" spans="3:19" x14ac:dyDescent="0.25">
      <c r="C193" s="80"/>
      <c r="D193" s="80"/>
      <c r="E193" s="80"/>
      <c r="F193" s="80"/>
      <c r="G193" s="80"/>
      <c r="H193" s="80"/>
      <c r="I193" s="80"/>
      <c r="J193" s="80"/>
      <c r="K193" s="80"/>
      <c r="L193" s="80"/>
      <c r="M193" s="80"/>
      <c r="N193" s="79"/>
      <c r="O193" s="79"/>
      <c r="P193" s="79"/>
      <c r="Q193" s="79"/>
      <c r="R193" s="79"/>
      <c r="S193" s="79"/>
    </row>
    <row r="194" spans="3:19" x14ac:dyDescent="0.25">
      <c r="C194" s="80"/>
      <c r="D194" s="80"/>
      <c r="E194" s="80"/>
      <c r="F194" s="80"/>
      <c r="G194" s="80"/>
      <c r="H194" s="80"/>
      <c r="I194" s="80"/>
      <c r="J194" s="80"/>
      <c r="K194" s="80"/>
      <c r="L194" s="80"/>
      <c r="M194" s="80"/>
      <c r="N194" s="79"/>
      <c r="O194" s="79"/>
      <c r="P194" s="79"/>
      <c r="Q194" s="79"/>
      <c r="R194" s="79"/>
      <c r="S194" s="79"/>
    </row>
    <row r="195" spans="3:19" x14ac:dyDescent="0.25">
      <c r="C195" s="80"/>
      <c r="D195" s="80"/>
      <c r="E195" s="80"/>
      <c r="F195" s="80"/>
      <c r="G195" s="80"/>
      <c r="H195" s="80"/>
      <c r="I195" s="80"/>
      <c r="J195" s="80"/>
      <c r="K195" s="80"/>
      <c r="L195" s="80"/>
      <c r="M195" s="80"/>
      <c r="N195" s="79"/>
      <c r="O195" s="79"/>
      <c r="P195" s="79"/>
      <c r="Q195" s="79"/>
      <c r="R195" s="79"/>
      <c r="S195" s="79"/>
    </row>
    <row r="196" spans="3:19" x14ac:dyDescent="0.25">
      <c r="C196" s="80"/>
      <c r="D196" s="80"/>
      <c r="E196" s="80"/>
      <c r="F196" s="80"/>
      <c r="G196" s="80"/>
      <c r="H196" s="80"/>
      <c r="I196" s="80"/>
      <c r="J196" s="80"/>
      <c r="K196" s="80"/>
      <c r="L196" s="80"/>
      <c r="M196" s="80"/>
      <c r="N196" s="79"/>
      <c r="O196" s="79"/>
      <c r="P196" s="79"/>
      <c r="Q196" s="79"/>
      <c r="R196" s="79"/>
      <c r="S196" s="79"/>
    </row>
    <row r="197" spans="3:19" x14ac:dyDescent="0.25">
      <c r="C197" s="80"/>
      <c r="D197" s="80"/>
      <c r="E197" s="80"/>
      <c r="F197" s="80"/>
      <c r="G197" s="80"/>
      <c r="H197" s="80"/>
      <c r="I197" s="80"/>
      <c r="J197" s="80"/>
      <c r="K197" s="80"/>
      <c r="L197" s="80"/>
      <c r="M197" s="80"/>
      <c r="N197" s="79"/>
      <c r="O197" s="79"/>
      <c r="P197" s="79"/>
      <c r="Q197" s="79"/>
      <c r="R197" s="79"/>
      <c r="S197" s="79"/>
    </row>
    <row r="198" spans="3:19" x14ac:dyDescent="0.25">
      <c r="C198" s="80"/>
      <c r="D198" s="80"/>
      <c r="E198" s="80"/>
      <c r="F198" s="80"/>
      <c r="G198" s="80"/>
      <c r="H198" s="80"/>
      <c r="I198" s="80"/>
      <c r="J198" s="80"/>
      <c r="K198" s="80"/>
      <c r="L198" s="80"/>
      <c r="M198" s="80"/>
      <c r="N198" s="79"/>
      <c r="O198" s="79"/>
      <c r="P198" s="79"/>
      <c r="Q198" s="79"/>
      <c r="R198" s="79"/>
      <c r="S198" s="79"/>
    </row>
    <row r="199" spans="3:19" x14ac:dyDescent="0.25">
      <c r="C199" s="80"/>
      <c r="D199" s="80"/>
      <c r="E199" s="80"/>
      <c r="F199" s="80"/>
      <c r="G199" s="80"/>
      <c r="H199" s="80"/>
      <c r="I199" s="80"/>
      <c r="J199" s="80"/>
      <c r="K199" s="80"/>
      <c r="L199" s="80"/>
      <c r="M199" s="80"/>
      <c r="N199" s="79"/>
      <c r="O199" s="79"/>
      <c r="P199" s="79"/>
      <c r="Q199" s="79"/>
      <c r="R199" s="79"/>
      <c r="S199" s="79"/>
    </row>
    <row r="200" spans="3:19" x14ac:dyDescent="0.25">
      <c r="C200" s="80"/>
      <c r="D200" s="80"/>
      <c r="E200" s="80"/>
      <c r="F200" s="80"/>
      <c r="G200" s="80"/>
      <c r="H200" s="80"/>
      <c r="I200" s="80"/>
      <c r="J200" s="80"/>
      <c r="K200" s="80"/>
      <c r="L200" s="80"/>
      <c r="M200" s="80"/>
      <c r="N200" s="79"/>
      <c r="O200" s="79"/>
      <c r="P200" s="79"/>
      <c r="Q200" s="79"/>
      <c r="R200" s="79"/>
      <c r="S200" s="79"/>
    </row>
    <row r="201" spans="3:19" x14ac:dyDescent="0.25">
      <c r="C201" s="80"/>
      <c r="D201" s="80"/>
      <c r="E201" s="80"/>
      <c r="F201" s="80"/>
      <c r="G201" s="80"/>
      <c r="H201" s="80"/>
      <c r="I201" s="80"/>
      <c r="J201" s="80"/>
      <c r="K201" s="80"/>
      <c r="L201" s="80"/>
      <c r="M201" s="80"/>
      <c r="N201" s="79"/>
      <c r="O201" s="79"/>
      <c r="P201" s="79"/>
      <c r="Q201" s="79"/>
      <c r="R201" s="79"/>
      <c r="S201" s="79"/>
    </row>
    <row r="202" spans="3:19" x14ac:dyDescent="0.25">
      <c r="C202" s="80"/>
      <c r="D202" s="80"/>
      <c r="E202" s="80"/>
      <c r="F202" s="80"/>
      <c r="G202" s="80"/>
      <c r="H202" s="80"/>
      <c r="I202" s="80"/>
      <c r="J202" s="80"/>
      <c r="K202" s="80"/>
      <c r="L202" s="80"/>
      <c r="M202" s="80"/>
      <c r="N202" s="79"/>
      <c r="O202" s="79"/>
      <c r="P202" s="79"/>
      <c r="Q202" s="79"/>
      <c r="R202" s="79"/>
      <c r="S202" s="79"/>
    </row>
    <row r="203" spans="3:19" x14ac:dyDescent="0.25">
      <c r="C203" s="80"/>
      <c r="D203" s="80"/>
      <c r="E203" s="80"/>
      <c r="F203" s="80"/>
      <c r="G203" s="80"/>
      <c r="H203" s="80"/>
      <c r="I203" s="80"/>
      <c r="J203" s="80"/>
      <c r="K203" s="80"/>
      <c r="L203" s="80"/>
      <c r="M203" s="80"/>
      <c r="N203" s="79"/>
      <c r="O203" s="79"/>
      <c r="P203" s="79"/>
      <c r="Q203" s="79"/>
      <c r="R203" s="79"/>
      <c r="S203" s="79"/>
    </row>
    <row r="204" spans="3:19" x14ac:dyDescent="0.25">
      <c r="C204" s="80"/>
      <c r="D204" s="80"/>
      <c r="E204" s="80"/>
      <c r="F204" s="80"/>
      <c r="G204" s="80"/>
      <c r="H204" s="80"/>
      <c r="I204" s="80"/>
      <c r="J204" s="80"/>
      <c r="K204" s="80"/>
      <c r="L204" s="80"/>
      <c r="M204" s="80"/>
      <c r="N204" s="79"/>
      <c r="O204" s="79"/>
      <c r="P204" s="79"/>
      <c r="Q204" s="79"/>
      <c r="R204" s="79"/>
      <c r="S204" s="79"/>
    </row>
    <row r="205" spans="3:19" x14ac:dyDescent="0.25">
      <c r="C205" s="80"/>
      <c r="D205" s="80"/>
      <c r="E205" s="80"/>
      <c r="F205" s="80"/>
      <c r="G205" s="80"/>
      <c r="H205" s="80"/>
      <c r="I205" s="80"/>
      <c r="J205" s="80"/>
      <c r="K205" s="80"/>
      <c r="L205" s="80"/>
      <c r="M205" s="80"/>
      <c r="N205" s="79"/>
      <c r="O205" s="79"/>
      <c r="P205" s="79"/>
      <c r="Q205" s="79"/>
      <c r="R205" s="79"/>
      <c r="S205" s="79"/>
    </row>
    <row r="206" spans="3:19" x14ac:dyDescent="0.25">
      <c r="C206" s="80"/>
      <c r="D206" s="80"/>
      <c r="E206" s="80"/>
      <c r="F206" s="80"/>
      <c r="G206" s="80"/>
      <c r="H206" s="80"/>
      <c r="I206" s="80"/>
      <c r="J206" s="80"/>
      <c r="K206" s="80"/>
      <c r="L206" s="80"/>
      <c r="M206" s="80"/>
      <c r="N206" s="79"/>
      <c r="O206" s="79"/>
      <c r="P206" s="79"/>
      <c r="Q206" s="79"/>
      <c r="R206" s="79"/>
      <c r="S206" s="79"/>
    </row>
    <row r="207" spans="3:19" x14ac:dyDescent="0.25">
      <c r="C207" s="80"/>
      <c r="D207" s="80"/>
      <c r="E207" s="80"/>
      <c r="F207" s="80"/>
      <c r="G207" s="80"/>
      <c r="H207" s="80"/>
      <c r="I207" s="80"/>
      <c r="J207" s="80"/>
      <c r="K207" s="80"/>
      <c r="L207" s="80"/>
      <c r="M207" s="80"/>
      <c r="N207" s="79"/>
      <c r="O207" s="79"/>
      <c r="P207" s="79"/>
      <c r="Q207" s="79"/>
      <c r="R207" s="79"/>
      <c r="S207" s="79"/>
    </row>
    <row r="208" spans="3:19" x14ac:dyDescent="0.25">
      <c r="C208" s="80"/>
      <c r="D208" s="80"/>
      <c r="E208" s="80"/>
      <c r="F208" s="80"/>
      <c r="G208" s="80"/>
      <c r="H208" s="80"/>
      <c r="I208" s="80"/>
      <c r="J208" s="80"/>
      <c r="K208" s="80"/>
      <c r="L208" s="80"/>
      <c r="M208" s="80"/>
      <c r="N208" s="79"/>
      <c r="O208" s="79"/>
      <c r="P208" s="79"/>
      <c r="Q208" s="79"/>
      <c r="R208" s="79"/>
      <c r="S208" s="79"/>
    </row>
    <row r="209" spans="3:19" x14ac:dyDescent="0.25">
      <c r="C209" s="80"/>
      <c r="D209" s="80"/>
      <c r="E209" s="80"/>
      <c r="F209" s="80"/>
      <c r="G209" s="80"/>
      <c r="H209" s="80"/>
      <c r="I209" s="80"/>
      <c r="J209" s="80"/>
      <c r="K209" s="80"/>
      <c r="L209" s="80"/>
      <c r="M209" s="80"/>
      <c r="N209" s="79"/>
      <c r="O209" s="79"/>
      <c r="P209" s="79"/>
      <c r="Q209" s="79"/>
      <c r="R209" s="79"/>
      <c r="S209" s="79"/>
    </row>
    <row r="210" spans="3:19" x14ac:dyDescent="0.25">
      <c r="C210" s="80"/>
      <c r="D210" s="80"/>
      <c r="E210" s="80"/>
      <c r="F210" s="80"/>
      <c r="G210" s="80"/>
      <c r="H210" s="80"/>
      <c r="I210" s="80"/>
      <c r="J210" s="80"/>
      <c r="K210" s="80"/>
      <c r="L210" s="80"/>
      <c r="M210" s="80"/>
      <c r="N210" s="79"/>
      <c r="O210" s="79"/>
      <c r="P210" s="79"/>
      <c r="Q210" s="79"/>
      <c r="R210" s="79"/>
      <c r="S210" s="79"/>
    </row>
    <row r="211" spans="3:19" x14ac:dyDescent="0.25">
      <c r="C211" s="80"/>
      <c r="D211" s="80"/>
      <c r="E211" s="80"/>
      <c r="F211" s="80"/>
      <c r="G211" s="80"/>
      <c r="H211" s="80"/>
      <c r="I211" s="80"/>
      <c r="J211" s="80"/>
      <c r="K211" s="80"/>
      <c r="L211" s="80"/>
      <c r="M211" s="80"/>
      <c r="N211" s="79"/>
      <c r="O211" s="79"/>
      <c r="P211" s="79"/>
      <c r="Q211" s="79"/>
      <c r="R211" s="79"/>
      <c r="S211" s="79"/>
    </row>
    <row r="212" spans="3:19" x14ac:dyDescent="0.25">
      <c r="C212" s="80"/>
      <c r="D212" s="80"/>
      <c r="E212" s="80"/>
      <c r="F212" s="80"/>
      <c r="G212" s="80"/>
      <c r="H212" s="80"/>
      <c r="I212" s="80"/>
      <c r="J212" s="80"/>
      <c r="K212" s="80"/>
      <c r="L212" s="80"/>
      <c r="M212" s="80"/>
      <c r="N212" s="79"/>
      <c r="O212" s="79"/>
      <c r="P212" s="79"/>
      <c r="Q212" s="79"/>
      <c r="R212" s="79"/>
      <c r="S212" s="79"/>
    </row>
    <row r="213" spans="3:19" x14ac:dyDescent="0.25">
      <c r="C213" s="80"/>
      <c r="D213" s="80"/>
      <c r="E213" s="80"/>
      <c r="F213" s="80"/>
      <c r="G213" s="80"/>
      <c r="H213" s="80"/>
      <c r="I213" s="80"/>
      <c r="J213" s="80"/>
      <c r="K213" s="80"/>
      <c r="L213" s="80"/>
      <c r="M213" s="80"/>
      <c r="N213" s="79"/>
      <c r="O213" s="79"/>
      <c r="P213" s="79"/>
      <c r="Q213" s="79"/>
      <c r="R213" s="79"/>
      <c r="S213" s="79"/>
    </row>
    <row r="214" spans="3:19" x14ac:dyDescent="0.25">
      <c r="C214" s="80"/>
      <c r="D214" s="80"/>
      <c r="E214" s="80"/>
      <c r="F214" s="80"/>
      <c r="G214" s="80"/>
      <c r="H214" s="80"/>
      <c r="I214" s="80"/>
      <c r="J214" s="80"/>
      <c r="K214" s="80"/>
      <c r="L214" s="80"/>
      <c r="M214" s="80"/>
      <c r="N214" s="79"/>
      <c r="O214" s="79"/>
      <c r="P214" s="79"/>
      <c r="Q214" s="79"/>
      <c r="R214" s="79"/>
      <c r="S214" s="79"/>
    </row>
    <row r="215" spans="3:19" x14ac:dyDescent="0.25">
      <c r="C215" s="80"/>
      <c r="D215" s="80"/>
      <c r="E215" s="80"/>
      <c r="F215" s="80"/>
      <c r="G215" s="80"/>
      <c r="H215" s="80"/>
      <c r="I215" s="80"/>
      <c r="J215" s="80"/>
      <c r="K215" s="80"/>
      <c r="L215" s="80"/>
      <c r="M215" s="80"/>
      <c r="N215" s="79"/>
      <c r="O215" s="79"/>
      <c r="P215" s="79"/>
      <c r="Q215" s="79"/>
      <c r="R215" s="79"/>
      <c r="S215" s="79"/>
    </row>
    <row r="216" spans="3:19" x14ac:dyDescent="0.25">
      <c r="C216" s="80"/>
      <c r="D216" s="80"/>
      <c r="E216" s="80"/>
      <c r="F216" s="80"/>
      <c r="G216" s="80"/>
      <c r="H216" s="80"/>
      <c r="I216" s="80"/>
      <c r="J216" s="80"/>
      <c r="K216" s="80"/>
      <c r="L216" s="80"/>
      <c r="M216" s="80"/>
      <c r="N216" s="79"/>
      <c r="O216" s="79"/>
      <c r="P216" s="79"/>
      <c r="Q216" s="79"/>
      <c r="R216" s="79"/>
      <c r="S216" s="79"/>
    </row>
    <row r="217" spans="3:19" x14ac:dyDescent="0.25">
      <c r="C217" s="80"/>
      <c r="D217" s="80"/>
      <c r="E217" s="80"/>
      <c r="F217" s="80"/>
      <c r="G217" s="80"/>
      <c r="H217" s="80"/>
      <c r="I217" s="80"/>
      <c r="J217" s="80"/>
      <c r="K217" s="80"/>
      <c r="L217" s="80"/>
      <c r="M217" s="80"/>
      <c r="N217" s="79"/>
      <c r="O217" s="79"/>
      <c r="P217" s="79"/>
      <c r="Q217" s="79"/>
      <c r="R217" s="79"/>
      <c r="S217" s="79"/>
    </row>
    <row r="218" spans="3:19" x14ac:dyDescent="0.25">
      <c r="C218" s="80"/>
      <c r="D218" s="80"/>
      <c r="E218" s="80"/>
      <c r="F218" s="80"/>
      <c r="G218" s="80"/>
      <c r="H218" s="80"/>
      <c r="I218" s="80"/>
      <c r="J218" s="80"/>
      <c r="K218" s="80"/>
      <c r="L218" s="80"/>
      <c r="M218" s="80"/>
      <c r="N218" s="79"/>
      <c r="O218" s="79"/>
      <c r="P218" s="79"/>
      <c r="Q218" s="79"/>
      <c r="R218" s="79"/>
      <c r="S218" s="79"/>
    </row>
    <row r="219" spans="3:19" x14ac:dyDescent="0.25">
      <c r="C219" s="80"/>
      <c r="D219" s="80"/>
      <c r="E219" s="80"/>
      <c r="F219" s="80"/>
      <c r="G219" s="80"/>
      <c r="H219" s="80"/>
      <c r="I219" s="80"/>
      <c r="J219" s="80"/>
      <c r="K219" s="80"/>
      <c r="L219" s="80"/>
      <c r="M219" s="80"/>
      <c r="N219" s="79"/>
      <c r="O219" s="79"/>
      <c r="P219" s="79"/>
      <c r="Q219" s="79"/>
      <c r="R219" s="79"/>
      <c r="S219" s="79"/>
    </row>
    <row r="220" spans="3:19" x14ac:dyDescent="0.25">
      <c r="C220" s="80"/>
      <c r="D220" s="80"/>
      <c r="E220" s="80"/>
      <c r="F220" s="80"/>
      <c r="G220" s="80"/>
      <c r="H220" s="80"/>
      <c r="I220" s="80"/>
      <c r="J220" s="80"/>
      <c r="K220" s="80"/>
      <c r="L220" s="80"/>
      <c r="M220" s="80"/>
      <c r="N220" s="79"/>
      <c r="O220" s="79"/>
      <c r="P220" s="79"/>
      <c r="Q220" s="79"/>
      <c r="R220" s="79"/>
      <c r="S220" s="79"/>
    </row>
    <row r="221" spans="3:19" x14ac:dyDescent="0.25">
      <c r="C221" s="80"/>
      <c r="D221" s="80"/>
      <c r="E221" s="80"/>
      <c r="F221" s="80"/>
      <c r="G221" s="80"/>
      <c r="H221" s="80"/>
      <c r="I221" s="80"/>
      <c r="J221" s="80"/>
      <c r="K221" s="80"/>
      <c r="L221" s="80"/>
      <c r="M221" s="80"/>
      <c r="N221" s="79"/>
      <c r="O221" s="79"/>
      <c r="P221" s="79"/>
      <c r="Q221" s="79"/>
      <c r="R221" s="79"/>
      <c r="S221" s="79"/>
    </row>
    <row r="222" spans="3:19" x14ac:dyDescent="0.25">
      <c r="C222" s="80"/>
      <c r="D222" s="80"/>
      <c r="E222" s="80"/>
      <c r="F222" s="80"/>
      <c r="G222" s="80"/>
      <c r="H222" s="80"/>
      <c r="I222" s="80"/>
      <c r="J222" s="80"/>
      <c r="K222" s="80"/>
      <c r="L222" s="80"/>
      <c r="M222" s="80"/>
      <c r="N222" s="79"/>
      <c r="O222" s="79"/>
      <c r="P222" s="79"/>
      <c r="Q222" s="79"/>
      <c r="R222" s="79"/>
      <c r="S222" s="79"/>
    </row>
    <row r="223" spans="3:19" x14ac:dyDescent="0.25">
      <c r="C223" s="80"/>
      <c r="D223" s="80"/>
      <c r="E223" s="80"/>
      <c r="F223" s="80"/>
      <c r="G223" s="80"/>
      <c r="H223" s="80"/>
      <c r="I223" s="80"/>
      <c r="J223" s="80"/>
      <c r="K223" s="80"/>
      <c r="L223" s="80"/>
      <c r="M223" s="80"/>
      <c r="N223" s="79"/>
      <c r="O223" s="79"/>
      <c r="P223" s="79"/>
      <c r="Q223" s="79"/>
      <c r="R223" s="79"/>
      <c r="S223" s="79"/>
    </row>
    <row r="224" spans="3:19" x14ac:dyDescent="0.25">
      <c r="C224" s="80"/>
      <c r="D224" s="80"/>
      <c r="E224" s="80"/>
      <c r="F224" s="80"/>
      <c r="G224" s="80"/>
      <c r="H224" s="80"/>
      <c r="I224" s="80"/>
      <c r="J224" s="80"/>
      <c r="K224" s="80"/>
      <c r="L224" s="80"/>
      <c r="M224" s="80"/>
      <c r="N224" s="79"/>
      <c r="O224" s="79"/>
      <c r="P224" s="79"/>
      <c r="Q224" s="79"/>
      <c r="R224" s="79"/>
      <c r="S224" s="79"/>
    </row>
    <row r="225" spans="3:19" x14ac:dyDescent="0.25">
      <c r="C225" s="80"/>
      <c r="D225" s="80"/>
      <c r="E225" s="80"/>
      <c r="F225" s="80"/>
      <c r="G225" s="80"/>
      <c r="H225" s="80"/>
      <c r="I225" s="80"/>
      <c r="J225" s="80"/>
      <c r="K225" s="80"/>
      <c r="L225" s="80"/>
      <c r="M225" s="80"/>
      <c r="N225" s="79"/>
      <c r="O225" s="79"/>
      <c r="P225" s="79"/>
      <c r="Q225" s="79"/>
      <c r="R225" s="79"/>
      <c r="S225" s="79"/>
    </row>
    <row r="226" spans="3:19" x14ac:dyDescent="0.25">
      <c r="C226" s="80"/>
      <c r="D226" s="80"/>
      <c r="E226" s="80"/>
      <c r="F226" s="80"/>
      <c r="G226" s="80"/>
      <c r="H226" s="80"/>
      <c r="I226" s="80"/>
      <c r="J226" s="80"/>
      <c r="K226" s="80"/>
      <c r="L226" s="80"/>
      <c r="M226" s="80"/>
      <c r="N226" s="79"/>
      <c r="O226" s="79"/>
      <c r="P226" s="79"/>
      <c r="Q226" s="79"/>
      <c r="R226" s="79"/>
      <c r="S226" s="79"/>
    </row>
    <row r="227" spans="3:19" x14ac:dyDescent="0.25">
      <c r="C227" s="80"/>
      <c r="D227" s="80"/>
      <c r="E227" s="80"/>
      <c r="F227" s="80"/>
      <c r="G227" s="80"/>
      <c r="H227" s="80"/>
      <c r="I227" s="80"/>
      <c r="J227" s="80"/>
      <c r="K227" s="80"/>
      <c r="L227" s="80"/>
      <c r="M227" s="80"/>
      <c r="N227" s="79"/>
      <c r="O227" s="79"/>
      <c r="P227" s="79"/>
      <c r="Q227" s="79"/>
      <c r="R227" s="79"/>
      <c r="S227" s="79"/>
    </row>
    <row r="228" spans="3:19" x14ac:dyDescent="0.25">
      <c r="C228" s="80"/>
      <c r="D228" s="80"/>
      <c r="E228" s="80"/>
      <c r="F228" s="80"/>
      <c r="G228" s="80"/>
      <c r="H228" s="80"/>
      <c r="I228" s="80"/>
      <c r="J228" s="80"/>
      <c r="K228" s="80"/>
      <c r="L228" s="80"/>
      <c r="M228" s="80"/>
      <c r="N228" s="79"/>
      <c r="O228" s="79"/>
      <c r="P228" s="79"/>
      <c r="Q228" s="79"/>
      <c r="R228" s="79"/>
      <c r="S228" s="79"/>
    </row>
    <row r="229" spans="3:19" x14ac:dyDescent="0.25">
      <c r="C229" s="80"/>
      <c r="D229" s="80"/>
      <c r="E229" s="80"/>
      <c r="F229" s="80"/>
      <c r="G229" s="80"/>
      <c r="H229" s="80"/>
      <c r="I229" s="80"/>
      <c r="J229" s="80"/>
      <c r="K229" s="80"/>
      <c r="L229" s="80"/>
      <c r="M229" s="80"/>
      <c r="N229" s="79"/>
      <c r="O229" s="79"/>
      <c r="P229" s="79"/>
      <c r="Q229" s="79"/>
      <c r="R229" s="79"/>
      <c r="S229" s="79"/>
    </row>
    <row r="230" spans="3:19" x14ac:dyDescent="0.25">
      <c r="C230" s="80"/>
      <c r="D230" s="80"/>
      <c r="E230" s="80"/>
      <c r="F230" s="80"/>
      <c r="G230" s="80"/>
      <c r="H230" s="80"/>
      <c r="I230" s="80"/>
      <c r="J230" s="80"/>
      <c r="K230" s="80"/>
      <c r="L230" s="80"/>
      <c r="M230" s="80"/>
      <c r="N230" s="79"/>
      <c r="O230" s="79"/>
      <c r="P230" s="79"/>
      <c r="Q230" s="79"/>
      <c r="R230" s="79"/>
      <c r="S230" s="79"/>
    </row>
    <row r="231" spans="3:19" x14ac:dyDescent="0.25">
      <c r="C231" s="80"/>
      <c r="D231" s="80"/>
      <c r="E231" s="80"/>
      <c r="F231" s="80"/>
      <c r="G231" s="80"/>
      <c r="H231" s="80"/>
      <c r="I231" s="80"/>
      <c r="J231" s="80"/>
      <c r="K231" s="80"/>
      <c r="L231" s="80"/>
      <c r="M231" s="80"/>
      <c r="N231" s="79"/>
      <c r="O231" s="79"/>
      <c r="P231" s="79"/>
      <c r="Q231" s="79"/>
      <c r="R231" s="79"/>
      <c r="S231" s="79"/>
    </row>
    <row r="232" spans="3:19" x14ac:dyDescent="0.25">
      <c r="C232" s="80"/>
      <c r="D232" s="80"/>
      <c r="E232" s="80"/>
      <c r="F232" s="80"/>
      <c r="G232" s="80"/>
      <c r="H232" s="80"/>
      <c r="I232" s="80"/>
      <c r="J232" s="80"/>
      <c r="K232" s="80"/>
      <c r="L232" s="80"/>
      <c r="M232" s="80"/>
      <c r="N232" s="79"/>
      <c r="O232" s="79"/>
      <c r="P232" s="79"/>
      <c r="Q232" s="79"/>
      <c r="R232" s="79"/>
      <c r="S232" s="79"/>
    </row>
    <row r="233" spans="3:19" x14ac:dyDescent="0.25">
      <c r="C233" s="80"/>
      <c r="D233" s="80"/>
      <c r="E233" s="80"/>
      <c r="F233" s="80"/>
      <c r="G233" s="80"/>
      <c r="H233" s="80"/>
      <c r="I233" s="80"/>
      <c r="J233" s="80"/>
      <c r="K233" s="80"/>
      <c r="L233" s="80"/>
      <c r="M233" s="80"/>
      <c r="N233" s="79"/>
      <c r="O233" s="79"/>
      <c r="P233" s="79"/>
      <c r="Q233" s="79"/>
      <c r="R233" s="79"/>
      <c r="S233" s="79"/>
    </row>
    <row r="234" spans="3:19" x14ac:dyDescent="0.25">
      <c r="C234" s="80"/>
      <c r="D234" s="80"/>
      <c r="E234" s="80"/>
      <c r="F234" s="80"/>
      <c r="G234" s="80"/>
      <c r="H234" s="80"/>
      <c r="I234" s="80"/>
      <c r="J234" s="80"/>
      <c r="K234" s="80"/>
      <c r="L234" s="80"/>
      <c r="M234" s="80"/>
      <c r="N234" s="79"/>
      <c r="O234" s="79"/>
      <c r="P234" s="79"/>
      <c r="Q234" s="79"/>
      <c r="R234" s="79"/>
      <c r="S234" s="79"/>
    </row>
    <row r="235" spans="3:19" x14ac:dyDescent="0.25">
      <c r="C235" s="80"/>
      <c r="D235" s="80"/>
      <c r="E235" s="80"/>
      <c r="F235" s="80"/>
      <c r="G235" s="80"/>
      <c r="H235" s="80"/>
      <c r="I235" s="80"/>
      <c r="J235" s="80"/>
      <c r="K235" s="80"/>
      <c r="L235" s="80"/>
      <c r="M235" s="80"/>
      <c r="N235" s="79"/>
      <c r="O235" s="79"/>
      <c r="P235" s="79"/>
      <c r="Q235" s="79"/>
      <c r="R235" s="79"/>
      <c r="S235" s="79"/>
    </row>
    <row r="236" spans="3:19" x14ac:dyDescent="0.25">
      <c r="C236" s="80"/>
      <c r="D236" s="80"/>
      <c r="E236" s="80"/>
      <c r="F236" s="80"/>
      <c r="G236" s="80"/>
      <c r="H236" s="80"/>
      <c r="I236" s="80"/>
      <c r="J236" s="80"/>
      <c r="K236" s="80"/>
      <c r="L236" s="80"/>
      <c r="M236" s="80"/>
      <c r="N236" s="79"/>
      <c r="O236" s="79"/>
      <c r="P236" s="79"/>
      <c r="Q236" s="79"/>
      <c r="R236" s="79"/>
      <c r="S236" s="79"/>
    </row>
    <row r="237" spans="3:19" x14ac:dyDescent="0.25">
      <c r="C237" s="80"/>
      <c r="D237" s="80"/>
      <c r="E237" s="80"/>
      <c r="F237" s="80"/>
      <c r="G237" s="80"/>
      <c r="H237" s="80"/>
      <c r="I237" s="80"/>
      <c r="J237" s="80"/>
      <c r="K237" s="80"/>
      <c r="L237" s="80"/>
      <c r="M237" s="80"/>
      <c r="N237" s="79"/>
      <c r="O237" s="79"/>
      <c r="P237" s="79"/>
      <c r="Q237" s="79"/>
      <c r="R237" s="79"/>
      <c r="S237" s="79"/>
    </row>
    <row r="238" spans="3:19" x14ac:dyDescent="0.25">
      <c r="C238" s="80"/>
      <c r="D238" s="80"/>
      <c r="E238" s="80"/>
      <c r="F238" s="80"/>
      <c r="G238" s="80"/>
      <c r="H238" s="80"/>
      <c r="I238" s="80"/>
      <c r="J238" s="80"/>
      <c r="K238" s="80"/>
      <c r="L238" s="80"/>
      <c r="M238" s="80"/>
      <c r="N238" s="79"/>
      <c r="O238" s="79"/>
      <c r="P238" s="79"/>
      <c r="Q238" s="79"/>
      <c r="R238" s="79"/>
      <c r="S238" s="79"/>
    </row>
    <row r="239" spans="3:19" x14ac:dyDescent="0.25">
      <c r="P239" s="79"/>
      <c r="Q239" s="79"/>
      <c r="R239" s="79"/>
      <c r="S239" s="79"/>
    </row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</sheetData>
  <printOptions horizontalCentered="1"/>
  <pageMargins left="0.75" right="0.75" top="0.53" bottom="0.48" header="0.5" footer="0.5"/>
  <pageSetup scale="59" orientation="landscape" r:id="rId1"/>
  <headerFooter alignWithMargins="0"/>
  <rowBreaks count="2" manualBreakCount="2">
    <brk id="20" max="9" man="1"/>
    <brk id="57" max="9" man="1"/>
  </rowBreaks>
  <colBreaks count="1" manualBreakCount="1">
    <brk id="13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58" ma:contentTypeDescription="Create a new document." ma:contentTypeScope="" ma:versionID="58c363228b35647280f58138bd7a8ed8">
  <xsd:schema xmlns:xsd="http://www.w3.org/2001/XMLSchema" xmlns:xs="http://www.w3.org/2001/XMLSchema" xmlns:p="http://schemas.microsoft.com/office/2006/metadata/properties" xmlns:ns1="http://schemas.microsoft.com/sharepoint/v3" xmlns:ns2="54fcda00-7b58-44a7-b108-8bd10a8a08ba" targetNamespace="http://schemas.microsoft.com/office/2006/metadata/properties" ma:root="true" ma:fieldsID="56d446ae382ed9619ef543e6eef0f9f1" ns1:_="" ns2:_="">
    <xsd:import namespace="http://schemas.microsoft.com/sharepoint/v3"/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Tariff_x0020_Dev_x0020_Doc_x0020_Type" minOccurs="0"/>
                <xsd:element ref="ns2:Filed_x0020_Documents" minOccurs="0"/>
                <xsd:element ref="ns2:Department" minOccurs="0"/>
                <xsd:element ref="ns1:Form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ormData" ma:index="19" nillable="true" ma:displayName="Form Data" ma:hidden="true" ma:internalName="FormData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format="Dropdown" ma:indexed="true" ma:internalName="Year" ma:readOnly="false">
      <xsd:simpleType>
        <xsd:restriction base="dms:Choice"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  <xsd:element name="Document_x0020_Type" ma:index="4" ma:displayName="Document Type" ma:format="Dropdown" ma:indexed="true" ma:internalName="Document_x0020_Type" ma:readOnly="false">
      <xsd:simpleType>
        <xsd:restriction base="dms:Choice">
          <xsd:enumeration value="General Information"/>
          <xsd:enumeration value="Application"/>
          <xsd:enumeration value="Development"/>
          <xsd:enumeration value="Orders"/>
          <xsd:enumeration value="Direct Testimony"/>
          <xsd:enumeration value="Rebuttal Testimony"/>
          <xsd:enumeration value="Stipulation Testimony"/>
          <xsd:enumeration value="Supplemental Testimony"/>
          <xsd:enumeration value="Supplemental Rebuttal Testimony"/>
          <xsd:enumeration value="Sur-Rebuttal Testimony"/>
          <xsd:enumeration value="Superseded Testimony"/>
          <xsd:enumeration value="Intervenor Direct Testimony"/>
          <xsd:enumeration value="Intervenor Supplemental Testimony"/>
          <xsd:enumeration value="Intervenor Data Requests Issued"/>
          <xsd:enumeration value="Intervenor Data Requests Responses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Public Hearings"/>
          <xsd:enumeration value="Superseded"/>
        </xsd:restriction>
      </xsd:simpleType>
    </xsd:element>
    <xsd:element name="Filing_x0020_Requirement" ma:index="5" nillable="true" ma:displayName="Filing Requirement" ma:format="Dropdown" ma:internalName="Filing_x0020_Requirement" ma:readOnly="false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  <xsd:enumeration value="Exempt Schedules 10_13_20_23_33_44-49"/>
          <xsd:enumeration value="Schedule 01-5_8-29_40-Revenue Requirements"/>
          <xsd:enumeration value="Schedule 01-5-Financial Data"/>
          <xsd:enumeration value="Schedule 06-Annual Reports"/>
          <xsd:enumeration value="Schedule 07-Comparative Financial Statements"/>
          <xsd:enumeration value="Schedule 17-Lead/Lag Cash Working Capital Calc - ET"/>
          <xsd:enumeration value="Schedule 27-Lead/Lag Cash Working Capital Calc - Adj."/>
          <xsd:enumeration value="Schedule 29-Workpapers for Adjustments"/>
          <xsd:enumeration value="Schedule 30-Revenue and Expense Analysis"/>
          <xsd:enumeration value="Schedule 31-Advertising"/>
          <xsd:enumeration value="Schedule 32-Storm Damage"/>
          <xsd:enumeration value="Schedule 34-Misc Expenses"/>
          <xsd:enumeration value="Schedule 35-Affiliate Services"/>
          <xsd:enumeration value="Schedule 36-Income Taxes"/>
          <xsd:enumeration value="Schedule 37-Organization"/>
          <xsd:enumeration value="Schedule 38-Changes in Acctg Procedures"/>
          <xsd:enumeration value="Schedule 39-Out of Period"/>
          <xsd:enumeration value="Schedule 40-Cost of Service"/>
          <xsd:enumeration value="Schedule 41-Present and Proposed Tariffs"/>
          <xsd:enumeration value="Schedule 42-Present and Proposed Revenues"/>
          <xsd:enumeration value="Schedule 43-Sample Bills"/>
          <xsd:enumeration value="Schedule 50-Other"/>
        </xsd:restriction>
      </xsd:simpleType>
    </xsd:element>
    <xsd:element name="Witness_x0020_Testimony" ma:index="6" nillable="true" ma:displayName="Witness" ma:format="Dropdown" ma:internalName="Witness_x0020_Testimony" ma:readOnly="false">
      <xsd:simpleType>
        <xsd:restriction base="dms:Choice">
          <xsd:enumeration value="Arbough, Daniel K."/>
          <xsd:enumeration value="Bellar, Lonnie E."/>
          <xsd:enumeration value="Bevington, John"/>
          <xsd:enumeration value="Blake, Kent W."/>
          <xsd:enumeration value="Conroy, Robert M."/>
          <xsd:enumeration value="Fackler, Andrea"/>
          <xsd:enumeration value="Garrett, Christopher M."/>
          <xsd:enumeration value="Hornung, Michael E."/>
          <xsd:enumeration value="Leichty, Douglas A."/>
          <xsd:enumeration value="Lovekamp, Rick E."/>
          <xsd:enumeration value="McCombs, Drew"/>
          <xsd:enumeration value="McFarland, Elizabeth J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aunders, Eileen L."/>
          <xsd:enumeration value="Seelye, Steve (The Prime Group)"/>
          <xsd:enumeration value="Sinclair, David S."/>
          <xsd:enumeration value="Spanos, John J. (Gannett Fleming)"/>
          <xsd:enumeration value="Straight, Scott"/>
          <xsd:enumeration value="Thompson, Paul W."/>
          <xsd:enumeration value="Wilson, Stuart"/>
          <xsd:enumeration value="Wolfe, John K."/>
          <xsd:enumeration value="z - eFiled/Filed"/>
        </xsd:restriction>
      </xsd:simpleType>
    </xsd:element>
    <xsd:element name="Intervemprs" ma:index="7" nillable="true" ma:displayName="Data Request Party" ma:format="Dropdown" ma:internalName="Intervemprs" ma:readOnly="false">
      <xsd:simpleType>
        <xsd:restriction base="dms:Choice">
          <xsd:enumeration value="0-Data Response Tracking Sheet"/>
          <xsd:enumeration value="KY Public Service Commission - PSC"/>
          <xsd:enumeration value="VA State Corporation Commission - VASCC"/>
          <xsd:enumeration value="Appalachian Voices"/>
          <xsd:enumeration value="Association of Community Ministries - ACM"/>
          <xsd:enumeration value="Attorney General/KY Industrial Utility Customers - AG/KIUC"/>
          <xsd:enumeration value="Attorney General - AG"/>
          <xsd:enumeration value="AT&amp;T"/>
          <xsd:enumeration value="Charter Communications - Charter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roger/Wal-Mart"/>
          <xsd:enumeration value="KY School Boards Assn - KSBA"/>
          <xsd:enumeration value="KY Solar Industries Assn - KSIA"/>
          <xsd:enumeration value="Lexington-Fayette Urban County Govt - LFUCG"/>
          <xsd:enumeration value="Louisville Metro Government - METRO"/>
          <xsd:enumeration value="Metro. Housing Coalition - MHC"/>
          <xsd:enumeration value="Metro Housing Coalition/Kentuckians for the Commonwealth/Kentucky Solar Energy Society - MHC/KFTC/KSES"/>
          <xsd:enumeration value="Mountain Association/Kentuckians for the Commonwealth/Kentucky Solar Energy Society - MA/KFTC/KSES"/>
          <xsd:enumeration value="Sierra Club - SC"/>
          <xsd:enumeration value="U.S. Dept. of Defense/Federal Executive Agencies - DOD/FEA"/>
          <xsd:enumeration value="U.S. Dept. of Defense -  US DOD"/>
          <xsd:enumeration value="Wal-Mart"/>
        </xsd:restriction>
      </xsd:simpleType>
    </xsd:element>
    <xsd:element name="Round" ma:index="8" nillable="true" ma:displayName="Data Request Round" ma:format="Dropdown" ma:internalName="Round" ma:readOnly="false">
      <xsd:simpleType>
        <xsd:restriction base="dms:Choice">
          <xsd:enumeration value="On-Site Requests"/>
          <xsd:enumeration value="DR01"/>
          <xsd:enumeration value="DR01 Attachments"/>
          <xsd:enumeration value="DR01 eFiled/Filed"/>
          <xsd:enumeration value="DR02"/>
          <xsd:enumeration value="DR02 Attachments"/>
          <xsd:enumeration value="DR02 eFiled/Filed"/>
          <xsd:enumeration value="DR03"/>
          <xsd:enumeration value="DR03 Attachments"/>
          <xsd:enumeration value="DR03 eFiled/Filed"/>
          <xsd:enumeration value="DR04"/>
          <xsd:enumeration value="DR04 Attachments"/>
          <xsd:enumeration value="DR04 eFiled/Filed"/>
          <xsd:enumeration value="DR05"/>
          <xsd:enumeration value="DR05 Attachments"/>
          <xsd:enumeration value="DR05 eFiled/Filed"/>
          <xsd:enumeration value="DR06"/>
          <xsd:enumeration value="DR06 Attachments"/>
          <xsd:enumeration value="DR06 eFiled/Filed"/>
          <xsd:enumeration value="DR07"/>
          <xsd:enumeration value="DR07 Attachments"/>
          <xsd:enumeration value="DR07 eFiled/Filed"/>
          <xsd:enumeration value="DR08"/>
          <xsd:enumeration value="DR08 Attachments"/>
          <xsd:enumeration value="DR08 eFiled/Filed"/>
          <xsd:enumeration value="DR09"/>
          <xsd:enumeration value="DR09 Attachments"/>
          <xsd:enumeration value="DR09 eFiled/Filed"/>
          <xsd:enumeration value="DR10"/>
          <xsd:enumeration value="DR10 Attachments"/>
          <xsd:enumeration value="DR10 eFiled/Filed"/>
          <xsd:enumeration value="DR11"/>
          <xsd:enumeration value="DR11 Attachments"/>
          <xsd:enumeration value="DR11 eFiled/Filed"/>
          <xsd:enumeration value="DR12"/>
          <xsd:enumeration value="DR12 Attachments"/>
          <xsd:enumeration value="DR12 eFiled/Filed"/>
          <xsd:enumeration value="DR13"/>
          <xsd:enumeration value="DR13 Attachments"/>
          <xsd:enumeration value="DR13 eFiled/Filed"/>
          <xsd:enumeration value="DR14"/>
          <xsd:enumeration value="DR14 Attachments"/>
          <xsd:enumeration value="DR14 eFiled/Filed"/>
          <xsd:enumeration value="Post Hearing DR01"/>
          <xsd:enumeration value="Post Hearing DR01 Attachments"/>
          <xsd:enumeration value="Post Hearing DR01 eFiled/Filed"/>
          <xsd:enumeration value="Post Hearing DR02"/>
          <xsd:enumeration value="Post Hearing DR02 Attachments"/>
          <xsd:enumeration value="Post Hearing DR02 eFiled/Filed"/>
          <xsd:enumeration value="PSC DR02/Intervenors DR01"/>
          <xsd:enumeration value="PSC DR03/Intervenors DR02"/>
          <xsd:enumeration value="PSC DR04"/>
          <xsd:enumeration value="PSC DR05/Intervenors DR03"/>
          <xsd:enumeration value="PSC DR06"/>
        </xsd:restriction>
      </xsd:simpleType>
    </xsd:element>
    <xsd:element name="Data_x0020_Request_x0020_Question_x0020_No_x002e_" ma:index="9" nillable="true" ma:displayName="Data Request Question No." ma:format="Dropdown" ma:internalName="Data_x0020_Request_x0020_Question_x0020_No_x002e_" ma:readOnly="false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Tariff_x0020_Dev_x0020_Doc_x0020_Type" ma:index="10" nillable="true" ma:displayName="Tariff Dev Doc Type" ma:format="Dropdown" ma:internalName="Tariff_x0020_Dev_x0020_Doc_x0020_Type">
      <xsd:simpleType>
        <xsd:restriction base="dms:Choice">
          <xsd:enumeration value="Support"/>
          <xsd:enumeration value="Customer Communications"/>
          <xsd:enumeration value="Customer Service"/>
        </xsd:restriction>
      </xsd:simpleType>
    </xsd:element>
    <xsd:element name="Filed_x0020_Documents" ma:index="11" nillable="true" ma:displayName="Filed Documents (Internal Use Only)" ma:format="Dropdown" ma:internalName="Filed_x0020_Documents" ma:readOnly="false">
      <xsd:simpleType>
        <xsd:restriction base="dms:Choice">
          <xsd:enumeration value="Application/Filing Requirements/Testimony"/>
          <xsd:enumeration value="PSC DR 01"/>
          <xsd:enumeration value="PSC DR 02/Intervenor DR 01"/>
          <xsd:enumeration value="PSC DR 03/Intervenor DR 02"/>
          <xsd:enumeration value="PSC DR 04"/>
          <xsd:enumeration value="PSC DR 05"/>
          <xsd:enumeration value="PSC DR 06"/>
          <xsd:enumeration value="PSC Post Hearing DR01"/>
          <xsd:enumeration value="PSC Post Hearing DR02"/>
          <xsd:enumeration value="VSCC DR01"/>
          <xsd:enumeration value="VSCC DR02"/>
          <xsd:enumeration value="VSCC DR03"/>
          <xsd:enumeration value="VSCC DR04"/>
          <xsd:enumeration value="VSCC DR05"/>
          <xsd:enumeration value="VSCC DR06"/>
          <xsd:enumeration value="VSCC DR07"/>
          <xsd:enumeration value="VSCC DR08"/>
          <xsd:enumeration value="VSCC DR09"/>
          <xsd:enumeration value="VSCC DR10"/>
          <xsd:enumeration value="VSCC DR11"/>
          <xsd:enumeration value="VSCC DR12"/>
          <xsd:enumeration value="VSCC DR13"/>
          <xsd:enumeration value="Rebuttal Testimony"/>
          <xsd:enumeration value="Settlement Agreement"/>
          <xsd:enumeration value="Stipulation Testimony"/>
          <xsd:enumeration value="Post Hearing Briefs"/>
        </xsd:restriction>
      </xsd:simpleType>
    </xsd:element>
    <xsd:element name="Department" ma:index="18" nillable="true" ma:displayName="Department/Purpose" ma:format="Dropdown" ma:internalName="Department" ma:readOnly="false">
      <xsd:simpleType>
        <xsd:restriction base="dms:Choice">
          <xsd:enumeration value="Billing Determinants"/>
          <xsd:enumeration value="Cost of Service"/>
          <xsd:enumeration value="Jurisdictional Separation Study"/>
          <xsd:enumeration value="Errata"/>
          <xsd:enumeration value="Base Period Update - Jurisdictional Separation Study"/>
          <xsd:enumeration value="Base Period Update - Revenue Requirement"/>
          <xsd:enumeration value="Revenue Requirement"/>
          <xsd:enumeration value="Financial Planning &amp; Analysis"/>
          <xsd:enumeration value="Financial Reporting"/>
          <xsd:enumeration value="Sales Analysis &amp; Forecasting"/>
          <xsd:enumeration value="State Regulation &amp; Rates"/>
          <xsd:enumeration value="Tax Accounting &amp; Complianc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>
  <Display>DocumentLibraryForm</Display>
  <Edit>DocumentLibraryForm</Edit>
  <New>DocumentLibraryForm</New>
  <MobileDisplayFormUrl/>
  <MobileEditFormUrl/>
  <MobileNewFormUrl/>
</FormTemplates>
</file>

<file path=customXml/item3.xml><?xml version="1.0" encoding="utf-8"?>
<?mso-contentType ?>
<FormTemplates xmlns="http://schemas.microsoft.com/sharepoint/v3/contenttype/forms">
  <Display>NFListDisplayForm</Display>
  <Edit>NFListEditForm</Edit>
  <New>NFListEditForm</New>
</FormTemplates>
</file>

<file path=customXml/item4.xml><?xml version="1.0" encoding="utf-8"?>
<?mso-contentType ?>
<FormUrls xmlns="http://schemas.microsoft.com/sharepoint/v3/contenttype/forms/url">
  <MobileDisplay>_layouts/15/NintexForms/Mobile/DispForm.aspx</MobileDisplay>
  <MobileEdit>_layouts/15/NintexForms/Mobile/EditForm.aspx</MobileEdit>
  <MobileNew>_layouts/15/NintexForms/Mobile/NewForm.aspx</MobileNew>
</FormUrl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KU</Value>
      <Value>LGE</Value>
    </Company>
    <Tariff_x0020_Dev_x0020_Doc_x0020_Type xmlns="54fcda00-7b58-44a7-b108-8bd10a8a08ba" xsi:nil="true"/>
    <Filing_x0020_Requirement xmlns="54fcda00-7b58-44a7-b108-8bd10a8a08ba" xsi:nil="true"/>
    <Round xmlns="54fcda00-7b58-44a7-b108-8bd10a8a08ba">DR08 Attachments</Round>
    <FormData xmlns="http://schemas.microsoft.com/sharepoint/v3" xsi:nil="true"/>
    <Data_x0020_Request_x0020_Question_x0020_No_x002e_ xmlns="54fcda00-7b58-44a7-b108-8bd10a8a08ba">019</Data_x0020_Request_x0020_Question_x0020_No_x002e_>
    <Year xmlns="54fcda00-7b58-44a7-b108-8bd10a8a08ba">2020</Year>
    <Document_x0020_Type xmlns="54fcda00-7b58-44a7-b108-8bd10a8a08ba">Data Requests</Document_x0020_Type>
    <Witness_x0020_Testimony xmlns="54fcda00-7b58-44a7-b108-8bd10a8a08ba" xsi:nil="true"/>
    <Intervemprs xmlns="54fcda00-7b58-44a7-b108-8bd10a8a08ba">KY Public Service Commission - PSC</Intervemprs>
    <Filed_x0020_Documents xmlns="54fcda00-7b58-44a7-b108-8bd10a8a08ba" xsi:nil="true"/>
    <Department xmlns="54fcda00-7b58-44a7-b108-8bd10a8a08ba" xsi:nil="true"/>
  </documentManagement>
</p:properties>
</file>

<file path=customXml/itemProps1.xml><?xml version="1.0" encoding="utf-8"?>
<ds:datastoreItem xmlns:ds="http://schemas.openxmlformats.org/officeDocument/2006/customXml" ds:itemID="{E5041A36-57F1-461C-B158-5F5DE306D611}"/>
</file>

<file path=customXml/itemProps2.xml><?xml version="1.0" encoding="utf-8"?>
<ds:datastoreItem xmlns:ds="http://schemas.openxmlformats.org/officeDocument/2006/customXml" ds:itemID="{71E12B02-AA95-42D7-827F-EED21F2DD4AE}"/>
</file>

<file path=customXml/itemProps3.xml><?xml version="1.0" encoding="utf-8"?>
<ds:datastoreItem xmlns:ds="http://schemas.openxmlformats.org/officeDocument/2006/customXml" ds:itemID="{493043D6-5A18-4FE8-BD93-02C56C7D7262}"/>
</file>

<file path=customXml/itemProps4.xml><?xml version="1.0" encoding="utf-8"?>
<ds:datastoreItem xmlns:ds="http://schemas.openxmlformats.org/officeDocument/2006/customXml" ds:itemID="{A3ABFD5F-B5BC-4986-9053-AA0681AACDF3}"/>
</file>

<file path=customXml/itemProps5.xml><?xml version="1.0" encoding="utf-8"?>
<ds:datastoreItem xmlns:ds="http://schemas.openxmlformats.org/officeDocument/2006/customXml" ds:itemID="{6298A96B-18CD-4101-AA82-BE1188A9478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13</vt:i4>
      </vt:variant>
    </vt:vector>
  </HeadingPairs>
  <TitlesOfParts>
    <vt:vector size="27" baseType="lpstr">
      <vt:lpstr>OATT Input Data</vt:lpstr>
      <vt:lpstr>VA Transmission</vt:lpstr>
      <vt:lpstr>Summary</vt:lpstr>
      <vt:lpstr>NITS Pg 1 of 5</vt:lpstr>
      <vt:lpstr>NITS Pg 2 of 5</vt:lpstr>
      <vt:lpstr>NITS Pg 3 of 5</vt:lpstr>
      <vt:lpstr>NITS Pg 4 of 5</vt:lpstr>
      <vt:lpstr>PTP Pg 1 of 5</vt:lpstr>
      <vt:lpstr>PTP Pg 2 of 5</vt:lpstr>
      <vt:lpstr>PTP Pg 3 of 5</vt:lpstr>
      <vt:lpstr>PTP Pg 4 of 5</vt:lpstr>
      <vt:lpstr>Pg 5 of 5 Notes for both</vt:lpstr>
      <vt:lpstr>Depreciation Rates</vt:lpstr>
      <vt:lpstr>Sch 1</vt:lpstr>
      <vt:lpstr>'NITS Pg 1 of 5'!Print_Area</vt:lpstr>
      <vt:lpstr>'NITS Pg 2 of 5'!Print_Area</vt:lpstr>
      <vt:lpstr>'NITS Pg 3 of 5'!Print_Area</vt:lpstr>
      <vt:lpstr>'NITS Pg 4 of 5'!Print_Area</vt:lpstr>
      <vt:lpstr>'Pg 5 of 5 Notes for both'!Print_Area</vt:lpstr>
      <vt:lpstr>'PTP Pg 1 of 5'!Print_Area</vt:lpstr>
      <vt:lpstr>'PTP Pg 2 of 5'!Print_Area</vt:lpstr>
      <vt:lpstr>'PTP Pg 3 of 5'!Print_Area</vt:lpstr>
      <vt:lpstr>'PTP Pg 4 of 5'!Print_Area</vt:lpstr>
      <vt:lpstr>'Sch 1'!Print_Area</vt:lpstr>
      <vt:lpstr>'VA Transmission'!Print_Area</vt:lpstr>
      <vt:lpstr>'NITS Pg 1 of 5'!Print_Titles</vt:lpstr>
      <vt:lpstr>'PTP Pg 1 of 5'!Print_Titles</vt:lpstr>
    </vt:vector>
  </TitlesOfParts>
  <Company>Information Technology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Foxworthy, Carol</dc:creator>
  <cp:lastModifiedBy>Fackler, Andrea</cp:lastModifiedBy>
  <cp:lastPrinted>2016-05-10T19:20:39Z</cp:lastPrinted>
  <dcterms:created xsi:type="dcterms:W3CDTF">2012-11-13T18:56:46Z</dcterms:created>
  <dcterms:modified xsi:type="dcterms:W3CDTF">2016-05-31T16:30:27Z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  <property fmtid="{D5CDD505-2E9C-101B-9397-08002B2CF9AE}" pid="3" name="ContentTypeId">
    <vt:lpwstr>0x0101002D0103853DF7894DB347713A7250CD66</vt:lpwstr>
  </property>
</Properties>
</file>