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odeName="ThisWorkbook" checkCompatibility="1" defaultThemeVersion="124226"/>
  <xr:revisionPtr revIDLastSave="0" documentId="13_ncr:1_{523E3548-F735-4DDC-ACC6-B9A8114361A9}" xr6:coauthVersionLast="46" xr6:coauthVersionMax="46" xr10:uidLastSave="{00000000-0000-0000-0000-000000000000}"/>
  <bookViews>
    <workbookView xWindow="-120" yWindow="-120" windowWidth="29040" windowHeight="17025" xr2:uid="{00000000-000D-0000-FFFF-FFFF00000000}"/>
  </bookViews>
  <sheets>
    <sheet name="Transmission Avoided Cap Cost" sheetId="23" r:id="rId1"/>
    <sheet name="KU  PVRR" sheetId="14" r:id="rId2"/>
    <sheet name="KU WACOC-Tax Table" sheetId="19" r:id="rId3"/>
    <sheet name="LGE PVRR" sheetId="10" r:id="rId4"/>
    <sheet name="LGE WACOC-Tax Table" sheetId="6" r:id="rId5"/>
    <sheet name="Combined WACOC-Tax Table" sheetId="20" r:id="rId6"/>
    <sheet name="WACOC" sheetId="22" r:id="rId7"/>
  </sheets>
  <definedNames>
    <definedName name="_xlnm.Print_Area" localSheetId="1">'KU  PVRR'!$A$1:$P$70</definedName>
    <definedName name="_xlnm.Print_Area" localSheetId="2">'KU WACOC-Tax Table'!$A$1:$G$47</definedName>
    <definedName name="_xlnm.Print_Area" localSheetId="3">'LGE PVRR'!$A$1:$P$72</definedName>
    <definedName name="_xlnm.Print_Area" localSheetId="4">'LGE WACOC-Tax Table'!$A$1:$G$53</definedName>
    <definedName name="_xlnm.Print_Area" localSheetId="0">'Transmission Avoided Cap Cost'!$A$1:$E$27</definedName>
    <definedName name="_xlnm.Print_Area" localSheetId="6">WACOC!$A$1:$D$39</definedName>
    <definedName name="_xlnm.Print_Titles" localSheetId="1">'KU  PVRR'!$A:$A</definedName>
    <definedName name="_xlnm.Print_Titles" localSheetId="3">'LGE PVRR'!$A:$A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2" l="1"/>
  <c r="E21" i="10"/>
  <c r="F21" i="10"/>
  <c r="F19" i="14" l="1"/>
  <c r="E19" i="14"/>
  <c r="C19" i="23" l="1"/>
  <c r="B19" i="23"/>
  <c r="D18" i="23"/>
  <c r="D17" i="23"/>
  <c r="D16" i="23"/>
  <c r="D15" i="23"/>
  <c r="D14" i="23"/>
  <c r="D13" i="23"/>
  <c r="D12" i="23"/>
  <c r="D11" i="23"/>
  <c r="D10" i="23"/>
  <c r="D9" i="23"/>
  <c r="M19" i="14"/>
  <c r="L19" i="14"/>
  <c r="L21" i="10"/>
  <c r="M21" i="10"/>
  <c r="B37" i="22"/>
  <c r="B36" i="22"/>
  <c r="C22" i="22"/>
  <c r="C21" i="22"/>
  <c r="C20" i="22"/>
  <c r="B22" i="22"/>
  <c r="B21" i="22"/>
  <c r="B20" i="22"/>
  <c r="C12" i="22"/>
  <c r="B12" i="22"/>
  <c r="C11" i="22"/>
  <c r="B11" i="22"/>
  <c r="C10" i="22"/>
  <c r="B10" i="22"/>
  <c r="E11" i="6"/>
  <c r="D19" i="23" l="1"/>
  <c r="E11" i="19"/>
  <c r="E12" i="14" l="1"/>
  <c r="E12" i="10"/>
  <c r="F32" i="22" l="1"/>
  <c r="F31" i="22"/>
  <c r="F30" i="22"/>
  <c r="H23" i="22"/>
  <c r="F23" i="22"/>
  <c r="D21" i="22" s="1"/>
  <c r="G22" i="22"/>
  <c r="G21" i="22"/>
  <c r="G20" i="22"/>
  <c r="H13" i="22"/>
  <c r="F13" i="22"/>
  <c r="G12" i="22"/>
  <c r="D12" i="22"/>
  <c r="G11" i="22"/>
  <c r="D11" i="22"/>
  <c r="G10" i="22"/>
  <c r="D10" i="22"/>
  <c r="B38" i="22" l="1"/>
  <c r="E10" i="20" s="1"/>
  <c r="E11" i="20" s="1"/>
  <c r="H30" i="22"/>
  <c r="C30" i="22" s="1"/>
  <c r="C10" i="20" s="1"/>
  <c r="D20" i="22"/>
  <c r="H32" i="22"/>
  <c r="C32" i="22" s="1"/>
  <c r="C12" i="20" s="1"/>
  <c r="H31" i="22"/>
  <c r="C31" i="22" s="1"/>
  <c r="C11" i="20" s="1"/>
  <c r="D22" i="22"/>
  <c r="F33" i="22"/>
  <c r="G31" i="22" s="1"/>
  <c r="D13" i="22"/>
  <c r="G13" i="22" s="1"/>
  <c r="I30" i="22" l="1"/>
  <c r="I31" i="22"/>
  <c r="J31" i="22" s="1"/>
  <c r="I32" i="22"/>
  <c r="B31" i="22"/>
  <c r="D23" i="22"/>
  <c r="G23" i="22" s="1"/>
  <c r="G30" i="22"/>
  <c r="J30" i="22" s="1"/>
  <c r="B32" i="22"/>
  <c r="G32" i="22"/>
  <c r="D31" i="22" l="1"/>
  <c r="B11" i="20"/>
  <c r="D30" i="22"/>
  <c r="B10" i="20"/>
  <c r="D32" i="22"/>
  <c r="B12" i="20"/>
  <c r="J32" i="22"/>
  <c r="J33" i="22" s="1"/>
  <c r="B33" i="22"/>
  <c r="G33" i="22"/>
  <c r="D33" i="22" l="1"/>
  <c r="E11" i="14"/>
  <c r="E11" i="10"/>
  <c r="D11" i="20" l="1"/>
  <c r="F11" i="20" s="1"/>
  <c r="D10" i="20"/>
  <c r="F10" i="20" s="1"/>
  <c r="D12" i="20"/>
  <c r="F12" i="20" s="1"/>
  <c r="D13" i="20" l="1"/>
  <c r="F13" i="20" l="1"/>
  <c r="O68" i="10" l="1"/>
  <c r="O64" i="10"/>
  <c r="O60" i="10"/>
  <c r="O56" i="10"/>
  <c r="O52" i="10"/>
  <c r="O48" i="10"/>
  <c r="O44" i="10"/>
  <c r="O40" i="10"/>
  <c r="O36" i="10"/>
  <c r="O32" i="10"/>
  <c r="O67" i="14"/>
  <c r="O63" i="14"/>
  <c r="O59" i="14"/>
  <c r="O55" i="14"/>
  <c r="O51" i="14"/>
  <c r="O47" i="14"/>
  <c r="O43" i="14"/>
  <c r="O39" i="14"/>
  <c r="O35" i="14"/>
  <c r="O31" i="14"/>
  <c r="O67" i="10"/>
  <c r="O63" i="10"/>
  <c r="O59" i="10"/>
  <c r="O55" i="10"/>
  <c r="O51" i="10"/>
  <c r="O47" i="10"/>
  <c r="O43" i="10"/>
  <c r="O39" i="10"/>
  <c r="O35" i="10"/>
  <c r="O31" i="10"/>
  <c r="O66" i="14"/>
  <c r="O62" i="14"/>
  <c r="O58" i="14"/>
  <c r="O54" i="14"/>
  <c r="O50" i="14"/>
  <c r="O46" i="14"/>
  <c r="O42" i="14"/>
  <c r="O38" i="14"/>
  <c r="O34" i="14"/>
  <c r="O30" i="14"/>
  <c r="O70" i="10"/>
  <c r="O66" i="10"/>
  <c r="O62" i="10"/>
  <c r="O58" i="10"/>
  <c r="O54" i="10"/>
  <c r="O50" i="10"/>
  <c r="O46" i="10"/>
  <c r="O42" i="10"/>
  <c r="O38" i="10"/>
  <c r="O34" i="10"/>
  <c r="O30" i="10"/>
  <c r="O65" i="14"/>
  <c r="O61" i="14"/>
  <c r="O57" i="14"/>
  <c r="O53" i="14"/>
  <c r="O49" i="14"/>
  <c r="O45" i="14"/>
  <c r="O57" i="10"/>
  <c r="O41" i="10"/>
  <c r="O68" i="14"/>
  <c r="O52" i="14"/>
  <c r="O40" i="14"/>
  <c r="O32" i="14"/>
  <c r="O45" i="10"/>
  <c r="O56" i="14"/>
  <c r="O41" i="14"/>
  <c r="O33" i="14"/>
  <c r="O69" i="10"/>
  <c r="O53" i="10"/>
  <c r="O37" i="10"/>
  <c r="O64" i="14"/>
  <c r="O48" i="14"/>
  <c r="O37" i="14"/>
  <c r="O28" i="14"/>
  <c r="O65" i="10"/>
  <c r="O49" i="10"/>
  <c r="O33" i="10"/>
  <c r="O60" i="14"/>
  <c r="O44" i="14"/>
  <c r="O36" i="14"/>
  <c r="O29" i="14"/>
  <c r="O61" i="10"/>
  <c r="D12" i="19"/>
  <c r="F12" i="19" s="1"/>
  <c r="D11" i="19"/>
  <c r="F11" i="19" s="1"/>
  <c r="D10" i="19"/>
  <c r="F10" i="19" s="1"/>
  <c r="F13" i="19" l="1"/>
  <c r="D13" i="19"/>
  <c r="B28" i="14" l="1"/>
  <c r="C29" i="14" s="1"/>
  <c r="D29" i="14" s="1"/>
  <c r="L29" i="14" s="1"/>
  <c r="E13" i="14"/>
  <c r="U13" i="14" s="1"/>
  <c r="L12" i="14"/>
  <c r="U11" i="14"/>
  <c r="L11" i="14"/>
  <c r="U10" i="14"/>
  <c r="L10" i="14"/>
  <c r="U9" i="14"/>
  <c r="L9" i="14"/>
  <c r="U8" i="14"/>
  <c r="L8" i="14"/>
  <c r="Q3" i="14"/>
  <c r="Q2" i="14"/>
  <c r="I2" i="14"/>
  <c r="Q1" i="14"/>
  <c r="I1" i="14"/>
  <c r="B30" i="10"/>
  <c r="C31" i="10" s="1"/>
  <c r="E13" i="10"/>
  <c r="L13" i="10" s="1"/>
  <c r="L12" i="10"/>
  <c r="U11" i="10"/>
  <c r="L11" i="10"/>
  <c r="U10" i="10"/>
  <c r="L10" i="10"/>
  <c r="U9" i="10"/>
  <c r="L9" i="10"/>
  <c r="U8" i="10"/>
  <c r="L8" i="10"/>
  <c r="Q3" i="10"/>
  <c r="Q2" i="10"/>
  <c r="I2" i="10"/>
  <c r="Q1" i="10"/>
  <c r="I1" i="10"/>
  <c r="D10" i="6"/>
  <c r="F10" i="6" s="1"/>
  <c r="D11" i="6"/>
  <c r="F11" i="6" s="1"/>
  <c r="D12" i="6"/>
  <c r="F12" i="6" s="1"/>
  <c r="U12" i="14"/>
  <c r="U12" i="10"/>
  <c r="U13" i="10" l="1"/>
  <c r="L13" i="14"/>
  <c r="E44" i="14"/>
  <c r="E48" i="14"/>
  <c r="E52" i="14"/>
  <c r="E56" i="14"/>
  <c r="E60" i="14"/>
  <c r="E64" i="14"/>
  <c r="E68" i="14"/>
  <c r="E33" i="14"/>
  <c r="E37" i="14"/>
  <c r="E29" i="14"/>
  <c r="E55" i="14"/>
  <c r="E67" i="14"/>
  <c r="E40" i="14"/>
  <c r="E39" i="14"/>
  <c r="E43" i="14"/>
  <c r="E47" i="14"/>
  <c r="E51" i="14"/>
  <c r="E59" i="14"/>
  <c r="E63" i="14"/>
  <c r="E36" i="14"/>
  <c r="E42" i="14"/>
  <c r="E46" i="14"/>
  <c r="E50" i="14"/>
  <c r="E54" i="14"/>
  <c r="E58" i="14"/>
  <c r="E62" i="14"/>
  <c r="E66" i="14"/>
  <c r="E35" i="14"/>
  <c r="E41" i="14"/>
  <c r="E45" i="14"/>
  <c r="E49" i="14"/>
  <c r="E53" i="14"/>
  <c r="E57" i="14"/>
  <c r="E61" i="14"/>
  <c r="E65" i="14"/>
  <c r="E30" i="14"/>
  <c r="E34" i="14"/>
  <c r="E38" i="14"/>
  <c r="E32" i="14"/>
  <c r="E31" i="14"/>
  <c r="E35" i="10"/>
  <c r="E39" i="10"/>
  <c r="E43" i="10"/>
  <c r="E47" i="10"/>
  <c r="E51" i="10"/>
  <c r="E55" i="10"/>
  <c r="E59" i="10"/>
  <c r="E63" i="10"/>
  <c r="E67" i="10"/>
  <c r="E31" i="10"/>
  <c r="F31" i="10" s="1"/>
  <c r="E34" i="10"/>
  <c r="E38" i="10"/>
  <c r="E42" i="10"/>
  <c r="E46" i="10"/>
  <c r="E50" i="10"/>
  <c r="E54" i="10"/>
  <c r="E58" i="10"/>
  <c r="E62" i="10"/>
  <c r="E66" i="10"/>
  <c r="E70" i="10"/>
  <c r="E33" i="10"/>
  <c r="E37" i="10"/>
  <c r="E41" i="10"/>
  <c r="E45" i="10"/>
  <c r="E49" i="10"/>
  <c r="E53" i="10"/>
  <c r="E57" i="10"/>
  <c r="E61" i="10"/>
  <c r="E65" i="10"/>
  <c r="E69" i="10"/>
  <c r="E32" i="10"/>
  <c r="E36" i="10"/>
  <c r="E40" i="10"/>
  <c r="E44" i="10"/>
  <c r="E48" i="10"/>
  <c r="E52" i="10"/>
  <c r="E56" i="10"/>
  <c r="E60" i="10"/>
  <c r="E64" i="10"/>
  <c r="E68" i="10"/>
  <c r="D31" i="10"/>
  <c r="F13" i="6"/>
  <c r="D13" i="6"/>
  <c r="C30" i="14"/>
  <c r="D30" i="14" s="1"/>
  <c r="G30" i="14" l="1"/>
  <c r="G31" i="10"/>
  <c r="H31" i="10" s="1"/>
  <c r="I31" i="10" s="1"/>
  <c r="J31" i="10" s="1"/>
  <c r="L31" i="10"/>
  <c r="C32" i="10"/>
  <c r="F32" i="10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P30" i="10"/>
  <c r="Q30" i="10" s="1"/>
  <c r="P28" i="14"/>
  <c r="Q28" i="14" s="1"/>
  <c r="L30" i="14"/>
  <c r="C31" i="14"/>
  <c r="G31" i="14" s="1"/>
  <c r="F29" i="14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G29" i="14"/>
  <c r="H29" i="14" s="1"/>
  <c r="D31" i="14" l="1"/>
  <c r="L31" i="14" s="1"/>
  <c r="K31" i="10"/>
  <c r="M31" i="10" s="1"/>
  <c r="D32" i="10"/>
  <c r="G32" i="10"/>
  <c r="H32" i="10" s="1"/>
  <c r="H30" i="14"/>
  <c r="I29" i="14"/>
  <c r="C32" i="14" l="1"/>
  <c r="G32" i="14" s="1"/>
  <c r="N31" i="10"/>
  <c r="P31" i="10" s="1"/>
  <c r="Q31" i="10" s="1"/>
  <c r="L32" i="10"/>
  <c r="C33" i="10"/>
  <c r="G33" i="10" s="1"/>
  <c r="H33" i="10" s="1"/>
  <c r="I32" i="10"/>
  <c r="J29" i="14"/>
  <c r="K29" i="14"/>
  <c r="M29" i="14" s="1"/>
  <c r="I30" i="14"/>
  <c r="H31" i="14"/>
  <c r="D32" i="14" l="1"/>
  <c r="C33" i="14" s="1"/>
  <c r="G33" i="14" s="1"/>
  <c r="R31" i="10"/>
  <c r="D33" i="10"/>
  <c r="I33" i="10" s="1"/>
  <c r="J32" i="10"/>
  <c r="K32" i="10"/>
  <c r="M32" i="10" s="1"/>
  <c r="J30" i="14"/>
  <c r="K30" i="14"/>
  <c r="M30" i="14" s="1"/>
  <c r="N29" i="14"/>
  <c r="R29" i="14" s="1"/>
  <c r="H32" i="14"/>
  <c r="I31" i="14"/>
  <c r="D33" i="14" l="1"/>
  <c r="C34" i="14" s="1"/>
  <c r="G34" i="14" s="1"/>
  <c r="L32" i="14"/>
  <c r="C34" i="10"/>
  <c r="G34" i="10" s="1"/>
  <c r="H34" i="10" s="1"/>
  <c r="N32" i="10"/>
  <c r="R32" i="10" s="1"/>
  <c r="L33" i="10"/>
  <c r="J33" i="10"/>
  <c r="K33" i="10"/>
  <c r="M33" i="10" s="1"/>
  <c r="J31" i="14"/>
  <c r="K31" i="14"/>
  <c r="M31" i="14" s="1"/>
  <c r="P29" i="14"/>
  <c r="Q29" i="14" s="1"/>
  <c r="N30" i="14"/>
  <c r="H33" i="14"/>
  <c r="I32" i="14"/>
  <c r="L33" i="14" l="1"/>
  <c r="D34" i="10"/>
  <c r="C35" i="10" s="1"/>
  <c r="G35" i="10" s="1"/>
  <c r="H35" i="10" s="1"/>
  <c r="P32" i="10"/>
  <c r="Q32" i="10" s="1"/>
  <c r="N33" i="10"/>
  <c r="P33" i="10" s="1"/>
  <c r="J32" i="14"/>
  <c r="K32" i="14"/>
  <c r="M32" i="14" s="1"/>
  <c r="D34" i="14"/>
  <c r="C35" i="14" s="1"/>
  <c r="H34" i="14"/>
  <c r="I33" i="14"/>
  <c r="K33" i="14" s="1"/>
  <c r="R30" i="14"/>
  <c r="P30" i="14"/>
  <c r="Q30" i="14" s="1"/>
  <c r="N31" i="14"/>
  <c r="Q33" i="10" l="1"/>
  <c r="I34" i="10"/>
  <c r="J34" i="10" s="1"/>
  <c r="L34" i="10"/>
  <c r="R33" i="10"/>
  <c r="D35" i="10"/>
  <c r="M33" i="14"/>
  <c r="J33" i="14"/>
  <c r="G35" i="14"/>
  <c r="H35" i="14" s="1"/>
  <c r="D35" i="14"/>
  <c r="L35" i="14" s="1"/>
  <c r="L34" i="14"/>
  <c r="I34" i="14"/>
  <c r="N32" i="14"/>
  <c r="R32" i="14" s="1"/>
  <c r="P31" i="14"/>
  <c r="Q31" i="14" s="1"/>
  <c r="R31" i="14"/>
  <c r="K34" i="10" l="1"/>
  <c r="M34" i="10" s="1"/>
  <c r="C36" i="14"/>
  <c r="G36" i="14" s="1"/>
  <c r="H36" i="14" s="1"/>
  <c r="I35" i="14"/>
  <c r="J35" i="14" s="1"/>
  <c r="L35" i="10"/>
  <c r="C36" i="10"/>
  <c r="G36" i="10" s="1"/>
  <c r="H36" i="10" s="1"/>
  <c r="I35" i="10"/>
  <c r="J34" i="14"/>
  <c r="K34" i="14"/>
  <c r="M34" i="14" s="1"/>
  <c r="N33" i="14"/>
  <c r="R33" i="14" s="1"/>
  <c r="P32" i="14"/>
  <c r="Q32" i="14" s="1"/>
  <c r="K35" i="14" l="1"/>
  <c r="M35" i="14" s="1"/>
  <c r="D36" i="14"/>
  <c r="L36" i="14" s="1"/>
  <c r="D36" i="10"/>
  <c r="L36" i="10" s="1"/>
  <c r="N34" i="10"/>
  <c r="R34" i="10" s="1"/>
  <c r="N34" i="14"/>
  <c r="R34" i="14" s="1"/>
  <c r="J35" i="10"/>
  <c r="K35" i="10"/>
  <c r="M35" i="10" s="1"/>
  <c r="P33" i="14"/>
  <c r="Q33" i="14" s="1"/>
  <c r="N35" i="14" l="1"/>
  <c r="R35" i="14" s="1"/>
  <c r="I36" i="14"/>
  <c r="K36" i="14" s="1"/>
  <c r="M36" i="14" s="1"/>
  <c r="C37" i="14"/>
  <c r="D37" i="14" s="1"/>
  <c r="I36" i="10"/>
  <c r="J36" i="10" s="1"/>
  <c r="C37" i="10"/>
  <c r="G37" i="10" s="1"/>
  <c r="H37" i="10" s="1"/>
  <c r="P34" i="10"/>
  <c r="Q34" i="10" s="1"/>
  <c r="P34" i="14"/>
  <c r="Q34" i="14" s="1"/>
  <c r="N35" i="10"/>
  <c r="J36" i="14" l="1"/>
  <c r="N36" i="14" s="1"/>
  <c r="P36" i="14" s="1"/>
  <c r="P35" i="14"/>
  <c r="Q35" i="14" s="1"/>
  <c r="G37" i="14"/>
  <c r="H37" i="14" s="1"/>
  <c r="I37" i="14" s="1"/>
  <c r="K36" i="10"/>
  <c r="M36" i="10" s="1"/>
  <c r="D37" i="10"/>
  <c r="I37" i="10" s="1"/>
  <c r="P35" i="10"/>
  <c r="Q35" i="10" s="1"/>
  <c r="R35" i="10"/>
  <c r="C38" i="14"/>
  <c r="L37" i="14"/>
  <c r="L37" i="10" l="1"/>
  <c r="C38" i="10"/>
  <c r="G38" i="10" s="1"/>
  <c r="H38" i="10" s="1"/>
  <c r="N36" i="10"/>
  <c r="R36" i="10" s="1"/>
  <c r="J37" i="10"/>
  <c r="K37" i="10"/>
  <c r="M37" i="10" s="1"/>
  <c r="J37" i="14"/>
  <c r="K37" i="14"/>
  <c r="M37" i="14" s="1"/>
  <c r="Q36" i="14"/>
  <c r="R36" i="14"/>
  <c r="G38" i="14"/>
  <c r="H38" i="14" s="1"/>
  <c r="D38" i="14"/>
  <c r="D38" i="10" l="1"/>
  <c r="C39" i="10" s="1"/>
  <c r="G39" i="10" s="1"/>
  <c r="H39" i="10" s="1"/>
  <c r="P36" i="10"/>
  <c r="Q36" i="10" s="1"/>
  <c r="L38" i="10"/>
  <c r="N37" i="10"/>
  <c r="N37" i="14"/>
  <c r="R37" i="14" s="1"/>
  <c r="L38" i="14"/>
  <c r="C39" i="14"/>
  <c r="G39" i="14" s="1"/>
  <c r="H39" i="14" s="1"/>
  <c r="I38" i="14"/>
  <c r="I38" i="10" l="1"/>
  <c r="J38" i="10" s="1"/>
  <c r="D39" i="10"/>
  <c r="C40" i="10" s="1"/>
  <c r="G40" i="10" s="1"/>
  <c r="H40" i="10" s="1"/>
  <c r="P37" i="10"/>
  <c r="Q37" i="10" s="1"/>
  <c r="R37" i="10"/>
  <c r="J38" i="14"/>
  <c r="K38" i="14"/>
  <c r="M38" i="14" s="1"/>
  <c r="P37" i="14"/>
  <c r="Q37" i="14" s="1"/>
  <c r="D39" i="14"/>
  <c r="K38" i="10" l="1"/>
  <c r="M38" i="10" s="1"/>
  <c r="I39" i="10"/>
  <c r="K39" i="10" s="1"/>
  <c r="M39" i="10" s="1"/>
  <c r="L39" i="10"/>
  <c r="D40" i="10"/>
  <c r="L39" i="14"/>
  <c r="C40" i="14"/>
  <c r="G40" i="14" s="1"/>
  <c r="H40" i="14" s="1"/>
  <c r="I39" i="14"/>
  <c r="N38" i="14"/>
  <c r="N38" i="10" l="1"/>
  <c r="R38" i="10" s="1"/>
  <c r="J39" i="10"/>
  <c r="N39" i="10" s="1"/>
  <c r="P39" i="10" s="1"/>
  <c r="D40" i="14"/>
  <c r="C41" i="14" s="1"/>
  <c r="G41" i="14" s="1"/>
  <c r="H41" i="14" s="1"/>
  <c r="I40" i="10"/>
  <c r="C41" i="10"/>
  <c r="L40" i="10"/>
  <c r="J39" i="14"/>
  <c r="K39" i="14"/>
  <c r="M39" i="14" s="1"/>
  <c r="R38" i="14"/>
  <c r="P38" i="14"/>
  <c r="Q38" i="14" s="1"/>
  <c r="P38" i="10" l="1"/>
  <c r="Q38" i="10" s="1"/>
  <c r="Q39" i="10" s="1"/>
  <c r="D41" i="14"/>
  <c r="I41" i="14" s="1"/>
  <c r="L40" i="14"/>
  <c r="I40" i="14"/>
  <c r="K40" i="14" s="1"/>
  <c r="M40" i="14" s="1"/>
  <c r="R39" i="10"/>
  <c r="G41" i="10"/>
  <c r="H41" i="10" s="1"/>
  <c r="J40" i="10"/>
  <c r="K40" i="10"/>
  <c r="M40" i="10" s="1"/>
  <c r="D41" i="10"/>
  <c r="N39" i="14"/>
  <c r="L41" i="14" l="1"/>
  <c r="C42" i="14"/>
  <c r="D42" i="14" s="1"/>
  <c r="L42" i="14" s="1"/>
  <c r="N40" i="10"/>
  <c r="R40" i="10" s="1"/>
  <c r="J40" i="14"/>
  <c r="N40" i="14" s="1"/>
  <c r="P40" i="14" s="1"/>
  <c r="L41" i="10"/>
  <c r="C42" i="10"/>
  <c r="I41" i="10"/>
  <c r="J41" i="14"/>
  <c r="K41" i="14"/>
  <c r="M41" i="14" s="1"/>
  <c r="P39" i="14"/>
  <c r="Q39" i="14" s="1"/>
  <c r="R39" i="14"/>
  <c r="G42" i="14"/>
  <c r="H42" i="14" s="1"/>
  <c r="C43" i="14" l="1"/>
  <c r="G43" i="14" s="1"/>
  <c r="H43" i="14" s="1"/>
  <c r="P40" i="10"/>
  <c r="Q40" i="10" s="1"/>
  <c r="R40" i="14"/>
  <c r="K41" i="10"/>
  <c r="M41" i="10" s="1"/>
  <c r="J41" i="10"/>
  <c r="D42" i="10"/>
  <c r="G42" i="10"/>
  <c r="H42" i="10" s="1"/>
  <c r="N41" i="14"/>
  <c r="I42" i="14"/>
  <c r="Q40" i="14"/>
  <c r="D43" i="14" l="1"/>
  <c r="L42" i="10"/>
  <c r="C43" i="10"/>
  <c r="I42" i="10"/>
  <c r="N41" i="10"/>
  <c r="J42" i="14"/>
  <c r="K42" i="14"/>
  <c r="M42" i="14" s="1"/>
  <c r="P41" i="14"/>
  <c r="Q41" i="14" s="1"/>
  <c r="R41" i="14"/>
  <c r="L43" i="14"/>
  <c r="C44" i="14"/>
  <c r="D44" i="14" s="1"/>
  <c r="I43" i="14"/>
  <c r="G43" i="10" l="1"/>
  <c r="H43" i="10" s="1"/>
  <c r="P41" i="10"/>
  <c r="Q41" i="10" s="1"/>
  <c r="R41" i="10"/>
  <c r="D43" i="10"/>
  <c r="K42" i="10"/>
  <c r="M42" i="10" s="1"/>
  <c r="J42" i="10"/>
  <c r="J43" i="14"/>
  <c r="K43" i="14"/>
  <c r="M43" i="14" s="1"/>
  <c r="L44" i="14"/>
  <c r="C45" i="14"/>
  <c r="G45" i="14" s="1"/>
  <c r="G44" i="14"/>
  <c r="H44" i="14" s="1"/>
  <c r="I44" i="14" s="1"/>
  <c r="N42" i="14"/>
  <c r="C44" i="10" l="1"/>
  <c r="I43" i="10"/>
  <c r="L43" i="10"/>
  <c r="N42" i="10"/>
  <c r="J44" i="14"/>
  <c r="K44" i="14"/>
  <c r="M44" i="14" s="1"/>
  <c r="N43" i="14"/>
  <c r="R43" i="14" s="1"/>
  <c r="R42" i="14"/>
  <c r="P42" i="14"/>
  <c r="Q42" i="14" s="1"/>
  <c r="H45" i="14"/>
  <c r="D45" i="14"/>
  <c r="K43" i="10" l="1"/>
  <c r="M43" i="10" s="1"/>
  <c r="J43" i="10"/>
  <c r="P42" i="10"/>
  <c r="Q42" i="10" s="1"/>
  <c r="R42" i="10"/>
  <c r="G44" i="10"/>
  <c r="H44" i="10" s="1"/>
  <c r="D44" i="10"/>
  <c r="P43" i="14"/>
  <c r="Q43" i="14" s="1"/>
  <c r="N44" i="14"/>
  <c r="R44" i="14" s="1"/>
  <c r="L45" i="14"/>
  <c r="C46" i="14"/>
  <c r="I45" i="14"/>
  <c r="N43" i="10" l="1"/>
  <c r="L44" i="10"/>
  <c r="I44" i="10"/>
  <c r="C45" i="10"/>
  <c r="D45" i="10" s="1"/>
  <c r="J45" i="14"/>
  <c r="K45" i="14"/>
  <c r="M45" i="14" s="1"/>
  <c r="P44" i="14"/>
  <c r="Q44" i="14" s="1"/>
  <c r="G46" i="14"/>
  <c r="H46" i="14" s="1"/>
  <c r="D46" i="14"/>
  <c r="R43" i="10" l="1"/>
  <c r="P43" i="10"/>
  <c r="Q43" i="10" s="1"/>
  <c r="J44" i="10"/>
  <c r="K44" i="10"/>
  <c r="M44" i="10" s="1"/>
  <c r="L45" i="10"/>
  <c r="C46" i="10"/>
  <c r="G45" i="10"/>
  <c r="H45" i="10" s="1"/>
  <c r="N45" i="14"/>
  <c r="R45" i="14" s="1"/>
  <c r="L46" i="14"/>
  <c r="C47" i="14"/>
  <c r="I46" i="14"/>
  <c r="N44" i="10" l="1"/>
  <c r="P44" i="10" s="1"/>
  <c r="Q44" i="10" s="1"/>
  <c r="G46" i="10"/>
  <c r="H46" i="10" s="1"/>
  <c r="I45" i="10"/>
  <c r="D46" i="10"/>
  <c r="J46" i="14"/>
  <c r="K46" i="14"/>
  <c r="M46" i="14" s="1"/>
  <c r="P45" i="14"/>
  <c r="Q45" i="14" s="1"/>
  <c r="G47" i="14"/>
  <c r="H47" i="14" s="1"/>
  <c r="D47" i="14"/>
  <c r="R44" i="10" l="1"/>
  <c r="J45" i="10"/>
  <c r="K45" i="10"/>
  <c r="M45" i="10" s="1"/>
  <c r="C47" i="10"/>
  <c r="L46" i="10"/>
  <c r="I46" i="10"/>
  <c r="L47" i="14"/>
  <c r="C48" i="14"/>
  <c r="G48" i="14" s="1"/>
  <c r="H48" i="14" s="1"/>
  <c r="I47" i="14"/>
  <c r="N46" i="14"/>
  <c r="N45" i="10" l="1"/>
  <c r="P45" i="10" s="1"/>
  <c r="Q45" i="10" s="1"/>
  <c r="G47" i="10"/>
  <c r="H47" i="10" s="1"/>
  <c r="K46" i="10"/>
  <c r="M46" i="10" s="1"/>
  <c r="J46" i="10"/>
  <c r="D47" i="10"/>
  <c r="J47" i="14"/>
  <c r="K47" i="14"/>
  <c r="M47" i="14" s="1"/>
  <c r="D48" i="14"/>
  <c r="C49" i="14" s="1"/>
  <c r="G49" i="14" s="1"/>
  <c r="H49" i="14" s="1"/>
  <c r="R46" i="14"/>
  <c r="P46" i="14"/>
  <c r="Q46" i="14" s="1"/>
  <c r="L48" i="14" l="1"/>
  <c r="R45" i="10"/>
  <c r="L47" i="10"/>
  <c r="C48" i="10"/>
  <c r="I47" i="10"/>
  <c r="N46" i="10"/>
  <c r="I48" i="14"/>
  <c r="N47" i="14"/>
  <c r="D49" i="14"/>
  <c r="G48" i="10" l="1"/>
  <c r="H48" i="10" s="1"/>
  <c r="P46" i="10"/>
  <c r="Q46" i="10" s="1"/>
  <c r="R46" i="10"/>
  <c r="J47" i="10"/>
  <c r="K47" i="10"/>
  <c r="M47" i="10" s="1"/>
  <c r="D48" i="10"/>
  <c r="J48" i="14"/>
  <c r="K48" i="14"/>
  <c r="M48" i="14" s="1"/>
  <c r="C50" i="14"/>
  <c r="D50" i="14" s="1"/>
  <c r="L49" i="14"/>
  <c r="I49" i="14"/>
  <c r="P47" i="14"/>
  <c r="Q47" i="14" s="1"/>
  <c r="R47" i="14"/>
  <c r="N47" i="10" l="1"/>
  <c r="P47" i="10" s="1"/>
  <c r="Q47" i="10" s="1"/>
  <c r="I48" i="10"/>
  <c r="L48" i="10"/>
  <c r="C49" i="10"/>
  <c r="N48" i="14"/>
  <c r="P48" i="14" s="1"/>
  <c r="Q48" i="14" s="1"/>
  <c r="J49" i="14"/>
  <c r="K49" i="14"/>
  <c r="M49" i="14" s="1"/>
  <c r="L50" i="14"/>
  <c r="C51" i="14"/>
  <c r="D51" i="14" s="1"/>
  <c r="G50" i="14"/>
  <c r="H50" i="14" s="1"/>
  <c r="R47" i="10" l="1"/>
  <c r="G49" i="10"/>
  <c r="H49" i="10" s="1"/>
  <c r="D49" i="10"/>
  <c r="K48" i="10"/>
  <c r="M48" i="10" s="1"/>
  <c r="J48" i="10"/>
  <c r="R48" i="14"/>
  <c r="C52" i="14"/>
  <c r="D52" i="14" s="1"/>
  <c r="L51" i="14"/>
  <c r="G51" i="14"/>
  <c r="H51" i="14" s="1"/>
  <c r="N49" i="14"/>
  <c r="I50" i="14"/>
  <c r="N48" i="10" l="1"/>
  <c r="R48" i="10" s="1"/>
  <c r="I49" i="10"/>
  <c r="C50" i="10"/>
  <c r="D50" i="10" s="1"/>
  <c r="L49" i="10"/>
  <c r="J50" i="14"/>
  <c r="K50" i="14"/>
  <c r="M50" i="14" s="1"/>
  <c r="I51" i="14"/>
  <c r="C53" i="14"/>
  <c r="D53" i="14" s="1"/>
  <c r="L52" i="14"/>
  <c r="G52" i="14"/>
  <c r="H52" i="14" s="1"/>
  <c r="P49" i="14"/>
  <c r="Q49" i="14" s="1"/>
  <c r="R49" i="14"/>
  <c r="P48" i="10" l="1"/>
  <c r="Q48" i="10" s="1"/>
  <c r="J49" i="10"/>
  <c r="K49" i="10"/>
  <c r="M49" i="10" s="1"/>
  <c r="L50" i="10"/>
  <c r="C51" i="10"/>
  <c r="G50" i="10"/>
  <c r="H50" i="10" s="1"/>
  <c r="I50" i="10" s="1"/>
  <c r="J51" i="14"/>
  <c r="K51" i="14"/>
  <c r="M51" i="14" s="1"/>
  <c r="I52" i="14"/>
  <c r="L53" i="14"/>
  <c r="C54" i="14"/>
  <c r="G54" i="14" s="1"/>
  <c r="G53" i="14"/>
  <c r="H53" i="14" s="1"/>
  <c r="N50" i="14"/>
  <c r="K50" i="10" l="1"/>
  <c r="M50" i="10" s="1"/>
  <c r="J50" i="10"/>
  <c r="G51" i="10"/>
  <c r="H51" i="10" s="1"/>
  <c r="N49" i="10"/>
  <c r="D51" i="10"/>
  <c r="N51" i="14"/>
  <c r="R51" i="14" s="1"/>
  <c r="J52" i="14"/>
  <c r="K52" i="14"/>
  <c r="M52" i="14" s="1"/>
  <c r="H54" i="14"/>
  <c r="I53" i="14"/>
  <c r="R50" i="14"/>
  <c r="P50" i="14"/>
  <c r="Q50" i="14" s="1"/>
  <c r="D54" i="14"/>
  <c r="P51" i="14" l="1"/>
  <c r="Q51" i="14" s="1"/>
  <c r="N50" i="10"/>
  <c r="R49" i="10"/>
  <c r="P49" i="10"/>
  <c r="Q49" i="10" s="1"/>
  <c r="C52" i="10"/>
  <c r="D52" i="10" s="1"/>
  <c r="I51" i="10"/>
  <c r="L51" i="10"/>
  <c r="J53" i="14"/>
  <c r="K53" i="14"/>
  <c r="M53" i="14" s="1"/>
  <c r="L54" i="14"/>
  <c r="C55" i="14"/>
  <c r="D55" i="14" s="1"/>
  <c r="I54" i="14"/>
  <c r="N52" i="14"/>
  <c r="L52" i="10" l="1"/>
  <c r="C53" i="10"/>
  <c r="D53" i="10" s="1"/>
  <c r="P50" i="10"/>
  <c r="Q50" i="10" s="1"/>
  <c r="R50" i="10"/>
  <c r="K51" i="10"/>
  <c r="M51" i="10" s="1"/>
  <c r="J51" i="10"/>
  <c r="G52" i="10"/>
  <c r="H52" i="10" s="1"/>
  <c r="J54" i="14"/>
  <c r="K54" i="14"/>
  <c r="M54" i="14" s="1"/>
  <c r="N53" i="14"/>
  <c r="P53" i="14" s="1"/>
  <c r="P52" i="14"/>
  <c r="Q52" i="14" s="1"/>
  <c r="R52" i="14"/>
  <c r="C56" i="14"/>
  <c r="D56" i="14" s="1"/>
  <c r="L55" i="14"/>
  <c r="G55" i="14"/>
  <c r="H55" i="14" s="1"/>
  <c r="I55" i="14" s="1"/>
  <c r="C54" i="10" l="1"/>
  <c r="L53" i="10"/>
  <c r="G53" i="10"/>
  <c r="H53" i="10" s="1"/>
  <c r="I53" i="10" s="1"/>
  <c r="N51" i="10"/>
  <c r="I52" i="10"/>
  <c r="J55" i="14"/>
  <c r="K55" i="14"/>
  <c r="M55" i="14" s="1"/>
  <c r="R53" i="14"/>
  <c r="Q53" i="14"/>
  <c r="L56" i="14"/>
  <c r="C57" i="14"/>
  <c r="G57" i="14" s="1"/>
  <c r="G56" i="14"/>
  <c r="H56" i="14" s="1"/>
  <c r="N54" i="14"/>
  <c r="D57" i="14" l="1"/>
  <c r="L57" i="14" s="1"/>
  <c r="J53" i="10"/>
  <c r="K53" i="10"/>
  <c r="M53" i="10" s="1"/>
  <c r="G54" i="10"/>
  <c r="H54" i="10" s="1"/>
  <c r="D54" i="10"/>
  <c r="P51" i="10"/>
  <c r="Q51" i="10" s="1"/>
  <c r="R51" i="10"/>
  <c r="K52" i="10"/>
  <c r="M52" i="10" s="1"/>
  <c r="J52" i="10"/>
  <c r="N55" i="14"/>
  <c r="P55" i="14" s="1"/>
  <c r="H57" i="14"/>
  <c r="I56" i="14"/>
  <c r="P54" i="14"/>
  <c r="Q54" i="14" s="1"/>
  <c r="R54" i="14"/>
  <c r="C58" i="14" l="1"/>
  <c r="G58" i="14" s="1"/>
  <c r="H58" i="14" s="1"/>
  <c r="N53" i="10"/>
  <c r="R53" i="10" s="1"/>
  <c r="N52" i="10"/>
  <c r="P52" i="10" s="1"/>
  <c r="Q52" i="10" s="1"/>
  <c r="L54" i="10"/>
  <c r="C55" i="10"/>
  <c r="I54" i="10"/>
  <c r="J56" i="14"/>
  <c r="K56" i="14"/>
  <c r="M56" i="14" s="1"/>
  <c r="R55" i="14"/>
  <c r="I57" i="14"/>
  <c r="Q55" i="14"/>
  <c r="D58" i="14" l="1"/>
  <c r="L58" i="14" s="1"/>
  <c r="P53" i="10"/>
  <c r="Q53" i="10" s="1"/>
  <c r="R52" i="10"/>
  <c r="K54" i="10"/>
  <c r="M54" i="10" s="1"/>
  <c r="J54" i="10"/>
  <c r="D55" i="10"/>
  <c r="G55" i="10"/>
  <c r="H55" i="10" s="1"/>
  <c r="J57" i="14"/>
  <c r="K57" i="14"/>
  <c r="M57" i="14" s="1"/>
  <c r="N56" i="14"/>
  <c r="P56" i="14" s="1"/>
  <c r="Q56" i="14" s="1"/>
  <c r="I58" i="14" l="1"/>
  <c r="J58" i="14" s="1"/>
  <c r="C59" i="14"/>
  <c r="N54" i="10"/>
  <c r="L55" i="10"/>
  <c r="C56" i="10"/>
  <c r="I55" i="10"/>
  <c r="R56" i="14"/>
  <c r="N57" i="14"/>
  <c r="K58" i="14" l="1"/>
  <c r="M58" i="14" s="1"/>
  <c r="N58" i="14" s="1"/>
  <c r="R58" i="14" s="1"/>
  <c r="G59" i="14"/>
  <c r="H59" i="14" s="1"/>
  <c r="D59" i="14"/>
  <c r="P54" i="10"/>
  <c r="Q54" i="10" s="1"/>
  <c r="R54" i="10"/>
  <c r="D56" i="10"/>
  <c r="G56" i="10"/>
  <c r="H56" i="10" s="1"/>
  <c r="K55" i="10"/>
  <c r="M55" i="10" s="1"/>
  <c r="J55" i="10"/>
  <c r="R57" i="14"/>
  <c r="P57" i="14"/>
  <c r="Q57" i="14" s="1"/>
  <c r="L59" i="14" l="1"/>
  <c r="C60" i="14"/>
  <c r="I59" i="14"/>
  <c r="P58" i="14"/>
  <c r="Q58" i="14" s="1"/>
  <c r="C57" i="10"/>
  <c r="L56" i="10"/>
  <c r="I56" i="10"/>
  <c r="N55" i="10"/>
  <c r="K59" i="14" l="1"/>
  <c r="M59" i="14" s="1"/>
  <c r="J59" i="14"/>
  <c r="G60" i="14"/>
  <c r="H60" i="14" s="1"/>
  <c r="D60" i="14"/>
  <c r="G57" i="10"/>
  <c r="H57" i="10" s="1"/>
  <c r="J56" i="10"/>
  <c r="K56" i="10"/>
  <c r="M56" i="10" s="1"/>
  <c r="P55" i="10"/>
  <c r="Q55" i="10" s="1"/>
  <c r="R55" i="10"/>
  <c r="D57" i="10"/>
  <c r="C61" i="14" l="1"/>
  <c r="I60" i="14"/>
  <c r="L60" i="14"/>
  <c r="N59" i="14"/>
  <c r="N56" i="10"/>
  <c r="P56" i="10" s="1"/>
  <c r="Q56" i="10" s="1"/>
  <c r="C58" i="10"/>
  <c r="L57" i="10"/>
  <c r="I57" i="10"/>
  <c r="P59" i="14" l="1"/>
  <c r="Q59" i="14" s="1"/>
  <c r="R59" i="14"/>
  <c r="K60" i="14"/>
  <c r="M60" i="14" s="1"/>
  <c r="J60" i="14"/>
  <c r="G61" i="14"/>
  <c r="H61" i="14" s="1"/>
  <c r="D61" i="14"/>
  <c r="R56" i="10"/>
  <c r="D58" i="10"/>
  <c r="G58" i="10"/>
  <c r="H58" i="10" s="1"/>
  <c r="J57" i="10"/>
  <c r="K57" i="10"/>
  <c r="M57" i="10" s="1"/>
  <c r="N60" i="14" l="1"/>
  <c r="L61" i="14"/>
  <c r="I61" i="14"/>
  <c r="C62" i="14"/>
  <c r="L58" i="10"/>
  <c r="C59" i="10"/>
  <c r="I58" i="10"/>
  <c r="N57" i="10"/>
  <c r="P60" i="14" l="1"/>
  <c r="Q60" i="14" s="1"/>
  <c r="R60" i="14"/>
  <c r="D62" i="14"/>
  <c r="G62" i="14"/>
  <c r="H62" i="14" s="1"/>
  <c r="J61" i="14"/>
  <c r="K61" i="14"/>
  <c r="M61" i="14" s="1"/>
  <c r="G59" i="10"/>
  <c r="H59" i="10" s="1"/>
  <c r="R57" i="10"/>
  <c r="P57" i="10"/>
  <c r="Q57" i="10" s="1"/>
  <c r="J58" i="10"/>
  <c r="K58" i="10"/>
  <c r="M58" i="10" s="1"/>
  <c r="D59" i="10"/>
  <c r="N61" i="14" l="1"/>
  <c r="I62" i="14"/>
  <c r="L62" i="14"/>
  <c r="C63" i="14"/>
  <c r="N58" i="10"/>
  <c r="R58" i="10" s="1"/>
  <c r="I59" i="10"/>
  <c r="C60" i="10"/>
  <c r="D60" i="10" s="1"/>
  <c r="L59" i="10"/>
  <c r="R61" i="14" l="1"/>
  <c r="P61" i="14"/>
  <c r="Q61" i="14" s="1"/>
  <c r="D63" i="14"/>
  <c r="G63" i="14"/>
  <c r="H63" i="14" s="1"/>
  <c r="K62" i="14"/>
  <c r="M62" i="14" s="1"/>
  <c r="J62" i="14"/>
  <c r="P58" i="10"/>
  <c r="Q58" i="10" s="1"/>
  <c r="L60" i="10"/>
  <c r="C61" i="10"/>
  <c r="G60" i="10"/>
  <c r="H60" i="10" s="1"/>
  <c r="J59" i="10"/>
  <c r="K59" i="10"/>
  <c r="M59" i="10" s="1"/>
  <c r="N62" i="14" l="1"/>
  <c r="P62" i="14" s="1"/>
  <c r="Q62" i="14" s="1"/>
  <c r="L63" i="14"/>
  <c r="C64" i="14"/>
  <c r="G64" i="14" s="1"/>
  <c r="H64" i="14" s="1"/>
  <c r="I63" i="14"/>
  <c r="N59" i="10"/>
  <c r="R59" i="10" s="1"/>
  <c r="I60" i="10"/>
  <c r="G61" i="10"/>
  <c r="H61" i="10" s="1"/>
  <c r="D61" i="10"/>
  <c r="R62" i="14" l="1"/>
  <c r="D64" i="14"/>
  <c r="I64" i="14" s="1"/>
  <c r="K63" i="14"/>
  <c r="M63" i="14" s="1"/>
  <c r="J63" i="14"/>
  <c r="P59" i="10"/>
  <c r="Q59" i="10" s="1"/>
  <c r="J60" i="10"/>
  <c r="K60" i="10"/>
  <c r="M60" i="10" s="1"/>
  <c r="L61" i="10"/>
  <c r="I61" i="10"/>
  <c r="C62" i="10"/>
  <c r="C65" i="14" l="1"/>
  <c r="L64" i="14"/>
  <c r="N63" i="14"/>
  <c r="J64" i="14"/>
  <c r="K64" i="14"/>
  <c r="M64" i="14" s="1"/>
  <c r="G65" i="14"/>
  <c r="H65" i="14" s="1"/>
  <c r="D65" i="14"/>
  <c r="N60" i="10"/>
  <c r="K61" i="10"/>
  <c r="M61" i="10" s="1"/>
  <c r="J61" i="10"/>
  <c r="G62" i="10"/>
  <c r="H62" i="10" s="1"/>
  <c r="D62" i="10"/>
  <c r="I65" i="14" l="1"/>
  <c r="L65" i="14"/>
  <c r="C66" i="14"/>
  <c r="D66" i="14" s="1"/>
  <c r="N64" i="14"/>
  <c r="P63" i="14"/>
  <c r="Q63" i="14" s="1"/>
  <c r="R63" i="14"/>
  <c r="P60" i="10"/>
  <c r="Q60" i="10" s="1"/>
  <c r="R60" i="10"/>
  <c r="L62" i="10"/>
  <c r="I62" i="10"/>
  <c r="C63" i="10"/>
  <c r="N61" i="10"/>
  <c r="I66" i="14" l="1"/>
  <c r="C67" i="14"/>
  <c r="G67" i="14" s="1"/>
  <c r="L66" i="14"/>
  <c r="G66" i="14"/>
  <c r="H66" i="14" s="1"/>
  <c r="R64" i="14"/>
  <c r="P64" i="14"/>
  <c r="Q64" i="14" s="1"/>
  <c r="J65" i="14"/>
  <c r="K65" i="14"/>
  <c r="M65" i="14" s="1"/>
  <c r="G63" i="10"/>
  <c r="H63" i="10" s="1"/>
  <c r="P61" i="10"/>
  <c r="Q61" i="10" s="1"/>
  <c r="R61" i="10"/>
  <c r="K62" i="10"/>
  <c r="M62" i="10" s="1"/>
  <c r="J62" i="10"/>
  <c r="D63" i="10"/>
  <c r="N65" i="14" l="1"/>
  <c r="R65" i="14" s="1"/>
  <c r="D67" i="14"/>
  <c r="L67" i="14" s="1"/>
  <c r="P65" i="14"/>
  <c r="Q65" i="14" s="1"/>
  <c r="K66" i="14"/>
  <c r="M66" i="14" s="1"/>
  <c r="J66" i="14"/>
  <c r="C68" i="14"/>
  <c r="H67" i="14"/>
  <c r="N62" i="10"/>
  <c r="I63" i="10"/>
  <c r="L63" i="10"/>
  <c r="C64" i="10"/>
  <c r="I67" i="14" l="1"/>
  <c r="K67" i="14" s="1"/>
  <c r="M67" i="14" s="1"/>
  <c r="G68" i="14"/>
  <c r="H68" i="14" s="1"/>
  <c r="D68" i="14"/>
  <c r="N66" i="14"/>
  <c r="G64" i="10"/>
  <c r="H64" i="10" s="1"/>
  <c r="P62" i="10"/>
  <c r="Q62" i="10" s="1"/>
  <c r="R62" i="10"/>
  <c r="J63" i="10"/>
  <c r="K63" i="10"/>
  <c r="M63" i="10" s="1"/>
  <c r="D64" i="10"/>
  <c r="J67" i="14" l="1"/>
  <c r="N67" i="14" s="1"/>
  <c r="R67" i="14" s="1"/>
  <c r="P66" i="14"/>
  <c r="Q66" i="14" s="1"/>
  <c r="R66" i="14"/>
  <c r="L68" i="14"/>
  <c r="I68" i="14"/>
  <c r="N63" i="10"/>
  <c r="R63" i="10" s="1"/>
  <c r="I64" i="10"/>
  <c r="C65" i="10"/>
  <c r="D65" i="10" s="1"/>
  <c r="L64" i="10"/>
  <c r="P67" i="14" l="1"/>
  <c r="Q67" i="14" s="1"/>
  <c r="K68" i="14"/>
  <c r="M68" i="14" s="1"/>
  <c r="J68" i="14"/>
  <c r="P63" i="10"/>
  <c r="Q63" i="10" s="1"/>
  <c r="K64" i="10"/>
  <c r="M64" i="10" s="1"/>
  <c r="J64" i="10"/>
  <c r="C66" i="10"/>
  <c r="D66" i="10" s="1"/>
  <c r="L65" i="10"/>
  <c r="I65" i="10"/>
  <c r="G65" i="10"/>
  <c r="H65" i="10" s="1"/>
  <c r="N68" i="14" l="1"/>
  <c r="N64" i="10"/>
  <c r="R64" i="10" s="1"/>
  <c r="K65" i="10"/>
  <c r="M65" i="10" s="1"/>
  <c r="J65" i="10"/>
  <c r="I66" i="10"/>
  <c r="C67" i="10"/>
  <c r="L66" i="10"/>
  <c r="G66" i="10"/>
  <c r="H66" i="10" s="1"/>
  <c r="R68" i="14" l="1"/>
  <c r="P68" i="14"/>
  <c r="P64" i="10"/>
  <c r="Q64" i="10" s="1"/>
  <c r="K66" i="10"/>
  <c r="M66" i="10" s="1"/>
  <c r="J66" i="10"/>
  <c r="N65" i="10"/>
  <c r="G67" i="10"/>
  <c r="H67" i="10" s="1"/>
  <c r="D67" i="10"/>
  <c r="P70" i="14" l="1"/>
  <c r="Q68" i="14"/>
  <c r="R65" i="10"/>
  <c r="P65" i="10"/>
  <c r="L67" i="10"/>
  <c r="I67" i="10"/>
  <c r="C68" i="10"/>
  <c r="N66" i="10"/>
  <c r="E16" i="14" l="1"/>
  <c r="F16" i="14" s="1"/>
  <c r="M16" i="14" s="1"/>
  <c r="E17" i="14"/>
  <c r="F17" i="14" s="1"/>
  <c r="M17" i="14" s="1"/>
  <c r="P66" i="10"/>
  <c r="R66" i="10"/>
  <c r="D68" i="10"/>
  <c r="G68" i="10"/>
  <c r="H68" i="10" s="1"/>
  <c r="Q65" i="10"/>
  <c r="J67" i="10"/>
  <c r="K67" i="10"/>
  <c r="M67" i="10" s="1"/>
  <c r="U16" i="14" l="1"/>
  <c r="L16" i="14"/>
  <c r="E18" i="14"/>
  <c r="L17" i="14"/>
  <c r="L18" i="14" s="1"/>
  <c r="U17" i="14"/>
  <c r="Q66" i="10"/>
  <c r="I68" i="10"/>
  <c r="C69" i="10"/>
  <c r="D69" i="10" s="1"/>
  <c r="L68" i="10"/>
  <c r="N67" i="10"/>
  <c r="U18" i="14" l="1"/>
  <c r="E20" i="14"/>
  <c r="B21" i="23" s="1"/>
  <c r="B23" i="23" s="1"/>
  <c r="B27" i="23" s="1"/>
  <c r="F18" i="14"/>
  <c r="G69" i="10"/>
  <c r="H69" i="10" s="1"/>
  <c r="L69" i="10"/>
  <c r="I69" i="10"/>
  <c r="C70" i="10"/>
  <c r="K68" i="10"/>
  <c r="M68" i="10" s="1"/>
  <c r="J68" i="10"/>
  <c r="P67" i="10"/>
  <c r="R67" i="10"/>
  <c r="F20" i="14" l="1"/>
  <c r="M20" i="14" s="1"/>
  <c r="M18" i="14"/>
  <c r="Q67" i="10"/>
  <c r="G70" i="10"/>
  <c r="H70" i="10" s="1"/>
  <c r="J69" i="10"/>
  <c r="K69" i="10"/>
  <c r="M69" i="10" s="1"/>
  <c r="D70" i="10"/>
  <c r="N68" i="10"/>
  <c r="N69" i="10" l="1"/>
  <c r="R69" i="10" s="1"/>
  <c r="L70" i="10"/>
  <c r="I70" i="10"/>
  <c r="P68" i="10"/>
  <c r="Q68" i="10" s="1"/>
  <c r="R68" i="10"/>
  <c r="P69" i="10" l="1"/>
  <c r="Q69" i="10" s="1"/>
  <c r="J70" i="10"/>
  <c r="K70" i="10"/>
  <c r="M70" i="10" s="1"/>
  <c r="N70" i="10" l="1"/>
  <c r="P70" i="10" s="1"/>
  <c r="R70" i="10" l="1"/>
  <c r="Q70" i="10"/>
  <c r="P72" i="10"/>
  <c r="E19" i="10" l="1"/>
  <c r="F19" i="10" s="1"/>
  <c r="M19" i="10" s="1"/>
  <c r="E18" i="10"/>
  <c r="F18" i="10" s="1"/>
  <c r="M18" i="10" s="1"/>
  <c r="U19" i="10" l="1"/>
  <c r="L19" i="10"/>
  <c r="E20" i="10"/>
  <c r="L18" i="10"/>
  <c r="U18" i="10"/>
  <c r="U20" i="10" l="1"/>
  <c r="E22" i="10"/>
  <c r="L20" i="10"/>
  <c r="F20" i="10"/>
  <c r="L20" i="14"/>
  <c r="F22" i="10" l="1"/>
  <c r="M22" i="10" s="1"/>
  <c r="M20" i="10"/>
  <c r="C21" i="23"/>
  <c r="C23" i="23" s="1"/>
  <c r="C27" i="23" s="1"/>
  <c r="L22" i="10"/>
</calcChain>
</file>

<file path=xl/sharedStrings.xml><?xml version="1.0" encoding="utf-8"?>
<sst xmlns="http://schemas.openxmlformats.org/spreadsheetml/2006/main" count="272" uniqueCount="91">
  <si>
    <t>Cumulative</t>
  </si>
  <si>
    <t>Year</t>
  </si>
  <si>
    <t>Present</t>
  </si>
  <si>
    <t>Annual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</si>
  <si>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</si>
  <si>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</si>
  <si>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</si>
  <si>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</si>
  <si>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</si>
  <si>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</si>
  <si>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</si>
  <si>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</si>
  <si>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</si>
  <si>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</si>
  <si>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</si>
  <si>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</si>
  <si>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</si>
  <si>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</si>
  <si>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</si>
  <si>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</si>
  <si>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</si>
  <si>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</si>
  <si>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</si>
  <si>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</si>
  <si>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</si>
  <si>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</si>
  <si>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</si>
  <si>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</si>
  <si>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</si>
  <si>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</si>
  <si>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</si>
  <si>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</si>
  <si>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</si>
  <si>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</si>
  <si>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</si>
  <si>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</si>
  <si>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</si>
  <si>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</si>
  <si>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</si>
  <si>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</si>
  <si>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</si>
  <si>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</si>
  <si>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</si>
  <si>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</si>
  <si>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Net</t>
  </si>
  <si>
    <t>Property</t>
  </si>
  <si>
    <t>Rev</t>
  </si>
  <si>
    <t>Net Present Value Revenue Requirement</t>
  </si>
  <si>
    <t>Weighted Cost of Capital and MACRS</t>
  </si>
  <si>
    <t>Louisville Gas &amp; Electric</t>
  </si>
  <si>
    <t>Kentucky Utilities</t>
  </si>
  <si>
    <t>LG&amp;E</t>
  </si>
  <si>
    <t>KU</t>
  </si>
  <si>
    <t>Louisville Gas and Electric and Kentucky Utilities</t>
  </si>
  <si>
    <t>Short Term Debt</t>
  </si>
  <si>
    <t>Long Term Debt</t>
  </si>
  <si>
    <t>Kentucky Utilities Company and Louisvillle Gas &amp; Electric Company</t>
  </si>
  <si>
    <t>Weighted Cost of Capital</t>
  </si>
  <si>
    <t>Kentucky Utilities Company</t>
  </si>
  <si>
    <t>Cost of</t>
  </si>
  <si>
    <t>Component of Capital</t>
  </si>
  <si>
    <t>Capital</t>
  </si>
  <si>
    <t>Long-Term Debt</t>
  </si>
  <si>
    <t>Louisville Gas &amp; Electric Company</t>
  </si>
  <si>
    <t>Total Company Average</t>
  </si>
  <si>
    <t>Income Tax Rates</t>
  </si>
  <si>
    <t>Weighted Total</t>
  </si>
  <si>
    <t>Short-Term Debt</t>
  </si>
  <si>
    <t xml:space="preserve">   O&amp;M Costs</t>
  </si>
  <si>
    <t xml:space="preserve">   Total Carrying Costs</t>
  </si>
  <si>
    <t>Transmission</t>
  </si>
  <si>
    <t>Distribution</t>
  </si>
  <si>
    <t>Carrying Charge Calculation</t>
  </si>
  <si>
    <t xml:space="preserve">   O&amp;M Cost</t>
  </si>
  <si>
    <t>Capacity-Related Transmission Investment</t>
  </si>
  <si>
    <t>2021 Business Plan</t>
  </si>
  <si>
    <t>($ in Thousands)</t>
  </si>
  <si>
    <t>Total</t>
  </si>
  <si>
    <t>10-Year Total</t>
  </si>
  <si>
    <t>Carrying Cost Percentage</t>
  </si>
  <si>
    <t>Annualized Avoided Costs (in $)</t>
  </si>
  <si>
    <t>Sales to Ultimate Consumers (kWh)</t>
  </si>
  <si>
    <t>Avoided Cost per kWh</t>
  </si>
  <si>
    <t>Supplemental Exhibit WSS-1</t>
  </si>
  <si>
    <t>Page 1 of 7</t>
  </si>
  <si>
    <t>Page 3 of 7</t>
  </si>
  <si>
    <t>Page 2 of 7</t>
  </si>
  <si>
    <t>Page 4 of 7</t>
  </si>
  <si>
    <t>Page 5 of 7</t>
  </si>
  <si>
    <t>Page 6 of 7</t>
  </si>
  <si>
    <t>Page 7 of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</si>
</sst>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$&quot;#,##0\ ;\(&quot;$&quot;#,##0\)"/>
    <numFmt numFmtId="169" formatCode="_([$€-2]* #,##0.00_);_([$€-2]* \(#,##0.00\);_([$€-2]* &quot;-&quot;??_)"/>
    <numFmt numFmtId="170" formatCode="_(* #,##0.000000_);_(* \(#,##0.000000\);_(* &quot;-&quot;??_);_(@_)"/>
    <numFmt numFmtId="171" formatCode="0.0000%"/>
    <numFmt numFmtId="172" formatCode="_(&quot;$&quot;* #,##0.000_);_(&quot;$&quot;* \(#,##0.000\);_(&quot;$&quot;* &quot;-&quot;??_);_(@_)"/>
    <numFmt numFmtId="173" formatCode="&quot;$&quot;#,##0"/>
    <numFmt numFmtId="174" formatCode="&quot;$&quot;#,##0.0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8" fillId="3" borderId="0">
      <alignment horizontal="left"/>
    </xf>
    <xf numFmtId="0" fontId="9" fillId="3" borderId="0">
      <alignment horizontal="right"/>
    </xf>
    <xf numFmtId="0" fontId="10" fillId="4" borderId="0">
      <alignment horizontal="center"/>
    </xf>
    <xf numFmtId="0" fontId="9" fillId="3" borderId="0">
      <alignment horizontal="right"/>
    </xf>
    <xf numFmtId="0" fontId="11" fillId="4" borderId="0">
      <alignment horizontal="left"/>
    </xf>
    <xf numFmtId="43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" fillId="5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0" borderId="0" applyProtection="0"/>
    <xf numFmtId="0" fontId="12" fillId="0" borderId="0" applyProtection="0"/>
    <xf numFmtId="0" fontId="7" fillId="0" borderId="0" applyProtection="0"/>
    <xf numFmtId="0" fontId="13" fillId="0" borderId="0" applyProtection="0"/>
    <xf numFmtId="0" fontId="5" fillId="0" borderId="0" applyProtection="0"/>
    <xf numFmtId="0" fontId="6" fillId="0" borderId="0" applyProtection="0"/>
    <xf numFmtId="0" fontId="14" fillId="0" borderId="0" applyProtection="0"/>
    <xf numFmtId="2" fontId="5" fillId="0" borderId="0" applyFont="0" applyFill="0" applyBorder="0" applyAlignment="0" applyProtection="0"/>
    <xf numFmtId="0" fontId="8" fillId="3" borderId="0">
      <alignment horizontal="left"/>
    </xf>
    <xf numFmtId="0" fontId="15" fillId="4" borderId="0">
      <alignment horizontal="left"/>
    </xf>
    <xf numFmtId="0" fontId="5" fillId="0" borderId="0"/>
    <xf numFmtId="4" fontId="16" fillId="7" borderId="0">
      <alignment horizontal="right"/>
    </xf>
    <xf numFmtId="0" fontId="17" fillId="7" borderId="0">
      <alignment horizontal="center" vertical="center"/>
    </xf>
    <xf numFmtId="0" fontId="15" fillId="7" borderId="1"/>
    <xf numFmtId="0" fontId="17" fillId="7" borderId="0" applyBorder="0">
      <alignment horizontal="centerContinuous"/>
    </xf>
    <xf numFmtId="0" fontId="18" fillId="7" borderId="0" applyBorder="0">
      <alignment horizontal="centerContinuous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6" borderId="0">
      <alignment horizontal="center"/>
    </xf>
    <xf numFmtId="49" fontId="19" fillId="4" borderId="0">
      <alignment horizontal="center"/>
    </xf>
    <xf numFmtId="0" fontId="9" fillId="3" borderId="0">
      <alignment horizontal="center"/>
    </xf>
    <xf numFmtId="0" fontId="9" fillId="3" borderId="0">
      <alignment horizontal="centerContinuous"/>
    </xf>
    <xf numFmtId="0" fontId="20" fillId="4" borderId="0">
      <alignment horizontal="left"/>
    </xf>
    <xf numFmtId="49" fontId="20" fillId="4" borderId="0">
      <alignment horizontal="center"/>
    </xf>
    <xf numFmtId="0" fontId="8" fillId="3" borderId="0">
      <alignment horizontal="left"/>
    </xf>
    <xf numFmtId="49" fontId="20" fillId="4" borderId="0">
      <alignment horizontal="left"/>
    </xf>
    <xf numFmtId="0" fontId="8" fillId="3" borderId="0">
      <alignment horizontal="centerContinuous"/>
    </xf>
    <xf numFmtId="0" fontId="8" fillId="3" borderId="0">
      <alignment horizontal="right"/>
    </xf>
    <xf numFmtId="49" fontId="15" fillId="4" borderId="0">
      <alignment horizontal="left"/>
    </xf>
    <xf numFmtId="0" fontId="9" fillId="3" borderId="0">
      <alignment horizontal="right"/>
    </xf>
    <xf numFmtId="0" fontId="20" fillId="2" borderId="0">
      <alignment horizontal="center"/>
    </xf>
    <xf numFmtId="0" fontId="21" fillId="2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4" borderId="0">
      <alignment horizontal="center"/>
    </xf>
    <xf numFmtId="0" fontId="2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43" fontId="0" fillId="0" borderId="0" xfId="0" applyNumberFormat="1"/>
    <xf numFmtId="0" fontId="4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167" fontId="0" fillId="0" borderId="0" xfId="37" applyNumberFormat="1" applyFont="1"/>
    <xf numFmtId="10" fontId="0" fillId="0" borderId="0" xfId="37" applyNumberFormat="1" applyFont="1"/>
    <xf numFmtId="10" fontId="0" fillId="0" borderId="2" xfId="0" applyNumberFormat="1" applyBorder="1"/>
    <xf numFmtId="10" fontId="0" fillId="0" borderId="2" xfId="37" applyNumberFormat="1" applyFont="1" applyBorder="1"/>
    <xf numFmtId="166" fontId="0" fillId="0" borderId="0" xfId="9" applyNumberFormat="1" applyFont="1"/>
    <xf numFmtId="165" fontId="0" fillId="0" borderId="0" xfId="14" applyNumberFormat="1" applyFont="1"/>
    <xf numFmtId="0" fontId="6" fillId="0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165" fontId="0" fillId="0" borderId="0" xfId="0" applyNumberFormat="1"/>
    <xf numFmtId="165" fontId="0" fillId="0" borderId="0" xfId="14" applyNumberFormat="1" applyFont="1" applyAlignment="1"/>
    <xf numFmtId="6" fontId="0" fillId="0" borderId="0" xfId="0" applyNumberFormat="1"/>
    <xf numFmtId="166" fontId="0" fillId="0" borderId="0" xfId="9" applyNumberFormat="1" applyFont="1" applyAlignment="1"/>
    <xf numFmtId="44" fontId="0" fillId="0" borderId="0" xfId="14" applyFont="1"/>
    <xf numFmtId="43" fontId="0" fillId="0" borderId="0" xfId="9" applyFont="1"/>
    <xf numFmtId="0" fontId="0" fillId="0" borderId="0" xfId="0" quotePrefix="1"/>
    <xf numFmtId="171" fontId="0" fillId="0" borderId="0" xfId="37" applyNumberFormat="1" applyFont="1"/>
    <xf numFmtId="0" fontId="2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70" fontId="0" fillId="0" borderId="0" xfId="6" applyNumberFormat="1" applyFont="1"/>
    <xf numFmtId="165" fontId="0" fillId="0" borderId="0" xfId="13" applyNumberFormat="1" applyFont="1"/>
    <xf numFmtId="0" fontId="4" fillId="0" borderId="0" xfId="0" applyFont="1" applyAlignment="1">
      <alignment horizontal="left"/>
    </xf>
    <xf numFmtId="166" fontId="0" fillId="0" borderId="0" xfId="6" applyNumberFormat="1" applyFont="1"/>
    <xf numFmtId="172" fontId="0" fillId="0" borderId="0" xfId="14" applyNumberFormat="1" applyFont="1"/>
    <xf numFmtId="0" fontId="0" fillId="0" borderId="0" xfId="0" applyFill="1"/>
    <xf numFmtId="171" fontId="0" fillId="0" borderId="0" xfId="37" applyNumberFormat="1" applyFont="1" applyFill="1"/>
    <xf numFmtId="10" fontId="0" fillId="0" borderId="0" xfId="37" applyNumberFormat="1" applyFont="1" applyFill="1"/>
    <xf numFmtId="10" fontId="0" fillId="0" borderId="0" xfId="0" applyNumberFormat="1" applyFill="1"/>
    <xf numFmtId="10" fontId="0" fillId="0" borderId="2" xfId="37" applyNumberFormat="1" applyFont="1" applyFill="1" applyBorder="1"/>
    <xf numFmtId="10" fontId="0" fillId="0" borderId="0" xfId="36" applyNumberFormat="1" applyFont="1" applyFill="1"/>
    <xf numFmtId="0" fontId="3" fillId="0" borderId="0" xfId="0" applyFont="1"/>
    <xf numFmtId="0" fontId="2" fillId="0" borderId="0" xfId="61"/>
    <xf numFmtId="0" fontId="25" fillId="0" borderId="0" xfId="61" applyFont="1" applyAlignment="1">
      <alignment horizontal="center"/>
    </xf>
    <xf numFmtId="0" fontId="6" fillId="0" borderId="0" xfId="61" applyFont="1"/>
    <xf numFmtId="0" fontId="6" fillId="0" borderId="0" xfId="61" applyFont="1" applyAlignment="1">
      <alignment horizontal="right"/>
    </xf>
    <xf numFmtId="0" fontId="6" fillId="0" borderId="3" xfId="61" applyFont="1" applyBorder="1" applyAlignment="1">
      <alignment horizontal="left"/>
    </xf>
    <xf numFmtId="0" fontId="6" fillId="0" borderId="3" xfId="61" applyFont="1" applyBorder="1" applyAlignment="1">
      <alignment horizontal="right"/>
    </xf>
    <xf numFmtId="10" fontId="0" fillId="0" borderId="0" xfId="62" applyNumberFormat="1" applyFont="1" applyFill="1"/>
    <xf numFmtId="43" fontId="2" fillId="0" borderId="0" xfId="61" applyNumberFormat="1"/>
    <xf numFmtId="10" fontId="0" fillId="0" borderId="3" xfId="62" applyNumberFormat="1" applyFont="1" applyFill="1" applyBorder="1"/>
    <xf numFmtId="0" fontId="2" fillId="0" borderId="0" xfId="61" applyFill="1"/>
    <xf numFmtId="166" fontId="2" fillId="0" borderId="0" xfId="61" applyNumberFormat="1"/>
    <xf numFmtId="10" fontId="2" fillId="0" borderId="0" xfId="61" applyNumberFormat="1"/>
    <xf numFmtId="10" fontId="0" fillId="0" borderId="0" xfId="64" applyNumberFormat="1" applyFont="1"/>
    <xf numFmtId="0" fontId="2" fillId="0" borderId="0" xfId="61" applyNumberFormat="1"/>
    <xf numFmtId="10" fontId="0" fillId="0" borderId="0" xfId="64" applyNumberFormat="1" applyFont="1" applyFill="1"/>
    <xf numFmtId="10" fontId="0" fillId="0" borderId="3" xfId="64" applyNumberFormat="1" applyFont="1" applyFill="1" applyBorder="1"/>
    <xf numFmtId="2" fontId="2" fillId="0" borderId="0" xfId="61" applyNumberFormat="1"/>
    <xf numFmtId="10" fontId="0" fillId="0" borderId="0" xfId="36" applyNumberFormat="1" applyFont="1"/>
    <xf numFmtId="166" fontId="0" fillId="0" borderId="0" xfId="63" applyNumberFormat="1" applyFont="1" applyFill="1"/>
    <xf numFmtId="44" fontId="0" fillId="0" borderId="0" xfId="0" applyNumberFormat="1"/>
    <xf numFmtId="0" fontId="0" fillId="0" borderId="0" xfId="0" quotePrefix="1" applyFont="1"/>
    <xf numFmtId="0" fontId="0" fillId="0" borderId="0" xfId="0" applyFont="1"/>
    <xf numFmtId="0" fontId="3" fillId="0" borderId="0" xfId="0" applyFont="1" applyAlignment="1">
      <alignment horizontal="right"/>
    </xf>
    <xf numFmtId="0" fontId="26" fillId="0" borderId="0" xfId="65" applyFont="1"/>
    <xf numFmtId="0" fontId="1" fillId="0" borderId="0" xfId="65"/>
    <xf numFmtId="0" fontId="26" fillId="0" borderId="3" xfId="65" applyFont="1" applyBorder="1" applyAlignment="1">
      <alignment horizontal="left"/>
    </xf>
    <xf numFmtId="0" fontId="26" fillId="0" borderId="3" xfId="65" applyFont="1" applyBorder="1" applyAlignment="1">
      <alignment horizontal="right"/>
    </xf>
    <xf numFmtId="0" fontId="1" fillId="0" borderId="0" xfId="65" applyAlignment="1">
      <alignment horizontal="left"/>
    </xf>
    <xf numFmtId="3" fontId="1" fillId="0" borderId="0" xfId="65" applyNumberFormat="1"/>
    <xf numFmtId="0" fontId="26" fillId="0" borderId="7" xfId="65" applyFont="1" applyBorder="1" applyAlignment="1">
      <alignment horizontal="left"/>
    </xf>
    <xf numFmtId="3" fontId="1" fillId="0" borderId="7" xfId="65" applyNumberFormat="1" applyBorder="1"/>
    <xf numFmtId="10" fontId="1" fillId="0" borderId="0" xfId="65" applyNumberFormat="1"/>
    <xf numFmtId="173" fontId="1" fillId="0" borderId="0" xfId="13" applyNumberFormat="1" applyFont="1"/>
    <xf numFmtId="166" fontId="1" fillId="0" borderId="0" xfId="6" applyNumberFormat="1" applyFont="1"/>
    <xf numFmtId="174" fontId="1" fillId="0" borderId="0" xfId="13" applyNumberFormat="1" applyFont="1"/>
    <xf numFmtId="0" fontId="26" fillId="0" borderId="0" xfId="65" applyFont="1" applyAlignment="1">
      <alignment horizontal="right"/>
    </xf>
    <xf numFmtId="0" fontId="6" fillId="0" borderId="2" xfId="0" applyFont="1" applyBorder="1" applyAlignment="1">
      <alignment horizontal="center"/>
    </xf>
    <xf numFmtId="0" fontId="24" fillId="0" borderId="0" xfId="61" applyFont="1" applyAlignment="1">
      <alignment horizontal="center"/>
    </xf>
    <xf numFmtId="0" fontId="25" fillId="0" borderId="0" xfId="61" applyFont="1" applyAlignment="1">
      <alignment horizontal="center"/>
    </xf>
    <xf numFmtId="0" fontId="6" fillId="0" borderId="4" xfId="61" applyFont="1" applyBorder="1" applyAlignment="1">
      <alignment horizontal="center"/>
    </xf>
    <xf numFmtId="0" fontId="6" fillId="0" borderId="5" xfId="61" applyFont="1" applyBorder="1" applyAlignment="1">
      <alignment horizontal="center"/>
    </xf>
    <xf numFmtId="0" fontId="6" fillId="0" borderId="6" xfId="61" applyFont="1" applyBorder="1" applyAlignment="1">
      <alignment horizontal="center"/>
    </xf>
  </cellXfs>
  <cellStyles count="66">
    <cellStyle name="ColumnAttributeAbovePrompt" xfId="1" xr:uid="{00000000-0005-0000-0000-000000000000}"/>
    <cellStyle name="ColumnAttributePrompt" xfId="2" xr:uid="{00000000-0005-0000-0000-000001000000}"/>
    <cellStyle name="ColumnAttributeValue" xfId="3" xr:uid="{00000000-0005-0000-0000-000002000000}"/>
    <cellStyle name="ColumnHeadingPrompt" xfId="4" xr:uid="{00000000-0005-0000-0000-000003000000}"/>
    <cellStyle name="ColumnHeadingValue" xfId="5" xr:uid="{00000000-0005-0000-0000-000004000000}"/>
    <cellStyle name="Comma" xfId="6" builtinId="3"/>
    <cellStyle name="Comma [0] 2 2" xfId="7" xr:uid="{00000000-0005-0000-0000-000006000000}"/>
    <cellStyle name="Comma [0] 2 3" xfId="8" xr:uid="{00000000-0005-0000-0000-000007000000}"/>
    <cellStyle name="Comma 2" xfId="9" xr:uid="{00000000-0005-0000-0000-000008000000}"/>
    <cellStyle name="Comma 2 2" xfId="10" xr:uid="{00000000-0005-0000-0000-000009000000}"/>
    <cellStyle name="Comma 2 3" xfId="11" xr:uid="{00000000-0005-0000-0000-00000A000000}"/>
    <cellStyle name="Comma 3" xfId="63" xr:uid="{ECF4B134-D6BC-4536-BF94-53D048EB701E}"/>
    <cellStyle name="Comma0" xfId="12" xr:uid="{00000000-0005-0000-0000-00000B000000}"/>
    <cellStyle name="Currency" xfId="13" builtinId="4"/>
    <cellStyle name="Currency 2" xfId="14" xr:uid="{00000000-0005-0000-0000-00000D000000}"/>
    <cellStyle name="Currency 2 2" xfId="15" xr:uid="{00000000-0005-0000-0000-00000E000000}"/>
    <cellStyle name="Currency 2 3" xfId="16" xr:uid="{00000000-0005-0000-0000-00000F000000}"/>
    <cellStyle name="Currency0" xfId="17" xr:uid="{00000000-0005-0000-0000-000010000000}"/>
    <cellStyle name="Date" xfId="18" xr:uid="{00000000-0005-0000-0000-000011000000}"/>
    <cellStyle name="Euro" xfId="19" xr:uid="{00000000-0005-0000-0000-000012000000}"/>
    <cellStyle name="F2" xfId="20" xr:uid="{00000000-0005-0000-0000-000013000000}"/>
    <cellStyle name="F3" xfId="21" xr:uid="{00000000-0005-0000-0000-000014000000}"/>
    <cellStyle name="F4" xfId="22" xr:uid="{00000000-0005-0000-0000-000015000000}"/>
    <cellStyle name="F5" xfId="23" xr:uid="{00000000-0005-0000-0000-000016000000}"/>
    <cellStyle name="F6" xfId="24" xr:uid="{00000000-0005-0000-0000-000017000000}"/>
    <cellStyle name="F7" xfId="25" xr:uid="{00000000-0005-0000-0000-000018000000}"/>
    <cellStyle name="F8" xfId="26" xr:uid="{00000000-0005-0000-0000-000019000000}"/>
    <cellStyle name="Fixed" xfId="27" xr:uid="{00000000-0005-0000-0000-00001A000000}"/>
    <cellStyle name="LineItemPrompt" xfId="28" xr:uid="{00000000-0005-0000-0000-00001B000000}"/>
    <cellStyle name="LineItemValue" xfId="29" xr:uid="{00000000-0005-0000-0000-00001C000000}"/>
    <cellStyle name="Normal" xfId="0" builtinId="0"/>
    <cellStyle name="Normal 2" xfId="30" xr:uid="{00000000-0005-0000-0000-00001E000000}"/>
    <cellStyle name="Normal 3" xfId="61" xr:uid="{2BE8F0CF-8F40-4D85-8EAE-306374B77DB6}"/>
    <cellStyle name="Normal 4" xfId="65" xr:uid="{BEE49133-E463-41CF-9118-2B32FFC0429F}"/>
    <cellStyle name="Output Amounts" xfId="31" xr:uid="{00000000-0005-0000-0000-00001F000000}"/>
    <cellStyle name="Output Column Headings" xfId="32" xr:uid="{00000000-0005-0000-0000-000020000000}"/>
    <cellStyle name="Output Line Items" xfId="33" xr:uid="{00000000-0005-0000-0000-000021000000}"/>
    <cellStyle name="Output Report Heading" xfId="34" xr:uid="{00000000-0005-0000-0000-000022000000}"/>
    <cellStyle name="Output Report Title" xfId="35" xr:uid="{00000000-0005-0000-0000-000023000000}"/>
    <cellStyle name="Percent" xfId="36" builtinId="5"/>
    <cellStyle name="Percent 2" xfId="37" xr:uid="{00000000-0005-0000-0000-000025000000}"/>
    <cellStyle name="Percent 2 2" xfId="38" xr:uid="{00000000-0005-0000-0000-000026000000}"/>
    <cellStyle name="Percent 2 3" xfId="39" xr:uid="{00000000-0005-0000-0000-000027000000}"/>
    <cellStyle name="Percent 2 4" xfId="62" xr:uid="{BF1D1DFE-3594-4944-B9ED-1A615FA091E4}"/>
    <cellStyle name="Percent 3" xfId="64" xr:uid="{29E4832F-E91B-4851-8A64-BCC680ACA3C3}"/>
    <cellStyle name="ReportTitlePrompt" xfId="40" xr:uid="{00000000-0005-0000-0000-000028000000}"/>
    <cellStyle name="ReportTitleValue" xfId="41" xr:uid="{00000000-0005-0000-0000-000029000000}"/>
    <cellStyle name="RowAcctAbovePrompt" xfId="42" xr:uid="{00000000-0005-0000-0000-00002A000000}"/>
    <cellStyle name="RowAcctSOBAbovePrompt" xfId="43" xr:uid="{00000000-0005-0000-0000-00002B000000}"/>
    <cellStyle name="RowAcctSOBValue" xfId="44" xr:uid="{00000000-0005-0000-0000-00002C000000}"/>
    <cellStyle name="RowAcctValue" xfId="45" xr:uid="{00000000-0005-0000-0000-00002D000000}"/>
    <cellStyle name="RowAttrAbovePrompt" xfId="46" xr:uid="{00000000-0005-0000-0000-00002E000000}"/>
    <cellStyle name="RowAttrValue" xfId="47" xr:uid="{00000000-0005-0000-0000-00002F000000}"/>
    <cellStyle name="RowColSetAbovePrompt" xfId="48" xr:uid="{00000000-0005-0000-0000-000030000000}"/>
    <cellStyle name="RowColSetLeftPrompt" xfId="49" xr:uid="{00000000-0005-0000-0000-000031000000}"/>
    <cellStyle name="RowColSetValue" xfId="50" xr:uid="{00000000-0005-0000-0000-000032000000}"/>
    <cellStyle name="RowLeftPrompt" xfId="51" xr:uid="{00000000-0005-0000-0000-000033000000}"/>
    <cellStyle name="SampleUsingFormatMask" xfId="52" xr:uid="{00000000-0005-0000-0000-000034000000}"/>
    <cellStyle name="SampleWithNoFormatMask" xfId="53" xr:uid="{00000000-0005-0000-0000-000035000000}"/>
    <cellStyle name="STYL5 - Style5" xfId="54" xr:uid="{00000000-0005-0000-0000-000036000000}"/>
    <cellStyle name="STYL6 - Style6" xfId="55" xr:uid="{00000000-0005-0000-0000-000037000000}"/>
    <cellStyle name="STYLE1 - Style1" xfId="56" xr:uid="{00000000-0005-0000-0000-000038000000}"/>
    <cellStyle name="STYLE2 - Style2" xfId="57" xr:uid="{00000000-0005-0000-0000-000039000000}"/>
    <cellStyle name="STYLE3 - Style3" xfId="58" xr:uid="{00000000-0005-0000-0000-00003A000000}"/>
    <cellStyle name="STYLE4 - Style4" xfId="59" xr:uid="{00000000-0005-0000-0000-00003B000000}"/>
    <cellStyle name="UploadThisRowValue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AFC9-2E1E-4FA1-AAAF-516B6FF0E9AD}">
  <dimension ref="A1:E27"/>
  <sheetViews>
    <sheetView tabSelected="1" zoomScaleNormal="100" zoomScaleSheetLayoutView="90" workbookViewId="0"/>
  </sheetViews>
  <sheetFormatPr defaultRowHeight="15" x14ac:dyDescent="0.25"/>
  <cols>
    <col min="1" max="1" width="33.28515625" style="62" customWidth="1"/>
    <col min="2" max="4" width="18.7109375" style="62" customWidth="1"/>
    <col min="5" max="16384" width="9.140625" style="62"/>
  </cols>
  <sheetData>
    <row r="1" spans="1:5" x14ac:dyDescent="0.25">
      <c r="E1" s="73" t="s">
        <v>83</v>
      </c>
    </row>
    <row r="2" spans="1:5" x14ac:dyDescent="0.25">
      <c r="E2" s="73" t="s">
        <v>84</v>
      </c>
    </row>
    <row r="4" spans="1:5" x14ac:dyDescent="0.25">
      <c r="A4" s="61" t="s">
        <v>74</v>
      </c>
    </row>
    <row r="5" spans="1:5" x14ac:dyDescent="0.25">
      <c r="A5" s="61" t="s">
        <v>75</v>
      </c>
    </row>
    <row r="6" spans="1:5" x14ac:dyDescent="0.25">
      <c r="A6" s="61" t="s">
        <v>76</v>
      </c>
    </row>
    <row r="8" spans="1:5" ht="15.75" thickBot="1" x14ac:dyDescent="0.3">
      <c r="A8" s="63" t="s">
        <v>1</v>
      </c>
      <c r="B8" s="64" t="s">
        <v>52</v>
      </c>
      <c r="C8" s="64" t="s">
        <v>51</v>
      </c>
      <c r="D8" s="64" t="s">
        <v>77</v>
      </c>
    </row>
    <row r="9" spans="1:5" x14ac:dyDescent="0.25">
      <c r="A9" s="65">
        <v>2022</v>
      </c>
      <c r="B9" s="66">
        <v>15884</v>
      </c>
      <c r="C9" s="66">
        <v>434</v>
      </c>
      <c r="D9" s="66">
        <f>B9+C9</f>
        <v>16318</v>
      </c>
    </row>
    <row r="10" spans="1:5" x14ac:dyDescent="0.25">
      <c r="A10" s="65">
        <v>2023</v>
      </c>
      <c r="B10" s="66">
        <v>6329</v>
      </c>
      <c r="C10" s="66"/>
      <c r="D10" s="66">
        <f t="shared" ref="D10:D18" si="0">B10+C10</f>
        <v>6329</v>
      </c>
    </row>
    <row r="11" spans="1:5" x14ac:dyDescent="0.25">
      <c r="A11" s="65">
        <v>2024</v>
      </c>
      <c r="B11" s="66">
        <v>7191</v>
      </c>
      <c r="C11" s="66"/>
      <c r="D11" s="66">
        <f t="shared" si="0"/>
        <v>7191</v>
      </c>
    </row>
    <row r="12" spans="1:5" x14ac:dyDescent="0.25">
      <c r="A12" s="65">
        <v>2025</v>
      </c>
      <c r="B12" s="66">
        <v>97</v>
      </c>
      <c r="C12" s="66"/>
      <c r="D12" s="66">
        <f t="shared" si="0"/>
        <v>97</v>
      </c>
    </row>
    <row r="13" spans="1:5" x14ac:dyDescent="0.25">
      <c r="A13" s="65">
        <v>2026</v>
      </c>
      <c r="B13" s="66"/>
      <c r="C13" s="66"/>
      <c r="D13" s="66">
        <f t="shared" si="0"/>
        <v>0</v>
      </c>
    </row>
    <row r="14" spans="1:5" x14ac:dyDescent="0.25">
      <c r="A14" s="65">
        <v>2027</v>
      </c>
      <c r="B14" s="66"/>
      <c r="C14" s="66"/>
      <c r="D14" s="66">
        <f t="shared" si="0"/>
        <v>0</v>
      </c>
    </row>
    <row r="15" spans="1:5" x14ac:dyDescent="0.25">
      <c r="A15" s="65">
        <v>2028</v>
      </c>
      <c r="B15" s="66">
        <v>384</v>
      </c>
      <c r="C15" s="66">
        <v>1241</v>
      </c>
      <c r="D15" s="66">
        <f t="shared" si="0"/>
        <v>1625</v>
      </c>
    </row>
    <row r="16" spans="1:5" x14ac:dyDescent="0.25">
      <c r="A16" s="65">
        <v>2029</v>
      </c>
      <c r="B16" s="66">
        <v>4081</v>
      </c>
      <c r="C16" s="66">
        <v>3261</v>
      </c>
      <c r="D16" s="66">
        <f t="shared" si="0"/>
        <v>7342</v>
      </c>
    </row>
    <row r="17" spans="1:4" x14ac:dyDescent="0.25">
      <c r="A17" s="65">
        <v>2030</v>
      </c>
      <c r="B17" s="66"/>
      <c r="C17" s="66">
        <v>2901</v>
      </c>
      <c r="D17" s="66">
        <f t="shared" si="0"/>
        <v>2901</v>
      </c>
    </row>
    <row r="18" spans="1:4" x14ac:dyDescent="0.25">
      <c r="A18" s="65">
        <v>2031</v>
      </c>
      <c r="B18" s="66">
        <v>234</v>
      </c>
      <c r="C18" s="66"/>
      <c r="D18" s="66">
        <f t="shared" si="0"/>
        <v>234</v>
      </c>
    </row>
    <row r="19" spans="1:4" ht="15.75" thickBot="1" x14ac:dyDescent="0.3">
      <c r="A19" s="67" t="s">
        <v>78</v>
      </c>
      <c r="B19" s="68">
        <f>SUM(B9:B18)</f>
        <v>34200</v>
      </c>
      <c r="C19" s="68">
        <f t="shared" ref="C19:D19" si="1">SUM(C9:C18)</f>
        <v>7837</v>
      </c>
      <c r="D19" s="68">
        <f t="shared" si="1"/>
        <v>42037</v>
      </c>
    </row>
    <row r="21" spans="1:4" x14ac:dyDescent="0.25">
      <c r="A21" s="62" t="s">
        <v>79</v>
      </c>
      <c r="B21" s="69">
        <f>'KU  PVRR'!E20</f>
        <v>0.12621559585998232</v>
      </c>
      <c r="C21" s="69">
        <f>'LGE PVRR'!E22</f>
        <v>0.13871264499567346</v>
      </c>
    </row>
    <row r="23" spans="1:4" x14ac:dyDescent="0.25">
      <c r="A23" s="62" t="s">
        <v>80</v>
      </c>
      <c r="B23" s="70">
        <f>B19*1000*B21</f>
        <v>4316573.3784113955</v>
      </c>
      <c r="C23" s="70">
        <f>C19*1000*C21</f>
        <v>1087090.9988310928</v>
      </c>
    </row>
    <row r="25" spans="1:4" x14ac:dyDescent="0.25">
      <c r="A25" s="62" t="s">
        <v>81</v>
      </c>
      <c r="B25" s="71">
        <v>17402124382.672962</v>
      </c>
      <c r="C25" s="71">
        <v>11352592559.893715</v>
      </c>
    </row>
    <row r="27" spans="1:4" x14ac:dyDescent="0.25">
      <c r="A27" s="62" t="s">
        <v>82</v>
      </c>
      <c r="B27" s="72">
        <f>B23/B25</f>
        <v>2.4804864529696984E-4</v>
      </c>
      <c r="C27" s="72">
        <f>C23/C25</f>
        <v>9.5757069858346997E-5</v>
      </c>
    </row>
  </sheetData>
  <pageMargins left="0.7" right="0.7" top="0.75" bottom="0.75" header="0.3" footer="0.3"/>
  <pageSetup scale="93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U85"/>
  <sheetViews>
    <sheetView view="pageBreakPreview" zoomScale="90" zoomScaleNormal="100" zoomScaleSheetLayoutView="90" workbookViewId="0"/>
  </sheetViews>
  <sheetFormatPr defaultRowHeight="12.75" x14ac:dyDescent="0.2"/>
  <cols>
    <col min="1" max="1" width="9.28515625" bestFit="1" customWidth="1"/>
    <col min="2" max="2" width="14.140625" customWidth="1"/>
    <col min="3" max="3" width="13.5703125" customWidth="1"/>
    <col min="4" max="4" width="14.42578125" bestFit="1" customWidth="1"/>
    <col min="5" max="5" width="16.28515625" customWidth="1"/>
    <col min="6" max="6" width="14.42578125" bestFit="1" customWidth="1"/>
    <col min="7" max="7" width="12.85546875" customWidth="1"/>
    <col min="8" max="8" width="14" customWidth="1"/>
    <col min="9" max="9" width="13.140625" customWidth="1"/>
    <col min="10" max="10" width="12.85546875" customWidth="1"/>
    <col min="11" max="11" width="12.140625" customWidth="1"/>
    <col min="12" max="12" width="13.85546875" bestFit="1" customWidth="1"/>
    <col min="13" max="13" width="14.140625" bestFit="1" customWidth="1"/>
    <col min="14" max="14" width="14.28515625" customWidth="1"/>
    <col min="15" max="15" width="12" customWidth="1"/>
    <col min="16" max="16" width="16.28515625" bestFit="1" customWidth="1"/>
    <col min="17" max="17" width="15" customWidth="1"/>
    <col min="18" max="18" width="9.28515625" bestFit="1" customWidth="1"/>
    <col min="21" max="21" width="10.42578125" bestFit="1" customWidth="1"/>
  </cols>
  <sheetData>
    <row r="1" spans="2:21" ht="15" x14ac:dyDescent="0.25">
      <c r="B1" s="14" t="s">
        <v>50</v>
      </c>
      <c r="H1" s="73" t="s">
        <v>83</v>
      </c>
      <c r="I1" s="14" t="str">
        <f>B1</f>
        <v>Kentucky Utilities</v>
      </c>
      <c r="P1" s="73" t="s">
        <v>83</v>
      </c>
      <c r="Q1" s="14" t="str">
        <f>B1</f>
        <v>Kentucky Utilities</v>
      </c>
    </row>
    <row r="2" spans="2:21" ht="15" x14ac:dyDescent="0.25">
      <c r="B2" s="37" t="s">
        <v>72</v>
      </c>
      <c r="H2" s="73" t="s">
        <v>86</v>
      </c>
      <c r="I2" s="2" t="str">
        <f>B2</f>
        <v>Carrying Charge Calculation</v>
      </c>
      <c r="P2" s="73" t="s">
        <v>85</v>
      </c>
      <c r="Q2" s="2" t="str">
        <f>B2</f>
        <v>Carrying Charge Calculation</v>
      </c>
    </row>
    <row r="3" spans="2:21" x14ac:dyDescent="0.2">
      <c r="B3" s="2"/>
      <c r="H3" s="24"/>
      <c r="I3" s="2"/>
      <c r="P3" s="24"/>
      <c r="Q3" s="2">
        <f>B3</f>
        <v>0</v>
      </c>
    </row>
    <row r="4" spans="2:21" x14ac:dyDescent="0.2">
      <c r="B4" s="14"/>
      <c r="H4" s="24"/>
      <c r="I4" s="14"/>
      <c r="J4" s="14"/>
      <c r="P4" s="24"/>
    </row>
    <row r="7" spans="2:21" x14ac:dyDescent="0.2">
      <c r="B7" s="14" t="s">
        <v>43</v>
      </c>
      <c r="E7" s="60"/>
      <c r="F7" s="60"/>
      <c r="I7" s="14" t="s">
        <v>43</v>
      </c>
      <c r="Q7" s="14" t="s">
        <v>43</v>
      </c>
    </row>
    <row r="8" spans="2:21" x14ac:dyDescent="0.2">
      <c r="B8" s="21" t="s">
        <v>42</v>
      </c>
      <c r="E8" s="30">
        <v>1000</v>
      </c>
      <c r="I8" s="21" t="s">
        <v>42</v>
      </c>
      <c r="L8" s="10">
        <f t="shared" ref="L8:L13" si="0">E8</f>
        <v>1000</v>
      </c>
      <c r="N8" s="10"/>
      <c r="Q8" s="21" t="s">
        <v>42</v>
      </c>
      <c r="U8" s="10">
        <f t="shared" ref="U8:U13" si="1">E8</f>
        <v>1000</v>
      </c>
    </row>
    <row r="9" spans="2:21" x14ac:dyDescent="0.2">
      <c r="B9" s="21" t="s">
        <v>41</v>
      </c>
      <c r="E9">
        <v>40</v>
      </c>
      <c r="I9" s="21" t="s">
        <v>41</v>
      </c>
      <c r="L9">
        <f t="shared" si="0"/>
        <v>40</v>
      </c>
      <c r="Q9" s="21" t="s">
        <v>41</v>
      </c>
      <c r="U9">
        <f t="shared" si="1"/>
        <v>40</v>
      </c>
    </row>
    <row r="10" spans="2:21" x14ac:dyDescent="0.2">
      <c r="B10" s="21" t="s">
        <v>40</v>
      </c>
      <c r="E10">
        <v>20</v>
      </c>
      <c r="I10" s="21" t="s">
        <v>40</v>
      </c>
      <c r="L10">
        <f t="shared" si="0"/>
        <v>20</v>
      </c>
      <c r="Q10" s="21" t="s">
        <v>40</v>
      </c>
      <c r="U10">
        <f t="shared" si="1"/>
        <v>20</v>
      </c>
    </row>
    <row r="11" spans="2:21" x14ac:dyDescent="0.2">
      <c r="B11" s="21" t="s">
        <v>39</v>
      </c>
      <c r="E11" s="6">
        <f>'KU WACOC-Tax Table'!E10</f>
        <v>0.24826997000000001</v>
      </c>
      <c r="I11" s="21" t="s">
        <v>39</v>
      </c>
      <c r="L11" s="6">
        <f t="shared" si="0"/>
        <v>0.24826997000000001</v>
      </c>
      <c r="N11" s="22"/>
      <c r="Q11" s="21" t="s">
        <v>39</v>
      </c>
      <c r="U11" s="22">
        <f t="shared" si="1"/>
        <v>0.24826997000000001</v>
      </c>
    </row>
    <row r="12" spans="2:21" x14ac:dyDescent="0.2">
      <c r="B12" s="21" t="s">
        <v>38</v>
      </c>
      <c r="E12" s="33">
        <f>33070752/10362008163</f>
        <v>3.1915388870360998E-3</v>
      </c>
      <c r="I12" s="21" t="s">
        <v>38</v>
      </c>
      <c r="L12" s="6">
        <f t="shared" si="0"/>
        <v>3.1915388870360998E-3</v>
      </c>
      <c r="N12" s="6"/>
      <c r="Q12" s="21" t="s">
        <v>38</v>
      </c>
      <c r="U12" s="6">
        <f t="shared" si="1"/>
        <v>3.1915388870360998E-3</v>
      </c>
    </row>
    <row r="13" spans="2:21" x14ac:dyDescent="0.2">
      <c r="B13" s="21" t="s">
        <v>37</v>
      </c>
      <c r="E13">
        <f>E9</f>
        <v>40</v>
      </c>
      <c r="I13" s="21" t="s">
        <v>37</v>
      </c>
      <c r="L13">
        <f t="shared" si="0"/>
        <v>40</v>
      </c>
      <c r="Q13" s="21" t="s">
        <v>37</v>
      </c>
      <c r="U13">
        <f t="shared" si="1"/>
        <v>40</v>
      </c>
    </row>
    <row r="15" spans="2:21" x14ac:dyDescent="0.2">
      <c r="B15" s="14" t="s">
        <v>36</v>
      </c>
      <c r="E15" s="13" t="s">
        <v>70</v>
      </c>
      <c r="F15" s="13" t="s">
        <v>71</v>
      </c>
      <c r="I15" s="14" t="s">
        <v>36</v>
      </c>
      <c r="L15" s="13" t="s">
        <v>70</v>
      </c>
      <c r="M15" s="13" t="s">
        <v>71</v>
      </c>
      <c r="Q15" s="14" t="s">
        <v>36</v>
      </c>
    </row>
    <row r="16" spans="2:21" x14ac:dyDescent="0.2">
      <c r="B16" s="21" t="s">
        <v>35</v>
      </c>
      <c r="E16" s="15">
        <f>P70</f>
        <v>1193.9522471993921</v>
      </c>
      <c r="F16" s="15">
        <f>E16</f>
        <v>1193.9522471993921</v>
      </c>
      <c r="I16" s="21" t="s">
        <v>35</v>
      </c>
      <c r="L16" s="15">
        <f>E16</f>
        <v>1193.9522471993921</v>
      </c>
      <c r="M16" s="57">
        <f>F16</f>
        <v>1193.9522471993921</v>
      </c>
      <c r="N16" s="15"/>
      <c r="Q16" s="21" t="s">
        <v>35</v>
      </c>
      <c r="U16" s="15">
        <f>E16</f>
        <v>1193.9522471993921</v>
      </c>
    </row>
    <row r="17" spans="1:21" x14ac:dyDescent="0.2">
      <c r="B17" s="21" t="s">
        <v>34</v>
      </c>
      <c r="E17" s="15">
        <f>PMT('Combined WACOC-Tax Table'!D13,E13,P70)*-1</f>
        <v>87.757365870148206</v>
      </c>
      <c r="F17" s="15">
        <f>E17</f>
        <v>87.757365870148206</v>
      </c>
      <c r="I17" s="21" t="s">
        <v>34</v>
      </c>
      <c r="L17" s="15">
        <f>E17</f>
        <v>87.757365870148206</v>
      </c>
      <c r="M17" s="57">
        <f>F17</f>
        <v>87.757365870148206</v>
      </c>
      <c r="N17" s="17"/>
      <c r="Q17" s="21" t="s">
        <v>34</v>
      </c>
      <c r="U17" s="15">
        <f>E17</f>
        <v>87.757365870148206</v>
      </c>
    </row>
    <row r="18" spans="1:21" x14ac:dyDescent="0.2">
      <c r="B18" s="21">
        <v>234</v>
      </c>
      <c r="E18" s="6">
        <f>E17/E8</f>
        <v>8.7757365870148207E-2</v>
      </c>
      <c r="F18" s="3">
        <f>E18</f>
        <v>8.7757365870148207E-2</v>
      </c>
      <c r="I18" s="21" t="s">
        <v>33</v>
      </c>
      <c r="L18" s="6">
        <f>L17/L8</f>
        <v>8.7757365870148207E-2</v>
      </c>
      <c r="M18" s="55">
        <f>F18</f>
        <v>8.7757365870148207E-2</v>
      </c>
      <c r="N18" s="6"/>
      <c r="Q18" s="21" t="s">
        <v>33</v>
      </c>
      <c r="U18" s="6">
        <f>E18</f>
        <v>8.7757365870148207E-2</v>
      </c>
    </row>
    <row r="19" spans="1:21" x14ac:dyDescent="0.2">
      <c r="B19" s="58" t="s">
        <v>73</v>
      </c>
      <c r="E19" s="55">
        <f>48717334/1266759651</f>
        <v>3.8458229989834114E-2</v>
      </c>
      <c r="F19" s="55">
        <f>60130493/2180108277</f>
        <v>2.7581425030294492E-2</v>
      </c>
      <c r="I19" s="58" t="s">
        <v>68</v>
      </c>
      <c r="L19" s="55">
        <f>E19</f>
        <v>3.8458229989834114E-2</v>
      </c>
      <c r="M19" s="55">
        <f>F19</f>
        <v>2.7581425030294492E-2</v>
      </c>
      <c r="N19" s="20"/>
    </row>
    <row r="20" spans="1:21" x14ac:dyDescent="0.2">
      <c r="B20" s="59" t="s">
        <v>69</v>
      </c>
      <c r="C20" s="20"/>
      <c r="E20" s="3">
        <f>E18+E19</f>
        <v>0.12621559585998232</v>
      </c>
      <c r="F20" s="3">
        <f>F18+F19</f>
        <v>0.1153387909004427</v>
      </c>
      <c r="I20" s="59" t="s">
        <v>69</v>
      </c>
      <c r="L20" s="55">
        <f>E20</f>
        <v>0.12621559585998232</v>
      </c>
      <c r="M20" s="55">
        <f>F20</f>
        <v>0.1153387909004427</v>
      </c>
    </row>
    <row r="21" spans="1:21" x14ac:dyDescent="0.2">
      <c r="C21" s="20"/>
    </row>
    <row r="22" spans="1:21" x14ac:dyDescent="0.2">
      <c r="A22" s="4"/>
      <c r="B22" s="4"/>
      <c r="C22" s="4"/>
      <c r="D22" s="4"/>
      <c r="E22" s="55"/>
      <c r="F22" s="55"/>
      <c r="G22" s="4"/>
      <c r="H22" s="4"/>
      <c r="I22" s="4"/>
      <c r="J22" s="4"/>
      <c r="K22" s="4"/>
      <c r="L22" s="4"/>
      <c r="M22" s="4"/>
      <c r="N22" s="4"/>
      <c r="O22" s="13"/>
      <c r="P22" s="4"/>
      <c r="Q22" s="13" t="s">
        <v>0</v>
      </c>
      <c r="R22" s="4"/>
    </row>
    <row r="23" spans="1:21" x14ac:dyDescent="0.2">
      <c r="A23" s="4"/>
      <c r="B23" s="4"/>
      <c r="C23" s="4"/>
      <c r="D23" s="4"/>
      <c r="E23" s="4"/>
      <c r="F23" s="4"/>
      <c r="G23" s="4"/>
      <c r="H23" s="4"/>
      <c r="I23" s="13"/>
      <c r="J23" s="4"/>
      <c r="K23" s="4"/>
      <c r="L23" s="4"/>
      <c r="M23" s="13"/>
      <c r="N23" s="13"/>
      <c r="O23" s="13" t="s">
        <v>2</v>
      </c>
      <c r="P23" s="13" t="s">
        <v>2</v>
      </c>
      <c r="Q23" s="13" t="s">
        <v>2</v>
      </c>
      <c r="R23" s="13" t="s">
        <v>3</v>
      </c>
    </row>
    <row r="24" spans="1:21" x14ac:dyDescent="0.2">
      <c r="A24" s="4"/>
      <c r="B24" s="4"/>
      <c r="C24" s="4"/>
      <c r="D24" s="4"/>
      <c r="E24" s="4"/>
      <c r="F24" s="4"/>
      <c r="G24" s="4"/>
      <c r="H24" s="13" t="s">
        <v>32</v>
      </c>
      <c r="I24" s="13"/>
      <c r="J24" s="4"/>
      <c r="K24" s="4"/>
      <c r="L24" s="4"/>
      <c r="M24" s="13"/>
      <c r="N24" s="13" t="s">
        <v>3</v>
      </c>
      <c r="O24" s="13" t="s">
        <v>31</v>
      </c>
      <c r="P24" s="13" t="s">
        <v>31</v>
      </c>
      <c r="Q24" s="13" t="s">
        <v>31</v>
      </c>
      <c r="R24" s="13" t="s">
        <v>30</v>
      </c>
    </row>
    <row r="25" spans="1:21" x14ac:dyDescent="0.2">
      <c r="A25" s="4"/>
      <c r="B25" s="13"/>
      <c r="C25" s="13" t="s">
        <v>29</v>
      </c>
      <c r="D25" s="13" t="s">
        <v>44</v>
      </c>
      <c r="E25" s="13" t="s">
        <v>28</v>
      </c>
      <c r="F25" s="13" t="s">
        <v>27</v>
      </c>
      <c r="G25" s="13" t="s">
        <v>26</v>
      </c>
      <c r="H25" s="13" t="s">
        <v>26</v>
      </c>
      <c r="I25" s="13"/>
      <c r="J25" s="13"/>
      <c r="K25" s="13"/>
      <c r="L25" s="13" t="s">
        <v>45</v>
      </c>
      <c r="M25" s="13" t="s">
        <v>25</v>
      </c>
      <c r="N25" s="13" t="s">
        <v>46</v>
      </c>
      <c r="O25" s="13" t="s">
        <v>17</v>
      </c>
      <c r="P25" s="13" t="s">
        <v>24</v>
      </c>
      <c r="Q25" s="13" t="s">
        <v>24</v>
      </c>
      <c r="R25" s="13" t="s">
        <v>23</v>
      </c>
    </row>
    <row r="26" spans="1:21" x14ac:dyDescent="0.2">
      <c r="A26" s="13" t="s">
        <v>1</v>
      </c>
      <c r="B26" s="13" t="s">
        <v>22</v>
      </c>
      <c r="C26" s="13" t="s">
        <v>21</v>
      </c>
      <c r="D26" s="13" t="s">
        <v>20</v>
      </c>
      <c r="E26" s="13" t="s">
        <v>21</v>
      </c>
      <c r="F26" s="13" t="s">
        <v>20</v>
      </c>
      <c r="G26" s="13" t="s">
        <v>19</v>
      </c>
      <c r="H26" s="13" t="s">
        <v>19</v>
      </c>
      <c r="I26" s="13" t="s">
        <v>18</v>
      </c>
      <c r="J26" s="13" t="s">
        <v>17</v>
      </c>
      <c r="K26" s="13" t="s">
        <v>16</v>
      </c>
      <c r="L26" s="13" t="s">
        <v>15</v>
      </c>
      <c r="M26" s="13" t="s">
        <v>15</v>
      </c>
      <c r="N26" s="13" t="s">
        <v>13</v>
      </c>
      <c r="O26" s="13" t="s">
        <v>14</v>
      </c>
      <c r="P26" s="13" t="s">
        <v>13</v>
      </c>
      <c r="Q26" s="13" t="s">
        <v>13</v>
      </c>
      <c r="R26" s="13" t="s">
        <v>6</v>
      </c>
    </row>
    <row r="28" spans="1:21" x14ac:dyDescent="0.2">
      <c r="A28">
        <v>0</v>
      </c>
      <c r="B28" s="10">
        <f>E8</f>
        <v>1000</v>
      </c>
      <c r="C28" s="19"/>
      <c r="D28" s="19"/>
      <c r="E28" s="19"/>
      <c r="F28" s="19"/>
      <c r="G28" s="19"/>
      <c r="H28" s="19"/>
      <c r="I28" s="15"/>
      <c r="J28" s="1"/>
      <c r="K28" s="10"/>
      <c r="L28" s="15"/>
      <c r="M28" s="9"/>
      <c r="N28" s="10"/>
      <c r="O28" s="26">
        <f>1/(1+'Combined WACOC-Tax Table'!$F$13)^A28</f>
        <v>1</v>
      </c>
      <c r="P28" s="16">
        <f t="shared" ref="P28:P68" si="2">N28*O28</f>
        <v>0</v>
      </c>
      <c r="Q28" s="15">
        <f>P28</f>
        <v>0</v>
      </c>
    </row>
    <row r="29" spans="1:21" x14ac:dyDescent="0.2">
      <c r="A29">
        <v>1</v>
      </c>
      <c r="C29" s="27">
        <f>(1/$E$9)*$B$28</f>
        <v>25</v>
      </c>
      <c r="D29" s="27">
        <f>$B$28-C29</f>
        <v>975</v>
      </c>
      <c r="E29" s="27">
        <f>HLOOKUP($E$10,'Combined WACOC-Tax Table'!$B$17:$E$58,A29+1)*$B$28</f>
        <v>37.5</v>
      </c>
      <c r="F29" s="27">
        <f>B28-E29</f>
        <v>962.5</v>
      </c>
      <c r="G29" s="27">
        <f t="shared" ref="G29:G68" si="3">(E29-C29)*$E$11</f>
        <v>3.1033746250000003</v>
      </c>
      <c r="H29" s="27">
        <f>G29</f>
        <v>3.1033746250000003</v>
      </c>
      <c r="I29" s="27">
        <f t="shared" ref="I29:I58" si="4">D29-H29</f>
        <v>971.89662537499999</v>
      </c>
      <c r="J29" s="27">
        <f>'Combined WACOC-Tax Table'!$D$10*I29</f>
        <v>9.3453765171956735E-2</v>
      </c>
      <c r="K29" s="27">
        <f>I29*('Combined WACOC-Tax Table'!$D$11+'Combined WACOC-Tax Table'!$D$12)</f>
        <v>66.251762490634846</v>
      </c>
      <c r="L29" s="27">
        <f t="shared" ref="L29:L68" si="5">$E$12*D29</f>
        <v>3.1117504148601971</v>
      </c>
      <c r="M29" s="27">
        <f t="shared" ref="M29:M68" si="6">($E$11/(1-$E$11))*K29</f>
        <v>21.880625263829142</v>
      </c>
      <c r="N29" s="27">
        <f t="shared" ref="N29:N68" si="7">C29+J29+K29+L29+M29</f>
        <v>116.33759193449615</v>
      </c>
      <c r="O29" s="26">
        <f>1/(1+'Combined WACOC-Tax Table'!$F$13)^A29</f>
        <v>0.9400739105133471</v>
      </c>
      <c r="P29" s="18">
        <f t="shared" si="2"/>
        <v>109.36593498956782</v>
      </c>
      <c r="Q29" s="9">
        <f t="shared" ref="Q29:Q68" si="8">Q28+P29</f>
        <v>109.36593498956782</v>
      </c>
      <c r="R29" s="6">
        <f t="shared" ref="R29:R68" si="9">N29/$B$28</f>
        <v>0.11633759193449615</v>
      </c>
      <c r="S29" s="17"/>
    </row>
    <row r="30" spans="1:21" x14ac:dyDescent="0.2">
      <c r="A30">
        <v>2</v>
      </c>
      <c r="C30" s="9">
        <f t="shared" ref="C30:C68" si="10">IF(D29&lt;=0.001,0,(1/$E$9)*$B$28)</f>
        <v>25</v>
      </c>
      <c r="D30" s="9">
        <f t="shared" ref="D30:D68" si="11">D29-C30</f>
        <v>950</v>
      </c>
      <c r="E30" s="9">
        <f>HLOOKUP($E$10,'Combined WACOC-Tax Table'!$B$17:$E$58,A30+1)*$B$28</f>
        <v>72.19</v>
      </c>
      <c r="F30" s="9">
        <f t="shared" ref="F30:F68" si="12">F29-E30</f>
        <v>890.31</v>
      </c>
      <c r="G30" s="9">
        <f t="shared" si="3"/>
        <v>11.7158598843</v>
      </c>
      <c r="H30" s="9">
        <f t="shared" ref="H30:H68" si="13">H29+G30</f>
        <v>14.819234509300001</v>
      </c>
      <c r="I30" s="9">
        <f t="shared" si="4"/>
        <v>935.18076549069997</v>
      </c>
      <c r="J30" s="9">
        <f>'Combined WACOC-Tax Table'!$D$10*I30</f>
        <v>8.9923312181249077E-2</v>
      </c>
      <c r="K30" s="9">
        <f>I30*('Combined WACOC-Tax Table'!$D$11+'Combined WACOC-Tax Table'!$D$12)</f>
        <v>63.748934139157129</v>
      </c>
      <c r="L30" s="9">
        <f t="shared" si="5"/>
        <v>3.031961942684295</v>
      </c>
      <c r="M30" s="9">
        <f t="shared" si="6"/>
        <v>21.054029152274943</v>
      </c>
      <c r="N30" s="29">
        <f t="shared" si="7"/>
        <v>112.92484854629762</v>
      </c>
      <c r="O30" s="26">
        <f>1/(1+'Combined WACOC-Tax Table'!$F$13)^A30</f>
        <v>0.88373895722785656</v>
      </c>
      <c r="P30" s="18">
        <f t="shared" si="2"/>
        <v>99.796087899418694</v>
      </c>
      <c r="Q30" s="9">
        <f t="shared" si="8"/>
        <v>209.16202288898651</v>
      </c>
      <c r="R30" s="6">
        <f t="shared" si="9"/>
        <v>0.11292484854629763</v>
      </c>
      <c r="S30" s="17"/>
    </row>
    <row r="31" spans="1:21" x14ac:dyDescent="0.2">
      <c r="A31">
        <v>3</v>
      </c>
      <c r="C31" s="9">
        <f t="shared" si="10"/>
        <v>25</v>
      </c>
      <c r="D31" s="9">
        <f t="shared" si="11"/>
        <v>925</v>
      </c>
      <c r="E31" s="9">
        <f>HLOOKUP($E$10,'Combined WACOC-Tax Table'!$B$17:$E$58,A31+1)*$B$28</f>
        <v>66.77</v>
      </c>
      <c r="F31" s="9">
        <f t="shared" si="12"/>
        <v>823.54</v>
      </c>
      <c r="G31" s="9">
        <f t="shared" si="3"/>
        <v>10.370236646899999</v>
      </c>
      <c r="H31" s="9">
        <f t="shared" si="13"/>
        <v>25.1894711562</v>
      </c>
      <c r="I31" s="9">
        <f t="shared" si="4"/>
        <v>899.81052884380006</v>
      </c>
      <c r="J31" s="9">
        <f>'Combined WACOC-Tax Table'!$D$10*I31</f>
        <v>8.6522249039991103E-2</v>
      </c>
      <c r="K31" s="9">
        <f>I31*('Combined WACOC-Tax Table'!$D$11+'Combined WACOC-Tax Table'!$D$12)</f>
        <v>61.33783355871855</v>
      </c>
      <c r="L31" s="9">
        <f t="shared" si="5"/>
        <v>2.9521734705083924</v>
      </c>
      <c r="M31" s="9">
        <f t="shared" si="6"/>
        <v>20.257727494920015</v>
      </c>
      <c r="N31" s="29">
        <f t="shared" si="7"/>
        <v>109.63425677318696</v>
      </c>
      <c r="O31" s="26">
        <f>1/(1+'Combined WACOC-Tax Table'!$F$13)^A31</f>
        <v>0.83077993739417866</v>
      </c>
      <c r="P31" s="18">
        <f t="shared" si="2"/>
        <v>91.081940978285573</v>
      </c>
      <c r="Q31" s="9">
        <f t="shared" si="8"/>
        <v>300.2439638672721</v>
      </c>
      <c r="R31" s="6">
        <f t="shared" si="9"/>
        <v>0.10963425677318696</v>
      </c>
      <c r="S31" s="17"/>
    </row>
    <row r="32" spans="1:21" x14ac:dyDescent="0.2">
      <c r="A32">
        <v>4</v>
      </c>
      <c r="C32" s="9">
        <f t="shared" si="10"/>
        <v>25</v>
      </c>
      <c r="D32" s="9">
        <f t="shared" si="11"/>
        <v>900</v>
      </c>
      <c r="E32" s="9">
        <f>HLOOKUP($E$10,'Combined WACOC-Tax Table'!$B$17:$E$58,A32+1)*$B$28</f>
        <v>61.769999999999996</v>
      </c>
      <c r="F32" s="9">
        <f t="shared" si="12"/>
        <v>761.77</v>
      </c>
      <c r="G32" s="9">
        <f t="shared" si="3"/>
        <v>9.1288867968999998</v>
      </c>
      <c r="H32" s="9">
        <f t="shared" si="13"/>
        <v>34.318357953099998</v>
      </c>
      <c r="I32" s="9">
        <f t="shared" si="4"/>
        <v>865.68164204690004</v>
      </c>
      <c r="J32" s="9">
        <f>'Combined WACOC-Tax Table'!$D$10*I32</f>
        <v>8.3240549228483729E-2</v>
      </c>
      <c r="K32" s="9">
        <f>I32*('Combined WACOC-Tax Table'!$D$11+'Combined WACOC-Tax Table'!$D$12)</f>
        <v>59.011352693260704</v>
      </c>
      <c r="L32" s="9">
        <f t="shared" si="5"/>
        <v>2.8723849983324898</v>
      </c>
      <c r="M32" s="9">
        <f t="shared" si="6"/>
        <v>19.489372751033045</v>
      </c>
      <c r="N32" s="29">
        <f t="shared" si="7"/>
        <v>106.45635099185473</v>
      </c>
      <c r="O32" s="26">
        <f>1/(1+'Combined WACOC-Tax Table'!$F$13)^A32</f>
        <v>0.7809945445221792</v>
      </c>
      <c r="P32" s="18">
        <f t="shared" si="2"/>
        <v>83.141829354376824</v>
      </c>
      <c r="Q32" s="9">
        <f t="shared" si="8"/>
        <v>383.3857932216489</v>
      </c>
      <c r="R32" s="6">
        <f t="shared" si="9"/>
        <v>0.10645635099185473</v>
      </c>
      <c r="S32" s="17"/>
    </row>
    <row r="33" spans="1:19" x14ac:dyDescent="0.2">
      <c r="A33">
        <v>5</v>
      </c>
      <c r="C33" s="9">
        <f t="shared" si="10"/>
        <v>25</v>
      </c>
      <c r="D33" s="9">
        <f t="shared" si="11"/>
        <v>875</v>
      </c>
      <c r="E33" s="9">
        <f>HLOOKUP($E$10,'Combined WACOC-Tax Table'!$B$17:$E$58,A33+1)*$B$28</f>
        <v>57.13</v>
      </c>
      <c r="F33" s="9">
        <f t="shared" si="12"/>
        <v>704.64</v>
      </c>
      <c r="G33" s="9">
        <f t="shared" si="3"/>
        <v>7.9769141361000004</v>
      </c>
      <c r="H33" s="9">
        <f t="shared" si="13"/>
        <v>42.295272089199997</v>
      </c>
      <c r="I33" s="9">
        <f t="shared" si="4"/>
        <v>832.70472791079999</v>
      </c>
      <c r="J33" s="9">
        <f>'Combined WACOC-Tax Table'!$D$10*I33</f>
        <v>8.0069618586984928E-2</v>
      </c>
      <c r="K33" s="9">
        <f>I33*('Combined WACOC-Tax Table'!$D$11+'Combined WACOC-Tax Table'!$D$12)</f>
        <v>56.763398923305004</v>
      </c>
      <c r="L33" s="9">
        <f t="shared" si="5"/>
        <v>2.7925965261565873</v>
      </c>
      <c r="M33" s="9">
        <f t="shared" si="6"/>
        <v>18.74695274284435</v>
      </c>
      <c r="N33" s="29">
        <f t="shared" si="7"/>
        <v>103.38301781089294</v>
      </c>
      <c r="O33" s="26">
        <f>1/(1+'Combined WACOC-Tax Table'!$F$13)^A33</f>
        <v>0.73419259555855532</v>
      </c>
      <c r="P33" s="18">
        <f t="shared" si="2"/>
        <v>75.903046183255839</v>
      </c>
      <c r="Q33" s="9">
        <f t="shared" si="8"/>
        <v>459.28883940490471</v>
      </c>
      <c r="R33" s="6">
        <f t="shared" si="9"/>
        <v>0.10338301781089294</v>
      </c>
      <c r="S33" s="17"/>
    </row>
    <row r="34" spans="1:19" x14ac:dyDescent="0.2">
      <c r="A34">
        <v>6</v>
      </c>
      <c r="C34" s="9">
        <f t="shared" si="10"/>
        <v>25</v>
      </c>
      <c r="D34" s="9">
        <f t="shared" si="11"/>
        <v>850</v>
      </c>
      <c r="E34" s="9">
        <f>HLOOKUP($E$10,'Combined WACOC-Tax Table'!$B$17:$E$58,A34+1)*$B$28</f>
        <v>52.85</v>
      </c>
      <c r="F34" s="9">
        <f t="shared" si="12"/>
        <v>651.79</v>
      </c>
      <c r="G34" s="9">
        <f t="shared" si="3"/>
        <v>6.9143186645000005</v>
      </c>
      <c r="H34" s="9">
        <f t="shared" si="13"/>
        <v>49.209590753699999</v>
      </c>
      <c r="I34" s="9">
        <f t="shared" si="4"/>
        <v>800.79040924629999</v>
      </c>
      <c r="J34" s="9">
        <f>'Combined WACOC-Tax Table'!$D$10*I34</f>
        <v>7.7000862955752647E-2</v>
      </c>
      <c r="K34" s="9">
        <f>I34*('Combined WACOC-Tax Table'!$D$11+'Combined WACOC-Tax Table'!$D$12)</f>
        <v>54.587879629372821</v>
      </c>
      <c r="L34" s="9">
        <f t="shared" si="5"/>
        <v>2.7128080539806847</v>
      </c>
      <c r="M34" s="9">
        <f t="shared" si="6"/>
        <v>18.02845529258423</v>
      </c>
      <c r="N34" s="29">
        <f t="shared" si="7"/>
        <v>100.40614383889348</v>
      </c>
      <c r="O34" s="26">
        <f>1/(1+'Combined WACOC-Tax Table'!$F$13)^A34</f>
        <v>0.69019530437667531</v>
      </c>
      <c r="P34" s="18">
        <f t="shared" si="2"/>
        <v>69.299849008173325</v>
      </c>
      <c r="Q34" s="9">
        <f t="shared" si="8"/>
        <v>528.58868841307799</v>
      </c>
      <c r="R34" s="6">
        <f t="shared" si="9"/>
        <v>0.10040614383889349</v>
      </c>
      <c r="S34" s="17"/>
    </row>
    <row r="35" spans="1:19" x14ac:dyDescent="0.2">
      <c r="A35">
        <v>7</v>
      </c>
      <c r="C35" s="9">
        <f t="shared" si="10"/>
        <v>25</v>
      </c>
      <c r="D35" s="9">
        <f t="shared" si="11"/>
        <v>825</v>
      </c>
      <c r="E35" s="9">
        <f>HLOOKUP($E$10,'Combined WACOC-Tax Table'!$B$17:$E$58,A35+1)*$B$28</f>
        <v>48.88</v>
      </c>
      <c r="F35" s="9">
        <f t="shared" si="12"/>
        <v>602.91</v>
      </c>
      <c r="G35" s="9">
        <f t="shared" si="3"/>
        <v>5.9286868836000011</v>
      </c>
      <c r="H35" s="9">
        <f t="shared" si="13"/>
        <v>55.1382776373</v>
      </c>
      <c r="I35" s="9">
        <f t="shared" si="4"/>
        <v>769.86172236269999</v>
      </c>
      <c r="J35" s="9">
        <f>'Combined WACOC-Tax Table'!$D$10*I35</f>
        <v>7.4026881808342354E-2</v>
      </c>
      <c r="K35" s="9">
        <f>I35*('Combined WACOC-Tax Table'!$D$11+'Combined WACOC-Tax Table'!$D$12)</f>
        <v>52.47954838913536</v>
      </c>
      <c r="L35" s="9">
        <f t="shared" si="5"/>
        <v>2.6330195818047821</v>
      </c>
      <c r="M35" s="9">
        <f t="shared" si="6"/>
        <v>17.332147691617674</v>
      </c>
      <c r="N35" s="29">
        <f t="shared" si="7"/>
        <v>97.518742544366162</v>
      </c>
      <c r="O35" s="26">
        <f>1/(1+'Combined WACOC-Tax Table'!$F$13)^A35</f>
        <v>0.64883459880333116</v>
      </c>
      <c r="P35" s="18">
        <f t="shared" si="2"/>
        <v>63.273534194579163</v>
      </c>
      <c r="Q35" s="9">
        <f t="shared" si="8"/>
        <v>591.86222260765715</v>
      </c>
      <c r="R35" s="6">
        <f t="shared" si="9"/>
        <v>9.7518742544366169E-2</v>
      </c>
      <c r="S35" s="17"/>
    </row>
    <row r="36" spans="1:19" x14ac:dyDescent="0.2">
      <c r="A36">
        <v>8</v>
      </c>
      <c r="C36" s="9">
        <f t="shared" si="10"/>
        <v>25</v>
      </c>
      <c r="D36" s="9">
        <f t="shared" si="11"/>
        <v>800</v>
      </c>
      <c r="E36" s="9">
        <f>HLOOKUP($E$10,'Combined WACOC-Tax Table'!$B$17:$E$58,A36+1)*$B$28</f>
        <v>45.220000000000006</v>
      </c>
      <c r="F36" s="9">
        <f t="shared" si="12"/>
        <v>557.68999999999994</v>
      </c>
      <c r="G36" s="9">
        <f t="shared" si="3"/>
        <v>5.020018793400002</v>
      </c>
      <c r="H36" s="9">
        <f t="shared" si="13"/>
        <v>60.158296430700005</v>
      </c>
      <c r="I36" s="9">
        <f t="shared" si="4"/>
        <v>739.84170356929997</v>
      </c>
      <c r="J36" s="9">
        <f>'Combined WACOC-Tax Table'!$D$10*I36</f>
        <v>7.1140274618309504E-2</v>
      </c>
      <c r="K36" s="9">
        <f>I36*('Combined WACOC-Tax Table'!$D$11+'Combined WACOC-Tax Table'!$D$12)</f>
        <v>50.433158780263796</v>
      </c>
      <c r="L36" s="9">
        <f t="shared" si="5"/>
        <v>2.55323110962888</v>
      </c>
      <c r="M36" s="9">
        <f t="shared" si="6"/>
        <v>16.656297231309662</v>
      </c>
      <c r="N36" s="29">
        <f t="shared" si="7"/>
        <v>94.713827395820644</v>
      </c>
      <c r="O36" s="26">
        <f>1/(1+'Combined WACOC-Tax Table'!$F$13)^A36</f>
        <v>0.60995247857340607</v>
      </c>
      <c r="P36" s="18">
        <f t="shared" si="2"/>
        <v>57.770933775254569</v>
      </c>
      <c r="Q36" s="9">
        <f t="shared" si="8"/>
        <v>649.63315638291169</v>
      </c>
      <c r="R36" s="6">
        <f t="shared" si="9"/>
        <v>9.4713827395820641E-2</v>
      </c>
      <c r="S36" s="17"/>
    </row>
    <row r="37" spans="1:19" x14ac:dyDescent="0.2">
      <c r="A37">
        <v>9</v>
      </c>
      <c r="C37" s="9">
        <f t="shared" si="10"/>
        <v>25</v>
      </c>
      <c r="D37" s="9">
        <f t="shared" si="11"/>
        <v>775</v>
      </c>
      <c r="E37" s="9">
        <f>HLOOKUP($E$10,'Combined WACOC-Tax Table'!$B$17:$E$58,A37+1)*$B$28</f>
        <v>44.62</v>
      </c>
      <c r="F37" s="9">
        <f t="shared" si="12"/>
        <v>513.06999999999994</v>
      </c>
      <c r="G37" s="9">
        <f t="shared" si="3"/>
        <v>4.8710568113999999</v>
      </c>
      <c r="H37" s="9">
        <f t="shared" si="13"/>
        <v>65.029353242100001</v>
      </c>
      <c r="I37" s="9">
        <f t="shared" si="4"/>
        <v>709.9706467579</v>
      </c>
      <c r="J37" s="9">
        <f>'Combined WACOC-Tax Table'!$D$10*I37</f>
        <v>6.8267991027846739E-2</v>
      </c>
      <c r="K37" s="9">
        <f>I37*('Combined WACOC-Tax Table'!$D$11+'Combined WACOC-Tax Table'!$D$12)</f>
        <v>48.396923537189934</v>
      </c>
      <c r="L37" s="9">
        <f t="shared" si="5"/>
        <v>2.4734426374529774</v>
      </c>
      <c r="M37" s="9">
        <f t="shared" si="6"/>
        <v>15.983800400617811</v>
      </c>
      <c r="N37" s="29">
        <f t="shared" si="7"/>
        <v>91.922434566288572</v>
      </c>
      <c r="O37" s="26">
        <f>1/(1+'Combined WACOC-Tax Table'!$F$13)^A37</f>
        <v>0.57340041175981038</v>
      </c>
      <c r="P37" s="18">
        <f t="shared" si="2"/>
        <v>52.708361830274093</v>
      </c>
      <c r="Q37" s="9">
        <f t="shared" si="8"/>
        <v>702.34151821318574</v>
      </c>
      <c r="R37" s="6">
        <f t="shared" si="9"/>
        <v>9.1922434566288569E-2</v>
      </c>
      <c r="S37" s="17"/>
    </row>
    <row r="38" spans="1:19" x14ac:dyDescent="0.2">
      <c r="A38">
        <v>10</v>
      </c>
      <c r="C38" s="9">
        <f t="shared" si="10"/>
        <v>25</v>
      </c>
      <c r="D38" s="9">
        <f t="shared" si="11"/>
        <v>750</v>
      </c>
      <c r="E38" s="9">
        <f>HLOOKUP($E$10,'Combined WACOC-Tax Table'!$B$17:$E$58,A38+1)*$B$28</f>
        <v>44.61</v>
      </c>
      <c r="F38" s="9">
        <f t="shared" si="12"/>
        <v>468.45999999999992</v>
      </c>
      <c r="G38" s="9">
        <f t="shared" si="3"/>
        <v>4.8685741117000001</v>
      </c>
      <c r="H38" s="9">
        <f t="shared" si="13"/>
        <v>69.8979273538</v>
      </c>
      <c r="I38" s="9">
        <f t="shared" si="4"/>
        <v>680.10207264619999</v>
      </c>
      <c r="J38" s="9">
        <f>'Combined WACOC-Tax Table'!$D$10*I38</f>
        <v>6.539594616404347E-2</v>
      </c>
      <c r="K38" s="9">
        <f>I38*('Combined WACOC-Tax Table'!$D$11+'Combined WACOC-Tax Table'!$D$12)</f>
        <v>46.360857533546032</v>
      </c>
      <c r="L38" s="9">
        <f t="shared" si="5"/>
        <v>2.3936541652770749</v>
      </c>
      <c r="M38" s="9">
        <f t="shared" si="6"/>
        <v>15.311359463752895</v>
      </c>
      <c r="N38" s="29">
        <f t="shared" si="7"/>
        <v>89.131267108740033</v>
      </c>
      <c r="O38" s="26">
        <f>1/(1+'Combined WACOC-Tax Table'!$F$13)^A38</f>
        <v>0.53903876737300838</v>
      </c>
      <c r="P38" s="18">
        <f t="shared" si="2"/>
        <v>48.045208356689592</v>
      </c>
      <c r="Q38" s="9">
        <f t="shared" si="8"/>
        <v>750.38672656987535</v>
      </c>
      <c r="R38" s="6">
        <f t="shared" si="9"/>
        <v>8.9131267108740031E-2</v>
      </c>
      <c r="S38" s="17"/>
    </row>
    <row r="39" spans="1:19" x14ac:dyDescent="0.2">
      <c r="A39">
        <v>11</v>
      </c>
      <c r="C39" s="9">
        <f t="shared" si="10"/>
        <v>25</v>
      </c>
      <c r="D39" s="9">
        <f t="shared" si="11"/>
        <v>725</v>
      </c>
      <c r="E39" s="9">
        <f>HLOOKUP($E$10,'Combined WACOC-Tax Table'!$B$17:$E$58,A39+1)*$B$28</f>
        <v>44.62</v>
      </c>
      <c r="F39" s="9">
        <f t="shared" si="12"/>
        <v>423.83999999999992</v>
      </c>
      <c r="G39" s="9">
        <f t="shared" si="3"/>
        <v>4.8710568113999999</v>
      </c>
      <c r="H39" s="9">
        <f t="shared" si="13"/>
        <v>74.768984165199996</v>
      </c>
      <c r="I39" s="9">
        <f t="shared" si="4"/>
        <v>650.23101583480002</v>
      </c>
      <c r="J39" s="9">
        <f>'Combined WACOC-Tax Table'!$D$10*I39</f>
        <v>6.2523662573580704E-2</v>
      </c>
      <c r="K39" s="9">
        <f>I39*('Combined WACOC-Tax Table'!$D$11+'Combined WACOC-Tax Table'!$D$12)</f>
        <v>44.324622290472163</v>
      </c>
      <c r="L39" s="9">
        <f t="shared" si="5"/>
        <v>2.3138656931011723</v>
      </c>
      <c r="M39" s="9">
        <f t="shared" si="6"/>
        <v>14.638862633061041</v>
      </c>
      <c r="N39" s="29">
        <f t="shared" si="7"/>
        <v>86.339874279207962</v>
      </c>
      <c r="O39" s="26">
        <f>1/(1+'Combined WACOC-Tax Table'!$F$13)^A39</f>
        <v>0.50673628196263842</v>
      </c>
      <c r="P39" s="18">
        <f t="shared" si="2"/>
        <v>43.751546877367481</v>
      </c>
      <c r="Q39" s="9">
        <f t="shared" si="8"/>
        <v>794.1382734472428</v>
      </c>
      <c r="R39" s="6">
        <f t="shared" si="9"/>
        <v>8.6339874279207959E-2</v>
      </c>
      <c r="S39" s="17"/>
    </row>
    <row r="40" spans="1:19" x14ac:dyDescent="0.2">
      <c r="A40">
        <v>12</v>
      </c>
      <c r="C40" s="9">
        <f t="shared" si="10"/>
        <v>25</v>
      </c>
      <c r="D40" s="9">
        <f t="shared" si="11"/>
        <v>700</v>
      </c>
      <c r="E40" s="9">
        <f>HLOOKUP($E$10,'Combined WACOC-Tax Table'!$B$17:$E$58,A40+1)*$B$28</f>
        <v>44.61</v>
      </c>
      <c r="F40" s="9">
        <f t="shared" si="12"/>
        <v>379.2299999999999</v>
      </c>
      <c r="G40" s="9">
        <f t="shared" si="3"/>
        <v>4.8685741117000001</v>
      </c>
      <c r="H40" s="9">
        <f t="shared" si="13"/>
        <v>79.637558276899995</v>
      </c>
      <c r="I40" s="9">
        <f t="shared" si="4"/>
        <v>620.36244172310001</v>
      </c>
      <c r="J40" s="9">
        <f>'Combined WACOC-Tax Table'!$D$10*I40</f>
        <v>5.9651617709777442E-2</v>
      </c>
      <c r="K40" s="9">
        <f>I40*('Combined WACOC-Tax Table'!$D$11+'Combined WACOC-Tax Table'!$D$12)</f>
        <v>42.288556286828261</v>
      </c>
      <c r="L40" s="9">
        <f t="shared" si="5"/>
        <v>2.2340772209252697</v>
      </c>
      <c r="M40" s="9">
        <f t="shared" si="6"/>
        <v>13.966421696196125</v>
      </c>
      <c r="N40" s="29">
        <f t="shared" si="7"/>
        <v>83.548706821659437</v>
      </c>
      <c r="O40" s="26">
        <f>1/(1+'Combined WACOC-Tax Table'!$F$13)^A40</f>
        <v>0.47636955818361154</v>
      </c>
      <c r="P40" s="18">
        <f t="shared" si="2"/>
        <v>39.800060555445995</v>
      </c>
      <c r="Q40" s="9">
        <f t="shared" si="8"/>
        <v>833.93833400268875</v>
      </c>
      <c r="R40" s="6">
        <f t="shared" si="9"/>
        <v>8.3548706821659435E-2</v>
      </c>
      <c r="S40" s="17"/>
    </row>
    <row r="41" spans="1:19" x14ac:dyDescent="0.2">
      <c r="A41">
        <v>13</v>
      </c>
      <c r="C41" s="9">
        <f t="shared" si="10"/>
        <v>25</v>
      </c>
      <c r="D41" s="9">
        <f t="shared" si="11"/>
        <v>675</v>
      </c>
      <c r="E41" s="9">
        <f>HLOOKUP($E$10,'Combined WACOC-Tax Table'!$B$17:$E$58,A41+1)*$B$28</f>
        <v>44.62</v>
      </c>
      <c r="F41" s="9">
        <f t="shared" si="12"/>
        <v>334.6099999999999</v>
      </c>
      <c r="G41" s="9">
        <f t="shared" si="3"/>
        <v>4.8710568113999999</v>
      </c>
      <c r="H41" s="9">
        <f t="shared" si="13"/>
        <v>84.50861508829999</v>
      </c>
      <c r="I41" s="9">
        <f t="shared" si="4"/>
        <v>590.49138491170004</v>
      </c>
      <c r="J41" s="9">
        <f>'Combined WACOC-Tax Table'!$D$10*I41</f>
        <v>5.677933411931467E-2</v>
      </c>
      <c r="K41" s="9">
        <f>I41*('Combined WACOC-Tax Table'!$D$11+'Combined WACOC-Tax Table'!$D$12)</f>
        <v>40.252321043754399</v>
      </c>
      <c r="L41" s="9">
        <f t="shared" si="5"/>
        <v>2.1542887487493672</v>
      </c>
      <c r="M41" s="9">
        <f t="shared" si="6"/>
        <v>13.293924865504273</v>
      </c>
      <c r="N41" s="29">
        <f t="shared" si="7"/>
        <v>80.757313992127365</v>
      </c>
      <c r="O41" s="26">
        <f>1/(1+'Combined WACOC-Tax Table'!$F$13)^A41</f>
        <v>0.44782259341118313</v>
      </c>
      <c r="P41" s="18">
        <f t="shared" si="2"/>
        <v>36.164949788875703</v>
      </c>
      <c r="Q41" s="9">
        <f t="shared" si="8"/>
        <v>870.10328379156442</v>
      </c>
      <c r="R41" s="6">
        <f t="shared" si="9"/>
        <v>8.0757313992127364E-2</v>
      </c>
      <c r="S41" s="17"/>
    </row>
    <row r="42" spans="1:19" x14ac:dyDescent="0.2">
      <c r="A42">
        <v>14</v>
      </c>
      <c r="C42" s="9">
        <f t="shared" si="10"/>
        <v>25</v>
      </c>
      <c r="D42" s="9">
        <f t="shared" si="11"/>
        <v>650</v>
      </c>
      <c r="E42" s="9">
        <f>HLOOKUP($E$10,'Combined WACOC-Tax Table'!$B$17:$E$58,A42+1)*$B$28</f>
        <v>44.61</v>
      </c>
      <c r="F42" s="9">
        <f t="shared" si="12"/>
        <v>289.99999999999989</v>
      </c>
      <c r="G42" s="9">
        <f t="shared" si="3"/>
        <v>4.8685741117000001</v>
      </c>
      <c r="H42" s="9">
        <f t="shared" si="13"/>
        <v>89.377189199999989</v>
      </c>
      <c r="I42" s="9">
        <f t="shared" si="4"/>
        <v>560.62281080000002</v>
      </c>
      <c r="J42" s="9">
        <f>'Combined WACOC-Tax Table'!$D$10*I42</f>
        <v>5.3907289255511401E-2</v>
      </c>
      <c r="K42" s="9">
        <f>I42*('Combined WACOC-Tax Table'!$D$11+'Combined WACOC-Tax Table'!$D$12)</f>
        <v>38.216255040110489</v>
      </c>
      <c r="L42" s="9">
        <f t="shared" si="5"/>
        <v>2.074500276573465</v>
      </c>
      <c r="M42" s="9">
        <f t="shared" si="6"/>
        <v>12.621483928639355</v>
      </c>
      <c r="N42" s="29">
        <f t="shared" si="7"/>
        <v>77.966146534578812</v>
      </c>
      <c r="O42" s="26">
        <f>1/(1+'Combined WACOC-Tax Table'!$F$13)^A42</f>
        <v>0.42098633660427953</v>
      </c>
      <c r="P42" s="18">
        <f t="shared" si="2"/>
        <v>32.822682408744775</v>
      </c>
      <c r="Q42" s="9">
        <f t="shared" si="8"/>
        <v>902.92596620030918</v>
      </c>
      <c r="R42" s="6">
        <f t="shared" si="9"/>
        <v>7.7966146534578812E-2</v>
      </c>
      <c r="S42" s="17"/>
    </row>
    <row r="43" spans="1:19" x14ac:dyDescent="0.2">
      <c r="A43">
        <v>15</v>
      </c>
      <c r="C43" s="9">
        <f t="shared" si="10"/>
        <v>25</v>
      </c>
      <c r="D43" s="9">
        <f t="shared" si="11"/>
        <v>625</v>
      </c>
      <c r="E43" s="9">
        <f>HLOOKUP($E$10,'Combined WACOC-Tax Table'!$B$17:$E$58,A43+1)*$B$28</f>
        <v>44.62</v>
      </c>
      <c r="F43" s="9">
        <f t="shared" si="12"/>
        <v>245.37999999999988</v>
      </c>
      <c r="G43" s="9">
        <f t="shared" si="3"/>
        <v>4.8710568113999999</v>
      </c>
      <c r="H43" s="9">
        <f t="shared" si="13"/>
        <v>94.248246011399985</v>
      </c>
      <c r="I43" s="9">
        <f t="shared" si="4"/>
        <v>530.75175398860006</v>
      </c>
      <c r="J43" s="9">
        <f>'Combined WACOC-Tax Table'!$D$10*I43</f>
        <v>5.1035005665048636E-2</v>
      </c>
      <c r="K43" s="9">
        <f>I43*('Combined WACOC-Tax Table'!$D$11+'Combined WACOC-Tax Table'!$D$12)</f>
        <v>36.180019797036628</v>
      </c>
      <c r="L43" s="9">
        <f t="shared" si="5"/>
        <v>1.9947118043975625</v>
      </c>
      <c r="M43" s="9">
        <f t="shared" si="6"/>
        <v>11.948987097947503</v>
      </c>
      <c r="N43" s="29">
        <f t="shared" si="7"/>
        <v>75.17475370504674</v>
      </c>
      <c r="O43" s="26">
        <f>1/(1+'Combined WACOC-Tax Table'!$F$13)^A43</f>
        <v>0.39575827172427336</v>
      </c>
      <c r="P43" s="18">
        <f t="shared" si="2"/>
        <v>29.751030603607212</v>
      </c>
      <c r="Q43" s="9">
        <f t="shared" si="8"/>
        <v>932.67699680391638</v>
      </c>
      <c r="R43" s="6">
        <f t="shared" si="9"/>
        <v>7.517475370504674E-2</v>
      </c>
      <c r="S43" s="17"/>
    </row>
    <row r="44" spans="1:19" x14ac:dyDescent="0.2">
      <c r="A44">
        <v>16</v>
      </c>
      <c r="C44" s="9">
        <f t="shared" si="10"/>
        <v>25</v>
      </c>
      <c r="D44" s="9">
        <f t="shared" si="11"/>
        <v>600</v>
      </c>
      <c r="E44" s="9">
        <f>HLOOKUP($E$10,'Combined WACOC-Tax Table'!$B$17:$E$58,A44+1)*$B$28</f>
        <v>44.61</v>
      </c>
      <c r="F44" s="9">
        <f t="shared" si="12"/>
        <v>200.76999999999987</v>
      </c>
      <c r="G44" s="9">
        <f t="shared" si="3"/>
        <v>4.8685741117000001</v>
      </c>
      <c r="H44" s="9">
        <f t="shared" si="13"/>
        <v>99.116820123099984</v>
      </c>
      <c r="I44" s="9">
        <f t="shared" si="4"/>
        <v>500.88317987690004</v>
      </c>
      <c r="J44" s="9">
        <f>'Combined WACOC-Tax Table'!$D$10*I44</f>
        <v>4.8162960801245366E-2</v>
      </c>
      <c r="K44" s="9">
        <f>I44*('Combined WACOC-Tax Table'!$D$11+'Combined WACOC-Tax Table'!$D$12)</f>
        <v>34.143953793392718</v>
      </c>
      <c r="L44" s="9">
        <f t="shared" si="5"/>
        <v>1.9149233322216599</v>
      </c>
      <c r="M44" s="9">
        <f t="shared" si="6"/>
        <v>11.276546161082585</v>
      </c>
      <c r="N44" s="29">
        <f t="shared" si="7"/>
        <v>72.383586247498215</v>
      </c>
      <c r="O44" s="26">
        <f>1/(1+'Combined WACOC-Tax Table'!$F$13)^A44</f>
        <v>0.37204202611784137</v>
      </c>
      <c r="P44" s="18">
        <f t="shared" si="2"/>
        <v>26.929736085194754</v>
      </c>
      <c r="Q44" s="9">
        <f t="shared" si="8"/>
        <v>959.60673288911119</v>
      </c>
      <c r="R44" s="6">
        <f t="shared" si="9"/>
        <v>7.2383586247498216E-2</v>
      </c>
      <c r="S44" s="17"/>
    </row>
    <row r="45" spans="1:19" x14ac:dyDescent="0.2">
      <c r="A45">
        <v>17</v>
      </c>
      <c r="C45" s="9">
        <f t="shared" si="10"/>
        <v>25</v>
      </c>
      <c r="D45" s="9">
        <f t="shared" si="11"/>
        <v>575</v>
      </c>
      <c r="E45" s="9">
        <f>HLOOKUP($E$10,'Combined WACOC-Tax Table'!$B$17:$E$58,A45+1)*$B$28</f>
        <v>44.62</v>
      </c>
      <c r="F45" s="9">
        <f t="shared" si="12"/>
        <v>156.14999999999986</v>
      </c>
      <c r="G45" s="9">
        <f t="shared" si="3"/>
        <v>4.8710568113999999</v>
      </c>
      <c r="H45" s="9">
        <f t="shared" si="13"/>
        <v>103.98787693449998</v>
      </c>
      <c r="I45" s="9">
        <f t="shared" si="4"/>
        <v>471.01212306550002</v>
      </c>
      <c r="J45" s="9">
        <f>'Combined WACOC-Tax Table'!$D$10*I45</f>
        <v>4.5290677210782594E-2</v>
      </c>
      <c r="K45" s="9">
        <f>I45*('Combined WACOC-Tax Table'!$D$11+'Combined WACOC-Tax Table'!$D$12)</f>
        <v>32.107718550318857</v>
      </c>
      <c r="L45" s="9">
        <f t="shared" si="5"/>
        <v>1.8351348600457573</v>
      </c>
      <c r="M45" s="9">
        <f t="shared" si="6"/>
        <v>10.604049330390733</v>
      </c>
      <c r="N45" s="29">
        <f t="shared" si="7"/>
        <v>69.592193417966129</v>
      </c>
      <c r="O45" s="26">
        <f>1/(1+'Combined WACOC-Tax Table'!$F$13)^A45</f>
        <v>0.34974700236790796</v>
      </c>
      <c r="P45" s="18">
        <f t="shared" si="2"/>
        <v>24.339661036141308</v>
      </c>
      <c r="Q45" s="9">
        <f t="shared" si="8"/>
        <v>983.94639392525255</v>
      </c>
      <c r="R45" s="6">
        <f t="shared" si="9"/>
        <v>6.9592193417966131E-2</v>
      </c>
      <c r="S45" s="17"/>
    </row>
    <row r="46" spans="1:19" x14ac:dyDescent="0.2">
      <c r="A46">
        <v>18</v>
      </c>
      <c r="C46" s="9">
        <f t="shared" si="10"/>
        <v>25</v>
      </c>
      <c r="D46" s="9">
        <f t="shared" si="11"/>
        <v>550</v>
      </c>
      <c r="E46" s="9">
        <f>HLOOKUP($E$10,'Combined WACOC-Tax Table'!$B$17:$E$58,A46+1)*$B$28</f>
        <v>44.61</v>
      </c>
      <c r="F46" s="9">
        <f t="shared" si="12"/>
        <v>111.53999999999986</v>
      </c>
      <c r="G46" s="9">
        <f t="shared" si="3"/>
        <v>4.8685741117000001</v>
      </c>
      <c r="H46" s="9">
        <f t="shared" si="13"/>
        <v>108.85645104619998</v>
      </c>
      <c r="I46" s="9">
        <f t="shared" si="4"/>
        <v>441.14354895380001</v>
      </c>
      <c r="J46" s="9">
        <f>'Combined WACOC-Tax Table'!$D$10*I46</f>
        <v>4.2418632346979325E-2</v>
      </c>
      <c r="K46" s="9">
        <f>I46*('Combined WACOC-Tax Table'!$D$11+'Combined WACOC-Tax Table'!$D$12)</f>
        <v>30.071652546674947</v>
      </c>
      <c r="L46" s="9">
        <f t="shared" si="5"/>
        <v>1.755346387869855</v>
      </c>
      <c r="M46" s="9">
        <f t="shared" si="6"/>
        <v>9.9316083935258153</v>
      </c>
      <c r="N46" s="29">
        <f t="shared" si="7"/>
        <v>66.801025960417604</v>
      </c>
      <c r="O46" s="26">
        <f>1/(1+'Combined WACOC-Tax Table'!$F$13)^A46</f>
        <v>0.32878803220632008</v>
      </c>
      <c r="P46" s="18">
        <f t="shared" si="2"/>
        <v>21.963377874889009</v>
      </c>
      <c r="Q46" s="9">
        <f t="shared" si="8"/>
        <v>1005.9097718001416</v>
      </c>
      <c r="R46" s="6">
        <f t="shared" si="9"/>
        <v>6.6801025960417607E-2</v>
      </c>
      <c r="S46" s="17"/>
    </row>
    <row r="47" spans="1:19" x14ac:dyDescent="0.2">
      <c r="A47">
        <v>19</v>
      </c>
      <c r="C47" s="9">
        <f t="shared" si="10"/>
        <v>25</v>
      </c>
      <c r="D47" s="9">
        <f t="shared" si="11"/>
        <v>525</v>
      </c>
      <c r="E47" s="9">
        <f>HLOOKUP($E$10,'Combined WACOC-Tax Table'!$B$17:$E$58,A47+1)*$B$28</f>
        <v>44.62</v>
      </c>
      <c r="F47" s="9">
        <f t="shared" si="12"/>
        <v>66.919999999999874</v>
      </c>
      <c r="G47" s="9">
        <f t="shared" si="3"/>
        <v>4.8710568113999999</v>
      </c>
      <c r="H47" s="9">
        <f t="shared" si="13"/>
        <v>113.72750785759997</v>
      </c>
      <c r="I47" s="9">
        <f t="shared" si="4"/>
        <v>411.27249214240004</v>
      </c>
      <c r="J47" s="9">
        <f>'Combined WACOC-Tax Table'!$D$10*I47</f>
        <v>3.954634875651656E-2</v>
      </c>
      <c r="K47" s="9">
        <f>I47*('Combined WACOC-Tax Table'!$D$11+'Combined WACOC-Tax Table'!$D$12)</f>
        <v>28.035417303601086</v>
      </c>
      <c r="L47" s="9">
        <f t="shared" si="5"/>
        <v>1.6755579156939524</v>
      </c>
      <c r="M47" s="9">
        <f t="shared" si="6"/>
        <v>9.2591115628339633</v>
      </c>
      <c r="N47" s="29">
        <f t="shared" si="7"/>
        <v>64.009633130885518</v>
      </c>
      <c r="O47" s="26">
        <f>1/(1+'Combined WACOC-Tax Table'!$F$13)^A47</f>
        <v>0.30908505116618362</v>
      </c>
      <c r="P47" s="18">
        <f t="shared" si="2"/>
        <v>19.784420731388394</v>
      </c>
      <c r="Q47" s="9">
        <f t="shared" si="8"/>
        <v>1025.69419253153</v>
      </c>
      <c r="R47" s="6">
        <f t="shared" si="9"/>
        <v>6.4009633130885521E-2</v>
      </c>
      <c r="S47" s="17"/>
    </row>
    <row r="48" spans="1:19" x14ac:dyDescent="0.2">
      <c r="A48">
        <v>20</v>
      </c>
      <c r="C48" s="9">
        <f t="shared" si="10"/>
        <v>25</v>
      </c>
      <c r="D48" s="9">
        <f t="shared" si="11"/>
        <v>500</v>
      </c>
      <c r="E48" s="9">
        <f>HLOOKUP($E$10,'Combined WACOC-Tax Table'!$B$17:$E$58,A48+1)*$B$28</f>
        <v>44.61</v>
      </c>
      <c r="F48" s="9">
        <f t="shared" si="12"/>
        <v>22.309999999999874</v>
      </c>
      <c r="G48" s="9">
        <f t="shared" si="3"/>
        <v>4.8685741117000001</v>
      </c>
      <c r="H48" s="9">
        <f t="shared" si="13"/>
        <v>118.59608196929997</v>
      </c>
      <c r="I48" s="9">
        <f t="shared" si="4"/>
        <v>381.40391803070003</v>
      </c>
      <c r="J48" s="9">
        <f>'Combined WACOC-Tax Table'!$D$10*I48</f>
        <v>3.6674303892713291E-2</v>
      </c>
      <c r="K48" s="9">
        <f>I48*('Combined WACOC-Tax Table'!$D$11+'Combined WACOC-Tax Table'!$D$12)</f>
        <v>25.99935129995718</v>
      </c>
      <c r="L48" s="9">
        <f t="shared" si="5"/>
        <v>1.5957694435180498</v>
      </c>
      <c r="M48" s="9">
        <f t="shared" si="6"/>
        <v>8.5866706259690471</v>
      </c>
      <c r="N48" s="29">
        <f t="shared" si="7"/>
        <v>61.218465673336993</v>
      </c>
      <c r="O48" s="26">
        <f>1/(1+'Combined WACOC-Tax Table'!$F$13)^A48</f>
        <v>0.29056279273101221</v>
      </c>
      <c r="P48" s="18">
        <f t="shared" si="2"/>
        <v>17.787808352752403</v>
      </c>
      <c r="Q48" s="9">
        <f t="shared" si="8"/>
        <v>1043.4820008842823</v>
      </c>
      <c r="R48" s="6">
        <f t="shared" si="9"/>
        <v>6.121846567333699E-2</v>
      </c>
      <c r="S48" s="17"/>
    </row>
    <row r="49" spans="1:19" x14ac:dyDescent="0.2">
      <c r="A49">
        <v>21</v>
      </c>
      <c r="C49" s="9">
        <f t="shared" si="10"/>
        <v>25</v>
      </c>
      <c r="D49" s="9">
        <f t="shared" si="11"/>
        <v>475</v>
      </c>
      <c r="E49" s="9">
        <f>HLOOKUP($E$10,'Combined WACOC-Tax Table'!$B$17:$E$58,A49+1)*$B$28</f>
        <v>22.31</v>
      </c>
      <c r="F49" s="9">
        <f t="shared" si="12"/>
        <v>-1.2434497875801753E-13</v>
      </c>
      <c r="G49" s="9">
        <f t="shared" si="3"/>
        <v>-0.66784621930000032</v>
      </c>
      <c r="H49" s="9">
        <f t="shared" si="13"/>
        <v>117.92823574999997</v>
      </c>
      <c r="I49" s="9">
        <f t="shared" si="4"/>
        <v>357.07176425</v>
      </c>
      <c r="J49" s="9">
        <f>'Combined WACOC-Tax Table'!$D$10*I49</f>
        <v>3.4334619479597754E-2</v>
      </c>
      <c r="K49" s="9">
        <f>I49*('Combined WACOC-Tax Table'!$D$11+'Combined WACOC-Tax Table'!$D$12)</f>
        <v>24.340689225127417</v>
      </c>
      <c r="L49" s="9">
        <f t="shared" si="5"/>
        <v>1.5159809713421475</v>
      </c>
      <c r="M49" s="9">
        <f t="shared" si="6"/>
        <v>8.0388729231712439</v>
      </c>
      <c r="N49" s="29">
        <f t="shared" si="7"/>
        <v>58.9298777391204</v>
      </c>
      <c r="O49" s="26">
        <f>1/(1+'Combined WACOC-Tax Table'!$F$13)^A49</f>
        <v>0.27315050081232178</v>
      </c>
      <c r="P49" s="18">
        <f t="shared" si="2"/>
        <v>16.096725617249628</v>
      </c>
      <c r="Q49" s="9">
        <f t="shared" si="8"/>
        <v>1059.5787265015319</v>
      </c>
      <c r="R49" s="6">
        <f t="shared" si="9"/>
        <v>5.8929877739120402E-2</v>
      </c>
      <c r="S49" s="17"/>
    </row>
    <row r="50" spans="1:19" x14ac:dyDescent="0.2">
      <c r="A50">
        <v>22</v>
      </c>
      <c r="C50" s="9">
        <f t="shared" si="10"/>
        <v>25</v>
      </c>
      <c r="D50" s="9">
        <f t="shared" si="11"/>
        <v>450</v>
      </c>
      <c r="E50" s="9">
        <f>HLOOKUP($E$10,'Combined WACOC-Tax Table'!$B$17:$E$58,A50+1)*$B$28</f>
        <v>0</v>
      </c>
      <c r="F50" s="9">
        <f t="shared" si="12"/>
        <v>-1.2434497875801753E-13</v>
      </c>
      <c r="G50" s="9">
        <f>(E50-C50)*$E$11</f>
        <v>-6.2067492500000006</v>
      </c>
      <c r="H50" s="9">
        <f t="shared" si="13"/>
        <v>111.72148649999997</v>
      </c>
      <c r="I50" s="9">
        <f t="shared" si="4"/>
        <v>338.27851350000003</v>
      </c>
      <c r="J50" s="9">
        <f>'Combined WACOC-Tax Table'!$D$10*I50</f>
        <v>3.2527534243829453E-2</v>
      </c>
      <c r="K50" s="9">
        <f>I50*('Combined WACOC-Tax Table'!$D$11+'Combined WACOC-Tax Table'!$D$12)</f>
        <v>23.059600318541765</v>
      </c>
      <c r="L50" s="9">
        <f t="shared" si="5"/>
        <v>1.4361924991662449</v>
      </c>
      <c r="M50" s="9">
        <f t="shared" si="6"/>
        <v>7.6157743482674949</v>
      </c>
      <c r="N50" s="29">
        <f t="shared" si="7"/>
        <v>57.144094700219334</v>
      </c>
      <c r="O50" s="26">
        <f>1/(1+'Combined WACOC-Tax Table'!$F$13)^A50</f>
        <v>0.25678165945731851</v>
      </c>
      <c r="P50" s="18">
        <f t="shared" si="2"/>
        <v>14.67355546530848</v>
      </c>
      <c r="Q50" s="9">
        <f t="shared" si="8"/>
        <v>1074.2522819668404</v>
      </c>
      <c r="R50" s="6">
        <f t="shared" si="9"/>
        <v>5.7144094700219333E-2</v>
      </c>
      <c r="S50" s="17"/>
    </row>
    <row r="51" spans="1:19" x14ac:dyDescent="0.2">
      <c r="A51">
        <v>23</v>
      </c>
      <c r="C51" s="9">
        <f t="shared" si="10"/>
        <v>25</v>
      </c>
      <c r="D51" s="9">
        <f t="shared" si="11"/>
        <v>425</v>
      </c>
      <c r="E51" s="9">
        <f>HLOOKUP($E$10,'Combined WACOC-Tax Table'!$B$17:$E$58,A51+1)*$B$28</f>
        <v>0</v>
      </c>
      <c r="F51" s="9">
        <f t="shared" si="12"/>
        <v>-1.2434497875801753E-13</v>
      </c>
      <c r="G51" s="9">
        <f t="shared" si="3"/>
        <v>-6.2067492500000006</v>
      </c>
      <c r="H51" s="9">
        <f t="shared" si="13"/>
        <v>105.51473724999997</v>
      </c>
      <c r="I51" s="9">
        <f t="shared" si="4"/>
        <v>319.48526275000006</v>
      </c>
      <c r="J51" s="9">
        <f>'Combined WACOC-Tax Table'!$D$10*I51</f>
        <v>3.0720449008061153E-2</v>
      </c>
      <c r="K51" s="9">
        <f>I51*('Combined WACOC-Tax Table'!$D$11+'Combined WACOC-Tax Table'!$D$12)</f>
        <v>21.778511411956114</v>
      </c>
      <c r="L51" s="9">
        <f t="shared" si="5"/>
        <v>1.3564040269903423</v>
      </c>
      <c r="M51" s="9">
        <f t="shared" si="6"/>
        <v>7.1926757733637459</v>
      </c>
      <c r="N51" s="29">
        <f t="shared" si="7"/>
        <v>55.358311661318261</v>
      </c>
      <c r="O51" s="26">
        <f>1/(1+'Combined WACOC-Tax Table'!$F$13)^A51</f>
        <v>0.24139373875414805</v>
      </c>
      <c r="P51" s="18">
        <f t="shared" si="2"/>
        <v>13.363149823042967</v>
      </c>
      <c r="Q51" s="9">
        <f t="shared" si="8"/>
        <v>1087.6154317898834</v>
      </c>
      <c r="R51" s="6">
        <f t="shared" si="9"/>
        <v>5.5358311661318264E-2</v>
      </c>
      <c r="S51" s="17"/>
    </row>
    <row r="52" spans="1:19" x14ac:dyDescent="0.2">
      <c r="A52">
        <v>24</v>
      </c>
      <c r="C52" s="9">
        <f t="shared" si="10"/>
        <v>25</v>
      </c>
      <c r="D52" s="9">
        <f t="shared" si="11"/>
        <v>400</v>
      </c>
      <c r="E52" s="9">
        <f>HLOOKUP($E$10,'Combined WACOC-Tax Table'!$B$17:$E$58,A52+1)*$B$28</f>
        <v>0</v>
      </c>
      <c r="F52" s="9">
        <f t="shared" si="12"/>
        <v>-1.2434497875801753E-13</v>
      </c>
      <c r="G52" s="9">
        <f t="shared" si="3"/>
        <v>-6.2067492500000006</v>
      </c>
      <c r="H52" s="9">
        <f t="shared" si="13"/>
        <v>99.307987999999966</v>
      </c>
      <c r="I52" s="9">
        <f t="shared" si="4"/>
        <v>300.69201200000003</v>
      </c>
      <c r="J52" s="9">
        <f>'Combined WACOC-Tax Table'!$D$10*I52</f>
        <v>2.8913363772292849E-2</v>
      </c>
      <c r="K52" s="9">
        <f>I52*('Combined WACOC-Tax Table'!$D$11+'Combined WACOC-Tax Table'!$D$12)</f>
        <v>20.497422505370459</v>
      </c>
      <c r="L52" s="9">
        <f t="shared" si="5"/>
        <v>1.27661555481444</v>
      </c>
      <c r="M52" s="9">
        <f t="shared" si="6"/>
        <v>6.7695771984599959</v>
      </c>
      <c r="N52" s="29">
        <f t="shared" si="7"/>
        <v>53.572528622417195</v>
      </c>
      <c r="O52" s="26">
        <f>1/(1+'Combined WACOC-Tax Table'!$F$13)^A52</f>
        <v>0.22692795596404922</v>
      </c>
      <c r="P52" s="18">
        <f t="shared" si="2"/>
        <v>12.157104416110656</v>
      </c>
      <c r="Q52" s="9">
        <f t="shared" si="8"/>
        <v>1099.7725362059941</v>
      </c>
      <c r="R52" s="6">
        <f t="shared" si="9"/>
        <v>5.3572528622417195E-2</v>
      </c>
      <c r="S52" s="17"/>
    </row>
    <row r="53" spans="1:19" x14ac:dyDescent="0.2">
      <c r="A53">
        <v>25</v>
      </c>
      <c r="C53" s="9">
        <f t="shared" si="10"/>
        <v>25</v>
      </c>
      <c r="D53" s="9">
        <f t="shared" si="11"/>
        <v>375</v>
      </c>
      <c r="E53" s="9">
        <f>HLOOKUP($E$10,'Combined WACOC-Tax Table'!$B$17:$E$58,A53+1)*$B$28</f>
        <v>0</v>
      </c>
      <c r="F53" s="9">
        <f t="shared" si="12"/>
        <v>-1.2434497875801753E-13</v>
      </c>
      <c r="G53" s="9">
        <f t="shared" si="3"/>
        <v>-6.2067492500000006</v>
      </c>
      <c r="H53" s="9">
        <f t="shared" si="13"/>
        <v>93.101238749999965</v>
      </c>
      <c r="I53" s="9">
        <f t="shared" si="4"/>
        <v>281.89876125000001</v>
      </c>
      <c r="J53" s="9">
        <f>'Combined WACOC-Tax Table'!$D$10*I53</f>
        <v>2.7106278536524541E-2</v>
      </c>
      <c r="K53" s="9">
        <f>I53*('Combined WACOC-Tax Table'!$D$11+'Combined WACOC-Tax Table'!$D$12)</f>
        <v>19.216333598784804</v>
      </c>
      <c r="L53" s="9">
        <f t="shared" si="5"/>
        <v>1.1968270826385374</v>
      </c>
      <c r="M53" s="9">
        <f t="shared" si="6"/>
        <v>6.3464786235562451</v>
      </c>
      <c r="N53" s="29">
        <f t="shared" si="7"/>
        <v>51.786745583516108</v>
      </c>
      <c r="O53" s="26">
        <f>1/(1+'Combined WACOC-Tax Table'!$F$13)^A53</f>
        <v>0.21332905096792437</v>
      </c>
      <c r="P53" s="18">
        <f t="shared" si="2"/>
        <v>11.047617288048841</v>
      </c>
      <c r="Q53" s="9">
        <f t="shared" si="8"/>
        <v>1110.8201534940429</v>
      </c>
      <c r="R53" s="6">
        <f t="shared" si="9"/>
        <v>5.1786745583516106E-2</v>
      </c>
      <c r="S53" s="17"/>
    </row>
    <row r="54" spans="1:19" x14ac:dyDescent="0.2">
      <c r="A54">
        <v>26</v>
      </c>
      <c r="C54" s="9">
        <f t="shared" si="10"/>
        <v>25</v>
      </c>
      <c r="D54" s="9">
        <f t="shared" si="11"/>
        <v>350</v>
      </c>
      <c r="E54" s="9">
        <f>HLOOKUP($E$10,'Combined WACOC-Tax Table'!$B$17:$E$58,A54+1)*$B$28</f>
        <v>0</v>
      </c>
      <c r="F54" s="9">
        <f t="shared" si="12"/>
        <v>-1.2434497875801753E-13</v>
      </c>
      <c r="G54" s="9">
        <f t="shared" si="3"/>
        <v>-6.2067492500000006</v>
      </c>
      <c r="H54" s="9">
        <f t="shared" si="13"/>
        <v>86.894489499999963</v>
      </c>
      <c r="I54" s="9">
        <f t="shared" si="4"/>
        <v>263.10551050000004</v>
      </c>
      <c r="J54" s="9">
        <f>'Combined WACOC-Tax Table'!$D$10*I54</f>
        <v>2.529919330075624E-2</v>
      </c>
      <c r="K54" s="9">
        <f>I54*('Combined WACOC-Tax Table'!$D$11+'Combined WACOC-Tax Table'!$D$12)</f>
        <v>17.935244692199152</v>
      </c>
      <c r="L54" s="9">
        <f t="shared" si="5"/>
        <v>1.1170386104626349</v>
      </c>
      <c r="M54" s="9">
        <f t="shared" si="6"/>
        <v>5.923380048652497</v>
      </c>
      <c r="N54" s="29">
        <f t="shared" si="7"/>
        <v>50.000962544615042</v>
      </c>
      <c r="O54" s="26">
        <f>1/(1+'Combined WACOC-Tax Table'!$F$13)^A54</f>
        <v>0.20054507516951778</v>
      </c>
      <c r="P54" s="18">
        <f t="shared" si="2"/>
        <v>10.027446792058067</v>
      </c>
      <c r="Q54" s="9">
        <f t="shared" si="8"/>
        <v>1120.8476002861009</v>
      </c>
      <c r="R54" s="6">
        <f t="shared" si="9"/>
        <v>5.0000962544615044E-2</v>
      </c>
      <c r="S54" s="17"/>
    </row>
    <row r="55" spans="1:19" x14ac:dyDescent="0.2">
      <c r="A55">
        <v>27</v>
      </c>
      <c r="C55" s="9">
        <f t="shared" si="10"/>
        <v>25</v>
      </c>
      <c r="D55" s="9">
        <f t="shared" si="11"/>
        <v>325</v>
      </c>
      <c r="E55" s="9">
        <f>HLOOKUP($E$10,'Combined WACOC-Tax Table'!$B$17:$E$58,A55+1)*$B$28</f>
        <v>0</v>
      </c>
      <c r="F55" s="9">
        <f t="shared" si="12"/>
        <v>-1.2434497875801753E-13</v>
      </c>
      <c r="G55" s="9">
        <f t="shared" si="3"/>
        <v>-6.2067492500000006</v>
      </c>
      <c r="H55" s="9">
        <f t="shared" si="13"/>
        <v>80.687740249999962</v>
      </c>
      <c r="I55" s="9">
        <f t="shared" si="4"/>
        <v>244.31225975000004</v>
      </c>
      <c r="J55" s="9">
        <f>'Combined WACOC-Tax Table'!$D$10*I55</f>
        <v>2.349210806498794E-2</v>
      </c>
      <c r="K55" s="9">
        <f>I55*('Combined WACOC-Tax Table'!$D$11+'Combined WACOC-Tax Table'!$D$12)</f>
        <v>16.654155785613497</v>
      </c>
      <c r="L55" s="9">
        <f t="shared" si="5"/>
        <v>1.0372501382867325</v>
      </c>
      <c r="M55" s="9">
        <f t="shared" si="6"/>
        <v>5.5002814737487462</v>
      </c>
      <c r="N55" s="29">
        <f t="shared" si="7"/>
        <v>48.215179505713962</v>
      </c>
      <c r="O55" s="26">
        <f>1/(1+'Combined WACOC-Tax Table'!$F$13)^A55</f>
        <v>0.18852719304880175</v>
      </c>
      <c r="P55" s="18">
        <f t="shared" si="2"/>
        <v>9.0898724545563656</v>
      </c>
      <c r="Q55" s="9">
        <f t="shared" si="8"/>
        <v>1129.9374727406573</v>
      </c>
      <c r="R55" s="6">
        <f t="shared" si="9"/>
        <v>4.8215179505713961E-2</v>
      </c>
      <c r="S55" s="17"/>
    </row>
    <row r="56" spans="1:19" x14ac:dyDescent="0.2">
      <c r="A56">
        <v>28</v>
      </c>
      <c r="C56" s="9">
        <f t="shared" si="10"/>
        <v>25</v>
      </c>
      <c r="D56" s="9">
        <f t="shared" si="11"/>
        <v>300</v>
      </c>
      <c r="E56" s="9">
        <f>HLOOKUP($E$10,'Combined WACOC-Tax Table'!$B$17:$E$58,A56+1)*$B$28</f>
        <v>0</v>
      </c>
      <c r="F56" s="9">
        <f t="shared" si="12"/>
        <v>-1.2434497875801753E-13</v>
      </c>
      <c r="G56" s="9">
        <f t="shared" si="3"/>
        <v>-6.2067492500000006</v>
      </c>
      <c r="H56" s="9">
        <f t="shared" si="13"/>
        <v>74.48099099999996</v>
      </c>
      <c r="I56" s="9">
        <f t="shared" si="4"/>
        <v>225.51900900000004</v>
      </c>
      <c r="J56" s="9">
        <f>'Combined WACOC-Tax Table'!$D$10*I56</f>
        <v>2.1685022829219636E-2</v>
      </c>
      <c r="K56" s="9">
        <f>I56*('Combined WACOC-Tax Table'!$D$11+'Combined WACOC-Tax Table'!$D$12)</f>
        <v>15.373066879027846</v>
      </c>
      <c r="L56" s="9">
        <f t="shared" si="5"/>
        <v>0.95746166611082995</v>
      </c>
      <c r="M56" s="9">
        <f t="shared" si="6"/>
        <v>5.0771828988449972</v>
      </c>
      <c r="N56" s="29">
        <f t="shared" si="7"/>
        <v>46.429396466812889</v>
      </c>
      <c r="O56" s="26">
        <f>1/(1+'Combined WACOC-Tax Table'!$F$13)^A56</f>
        <v>0.17722949560749174</v>
      </c>
      <c r="P56" s="18">
        <f t="shared" si="2"/>
        <v>8.2286585171735069</v>
      </c>
      <c r="Q56" s="9">
        <f t="shared" si="8"/>
        <v>1138.1661312578308</v>
      </c>
      <c r="R56" s="6">
        <f t="shared" si="9"/>
        <v>4.6429396466812892E-2</v>
      </c>
      <c r="S56" s="17"/>
    </row>
    <row r="57" spans="1:19" x14ac:dyDescent="0.2">
      <c r="A57">
        <v>29</v>
      </c>
      <c r="C57" s="9">
        <f t="shared" si="10"/>
        <v>25</v>
      </c>
      <c r="D57" s="9">
        <f t="shared" si="11"/>
        <v>275</v>
      </c>
      <c r="E57" s="9">
        <f>HLOOKUP($E$10,'Combined WACOC-Tax Table'!$B$17:$E$58,A57+1)*$B$28</f>
        <v>0</v>
      </c>
      <c r="F57" s="9">
        <f t="shared" si="12"/>
        <v>-1.2434497875801753E-13</v>
      </c>
      <c r="G57" s="9">
        <f t="shared" si="3"/>
        <v>-6.2067492500000006</v>
      </c>
      <c r="H57" s="9">
        <f t="shared" si="13"/>
        <v>68.274241749999959</v>
      </c>
      <c r="I57" s="9">
        <f t="shared" si="4"/>
        <v>206.72575825000004</v>
      </c>
      <c r="J57" s="9">
        <f>'Combined WACOC-Tax Table'!$D$10*I57</f>
        <v>1.9877937593451335E-2</v>
      </c>
      <c r="K57" s="9">
        <f>I57*('Combined WACOC-Tax Table'!$D$11+'Combined WACOC-Tax Table'!$D$12)</f>
        <v>14.091977972442193</v>
      </c>
      <c r="L57" s="9">
        <f t="shared" si="5"/>
        <v>0.87767319393492749</v>
      </c>
      <c r="M57" s="9">
        <f t="shared" si="6"/>
        <v>4.6540843239412482</v>
      </c>
      <c r="N57" s="29">
        <f t="shared" si="7"/>
        <v>44.643613427911816</v>
      </c>
      <c r="O57" s="26">
        <f>1/(1+'Combined WACOC-Tax Table'!$F$13)^A57</f>
        <v>0.16660882499404284</v>
      </c>
      <c r="P57" s="18">
        <f t="shared" si="2"/>
        <v>7.4380199767126607</v>
      </c>
      <c r="Q57" s="9">
        <f t="shared" si="8"/>
        <v>1145.6041512345435</v>
      </c>
      <c r="R57" s="6">
        <f t="shared" si="9"/>
        <v>4.4643613427911816E-2</v>
      </c>
      <c r="S57" s="17"/>
    </row>
    <row r="58" spans="1:19" x14ac:dyDescent="0.2">
      <c r="A58">
        <v>30</v>
      </c>
      <c r="C58" s="9">
        <f t="shared" si="10"/>
        <v>25</v>
      </c>
      <c r="D58" s="9">
        <f t="shared" si="11"/>
        <v>250</v>
      </c>
      <c r="E58" s="9">
        <f>HLOOKUP($E$10,'Combined WACOC-Tax Table'!$B$17:$E$58,A58+1)*$B$28</f>
        <v>0</v>
      </c>
      <c r="F58" s="9">
        <f t="shared" si="12"/>
        <v>-1.2434497875801753E-13</v>
      </c>
      <c r="G58" s="9">
        <f t="shared" si="3"/>
        <v>-6.2067492500000006</v>
      </c>
      <c r="H58" s="9">
        <f t="shared" si="13"/>
        <v>62.067492499999958</v>
      </c>
      <c r="I58" s="9">
        <f t="shared" si="4"/>
        <v>187.93250750000004</v>
      </c>
      <c r="J58" s="9">
        <f>'Combined WACOC-Tax Table'!$D$10*I58</f>
        <v>1.8070852357683031E-2</v>
      </c>
      <c r="K58" s="9">
        <f>I58*('Combined WACOC-Tax Table'!$D$11+'Combined WACOC-Tax Table'!$D$12)</f>
        <v>12.810889065856539</v>
      </c>
      <c r="L58" s="9">
        <f t="shared" si="5"/>
        <v>0.79788472175902492</v>
      </c>
      <c r="M58" s="9">
        <f t="shared" si="6"/>
        <v>4.2309857490374982</v>
      </c>
      <c r="N58" s="29">
        <f t="shared" si="7"/>
        <v>42.857830389010751</v>
      </c>
      <c r="O58" s="26">
        <f>1/(1+'Combined WACOC-Tax Table'!$F$13)^A58</f>
        <v>0.15662460963818373</v>
      </c>
      <c r="P58" s="18">
        <f t="shared" si="2"/>
        <v>6.7125909546182969</v>
      </c>
      <c r="Q58" s="9">
        <f t="shared" si="8"/>
        <v>1152.3167421891617</v>
      </c>
      <c r="R58" s="6">
        <f t="shared" si="9"/>
        <v>4.2857830389010754E-2</v>
      </c>
      <c r="S58" s="17"/>
    </row>
    <row r="59" spans="1:19" x14ac:dyDescent="0.2">
      <c r="A59">
        <v>31</v>
      </c>
      <c r="C59" s="9">
        <f t="shared" si="10"/>
        <v>25</v>
      </c>
      <c r="D59" s="9">
        <f t="shared" si="11"/>
        <v>225</v>
      </c>
      <c r="E59" s="9">
        <f>HLOOKUP($E$10,'Combined WACOC-Tax Table'!$B$17:$E$58,A59+1)*$B$28</f>
        <v>0</v>
      </c>
      <c r="F59" s="9">
        <f t="shared" si="12"/>
        <v>-1.2434497875801753E-13</v>
      </c>
      <c r="G59" s="9">
        <f t="shared" si="3"/>
        <v>-6.2067492500000006</v>
      </c>
      <c r="H59" s="9">
        <f t="shared" si="13"/>
        <v>55.860743249999956</v>
      </c>
      <c r="I59" s="9">
        <f t="shared" ref="I59:I68" si="14">D59</f>
        <v>225</v>
      </c>
      <c r="J59" s="9">
        <f>'Combined WACOC-Tax Table'!$D$10*I59</f>
        <v>2.1635116960692292E-2</v>
      </c>
      <c r="K59" s="9">
        <f>I59*('Combined WACOC-Tax Table'!$D$11+'Combined WACOC-Tax Table'!$D$12)</f>
        <v>15.337687333404629</v>
      </c>
      <c r="L59" s="9">
        <f t="shared" si="5"/>
        <v>0.71809624958312246</v>
      </c>
      <c r="M59" s="9">
        <f t="shared" si="6"/>
        <v>5.0654982801920889</v>
      </c>
      <c r="N59" s="29">
        <f t="shared" si="7"/>
        <v>46.142916980140527</v>
      </c>
      <c r="O59" s="26">
        <f>1/(1+'Combined WACOC-Tax Table'!$F$13)^A59</f>
        <v>0.14723870926519386</v>
      </c>
      <c r="P59" s="18">
        <f t="shared" si="2"/>
        <v>6.7940235378868881</v>
      </c>
      <c r="Q59" s="9">
        <f t="shared" si="8"/>
        <v>1159.1107657270486</v>
      </c>
      <c r="R59" s="6">
        <f t="shared" si="9"/>
        <v>4.6142916980140523E-2</v>
      </c>
      <c r="S59" s="17"/>
    </row>
    <row r="60" spans="1:19" x14ac:dyDescent="0.2">
      <c r="A60">
        <v>32</v>
      </c>
      <c r="C60" s="9">
        <f t="shared" si="10"/>
        <v>25</v>
      </c>
      <c r="D60" s="9">
        <f t="shared" si="11"/>
        <v>200</v>
      </c>
      <c r="E60" s="9">
        <f>HLOOKUP($E$10,'Combined WACOC-Tax Table'!$B$17:$E$58,A60+1)*$B$28</f>
        <v>0</v>
      </c>
      <c r="F60" s="9">
        <f t="shared" si="12"/>
        <v>-1.2434497875801753E-13</v>
      </c>
      <c r="G60" s="9">
        <f t="shared" si="3"/>
        <v>-6.2067492500000006</v>
      </c>
      <c r="H60" s="9">
        <f t="shared" si="13"/>
        <v>49.653993999999955</v>
      </c>
      <c r="I60" s="9">
        <f t="shared" si="14"/>
        <v>200</v>
      </c>
      <c r="J60" s="9">
        <f>'Combined WACOC-Tax Table'!$D$10*I60</f>
        <v>1.9231215076170927E-2</v>
      </c>
      <c r="K60" s="9">
        <f>I60*('Combined WACOC-Tax Table'!$D$11+'Combined WACOC-Tax Table'!$D$12)</f>
        <v>13.633499851915227</v>
      </c>
      <c r="L60" s="9">
        <f t="shared" si="5"/>
        <v>0.63830777740722</v>
      </c>
      <c r="M60" s="9">
        <f t="shared" si="6"/>
        <v>4.5026651379485232</v>
      </c>
      <c r="N60" s="29">
        <f t="shared" si="7"/>
        <v>43.793703982347147</v>
      </c>
      <c r="O60" s="26">
        <f>1/(1+'Combined WACOC-Tax Table'!$F$13)^A60</f>
        <v>0.13841526919786856</v>
      </c>
      <c r="P60" s="18">
        <f t="shared" si="2"/>
        <v>6.061717325888349</v>
      </c>
      <c r="Q60" s="9">
        <f t="shared" si="8"/>
        <v>1165.172483052937</v>
      </c>
      <c r="R60" s="6">
        <f t="shared" si="9"/>
        <v>4.3793703982347144E-2</v>
      </c>
      <c r="S60" s="17"/>
    </row>
    <row r="61" spans="1:19" x14ac:dyDescent="0.2">
      <c r="A61">
        <v>33</v>
      </c>
      <c r="C61" s="9">
        <f t="shared" si="10"/>
        <v>25</v>
      </c>
      <c r="D61" s="9">
        <f t="shared" si="11"/>
        <v>175</v>
      </c>
      <c r="E61" s="9">
        <f>HLOOKUP($E$10,'Combined WACOC-Tax Table'!$B$17:$E$58,A61+1)*$B$28</f>
        <v>0</v>
      </c>
      <c r="F61" s="9">
        <f t="shared" si="12"/>
        <v>-1.2434497875801753E-13</v>
      </c>
      <c r="G61" s="9">
        <f t="shared" si="3"/>
        <v>-6.2067492500000006</v>
      </c>
      <c r="H61" s="9">
        <f t="shared" si="13"/>
        <v>43.447244749999953</v>
      </c>
      <c r="I61" s="9">
        <f t="shared" si="14"/>
        <v>175</v>
      </c>
      <c r="J61" s="9">
        <f>'Combined WACOC-Tax Table'!$D$10*I61</f>
        <v>1.6827313191649561E-2</v>
      </c>
      <c r="K61" s="9">
        <f>I61*('Combined WACOC-Tax Table'!$D$11+'Combined WACOC-Tax Table'!$D$12)</f>
        <v>11.929312370425823</v>
      </c>
      <c r="L61" s="9">
        <f t="shared" si="5"/>
        <v>0.55851930523131743</v>
      </c>
      <c r="M61" s="9">
        <f t="shared" si="6"/>
        <v>3.9398319957049579</v>
      </c>
      <c r="N61" s="29">
        <f t="shared" si="7"/>
        <v>41.444490984553745</v>
      </c>
      <c r="O61" s="26">
        <f>1/(1+'Combined WACOC-Tax Table'!$F$13)^A61</f>
        <v>0.13012058338959792</v>
      </c>
      <c r="P61" s="18">
        <f t="shared" si="2"/>
        <v>5.3927813451950648</v>
      </c>
      <c r="Q61" s="9">
        <f t="shared" si="8"/>
        <v>1170.5652643981321</v>
      </c>
      <c r="R61" s="6">
        <f t="shared" si="9"/>
        <v>4.1444490984553745E-2</v>
      </c>
      <c r="S61" s="17"/>
    </row>
    <row r="62" spans="1:19" x14ac:dyDescent="0.2">
      <c r="A62">
        <v>34</v>
      </c>
      <c r="C62" s="9">
        <f t="shared" si="10"/>
        <v>25</v>
      </c>
      <c r="D62" s="9">
        <f t="shared" si="11"/>
        <v>150</v>
      </c>
      <c r="E62" s="9">
        <f>HLOOKUP($E$10,'Combined WACOC-Tax Table'!$B$17:$E$58,A62+1)*$B$28</f>
        <v>0</v>
      </c>
      <c r="F62" s="9">
        <f t="shared" si="12"/>
        <v>-1.2434497875801753E-13</v>
      </c>
      <c r="G62" s="9">
        <f t="shared" si="3"/>
        <v>-6.2067492500000006</v>
      </c>
      <c r="H62" s="9">
        <f t="shared" si="13"/>
        <v>37.240495499999952</v>
      </c>
      <c r="I62" s="9">
        <f t="shared" si="14"/>
        <v>150</v>
      </c>
      <c r="J62" s="9">
        <f>'Combined WACOC-Tax Table'!$D$10*I62</f>
        <v>1.4423411307128193E-2</v>
      </c>
      <c r="K62" s="9">
        <f>I62*('Combined WACOC-Tax Table'!$D$11+'Combined WACOC-Tax Table'!$D$12)</f>
        <v>10.225124888936419</v>
      </c>
      <c r="L62" s="9">
        <f t="shared" si="5"/>
        <v>0.47873083305541497</v>
      </c>
      <c r="M62" s="9">
        <f t="shared" si="6"/>
        <v>3.3769988534613922</v>
      </c>
      <c r="N62" s="29">
        <f t="shared" si="7"/>
        <v>39.095277986760358</v>
      </c>
      <c r="O62" s="26">
        <f>1/(1+'Combined WACOC-Tax Table'!$F$13)^A62</f>
        <v>0.12232296566533742</v>
      </c>
      <c r="P62" s="18">
        <f t="shared" si="2"/>
        <v>4.7822503468513089</v>
      </c>
      <c r="Q62" s="9">
        <f t="shared" si="8"/>
        <v>1175.3475147449833</v>
      </c>
      <c r="R62" s="6">
        <f t="shared" si="9"/>
        <v>3.9095277986760359E-2</v>
      </c>
      <c r="S62" s="17"/>
    </row>
    <row r="63" spans="1:19" x14ac:dyDescent="0.2">
      <c r="A63">
        <v>35</v>
      </c>
      <c r="C63" s="9">
        <f t="shared" si="10"/>
        <v>25</v>
      </c>
      <c r="D63" s="9">
        <f t="shared" si="11"/>
        <v>125</v>
      </c>
      <c r="E63" s="9">
        <f>HLOOKUP($E$10,'Combined WACOC-Tax Table'!$B$17:$E$58,A63+1)*$B$28</f>
        <v>0</v>
      </c>
      <c r="F63" s="9">
        <f t="shared" si="12"/>
        <v>-1.2434497875801753E-13</v>
      </c>
      <c r="G63" s="9">
        <f t="shared" si="3"/>
        <v>-6.2067492500000006</v>
      </c>
      <c r="H63" s="9">
        <f t="shared" si="13"/>
        <v>31.03374624999995</v>
      </c>
      <c r="I63" s="9">
        <f t="shared" si="14"/>
        <v>125</v>
      </c>
      <c r="J63" s="9">
        <f>'Combined WACOC-Tax Table'!$D$10*I63</f>
        <v>1.2019509422606829E-2</v>
      </c>
      <c r="K63" s="9">
        <f>I63*('Combined WACOC-Tax Table'!$D$11+'Combined WACOC-Tax Table'!$D$12)</f>
        <v>8.5209374074470166</v>
      </c>
      <c r="L63" s="9">
        <f t="shared" si="5"/>
        <v>0.39894236087951246</v>
      </c>
      <c r="M63" s="9">
        <f t="shared" si="6"/>
        <v>2.8141657112178273</v>
      </c>
      <c r="N63" s="29">
        <f t="shared" si="7"/>
        <v>36.746064988966957</v>
      </c>
      <c r="O63" s="26">
        <f>1/(1+'Combined WACOC-Tax Table'!$F$13)^A63</f>
        <v>0.11499262867860363</v>
      </c>
      <c r="P63" s="18">
        <f t="shared" si="2"/>
        <v>4.2255266066761141</v>
      </c>
      <c r="Q63" s="9">
        <f t="shared" si="8"/>
        <v>1179.5730413516594</v>
      </c>
      <c r="R63" s="6">
        <f t="shared" si="9"/>
        <v>3.6746064988966959E-2</v>
      </c>
      <c r="S63" s="17"/>
    </row>
    <row r="64" spans="1:19" x14ac:dyDescent="0.2">
      <c r="A64">
        <v>36</v>
      </c>
      <c r="C64" s="9">
        <f t="shared" si="10"/>
        <v>25</v>
      </c>
      <c r="D64" s="9">
        <f t="shared" si="11"/>
        <v>100</v>
      </c>
      <c r="E64" s="9">
        <f>HLOOKUP($E$10,'Combined WACOC-Tax Table'!$B$17:$E$58,A64+1)*$B$28</f>
        <v>0</v>
      </c>
      <c r="F64" s="9">
        <f t="shared" si="12"/>
        <v>-1.2434497875801753E-13</v>
      </c>
      <c r="G64" s="9">
        <f t="shared" si="3"/>
        <v>-6.2067492500000006</v>
      </c>
      <c r="H64" s="9">
        <f t="shared" si="13"/>
        <v>24.826996999999949</v>
      </c>
      <c r="I64" s="9">
        <f t="shared" si="14"/>
        <v>100</v>
      </c>
      <c r="J64" s="9">
        <f>'Combined WACOC-Tax Table'!$D$10*I64</f>
        <v>9.6156075380854633E-3</v>
      </c>
      <c r="K64" s="9">
        <f>I64*('Combined WACOC-Tax Table'!$D$11+'Combined WACOC-Tax Table'!$D$12)</f>
        <v>6.8167499259576134</v>
      </c>
      <c r="L64" s="9">
        <f t="shared" si="5"/>
        <v>0.31915388870361</v>
      </c>
      <c r="M64" s="9">
        <f t="shared" si="6"/>
        <v>2.2513325689742616</v>
      </c>
      <c r="N64" s="29">
        <f t="shared" si="7"/>
        <v>34.39685199117357</v>
      </c>
      <c r="O64" s="26">
        <f>1/(1+'Combined WACOC-Tax Table'!$F$13)^A64</f>
        <v>0.10810157012210417</v>
      </c>
      <c r="P64" s="18">
        <f t="shared" si="2"/>
        <v>3.7183537075034878</v>
      </c>
      <c r="Q64" s="9">
        <f t="shared" si="8"/>
        <v>1183.2913950591628</v>
      </c>
      <c r="R64" s="6">
        <f t="shared" si="9"/>
        <v>3.4396851991173573E-2</v>
      </c>
      <c r="S64" s="3"/>
    </row>
    <row r="65" spans="1:19" x14ac:dyDescent="0.2">
      <c r="A65">
        <v>37</v>
      </c>
      <c r="C65" s="9">
        <f t="shared" si="10"/>
        <v>25</v>
      </c>
      <c r="D65" s="9">
        <f t="shared" si="11"/>
        <v>75</v>
      </c>
      <c r="E65" s="9">
        <f>HLOOKUP($E$10,'Combined WACOC-Tax Table'!$B$17:$E$58,A65+1)*$B$28</f>
        <v>0</v>
      </c>
      <c r="F65" s="9">
        <f t="shared" si="12"/>
        <v>-1.2434497875801753E-13</v>
      </c>
      <c r="G65" s="9">
        <f t="shared" si="3"/>
        <v>-6.2067492500000006</v>
      </c>
      <c r="H65" s="9">
        <f t="shared" si="13"/>
        <v>18.620247749999947</v>
      </c>
      <c r="I65" s="9">
        <f t="shared" si="14"/>
        <v>75</v>
      </c>
      <c r="J65" s="9">
        <f>'Combined WACOC-Tax Table'!$D$10*I65</f>
        <v>7.2117056535640966E-3</v>
      </c>
      <c r="K65" s="9">
        <f>I65*('Combined WACOC-Tax Table'!$D$11+'Combined WACOC-Tax Table'!$D$12)</f>
        <v>5.1125624444682094</v>
      </c>
      <c r="L65" s="9">
        <f t="shared" si="5"/>
        <v>0.23936541652770749</v>
      </c>
      <c r="M65" s="9">
        <f t="shared" si="6"/>
        <v>1.6884994267306961</v>
      </c>
      <c r="N65" s="29">
        <f t="shared" si="7"/>
        <v>32.047638993380176</v>
      </c>
      <c r="O65" s="26">
        <f>1/(1+'Combined WACOC-Tax Table'!$F$13)^A65</f>
        <v>0.10162346575731927</v>
      </c>
      <c r="P65" s="18">
        <f t="shared" si="2"/>
        <v>3.2567921438467002</v>
      </c>
      <c r="Q65" s="9">
        <f t="shared" si="8"/>
        <v>1186.5481872030095</v>
      </c>
      <c r="R65" s="6">
        <f t="shared" si="9"/>
        <v>3.2047638993380173E-2</v>
      </c>
      <c r="S65" s="3"/>
    </row>
    <row r="66" spans="1:19" x14ac:dyDescent="0.2">
      <c r="A66">
        <v>38</v>
      </c>
      <c r="C66" s="9">
        <f t="shared" si="10"/>
        <v>25</v>
      </c>
      <c r="D66" s="9">
        <f t="shared" si="11"/>
        <v>50</v>
      </c>
      <c r="E66" s="9">
        <f>HLOOKUP($E$10,'Combined WACOC-Tax Table'!$B$17:$E$58,A66+1)*$B$28</f>
        <v>0</v>
      </c>
      <c r="F66" s="9">
        <f t="shared" si="12"/>
        <v>-1.2434497875801753E-13</v>
      </c>
      <c r="G66" s="9">
        <f t="shared" si="3"/>
        <v>-6.2067492500000006</v>
      </c>
      <c r="H66" s="9">
        <f t="shared" si="13"/>
        <v>12.413498499999946</v>
      </c>
      <c r="I66" s="9">
        <f t="shared" si="14"/>
        <v>50</v>
      </c>
      <c r="J66" s="9">
        <f>'Combined WACOC-Tax Table'!$D$10*I66</f>
        <v>4.8078037690427317E-3</v>
      </c>
      <c r="K66" s="9">
        <f>I66*('Combined WACOC-Tax Table'!$D$11+'Combined WACOC-Tax Table'!$D$12)</f>
        <v>3.4083749629788067</v>
      </c>
      <c r="L66" s="9">
        <f t="shared" si="5"/>
        <v>0.159576944351805</v>
      </c>
      <c r="M66" s="9">
        <f t="shared" si="6"/>
        <v>1.1256662844871308</v>
      </c>
      <c r="N66" s="29">
        <f t="shared" si="7"/>
        <v>29.698425995586788</v>
      </c>
      <c r="O66" s="26">
        <f>1/(1+'Combined WACOC-Tax Table'!$F$13)^A66</f>
        <v>9.5533568854402354E-2</v>
      </c>
      <c r="P66" s="18">
        <f t="shared" si="2"/>
        <v>2.8371966247167633</v>
      </c>
      <c r="Q66" s="9">
        <f t="shared" si="8"/>
        <v>1189.3853838277264</v>
      </c>
      <c r="R66" s="6">
        <f t="shared" si="9"/>
        <v>2.9698425995586787E-2</v>
      </c>
      <c r="S66" s="3"/>
    </row>
    <row r="67" spans="1:19" x14ac:dyDescent="0.2">
      <c r="A67">
        <v>39</v>
      </c>
      <c r="C67" s="9">
        <f t="shared" si="10"/>
        <v>25</v>
      </c>
      <c r="D67" s="9">
        <f t="shared" si="11"/>
        <v>25</v>
      </c>
      <c r="E67" s="9">
        <f>HLOOKUP($E$10,'Combined WACOC-Tax Table'!$B$17:$E$58,A67+1)*$B$28</f>
        <v>0</v>
      </c>
      <c r="F67" s="9">
        <f t="shared" si="12"/>
        <v>-1.2434497875801753E-13</v>
      </c>
      <c r="G67" s="9">
        <f t="shared" si="3"/>
        <v>-6.2067492500000006</v>
      </c>
      <c r="H67" s="9">
        <f t="shared" si="13"/>
        <v>6.2067492499999455</v>
      </c>
      <c r="I67" s="9">
        <f t="shared" si="14"/>
        <v>25</v>
      </c>
      <c r="J67" s="9">
        <f>'Combined WACOC-Tax Table'!$D$10*I67</f>
        <v>2.4039018845213658E-3</v>
      </c>
      <c r="K67" s="9">
        <f>I67*('Combined WACOC-Tax Table'!$D$11+'Combined WACOC-Tax Table'!$D$12)</f>
        <v>1.7041874814894034</v>
      </c>
      <c r="L67" s="9">
        <f t="shared" si="5"/>
        <v>7.97884721759025E-2</v>
      </c>
      <c r="M67" s="9">
        <f t="shared" si="6"/>
        <v>0.5628331422435654</v>
      </c>
      <c r="N67" s="29">
        <f t="shared" si="7"/>
        <v>27.349212997793391</v>
      </c>
      <c r="O67" s="26">
        <f>1/(1+'Combined WACOC-Tax Table'!$F$13)^A67</f>
        <v>8.9808615658254126E-2</v>
      </c>
      <c r="P67" s="18">
        <f t="shared" si="2"/>
        <v>2.4561949586745548</v>
      </c>
      <c r="Q67" s="9">
        <f t="shared" si="8"/>
        <v>1191.841578786401</v>
      </c>
      <c r="R67" s="6">
        <f t="shared" si="9"/>
        <v>2.7349212997793391E-2</v>
      </c>
      <c r="S67" s="3"/>
    </row>
    <row r="68" spans="1:19" x14ac:dyDescent="0.2">
      <c r="A68">
        <v>40</v>
      </c>
      <c r="C68" s="9">
        <f t="shared" si="10"/>
        <v>25</v>
      </c>
      <c r="D68" s="9">
        <f t="shared" si="11"/>
        <v>0</v>
      </c>
      <c r="E68" s="9">
        <f>HLOOKUP($E$10,'Combined WACOC-Tax Table'!$B$17:$E$58,A68+1)*$B$28</f>
        <v>0</v>
      </c>
      <c r="F68" s="9">
        <f t="shared" si="12"/>
        <v>-1.2434497875801753E-13</v>
      </c>
      <c r="G68" s="9">
        <f t="shared" si="3"/>
        <v>-6.2067492500000006</v>
      </c>
      <c r="H68" s="9">
        <f t="shared" si="13"/>
        <v>-5.5067062021407764E-14</v>
      </c>
      <c r="I68" s="9">
        <f t="shared" si="14"/>
        <v>0</v>
      </c>
      <c r="J68" s="9">
        <f>'Combined WACOC-Tax Table'!$D$10*I68</f>
        <v>0</v>
      </c>
      <c r="K68" s="9">
        <f>I68*('Combined WACOC-Tax Table'!$D$11+'Combined WACOC-Tax Table'!$D$12)</f>
        <v>0</v>
      </c>
      <c r="L68" s="9">
        <f t="shared" si="5"/>
        <v>0</v>
      </c>
      <c r="M68" s="9">
        <f t="shared" si="6"/>
        <v>0</v>
      </c>
      <c r="N68" s="29">
        <f t="shared" si="7"/>
        <v>25</v>
      </c>
      <c r="O68" s="26">
        <f>1/(1+'Combined WACOC-Tax Table'!$F$13)^A68</f>
        <v>8.4426736519645149E-2</v>
      </c>
      <c r="P68" s="18">
        <f t="shared" si="2"/>
        <v>2.1106684129911288</v>
      </c>
      <c r="Q68" s="9">
        <f t="shared" si="8"/>
        <v>1193.9522471993921</v>
      </c>
      <c r="R68" s="6">
        <f t="shared" si="9"/>
        <v>2.5000000000000001E-2</v>
      </c>
      <c r="S68" s="3"/>
    </row>
    <row r="70" spans="1:19" x14ac:dyDescent="0.2">
      <c r="I70" s="28" t="s">
        <v>47</v>
      </c>
      <c r="N70" s="15"/>
      <c r="P70" s="15">
        <f>SUM(P29:P69)</f>
        <v>1193.9522471993921</v>
      </c>
      <c r="Q70" s="15"/>
    </row>
    <row r="85" spans="9:16" x14ac:dyDescent="0.2">
      <c r="I85" s="28"/>
      <c r="P85" s="15"/>
    </row>
  </sheetData>
  <pageMargins left="0.7" right="0.7" top="0.75" bottom="0.75" header="0.3" footer="0.3"/>
  <pageSetup scale="74" fitToWidth="2" orientation="portrait" r:id="rId1"/>
  <colBreaks count="1" manualBreakCount="1">
    <brk id="8" max="69" man="1"/>
  </colBreaks>
  <ignoredErrors>
    <ignoredError sqref="E30:E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G54"/>
  <sheetViews>
    <sheetView zoomScale="90" zoomScaleNormal="90" zoomScaleSheetLayoutView="100" workbookViewId="0"/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7" ht="15" x14ac:dyDescent="0.25">
      <c r="A1" s="14" t="s">
        <v>50</v>
      </c>
      <c r="G1" s="73" t="s">
        <v>83</v>
      </c>
    </row>
    <row r="2" spans="1:7" ht="15" x14ac:dyDescent="0.25">
      <c r="A2" s="2" t="s">
        <v>48</v>
      </c>
      <c r="G2" s="73" t="s">
        <v>87</v>
      </c>
    </row>
    <row r="3" spans="1:7" x14ac:dyDescent="0.2">
      <c r="A3" s="2"/>
      <c r="G3" s="24"/>
    </row>
    <row r="4" spans="1:7" x14ac:dyDescent="0.2">
      <c r="F4" s="24"/>
    </row>
    <row r="7" spans="1:7" x14ac:dyDescent="0.2">
      <c r="A7" s="14" t="s">
        <v>12</v>
      </c>
    </row>
    <row r="8" spans="1:7" x14ac:dyDescent="0.2">
      <c r="B8" s="14"/>
      <c r="C8" s="14"/>
      <c r="D8" s="13" t="s">
        <v>11</v>
      </c>
      <c r="F8" s="13" t="s">
        <v>10</v>
      </c>
    </row>
    <row r="9" spans="1:7" x14ac:dyDescent="0.2">
      <c r="B9" s="12" t="s">
        <v>9</v>
      </c>
      <c r="C9" s="12" t="s">
        <v>6</v>
      </c>
      <c r="D9" s="12" t="s">
        <v>8</v>
      </c>
      <c r="E9" s="12" t="s">
        <v>7</v>
      </c>
      <c r="F9" s="11" t="s">
        <v>6</v>
      </c>
    </row>
    <row r="10" spans="1:7" x14ac:dyDescent="0.2">
      <c r="A10" t="s">
        <v>54</v>
      </c>
      <c r="B10" s="6">
        <v>2.4549999999999999E-2</v>
      </c>
      <c r="C10" s="6">
        <v>4.5999999999999999E-3</v>
      </c>
      <c r="D10" s="6">
        <f>C10*B10</f>
        <v>1.1292999999999999E-4</v>
      </c>
      <c r="E10" s="34">
        <v>0.24826997000000001</v>
      </c>
      <c r="F10" s="55">
        <f>D10*(1-E10)</f>
        <v>8.4892872287900005E-5</v>
      </c>
    </row>
    <row r="11" spans="1:7" x14ac:dyDescent="0.2">
      <c r="A11" t="s">
        <v>55</v>
      </c>
      <c r="B11" s="6">
        <v>0.44407000000000002</v>
      </c>
      <c r="C11" s="6">
        <v>4.0399999999999998E-2</v>
      </c>
      <c r="D11" s="6">
        <f>B11*C11</f>
        <v>1.7940428000000001E-2</v>
      </c>
      <c r="E11" s="34">
        <f>E10</f>
        <v>0.24826997000000001</v>
      </c>
      <c r="F11" s="6">
        <f>D11*(1-E11)</f>
        <v>1.3486358478652842E-2</v>
      </c>
    </row>
    <row r="12" spans="1:7" x14ac:dyDescent="0.2">
      <c r="A12" t="s">
        <v>5</v>
      </c>
      <c r="B12" s="8">
        <v>0.53137000000000001</v>
      </c>
      <c r="C12" s="8">
        <v>9.425E-2</v>
      </c>
      <c r="D12" s="8">
        <f>B12*C12</f>
        <v>5.0081622499999999E-2</v>
      </c>
      <c r="E12" s="34"/>
      <c r="F12" s="7">
        <f>D12/(1-E12)</f>
        <v>5.0081622499999999E-2</v>
      </c>
    </row>
    <row r="13" spans="1:7" x14ac:dyDescent="0.2">
      <c r="D13" s="3">
        <f>SUM(D10:D12)</f>
        <v>6.8134980499999998E-2</v>
      </c>
      <c r="F13" s="3">
        <f>SUM(F10:F12)</f>
        <v>6.3652873850940733E-2</v>
      </c>
    </row>
    <row r="15" spans="1:7" x14ac:dyDescent="0.2">
      <c r="B15" s="74" t="s">
        <v>4</v>
      </c>
      <c r="C15" s="74"/>
      <c r="D15" s="74"/>
      <c r="E15" s="74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234</v>
      </c>
      <c r="C18" s="5"/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5"/>
    </row>
    <row r="54" spans="2:7" x14ac:dyDescent="0.2">
      <c r="G54" s="25"/>
    </row>
  </sheetData>
  <dataConsolidate/>
  <mergeCells count="1">
    <mergeCell ref="B15:E15"/>
  </mergeCells>
  <pageMargins left="0.7" right="0.7" top="0.75" bottom="0.75" header="0.3" footer="0.3"/>
  <pageSetup fitToWidth="2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U87"/>
  <sheetViews>
    <sheetView zoomScaleNormal="100" zoomScaleSheetLayoutView="90" workbookViewId="0"/>
  </sheetViews>
  <sheetFormatPr defaultRowHeight="12.75" x14ac:dyDescent="0.2"/>
  <cols>
    <col min="1" max="1" width="9.28515625" bestFit="1" customWidth="1"/>
    <col min="2" max="2" width="14.140625" customWidth="1"/>
    <col min="3" max="3" width="13.5703125" customWidth="1"/>
    <col min="4" max="4" width="14.42578125" bestFit="1" customWidth="1"/>
    <col min="5" max="5" width="16.28515625" customWidth="1"/>
    <col min="6" max="6" width="14.42578125" bestFit="1" customWidth="1"/>
    <col min="7" max="7" width="12.85546875" customWidth="1"/>
    <col min="8" max="8" width="14" customWidth="1"/>
    <col min="9" max="9" width="13.140625" customWidth="1"/>
    <col min="10" max="10" width="12.85546875" customWidth="1"/>
    <col min="11" max="11" width="12.140625" customWidth="1"/>
    <col min="12" max="12" width="13.85546875" bestFit="1" customWidth="1"/>
    <col min="13" max="13" width="14.140625" bestFit="1" customWidth="1"/>
    <col min="14" max="14" width="14.28515625" customWidth="1"/>
    <col min="15" max="15" width="12" customWidth="1"/>
    <col min="16" max="16" width="16.28515625" bestFit="1" customWidth="1"/>
    <col min="17" max="17" width="15" customWidth="1"/>
    <col min="18" max="18" width="9.28515625" bestFit="1" customWidth="1"/>
    <col min="21" max="21" width="10.42578125" bestFit="1" customWidth="1"/>
  </cols>
  <sheetData>
    <row r="1" spans="2:21" ht="15" x14ac:dyDescent="0.25">
      <c r="B1" s="14" t="s">
        <v>49</v>
      </c>
      <c r="H1" s="73" t="s">
        <v>83</v>
      </c>
      <c r="I1" s="14" t="str">
        <f>B1</f>
        <v>Louisville Gas &amp; Electric</v>
      </c>
      <c r="P1" s="73" t="s">
        <v>83</v>
      </c>
      <c r="Q1" s="14" t="str">
        <f>B1</f>
        <v>Louisville Gas &amp; Electric</v>
      </c>
    </row>
    <row r="2" spans="2:21" ht="15" x14ac:dyDescent="0.25">
      <c r="B2" s="37" t="s">
        <v>72</v>
      </c>
      <c r="H2" s="73" t="s">
        <v>88</v>
      </c>
      <c r="I2" s="2" t="str">
        <f>B2</f>
        <v>Carrying Charge Calculation</v>
      </c>
      <c r="P2" s="73" t="s">
        <v>89</v>
      </c>
      <c r="Q2" s="2" t="str">
        <f>B2</f>
        <v>Carrying Charge Calculation</v>
      </c>
    </row>
    <row r="3" spans="2:21" x14ac:dyDescent="0.2">
      <c r="B3" s="2"/>
      <c r="H3" s="24"/>
      <c r="I3" s="2"/>
      <c r="P3" s="24"/>
      <c r="Q3" s="2">
        <f>B3</f>
        <v>0</v>
      </c>
    </row>
    <row r="4" spans="2:21" x14ac:dyDescent="0.2">
      <c r="B4" s="14"/>
      <c r="H4" s="24"/>
      <c r="I4" s="14"/>
      <c r="J4" s="14"/>
      <c r="P4" s="24"/>
    </row>
    <row r="7" spans="2:21" x14ac:dyDescent="0.2">
      <c r="B7" s="14" t="s">
        <v>43</v>
      </c>
      <c r="E7" s="37"/>
      <c r="I7" s="14" t="s">
        <v>43</v>
      </c>
      <c r="Q7" s="14" t="s">
        <v>43</v>
      </c>
    </row>
    <row r="8" spans="2:21" x14ac:dyDescent="0.2">
      <c r="B8" s="21" t="s">
        <v>42</v>
      </c>
      <c r="E8" s="30">
        <v>1000</v>
      </c>
      <c r="I8" s="21" t="s">
        <v>42</v>
      </c>
      <c r="L8" s="10">
        <f t="shared" ref="L8:L13" si="0">E8</f>
        <v>1000</v>
      </c>
      <c r="N8" s="10"/>
      <c r="Q8" s="21" t="s">
        <v>42</v>
      </c>
      <c r="U8" s="10">
        <f t="shared" ref="U8:U13" si="1">E8</f>
        <v>1000</v>
      </c>
    </row>
    <row r="9" spans="2:21" x14ac:dyDescent="0.2">
      <c r="B9" s="21" t="s">
        <v>41</v>
      </c>
      <c r="E9">
        <v>40</v>
      </c>
      <c r="I9" s="21" t="s">
        <v>41</v>
      </c>
      <c r="L9">
        <f t="shared" si="0"/>
        <v>40</v>
      </c>
      <c r="Q9" s="21" t="s">
        <v>41</v>
      </c>
      <c r="U9">
        <f t="shared" si="1"/>
        <v>40</v>
      </c>
    </row>
    <row r="10" spans="2:21" x14ac:dyDescent="0.2">
      <c r="B10" s="21" t="s">
        <v>40</v>
      </c>
      <c r="E10">
        <v>20</v>
      </c>
      <c r="I10" s="21" t="s">
        <v>40</v>
      </c>
      <c r="L10">
        <f t="shared" si="0"/>
        <v>20</v>
      </c>
      <c r="Q10" s="21" t="s">
        <v>40</v>
      </c>
      <c r="U10">
        <f t="shared" si="1"/>
        <v>20</v>
      </c>
    </row>
    <row r="11" spans="2:21" x14ac:dyDescent="0.2">
      <c r="B11" s="21" t="s">
        <v>39</v>
      </c>
      <c r="E11" s="32">
        <f>'LGE WACOC-Tax Table'!E10</f>
        <v>0.24849452</v>
      </c>
      <c r="I11" s="21" t="s">
        <v>39</v>
      </c>
      <c r="L11" s="22">
        <f t="shared" si="0"/>
        <v>0.24849452</v>
      </c>
      <c r="N11" s="22"/>
      <c r="Q11" s="21" t="s">
        <v>39</v>
      </c>
      <c r="U11" s="22">
        <f t="shared" si="1"/>
        <v>0.24849452</v>
      </c>
    </row>
    <row r="12" spans="2:21" x14ac:dyDescent="0.2">
      <c r="B12" s="21" t="s">
        <v>38</v>
      </c>
      <c r="E12" s="33">
        <f>36449135/6224634888</f>
        <v>5.8556261782144866E-3</v>
      </c>
      <c r="I12" s="21" t="s">
        <v>38</v>
      </c>
      <c r="L12" s="6">
        <f t="shared" si="0"/>
        <v>5.8556261782144866E-3</v>
      </c>
      <c r="N12" s="6"/>
      <c r="Q12" s="21" t="s">
        <v>38</v>
      </c>
      <c r="U12" s="6">
        <f t="shared" si="1"/>
        <v>5.8556261782144866E-3</v>
      </c>
    </row>
    <row r="13" spans="2:21" x14ac:dyDescent="0.2">
      <c r="B13" s="21" t="s">
        <v>37</v>
      </c>
      <c r="E13">
        <f>E9</f>
        <v>40</v>
      </c>
      <c r="I13" s="21" t="s">
        <v>37</v>
      </c>
      <c r="L13">
        <f t="shared" si="0"/>
        <v>40</v>
      </c>
      <c r="Q13" s="21" t="s">
        <v>37</v>
      </c>
      <c r="U13">
        <f t="shared" si="1"/>
        <v>40</v>
      </c>
    </row>
    <row r="14" spans="2:21" x14ac:dyDescent="0.2">
      <c r="B14" s="21"/>
      <c r="I14" s="21"/>
      <c r="Q14" s="21"/>
    </row>
    <row r="15" spans="2:21" x14ac:dyDescent="0.2">
      <c r="B15" s="21"/>
      <c r="I15" s="21"/>
      <c r="Q15" s="21"/>
    </row>
    <row r="16" spans="2:21" ht="15" x14ac:dyDescent="0.25">
      <c r="H16" s="73"/>
      <c r="P16" s="73"/>
    </row>
    <row r="17" spans="1:21" ht="15" x14ac:dyDescent="0.25">
      <c r="B17" s="14" t="s">
        <v>36</v>
      </c>
      <c r="E17" s="13" t="s">
        <v>70</v>
      </c>
      <c r="F17" s="13" t="s">
        <v>71</v>
      </c>
      <c r="H17" s="73"/>
      <c r="I17" s="14" t="s">
        <v>36</v>
      </c>
      <c r="P17" s="73"/>
      <c r="Q17" s="14" t="s">
        <v>36</v>
      </c>
    </row>
    <row r="18" spans="1:21" x14ac:dyDescent="0.2">
      <c r="B18" s="21">
        <v>234</v>
      </c>
      <c r="E18" s="57">
        <f>P72</f>
        <v>1219.9525271264479</v>
      </c>
      <c r="F18" s="57">
        <f>E18</f>
        <v>1219.9525271264479</v>
      </c>
      <c r="I18" s="21" t="s">
        <v>35</v>
      </c>
      <c r="L18" s="57">
        <f t="shared" ref="L18:M20" si="2">E18</f>
        <v>1219.9525271264479</v>
      </c>
      <c r="M18" s="57">
        <f t="shared" si="2"/>
        <v>1219.9525271264479</v>
      </c>
      <c r="N18" s="15"/>
      <c r="Q18" s="21" t="s">
        <v>35</v>
      </c>
      <c r="U18" s="15">
        <f>E18</f>
        <v>1219.9525271264479</v>
      </c>
    </row>
    <row r="19" spans="1:21" x14ac:dyDescent="0.2">
      <c r="B19" s="21" t="s">
        <v>34</v>
      </c>
      <c r="E19" s="57">
        <f>PMT('Combined WACOC-Tax Table'!D13,E13,P72)*-1</f>
        <v>89.66842729127039</v>
      </c>
      <c r="F19" s="57">
        <f t="shared" ref="F19:F20" si="3">E19</f>
        <v>89.66842729127039</v>
      </c>
      <c r="I19" s="21" t="s">
        <v>34</v>
      </c>
      <c r="L19" s="57">
        <f t="shared" si="2"/>
        <v>89.66842729127039</v>
      </c>
      <c r="M19" s="57">
        <f t="shared" si="2"/>
        <v>89.66842729127039</v>
      </c>
      <c r="N19" s="17"/>
      <c r="Q19" s="21" t="s">
        <v>34</v>
      </c>
      <c r="U19" s="15">
        <f>E19</f>
        <v>89.66842729127039</v>
      </c>
    </row>
    <row r="20" spans="1:21" x14ac:dyDescent="0.2">
      <c r="B20" s="21" t="s">
        <v>33</v>
      </c>
      <c r="E20" s="6">
        <f>E19/E8</f>
        <v>8.9668427291270392E-2</v>
      </c>
      <c r="F20" s="6">
        <f t="shared" si="3"/>
        <v>8.9668427291270392E-2</v>
      </c>
      <c r="I20" s="21" t="s">
        <v>33</v>
      </c>
      <c r="L20" s="55">
        <f t="shared" si="2"/>
        <v>8.9668427291270392E-2</v>
      </c>
      <c r="M20" s="55">
        <f t="shared" si="2"/>
        <v>8.9668427291270392E-2</v>
      </c>
      <c r="N20" s="6"/>
      <c r="Q20" s="21" t="s">
        <v>33</v>
      </c>
      <c r="U20" s="6">
        <f>E20</f>
        <v>8.9668427291270392E-2</v>
      </c>
    </row>
    <row r="21" spans="1:21" x14ac:dyDescent="0.2">
      <c r="B21" s="58" t="s">
        <v>73</v>
      </c>
      <c r="E21" s="55">
        <f>27773573/566296585</f>
        <v>4.9044217704403072E-2</v>
      </c>
      <c r="F21" s="55">
        <f>21160535/1786682455</f>
        <v>1.184347836448643E-2</v>
      </c>
      <c r="I21" s="58" t="s">
        <v>68</v>
      </c>
      <c r="L21" s="55">
        <f t="shared" ref="L21:L22" si="4">E21</f>
        <v>4.9044217704403072E-2</v>
      </c>
      <c r="M21" s="55">
        <f t="shared" ref="M21:M22" si="5">F21</f>
        <v>1.184347836448643E-2</v>
      </c>
      <c r="N21" s="20"/>
    </row>
    <row r="22" spans="1:21" x14ac:dyDescent="0.2">
      <c r="B22" s="59" t="s">
        <v>69</v>
      </c>
      <c r="C22" s="20"/>
      <c r="E22" s="3">
        <f>E20+E21</f>
        <v>0.13871264499567346</v>
      </c>
      <c r="F22" s="3">
        <f>F20+F21</f>
        <v>0.10151190565575682</v>
      </c>
      <c r="I22" s="59" t="s">
        <v>69</v>
      </c>
      <c r="L22" s="55">
        <f t="shared" si="4"/>
        <v>0.13871264499567346</v>
      </c>
      <c r="M22" s="55">
        <f t="shared" si="5"/>
        <v>0.10151190565575682</v>
      </c>
    </row>
    <row r="23" spans="1:21" x14ac:dyDescent="0.2">
      <c r="C23" s="20"/>
    </row>
    <row r="24" spans="1:2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3"/>
      <c r="P24" s="4"/>
      <c r="Q24" s="13" t="s">
        <v>0</v>
      </c>
      <c r="R24" s="4"/>
    </row>
    <row r="25" spans="1:21" x14ac:dyDescent="0.2">
      <c r="A25" s="4"/>
      <c r="B25" s="4"/>
      <c r="C25" s="4"/>
      <c r="D25" s="4"/>
      <c r="E25" s="4"/>
      <c r="F25" s="4"/>
      <c r="G25" s="4"/>
      <c r="H25" s="4"/>
      <c r="I25" s="13"/>
      <c r="J25" s="4"/>
      <c r="K25" s="4"/>
      <c r="L25" s="4"/>
      <c r="M25" s="13"/>
      <c r="N25" s="13"/>
      <c r="O25" s="13" t="s">
        <v>2</v>
      </c>
      <c r="P25" s="13" t="s">
        <v>2</v>
      </c>
      <c r="Q25" s="13" t="s">
        <v>2</v>
      </c>
      <c r="R25" s="13" t="s">
        <v>3</v>
      </c>
    </row>
    <row r="26" spans="1:21" x14ac:dyDescent="0.2">
      <c r="A26" s="4"/>
      <c r="B26" s="4"/>
      <c r="C26" s="4"/>
      <c r="D26" s="4"/>
      <c r="E26" s="4"/>
      <c r="F26" s="4"/>
      <c r="G26" s="4"/>
      <c r="H26" s="13" t="s">
        <v>32</v>
      </c>
      <c r="I26" s="13"/>
      <c r="J26" s="4"/>
      <c r="K26" s="4"/>
      <c r="L26" s="4"/>
      <c r="M26" s="13"/>
      <c r="N26" s="13" t="s">
        <v>3</v>
      </c>
      <c r="O26" s="13" t="s">
        <v>31</v>
      </c>
      <c r="P26" s="13" t="s">
        <v>31</v>
      </c>
      <c r="Q26" s="13" t="s">
        <v>31</v>
      </c>
      <c r="R26" s="13" t="s">
        <v>30</v>
      </c>
    </row>
    <row r="27" spans="1:21" x14ac:dyDescent="0.2">
      <c r="A27" s="4"/>
      <c r="B27" s="13"/>
      <c r="C27" s="13" t="s">
        <v>29</v>
      </c>
      <c r="D27" s="13" t="s">
        <v>44</v>
      </c>
      <c r="E27" s="13" t="s">
        <v>28</v>
      </c>
      <c r="F27" s="13" t="s">
        <v>27</v>
      </c>
      <c r="G27" s="13" t="s">
        <v>26</v>
      </c>
      <c r="H27" s="13" t="s">
        <v>26</v>
      </c>
      <c r="I27" s="13"/>
      <c r="J27" s="13"/>
      <c r="K27" s="13"/>
      <c r="L27" s="13" t="s">
        <v>45</v>
      </c>
      <c r="M27" s="13" t="s">
        <v>25</v>
      </c>
      <c r="N27" s="13" t="s">
        <v>46</v>
      </c>
      <c r="O27" s="13" t="s">
        <v>17</v>
      </c>
      <c r="P27" s="13" t="s">
        <v>24</v>
      </c>
      <c r="Q27" s="13" t="s">
        <v>24</v>
      </c>
      <c r="R27" s="13" t="s">
        <v>23</v>
      </c>
    </row>
    <row r="28" spans="1:21" x14ac:dyDescent="0.2">
      <c r="A28" s="13" t="s">
        <v>1</v>
      </c>
      <c r="B28" s="13" t="s">
        <v>22</v>
      </c>
      <c r="C28" s="13" t="s">
        <v>21</v>
      </c>
      <c r="D28" s="13" t="s">
        <v>20</v>
      </c>
      <c r="E28" s="13" t="s">
        <v>21</v>
      </c>
      <c r="F28" s="13" t="s">
        <v>20</v>
      </c>
      <c r="G28" s="13" t="s">
        <v>19</v>
      </c>
      <c r="H28" s="13" t="s">
        <v>19</v>
      </c>
      <c r="I28" s="13" t="s">
        <v>18</v>
      </c>
      <c r="J28" s="13" t="s">
        <v>17</v>
      </c>
      <c r="K28" s="13" t="s">
        <v>16</v>
      </c>
      <c r="L28" s="13" t="s">
        <v>15</v>
      </c>
      <c r="M28" s="13" t="s">
        <v>15</v>
      </c>
      <c r="N28" s="13" t="s">
        <v>13</v>
      </c>
      <c r="O28" s="13" t="s">
        <v>14</v>
      </c>
      <c r="P28" s="13" t="s">
        <v>13</v>
      </c>
      <c r="Q28" s="13" t="s">
        <v>13</v>
      </c>
      <c r="R28" s="13" t="s">
        <v>6</v>
      </c>
    </row>
    <row r="30" spans="1:21" x14ac:dyDescent="0.2">
      <c r="A30">
        <v>0</v>
      </c>
      <c r="B30" s="10">
        <f>E8</f>
        <v>1000</v>
      </c>
      <c r="C30" s="19"/>
      <c r="D30" s="19"/>
      <c r="E30" s="19"/>
      <c r="F30" s="19"/>
      <c r="G30" s="19"/>
      <c r="H30" s="19"/>
      <c r="I30" s="15"/>
      <c r="J30" s="1"/>
      <c r="K30" s="10"/>
      <c r="L30" s="15"/>
      <c r="M30" s="9"/>
      <c r="N30" s="10"/>
      <c r="O30" s="26">
        <f>1/(1+'Combined WACOC-Tax Table'!$F$13)^A30</f>
        <v>1</v>
      </c>
      <c r="P30" s="16">
        <f t="shared" ref="P30:P70" si="6">N30*O30</f>
        <v>0</v>
      </c>
      <c r="Q30" s="15">
        <f>P30</f>
        <v>0</v>
      </c>
    </row>
    <row r="31" spans="1:21" x14ac:dyDescent="0.2">
      <c r="A31">
        <v>1</v>
      </c>
      <c r="C31" s="27">
        <f>(1/$E$9)*$B$30</f>
        <v>25</v>
      </c>
      <c r="D31" s="27">
        <f>$B$30-C31</f>
        <v>975</v>
      </c>
      <c r="E31" s="27">
        <f>HLOOKUP($E$10,'Combined WACOC-Tax Table'!$B$17:$E$58,A31+1)*$B$30</f>
        <v>37.5</v>
      </c>
      <c r="F31" s="27">
        <f>B30-E31</f>
        <v>962.5</v>
      </c>
      <c r="G31" s="27">
        <f t="shared" ref="G31:G70" si="7">(E31-C31)*$E$11</f>
        <v>3.1061814999999999</v>
      </c>
      <c r="H31" s="27">
        <f>G31</f>
        <v>3.1061814999999999</v>
      </c>
      <c r="I31" s="27">
        <f>D31-H31</f>
        <v>971.89381849999995</v>
      </c>
      <c r="J31" s="27">
        <f>'Combined WACOC-Tax Table'!$D$10*I31</f>
        <v>9.3453495273872644E-2</v>
      </c>
      <c r="K31" s="27">
        <f>I31*('Combined WACOC-Tax Table'!$D$11+'Combined WACOC-Tax Table'!$D$12)</f>
        <v>66.251571152985363</v>
      </c>
      <c r="L31" s="27">
        <f t="shared" ref="L31:L70" si="8">$E$12*D31</f>
        <v>5.7092355237591246</v>
      </c>
      <c r="M31" s="27">
        <f t="shared" ref="M31:M70" si="9">($E$11/(1-$E$11))*K31</f>
        <v>21.906895972211597</v>
      </c>
      <c r="N31" s="27">
        <f>C31+J31+K31+L31+M31</f>
        <v>118.96115614422996</v>
      </c>
      <c r="O31" s="26">
        <f>1/(1+'Combined WACOC-Tax Table'!$F$13)^A31</f>
        <v>0.9400739105133471</v>
      </c>
      <c r="P31" s="18">
        <f t="shared" si="6"/>
        <v>111.83227925569514</v>
      </c>
      <c r="Q31" s="9">
        <f t="shared" ref="Q31:Q70" si="10">Q30+P31</f>
        <v>111.83227925569514</v>
      </c>
      <c r="R31" s="6">
        <f t="shared" ref="R31:R70" si="11">N31/$B$30</f>
        <v>0.11896115614422996</v>
      </c>
      <c r="S31" s="17"/>
    </row>
    <row r="32" spans="1:21" x14ac:dyDescent="0.2">
      <c r="A32">
        <v>2</v>
      </c>
      <c r="C32" s="9">
        <f t="shared" ref="C32:C70" si="12">IF(D31&lt;=0.001,0,(1/$E$9)*$B$30)</f>
        <v>25</v>
      </c>
      <c r="D32" s="9">
        <f t="shared" ref="D32:D70" si="13">D31-C32</f>
        <v>950</v>
      </c>
      <c r="E32" s="9">
        <f>HLOOKUP($E$10,'Combined WACOC-Tax Table'!$B$17:$E$58,A32+1)*$B$30</f>
        <v>72.19</v>
      </c>
      <c r="F32" s="9">
        <f t="shared" ref="F32:F70" si="14">F31-E32</f>
        <v>890.31</v>
      </c>
      <c r="G32" s="9">
        <f t="shared" si="7"/>
        <v>11.7264563988</v>
      </c>
      <c r="H32" s="9">
        <f t="shared" ref="H32:H70" si="15">H31+G32</f>
        <v>14.8326378988</v>
      </c>
      <c r="I32" s="9">
        <f t="shared" ref="I32:I60" si="16">D32-H32</f>
        <v>935.16736210119996</v>
      </c>
      <c r="J32" s="9">
        <f>'Combined WACOC-Tax Table'!$D$10*I32</f>
        <v>8.9922023363917955E-2</v>
      </c>
      <c r="K32" s="9">
        <f>I32*('Combined WACOC-Tax Table'!$D$11+'Combined WACOC-Tax Table'!$D$12)</f>
        <v>63.748020463613308</v>
      </c>
      <c r="L32" s="9">
        <f t="shared" si="8"/>
        <v>5.5628448693037624</v>
      </c>
      <c r="M32" s="9">
        <f t="shared" si="9"/>
        <v>21.07906617800813</v>
      </c>
      <c r="N32" s="29">
        <f>C32+J32+K32+L32+M32</f>
        <v>115.47985353428912</v>
      </c>
      <c r="O32" s="26">
        <f>1/(1+'Combined WACOC-Tax Table'!$F$13)^A32</f>
        <v>0.88373895722785656</v>
      </c>
      <c r="P32" s="18">
        <f t="shared" si="6"/>
        <v>102.05404534321828</v>
      </c>
      <c r="Q32" s="9">
        <f t="shared" si="10"/>
        <v>213.8863245989134</v>
      </c>
      <c r="R32" s="6">
        <f t="shared" si="11"/>
        <v>0.11547985353428912</v>
      </c>
      <c r="S32" s="17"/>
    </row>
    <row r="33" spans="1:19" x14ac:dyDescent="0.2">
      <c r="A33">
        <v>3</v>
      </c>
      <c r="C33" s="9">
        <f t="shared" si="12"/>
        <v>25</v>
      </c>
      <c r="D33" s="9">
        <f t="shared" si="13"/>
        <v>925</v>
      </c>
      <c r="E33" s="9">
        <f>HLOOKUP($E$10,'Combined WACOC-Tax Table'!$B$17:$E$58,A33+1)*$B$30</f>
        <v>66.77</v>
      </c>
      <c r="F33" s="9">
        <f t="shared" si="14"/>
        <v>823.54</v>
      </c>
      <c r="G33" s="9">
        <f t="shared" si="7"/>
        <v>10.379616100399998</v>
      </c>
      <c r="H33" s="9">
        <f t="shared" si="15"/>
        <v>25.212253999199998</v>
      </c>
      <c r="I33" s="9">
        <f t="shared" si="16"/>
        <v>899.78774600079998</v>
      </c>
      <c r="J33" s="9">
        <f>'Combined WACOC-Tax Table'!$D$10*I33</f>
        <v>8.6520058331222199E-2</v>
      </c>
      <c r="K33" s="9">
        <f>I33*('Combined WACOC-Tax Table'!$D$11+'Combined WACOC-Tax Table'!$D$12)</f>
        <v>61.33628050928521</v>
      </c>
      <c r="L33" s="9">
        <f t="shared" si="8"/>
        <v>5.4164542148484003</v>
      </c>
      <c r="M33" s="9">
        <f t="shared" si="9"/>
        <v>20.281594731338728</v>
      </c>
      <c r="N33" s="29">
        <f t="shared" ref="N33:N70" si="17">C33+J33+K33+L33+M33</f>
        <v>112.12084951380356</v>
      </c>
      <c r="O33" s="26">
        <f>1/(1+'Combined WACOC-Tax Table'!$F$13)^A33</f>
        <v>0.83077993739417866</v>
      </c>
      <c r="P33" s="18">
        <f t="shared" si="6"/>
        <v>93.147752339659846</v>
      </c>
      <c r="Q33" s="9">
        <f t="shared" si="10"/>
        <v>307.03407693857326</v>
      </c>
      <c r="R33" s="6">
        <f t="shared" si="11"/>
        <v>0.11212084951380356</v>
      </c>
      <c r="S33" s="17"/>
    </row>
    <row r="34" spans="1:19" x14ac:dyDescent="0.2">
      <c r="A34">
        <v>4</v>
      </c>
      <c r="C34" s="9">
        <f t="shared" si="12"/>
        <v>25</v>
      </c>
      <c r="D34" s="9">
        <f t="shared" si="13"/>
        <v>900</v>
      </c>
      <c r="E34" s="9">
        <f>HLOOKUP($E$10,'Combined WACOC-Tax Table'!$B$17:$E$58,A34+1)*$B$30</f>
        <v>61.769999999999996</v>
      </c>
      <c r="F34" s="9">
        <f t="shared" si="14"/>
        <v>761.77</v>
      </c>
      <c r="G34" s="9">
        <f t="shared" si="7"/>
        <v>9.1371435003999988</v>
      </c>
      <c r="H34" s="9">
        <f t="shared" si="15"/>
        <v>34.349397499599995</v>
      </c>
      <c r="I34" s="9">
        <f t="shared" si="16"/>
        <v>865.65060250040005</v>
      </c>
      <c r="J34" s="9">
        <f>'Combined WACOC-Tax Table'!$D$10*I34</f>
        <v>8.3237564587510693E-2</v>
      </c>
      <c r="K34" s="9">
        <f>I34*('Combined WACOC-Tax Table'!$D$11+'Combined WACOC-Tax Table'!$D$12)</f>
        <v>59.009236804997656</v>
      </c>
      <c r="L34" s="9">
        <f t="shared" si="8"/>
        <v>5.2700635603930381</v>
      </c>
      <c r="M34" s="9">
        <f t="shared" si="9"/>
        <v>19.512129140328057</v>
      </c>
      <c r="N34" s="29">
        <f t="shared" si="17"/>
        <v>108.87466707030626</v>
      </c>
      <c r="O34" s="26">
        <f>1/(1+'Combined WACOC-Tax Table'!$F$13)^A34</f>
        <v>0.7809945445221792</v>
      </c>
      <c r="P34" s="18">
        <f t="shared" si="6"/>
        <v>85.030521018577744</v>
      </c>
      <c r="Q34" s="9">
        <f t="shared" si="10"/>
        <v>392.06459795715102</v>
      </c>
      <c r="R34" s="6">
        <f t="shared" si="11"/>
        <v>0.10887466707030626</v>
      </c>
      <c r="S34" s="17"/>
    </row>
    <row r="35" spans="1:19" x14ac:dyDescent="0.2">
      <c r="A35">
        <v>5</v>
      </c>
      <c r="C35" s="9">
        <f t="shared" si="12"/>
        <v>25</v>
      </c>
      <c r="D35" s="9">
        <f t="shared" si="13"/>
        <v>875</v>
      </c>
      <c r="E35" s="9">
        <f>HLOOKUP($E$10,'Combined WACOC-Tax Table'!$B$17:$E$58,A35+1)*$B$30</f>
        <v>57.13</v>
      </c>
      <c r="F35" s="9">
        <f t="shared" si="14"/>
        <v>704.64</v>
      </c>
      <c r="G35" s="9">
        <f t="shared" si="7"/>
        <v>7.9841289276000005</v>
      </c>
      <c r="H35" s="9">
        <f t="shared" si="15"/>
        <v>42.333526427199999</v>
      </c>
      <c r="I35" s="9">
        <f t="shared" si="16"/>
        <v>832.66647357279999</v>
      </c>
      <c r="J35" s="9">
        <f>'Combined WACOC-Tax Table'!$D$10*I35</f>
        <v>8.0065940199976551E-2</v>
      </c>
      <c r="K35" s="9">
        <f>I35*('Combined WACOC-Tax Table'!$D$11+'Combined WACOC-Tax Table'!$D$12)</f>
        <v>56.760791220747713</v>
      </c>
      <c r="L35" s="9">
        <f t="shared" si="8"/>
        <v>5.123672905937676</v>
      </c>
      <c r="M35" s="9">
        <f t="shared" si="9"/>
        <v>18.768652983368685</v>
      </c>
      <c r="N35" s="29">
        <f t="shared" si="17"/>
        <v>105.73318305025406</v>
      </c>
      <c r="O35" s="26">
        <f>1/(1+'Combined WACOC-Tax Table'!$F$13)^A35</f>
        <v>0.73419259555855532</v>
      </c>
      <c r="P35" s="18">
        <f t="shared" si="6"/>
        <v>77.628520100333873</v>
      </c>
      <c r="Q35" s="9">
        <f t="shared" si="10"/>
        <v>469.69311805748487</v>
      </c>
      <c r="R35" s="6">
        <f t="shared" si="11"/>
        <v>0.10573318305025406</v>
      </c>
      <c r="S35" s="17"/>
    </row>
    <row r="36" spans="1:19" x14ac:dyDescent="0.2">
      <c r="A36">
        <v>6</v>
      </c>
      <c r="C36" s="9">
        <f t="shared" si="12"/>
        <v>25</v>
      </c>
      <c r="D36" s="9">
        <f t="shared" si="13"/>
        <v>850</v>
      </c>
      <c r="E36" s="9">
        <f>HLOOKUP($E$10,'Combined WACOC-Tax Table'!$B$17:$E$58,A36+1)*$B$30</f>
        <v>52.85</v>
      </c>
      <c r="F36" s="9">
        <f t="shared" si="14"/>
        <v>651.79</v>
      </c>
      <c r="G36" s="9">
        <f t="shared" si="7"/>
        <v>6.9205723820000005</v>
      </c>
      <c r="H36" s="9">
        <f t="shared" si="15"/>
        <v>49.254098809200002</v>
      </c>
      <c r="I36" s="9">
        <f t="shared" si="16"/>
        <v>800.74590119079994</v>
      </c>
      <c r="J36" s="9">
        <f>'Combined WACOC-Tax Table'!$D$10*I36</f>
        <v>7.6996583235812932E-2</v>
      </c>
      <c r="K36" s="9">
        <f>I36*('Combined WACOC-Tax Table'!$D$11+'Combined WACOC-Tax Table'!$D$12)</f>
        <v>54.584845626532477</v>
      </c>
      <c r="L36" s="9">
        <f t="shared" si="8"/>
        <v>4.9772822514823138</v>
      </c>
      <c r="M36" s="9">
        <f t="shared" si="9"/>
        <v>18.049149838853186</v>
      </c>
      <c r="N36" s="29">
        <f t="shared" si="17"/>
        <v>102.68827430010379</v>
      </c>
      <c r="O36" s="26">
        <f>1/(1+'Combined WACOC-Tax Table'!$F$13)^A36</f>
        <v>0.69019530437667531</v>
      </c>
      <c r="P36" s="18">
        <f t="shared" si="6"/>
        <v>70.874964736475661</v>
      </c>
      <c r="Q36" s="9">
        <f t="shared" si="10"/>
        <v>540.56808279396057</v>
      </c>
      <c r="R36" s="6">
        <f t="shared" si="11"/>
        <v>0.10268827430010379</v>
      </c>
      <c r="S36" s="17"/>
    </row>
    <row r="37" spans="1:19" x14ac:dyDescent="0.2">
      <c r="A37">
        <v>7</v>
      </c>
      <c r="C37" s="9">
        <f t="shared" si="12"/>
        <v>25</v>
      </c>
      <c r="D37" s="9">
        <f t="shared" si="13"/>
        <v>825</v>
      </c>
      <c r="E37" s="9">
        <f>HLOOKUP($E$10,'Combined WACOC-Tax Table'!$B$17:$E$58,A37+1)*$B$30</f>
        <v>48.88</v>
      </c>
      <c r="F37" s="9">
        <f t="shared" si="14"/>
        <v>602.91</v>
      </c>
      <c r="G37" s="9">
        <f t="shared" si="7"/>
        <v>5.9340491376000006</v>
      </c>
      <c r="H37" s="9">
        <f t="shared" si="15"/>
        <v>55.188147946800001</v>
      </c>
      <c r="I37" s="9">
        <f t="shared" si="16"/>
        <v>769.81185205320003</v>
      </c>
      <c r="J37" s="9">
        <f>'Combined WACOC-Tax Table'!$D$10*I37</f>
        <v>7.4022086475102805E-2</v>
      </c>
      <c r="K37" s="9">
        <f>I37*('Combined WACOC-Tax Table'!$D$11+'Combined WACOC-Tax Table'!$D$12)</f>
        <v>52.476148854849441</v>
      </c>
      <c r="L37" s="9">
        <f t="shared" si="8"/>
        <v>4.8308915970269517</v>
      </c>
      <c r="M37" s="9">
        <f t="shared" si="9"/>
        <v>17.351883343730719</v>
      </c>
      <c r="N37" s="29">
        <f t="shared" si="17"/>
        <v>99.73294588208222</v>
      </c>
      <c r="O37" s="26">
        <f>1/(1+'Combined WACOC-Tax Table'!$F$13)^A37</f>
        <v>0.64883459880333116</v>
      </c>
      <c r="P37" s="18">
        <f t="shared" si="6"/>
        <v>64.710185928875163</v>
      </c>
      <c r="Q37" s="9">
        <f t="shared" si="10"/>
        <v>605.27826872283572</v>
      </c>
      <c r="R37" s="6">
        <f t="shared" si="11"/>
        <v>9.9732945882082216E-2</v>
      </c>
      <c r="S37" s="17"/>
    </row>
    <row r="38" spans="1:19" x14ac:dyDescent="0.2">
      <c r="A38">
        <v>8</v>
      </c>
      <c r="C38" s="9">
        <f t="shared" si="12"/>
        <v>25</v>
      </c>
      <c r="D38" s="9">
        <f t="shared" si="13"/>
        <v>800</v>
      </c>
      <c r="E38" s="9">
        <f>HLOOKUP($E$10,'Combined WACOC-Tax Table'!$B$17:$E$58,A38+1)*$B$30</f>
        <v>45.220000000000006</v>
      </c>
      <c r="F38" s="9">
        <f t="shared" si="14"/>
        <v>557.68999999999994</v>
      </c>
      <c r="G38" s="9">
        <f t="shared" si="7"/>
        <v>5.024559194400001</v>
      </c>
      <c r="H38" s="9">
        <f t="shared" si="15"/>
        <v>60.212707141199999</v>
      </c>
      <c r="I38" s="9">
        <f t="shared" si="16"/>
        <v>739.78729285880001</v>
      </c>
      <c r="J38" s="9">
        <f>'Combined WACOC-Tax Table'!$D$10*I38</f>
        <v>7.1135042697929154E-2</v>
      </c>
      <c r="K38" s="9">
        <f>I38*('Combined WACOC-Tax Table'!$D$11+'Combined WACOC-Tax Table'!$D$12)</f>
        <v>50.429449738196084</v>
      </c>
      <c r="L38" s="9">
        <f t="shared" si="8"/>
        <v>4.6845009425715896</v>
      </c>
      <c r="M38" s="9">
        <f t="shared" si="9"/>
        <v>16.675117134950447</v>
      </c>
      <c r="N38" s="29">
        <f t="shared" si="17"/>
        <v>96.860202858416045</v>
      </c>
      <c r="O38" s="26">
        <f>1/(1+'Combined WACOC-Tax Table'!$F$13)^A38</f>
        <v>0.60995247857340607</v>
      </c>
      <c r="P38" s="18">
        <f t="shared" si="6"/>
        <v>59.080120808613778</v>
      </c>
      <c r="Q38" s="9">
        <f t="shared" si="10"/>
        <v>664.35838953144946</v>
      </c>
      <c r="R38" s="6">
        <f t="shared" si="11"/>
        <v>9.6860202858416039E-2</v>
      </c>
      <c r="S38" s="17"/>
    </row>
    <row r="39" spans="1:19" x14ac:dyDescent="0.2">
      <c r="A39">
        <v>9</v>
      </c>
      <c r="C39" s="9">
        <f t="shared" si="12"/>
        <v>25</v>
      </c>
      <c r="D39" s="9">
        <f t="shared" si="13"/>
        <v>775</v>
      </c>
      <c r="E39" s="9">
        <f>HLOOKUP($E$10,'Combined WACOC-Tax Table'!$B$17:$E$58,A39+1)*$B$30</f>
        <v>44.62</v>
      </c>
      <c r="F39" s="9">
        <f t="shared" si="14"/>
        <v>513.06999999999994</v>
      </c>
      <c r="G39" s="9">
        <f t="shared" si="7"/>
        <v>4.8754624823999997</v>
      </c>
      <c r="H39" s="9">
        <f t="shared" si="15"/>
        <v>65.088169623599995</v>
      </c>
      <c r="I39" s="9">
        <f t="shared" si="16"/>
        <v>709.91183037639996</v>
      </c>
      <c r="J39" s="9">
        <f>'Combined WACOC-Tax Table'!$D$10*I39</f>
        <v>6.8262335475433603E-2</v>
      </c>
      <c r="K39" s="9">
        <f>I39*('Combined WACOC-Tax Table'!$D$11+'Combined WACOC-Tax Table'!$D$12)</f>
        <v>48.392914171547581</v>
      </c>
      <c r="L39" s="9">
        <f t="shared" si="8"/>
        <v>4.5381102881162274</v>
      </c>
      <c r="M39" s="9">
        <f t="shared" si="9"/>
        <v>16.001711628849218</v>
      </c>
      <c r="N39" s="29">
        <f t="shared" si="17"/>
        <v>94.000998423988463</v>
      </c>
      <c r="O39" s="26">
        <f>1/(1+'Combined WACOC-Tax Table'!$F$13)^A39</f>
        <v>0.57340041175981038</v>
      </c>
      <c r="P39" s="18">
        <f t="shared" si="6"/>
        <v>53.90021120214827</v>
      </c>
      <c r="Q39" s="9">
        <f t="shared" si="10"/>
        <v>718.25860073359775</v>
      </c>
      <c r="R39" s="6">
        <f t="shared" si="11"/>
        <v>9.4000998423988458E-2</v>
      </c>
      <c r="S39" s="17"/>
    </row>
    <row r="40" spans="1:19" x14ac:dyDescent="0.2">
      <c r="A40">
        <v>10</v>
      </c>
      <c r="C40" s="9">
        <f t="shared" si="12"/>
        <v>25</v>
      </c>
      <c r="D40" s="9">
        <f t="shared" si="13"/>
        <v>750</v>
      </c>
      <c r="E40" s="9">
        <f>HLOOKUP($E$10,'Combined WACOC-Tax Table'!$B$17:$E$58,A40+1)*$B$30</f>
        <v>44.61</v>
      </c>
      <c r="F40" s="9">
        <f t="shared" si="14"/>
        <v>468.45999999999992</v>
      </c>
      <c r="G40" s="9">
        <f t="shared" si="7"/>
        <v>4.8729775371999997</v>
      </c>
      <c r="H40" s="9">
        <f t="shared" si="15"/>
        <v>69.961147160799996</v>
      </c>
      <c r="I40" s="9">
        <f t="shared" si="16"/>
        <v>680.03885283919999</v>
      </c>
      <c r="J40" s="9">
        <f>'Combined WACOC-Tax Table'!$D$10*I40</f>
        <v>6.5389867195516024E-2</v>
      </c>
      <c r="K40" s="9">
        <f>I40*('Combined WACOC-Tax Table'!$D$11+'Combined WACOC-Tax Table'!$D$12)</f>
        <v>46.356547997399169</v>
      </c>
      <c r="L40" s="9">
        <f t="shared" si="8"/>
        <v>4.3917196336608653</v>
      </c>
      <c r="M40" s="9">
        <f t="shared" si="9"/>
        <v>15.328362134459308</v>
      </c>
      <c r="N40" s="29">
        <f t="shared" si="17"/>
        <v>91.142019632714863</v>
      </c>
      <c r="O40" s="26">
        <f>1/(1+'Combined WACOC-Tax Table'!$F$13)^A40</f>
        <v>0.53903876737300838</v>
      </c>
      <c r="P40" s="18">
        <f t="shared" si="6"/>
        <v>49.129081918705147</v>
      </c>
      <c r="Q40" s="9">
        <f t="shared" si="10"/>
        <v>767.38768265230294</v>
      </c>
      <c r="R40" s="6">
        <f t="shared" si="11"/>
        <v>9.1142019632714857E-2</v>
      </c>
      <c r="S40" s="17"/>
    </row>
    <row r="41" spans="1:19" x14ac:dyDescent="0.2">
      <c r="A41">
        <v>11</v>
      </c>
      <c r="C41" s="9">
        <f t="shared" si="12"/>
        <v>25</v>
      </c>
      <c r="D41" s="9">
        <f t="shared" si="13"/>
        <v>725</v>
      </c>
      <c r="E41" s="9">
        <f>HLOOKUP($E$10,'Combined WACOC-Tax Table'!$B$17:$E$58,A41+1)*$B$30</f>
        <v>44.62</v>
      </c>
      <c r="F41" s="9">
        <f t="shared" si="14"/>
        <v>423.83999999999992</v>
      </c>
      <c r="G41" s="9">
        <f t="shared" si="7"/>
        <v>4.8754624823999997</v>
      </c>
      <c r="H41" s="9">
        <f t="shared" si="15"/>
        <v>74.836609643199992</v>
      </c>
      <c r="I41" s="9">
        <f t="shared" si="16"/>
        <v>650.16339035680005</v>
      </c>
      <c r="J41" s="9">
        <f>'Combined WACOC-Tax Table'!$D$10*I41</f>
        <v>6.2517159973020472E-2</v>
      </c>
      <c r="K41" s="9">
        <f>I41*('Combined WACOC-Tax Table'!$D$11+'Combined WACOC-Tax Table'!$D$12)</f>
        <v>44.320012430750673</v>
      </c>
      <c r="L41" s="9">
        <f t="shared" si="8"/>
        <v>4.2453289792055031</v>
      </c>
      <c r="M41" s="9">
        <f t="shared" si="9"/>
        <v>14.654956628358081</v>
      </c>
      <c r="N41" s="29">
        <f t="shared" si="17"/>
        <v>88.282815198287281</v>
      </c>
      <c r="O41" s="26">
        <f>1/(1+'Combined WACOC-Tax Table'!$F$13)^A41</f>
        <v>0.50673628196263842</v>
      </c>
      <c r="P41" s="18">
        <f t="shared" si="6"/>
        <v>44.736105534774808</v>
      </c>
      <c r="Q41" s="9">
        <f t="shared" si="10"/>
        <v>812.12378818707771</v>
      </c>
      <c r="R41" s="6">
        <f t="shared" si="11"/>
        <v>8.8282815198287276E-2</v>
      </c>
      <c r="S41" s="17"/>
    </row>
    <row r="42" spans="1:19" x14ac:dyDescent="0.2">
      <c r="A42">
        <v>12</v>
      </c>
      <c r="C42" s="9">
        <f t="shared" si="12"/>
        <v>25</v>
      </c>
      <c r="D42" s="9">
        <f t="shared" si="13"/>
        <v>700</v>
      </c>
      <c r="E42" s="9">
        <f>HLOOKUP($E$10,'Combined WACOC-Tax Table'!$B$17:$E$58,A42+1)*$B$30</f>
        <v>44.61</v>
      </c>
      <c r="F42" s="9">
        <f t="shared" si="14"/>
        <v>379.2299999999999</v>
      </c>
      <c r="G42" s="9">
        <f t="shared" si="7"/>
        <v>4.8729775371999997</v>
      </c>
      <c r="H42" s="9">
        <f t="shared" si="15"/>
        <v>79.709587180399993</v>
      </c>
      <c r="I42" s="9">
        <f t="shared" si="16"/>
        <v>620.29041281959996</v>
      </c>
      <c r="J42" s="9">
        <f>'Combined WACOC-Tax Table'!$D$10*I42</f>
        <v>5.9644691693102887E-2</v>
      </c>
      <c r="K42" s="9">
        <f>I42*('Combined WACOC-Tax Table'!$D$11+'Combined WACOC-Tax Table'!$D$12)</f>
        <v>42.283646256602253</v>
      </c>
      <c r="L42" s="9">
        <f t="shared" si="8"/>
        <v>4.098938324750141</v>
      </c>
      <c r="M42" s="9">
        <f t="shared" si="9"/>
        <v>13.981607133968168</v>
      </c>
      <c r="N42" s="29">
        <f t="shared" si="17"/>
        <v>85.423836407013667</v>
      </c>
      <c r="O42" s="26">
        <f>1/(1+'Combined WACOC-Tax Table'!$F$13)^A42</f>
        <v>0.47636955818361154</v>
      </c>
      <c r="P42" s="18">
        <f t="shared" si="6"/>
        <v>40.693315207558214</v>
      </c>
      <c r="Q42" s="9">
        <f t="shared" si="10"/>
        <v>852.81710339463598</v>
      </c>
      <c r="R42" s="6">
        <f t="shared" si="11"/>
        <v>8.5423836407013662E-2</v>
      </c>
      <c r="S42" s="17"/>
    </row>
    <row r="43" spans="1:19" x14ac:dyDescent="0.2">
      <c r="A43">
        <v>13</v>
      </c>
      <c r="C43" s="9">
        <f t="shared" si="12"/>
        <v>25</v>
      </c>
      <c r="D43" s="9">
        <f t="shared" si="13"/>
        <v>675</v>
      </c>
      <c r="E43" s="9">
        <f>HLOOKUP($E$10,'Combined WACOC-Tax Table'!$B$17:$E$58,A43+1)*$B$30</f>
        <v>44.62</v>
      </c>
      <c r="F43" s="9">
        <f t="shared" si="14"/>
        <v>334.6099999999999</v>
      </c>
      <c r="G43" s="9">
        <f t="shared" si="7"/>
        <v>4.8754624823999997</v>
      </c>
      <c r="H43" s="9">
        <f t="shared" si="15"/>
        <v>84.585049662799989</v>
      </c>
      <c r="I43" s="9">
        <f t="shared" si="16"/>
        <v>590.41495033720003</v>
      </c>
      <c r="J43" s="9">
        <f>'Combined WACOC-Tax Table'!$D$10*I43</f>
        <v>5.6771984470607349E-2</v>
      </c>
      <c r="K43" s="9">
        <f>I43*('Combined WACOC-Tax Table'!$D$11+'Combined WACOC-Tax Table'!$D$12)</f>
        <v>40.247110689953757</v>
      </c>
      <c r="L43" s="9">
        <f t="shared" si="8"/>
        <v>3.9525476702947784</v>
      </c>
      <c r="M43" s="9">
        <f t="shared" si="9"/>
        <v>13.308201627866941</v>
      </c>
      <c r="N43" s="29">
        <f t="shared" si="17"/>
        <v>82.564631972586071</v>
      </c>
      <c r="O43" s="26">
        <f>1/(1+'Combined WACOC-Tax Table'!$F$13)^A43</f>
        <v>0.44782259341118313</v>
      </c>
      <c r="P43" s="18">
        <f t="shared" si="6"/>
        <v>36.974307614003386</v>
      </c>
      <c r="Q43" s="9">
        <f t="shared" si="10"/>
        <v>889.79141100863933</v>
      </c>
      <c r="R43" s="6">
        <f t="shared" si="11"/>
        <v>8.2564631972586067E-2</v>
      </c>
      <c r="S43" s="17"/>
    </row>
    <row r="44" spans="1:19" x14ac:dyDescent="0.2">
      <c r="A44">
        <v>14</v>
      </c>
      <c r="C44" s="9">
        <f t="shared" si="12"/>
        <v>25</v>
      </c>
      <c r="D44" s="9">
        <f t="shared" si="13"/>
        <v>650</v>
      </c>
      <c r="E44" s="9">
        <f>HLOOKUP($E$10,'Combined WACOC-Tax Table'!$B$17:$E$58,A44+1)*$B$30</f>
        <v>44.61</v>
      </c>
      <c r="F44" s="9">
        <f t="shared" si="14"/>
        <v>289.99999999999989</v>
      </c>
      <c r="G44" s="9">
        <f t="shared" si="7"/>
        <v>4.8729775371999997</v>
      </c>
      <c r="H44" s="9">
        <f t="shared" si="15"/>
        <v>89.458027199999989</v>
      </c>
      <c r="I44" s="9">
        <f t="shared" si="16"/>
        <v>560.54197280000005</v>
      </c>
      <c r="J44" s="9">
        <f>'Combined WACOC-Tax Table'!$D$10*I44</f>
        <v>5.3899516190689771E-2</v>
      </c>
      <c r="K44" s="9">
        <f>I44*('Combined WACOC-Tax Table'!$D$11+'Combined WACOC-Tax Table'!$D$12)</f>
        <v>38.210744515805345</v>
      </c>
      <c r="L44" s="9">
        <f t="shared" si="8"/>
        <v>3.8061570158394162</v>
      </c>
      <c r="M44" s="9">
        <f t="shared" si="9"/>
        <v>12.634852133477031</v>
      </c>
      <c r="N44" s="29">
        <f t="shared" si="17"/>
        <v>79.705653181312471</v>
      </c>
      <c r="O44" s="26">
        <f>1/(1+'Combined WACOC-Tax Table'!$F$13)^A44</f>
        <v>0.42098633660427953</v>
      </c>
      <c r="P44" s="18">
        <f t="shared" si="6"/>
        <v>33.554990939451976</v>
      </c>
      <c r="Q44" s="9">
        <f t="shared" si="10"/>
        <v>923.34640194809128</v>
      </c>
      <c r="R44" s="6">
        <f t="shared" si="11"/>
        <v>7.9705653181312466E-2</v>
      </c>
      <c r="S44" s="17"/>
    </row>
    <row r="45" spans="1:19" x14ac:dyDescent="0.2">
      <c r="A45">
        <v>15</v>
      </c>
      <c r="C45" s="9">
        <f t="shared" si="12"/>
        <v>25</v>
      </c>
      <c r="D45" s="9">
        <f t="shared" si="13"/>
        <v>625</v>
      </c>
      <c r="E45" s="9">
        <f>HLOOKUP($E$10,'Combined WACOC-Tax Table'!$B$17:$E$58,A45+1)*$B$30</f>
        <v>44.62</v>
      </c>
      <c r="F45" s="9">
        <f t="shared" si="14"/>
        <v>245.37999999999988</v>
      </c>
      <c r="G45" s="9">
        <f t="shared" si="7"/>
        <v>4.8754624823999997</v>
      </c>
      <c r="H45" s="9">
        <f t="shared" si="15"/>
        <v>94.333489682399986</v>
      </c>
      <c r="I45" s="9">
        <f t="shared" si="16"/>
        <v>530.6665103176</v>
      </c>
      <c r="J45" s="9">
        <f>'Combined WACOC-Tax Table'!$D$10*I45</f>
        <v>5.1026808968194212E-2</v>
      </c>
      <c r="K45" s="9">
        <f>I45*('Combined WACOC-Tax Table'!$D$11+'Combined WACOC-Tax Table'!$D$12)</f>
        <v>36.174208949156849</v>
      </c>
      <c r="L45" s="9">
        <f t="shared" si="8"/>
        <v>3.6597663613840541</v>
      </c>
      <c r="M45" s="9">
        <f t="shared" si="9"/>
        <v>11.961446627375803</v>
      </c>
      <c r="N45" s="29">
        <f t="shared" si="17"/>
        <v>76.846448746884903</v>
      </c>
      <c r="O45" s="26">
        <f>1/(1+'Combined WACOC-Tax Table'!$F$13)^A45</f>
        <v>0.39575827172427336</v>
      </c>
      <c r="P45" s="18">
        <f t="shared" si="6"/>
        <v>30.412617744215122</v>
      </c>
      <c r="Q45" s="9">
        <f t="shared" si="10"/>
        <v>953.75901969230642</v>
      </c>
      <c r="R45" s="6">
        <f t="shared" si="11"/>
        <v>7.6846448746884899E-2</v>
      </c>
      <c r="S45" s="17"/>
    </row>
    <row r="46" spans="1:19" x14ac:dyDescent="0.2">
      <c r="A46">
        <v>16</v>
      </c>
      <c r="C46" s="9">
        <f t="shared" si="12"/>
        <v>25</v>
      </c>
      <c r="D46" s="9">
        <f t="shared" si="13"/>
        <v>600</v>
      </c>
      <c r="E46" s="9">
        <f>HLOOKUP($E$10,'Combined WACOC-Tax Table'!$B$17:$E$58,A46+1)*$B$30</f>
        <v>44.61</v>
      </c>
      <c r="F46" s="9">
        <f t="shared" si="14"/>
        <v>200.76999999999987</v>
      </c>
      <c r="G46" s="9">
        <f t="shared" si="7"/>
        <v>4.8729775371999997</v>
      </c>
      <c r="H46" s="9">
        <f t="shared" si="15"/>
        <v>99.206467219599986</v>
      </c>
      <c r="I46" s="9">
        <f t="shared" si="16"/>
        <v>500.79353278040003</v>
      </c>
      <c r="J46" s="9">
        <f>'Combined WACOC-Tax Table'!$D$10*I46</f>
        <v>4.8154340688276641E-2</v>
      </c>
      <c r="K46" s="9">
        <f>I46*('Combined WACOC-Tax Table'!$D$11+'Combined WACOC-Tax Table'!$D$12)</f>
        <v>34.137842775008437</v>
      </c>
      <c r="L46" s="9">
        <f t="shared" si="8"/>
        <v>3.5133757069286919</v>
      </c>
      <c r="M46" s="9">
        <f t="shared" si="9"/>
        <v>11.288097132985895</v>
      </c>
      <c r="N46" s="29">
        <f t="shared" si="17"/>
        <v>73.987469955611303</v>
      </c>
      <c r="O46" s="26">
        <f>1/(1+'Combined WACOC-Tax Table'!$F$13)^A46</f>
        <v>0.37204202611784137</v>
      </c>
      <c r="P46" s="18">
        <f t="shared" si="6"/>
        <v>27.526448229618545</v>
      </c>
      <c r="Q46" s="9">
        <f t="shared" si="10"/>
        <v>981.28546792192492</v>
      </c>
      <c r="R46" s="6">
        <f t="shared" si="11"/>
        <v>7.3987469955611299E-2</v>
      </c>
      <c r="S46" s="17"/>
    </row>
    <row r="47" spans="1:19" x14ac:dyDescent="0.2">
      <c r="A47">
        <v>17</v>
      </c>
      <c r="C47" s="9">
        <f t="shared" si="12"/>
        <v>25</v>
      </c>
      <c r="D47" s="9">
        <f t="shared" si="13"/>
        <v>575</v>
      </c>
      <c r="E47" s="9">
        <f>HLOOKUP($E$10,'Combined WACOC-Tax Table'!$B$17:$E$58,A47+1)*$B$30</f>
        <v>44.62</v>
      </c>
      <c r="F47" s="9">
        <f t="shared" si="14"/>
        <v>156.14999999999986</v>
      </c>
      <c r="G47" s="9">
        <f t="shared" si="7"/>
        <v>4.8754624823999997</v>
      </c>
      <c r="H47" s="9">
        <f t="shared" si="15"/>
        <v>104.08192970199998</v>
      </c>
      <c r="I47" s="9">
        <f t="shared" si="16"/>
        <v>470.91807029800003</v>
      </c>
      <c r="J47" s="9">
        <f>'Combined WACOC-Tax Table'!$D$10*I47</f>
        <v>4.5281633465781089E-2</v>
      </c>
      <c r="K47" s="9">
        <f>I47*('Combined WACOC-Tax Table'!$D$11+'Combined WACOC-Tax Table'!$D$12)</f>
        <v>32.101307208359934</v>
      </c>
      <c r="L47" s="9">
        <f t="shared" si="8"/>
        <v>3.3669850524733298</v>
      </c>
      <c r="M47" s="9">
        <f t="shared" si="9"/>
        <v>10.614691626884666</v>
      </c>
      <c r="N47" s="29">
        <f t="shared" si="17"/>
        <v>71.128265521183721</v>
      </c>
      <c r="O47" s="26">
        <f>1/(1+'Combined WACOC-Tax Table'!$F$13)^A47</f>
        <v>0.34974700236790796</v>
      </c>
      <c r="P47" s="18">
        <f t="shared" si="6"/>
        <v>24.876897649662627</v>
      </c>
      <c r="Q47" s="9">
        <f t="shared" si="10"/>
        <v>1006.1623655715875</v>
      </c>
      <c r="R47" s="6">
        <f t="shared" si="11"/>
        <v>7.1128265521183717E-2</v>
      </c>
      <c r="S47" s="17"/>
    </row>
    <row r="48" spans="1:19" x14ac:dyDescent="0.2">
      <c r="A48">
        <v>18</v>
      </c>
      <c r="C48" s="9">
        <f t="shared" si="12"/>
        <v>25</v>
      </c>
      <c r="D48" s="9">
        <f t="shared" si="13"/>
        <v>550</v>
      </c>
      <c r="E48" s="9">
        <f>HLOOKUP($E$10,'Combined WACOC-Tax Table'!$B$17:$E$58,A48+1)*$B$30</f>
        <v>44.61</v>
      </c>
      <c r="F48" s="9">
        <f t="shared" si="14"/>
        <v>111.53999999999986</v>
      </c>
      <c r="G48" s="9">
        <f t="shared" si="7"/>
        <v>4.8729775371999997</v>
      </c>
      <c r="H48" s="9">
        <f t="shared" si="15"/>
        <v>108.95490723919998</v>
      </c>
      <c r="I48" s="9">
        <f t="shared" si="16"/>
        <v>441.0450927608</v>
      </c>
      <c r="J48" s="9">
        <f>'Combined WACOC-Tax Table'!$D$10*I48</f>
        <v>4.2409165185863504E-2</v>
      </c>
      <c r="K48" s="9">
        <f>I48*('Combined WACOC-Tax Table'!$D$11+'Combined WACOC-Tax Table'!$D$12)</f>
        <v>30.064941034211522</v>
      </c>
      <c r="L48" s="9">
        <f t="shared" si="8"/>
        <v>3.2205943980179677</v>
      </c>
      <c r="M48" s="9">
        <f t="shared" si="9"/>
        <v>9.9413421324947553</v>
      </c>
      <c r="N48" s="29">
        <f t="shared" si="17"/>
        <v>68.269286729910107</v>
      </c>
      <c r="O48" s="26">
        <f>1/(1+'Combined WACOC-Tax Table'!$F$13)^A48</f>
        <v>0.32878803220632008</v>
      </c>
      <c r="P48" s="18">
        <f t="shared" si="6"/>
        <v>22.446124444056185</v>
      </c>
      <c r="Q48" s="9">
        <f t="shared" si="10"/>
        <v>1028.6084900156438</v>
      </c>
      <c r="R48" s="6">
        <f t="shared" si="11"/>
        <v>6.8269286729910103E-2</v>
      </c>
      <c r="S48" s="17"/>
    </row>
    <row r="49" spans="1:19" x14ac:dyDescent="0.2">
      <c r="A49">
        <v>19</v>
      </c>
      <c r="C49" s="9">
        <f t="shared" si="12"/>
        <v>25</v>
      </c>
      <c r="D49" s="9">
        <f t="shared" si="13"/>
        <v>525</v>
      </c>
      <c r="E49" s="9">
        <f>HLOOKUP($E$10,'Combined WACOC-Tax Table'!$B$17:$E$58,A49+1)*$B$30</f>
        <v>44.62</v>
      </c>
      <c r="F49" s="9">
        <f t="shared" si="14"/>
        <v>66.919999999999874</v>
      </c>
      <c r="G49" s="9">
        <f t="shared" si="7"/>
        <v>4.8754624823999997</v>
      </c>
      <c r="H49" s="9">
        <f t="shared" si="15"/>
        <v>113.83036972159998</v>
      </c>
      <c r="I49" s="9">
        <f t="shared" si="16"/>
        <v>411.16963027840001</v>
      </c>
      <c r="J49" s="9">
        <f>'Combined WACOC-Tax Table'!$D$10*I49</f>
        <v>3.9536457963367959E-2</v>
      </c>
      <c r="K49" s="9">
        <f>I49*('Combined WACOC-Tax Table'!$D$11+'Combined WACOC-Tax Table'!$D$12)</f>
        <v>28.028405467563022</v>
      </c>
      <c r="L49" s="9">
        <f t="shared" si="8"/>
        <v>3.0742037435626055</v>
      </c>
      <c r="M49" s="9">
        <f t="shared" si="9"/>
        <v>9.2679366263935261</v>
      </c>
      <c r="N49" s="29">
        <f t="shared" si="17"/>
        <v>65.410082295482525</v>
      </c>
      <c r="O49" s="26">
        <f>1/(1+'Combined WACOC-Tax Table'!$F$13)^A49</f>
        <v>0.30908505116618362</v>
      </c>
      <c r="P49" s="18">
        <f t="shared" si="6"/>
        <v>20.217278633083499</v>
      </c>
      <c r="Q49" s="9">
        <f t="shared" si="10"/>
        <v>1048.8257686487273</v>
      </c>
      <c r="R49" s="6">
        <f t="shared" si="11"/>
        <v>6.5410082295482522E-2</v>
      </c>
      <c r="S49" s="17"/>
    </row>
    <row r="50" spans="1:19" x14ac:dyDescent="0.2">
      <c r="A50">
        <v>20</v>
      </c>
      <c r="C50" s="9">
        <f t="shared" si="12"/>
        <v>25</v>
      </c>
      <c r="D50" s="9">
        <f t="shared" si="13"/>
        <v>500</v>
      </c>
      <c r="E50" s="9">
        <f>HLOOKUP($E$10,'Combined WACOC-Tax Table'!$B$17:$E$58,A50+1)*$B$30</f>
        <v>44.61</v>
      </c>
      <c r="F50" s="9">
        <f t="shared" si="14"/>
        <v>22.309999999999874</v>
      </c>
      <c r="G50" s="9">
        <f t="shared" si="7"/>
        <v>4.8729775371999997</v>
      </c>
      <c r="H50" s="9">
        <f t="shared" si="15"/>
        <v>118.70334725879998</v>
      </c>
      <c r="I50" s="9">
        <f t="shared" si="16"/>
        <v>381.29665274120003</v>
      </c>
      <c r="J50" s="9">
        <f>'Combined WACOC-Tax Table'!$D$10*I50</f>
        <v>3.6663989683450381E-2</v>
      </c>
      <c r="K50" s="9">
        <f>I50*('Combined WACOC-Tax Table'!$D$11+'Combined WACOC-Tax Table'!$D$12)</f>
        <v>25.99203929341461</v>
      </c>
      <c r="L50" s="9">
        <f t="shared" si="8"/>
        <v>2.9278130891072434</v>
      </c>
      <c r="M50" s="9">
        <f t="shared" si="9"/>
        <v>8.5945871320036176</v>
      </c>
      <c r="N50" s="29">
        <f t="shared" si="17"/>
        <v>62.551103504208925</v>
      </c>
      <c r="O50" s="26">
        <f>1/(1+'Combined WACOC-Tax Table'!$F$13)^A50</f>
        <v>0.29056279273101221</v>
      </c>
      <c r="P50" s="18">
        <f t="shared" si="6"/>
        <v>18.175023322589549</v>
      </c>
      <c r="Q50" s="9">
        <f t="shared" si="10"/>
        <v>1067.0007919713169</v>
      </c>
      <c r="R50" s="6">
        <f t="shared" si="11"/>
        <v>6.2551103504208921E-2</v>
      </c>
      <c r="S50" s="17"/>
    </row>
    <row r="51" spans="1:19" x14ac:dyDescent="0.2">
      <c r="A51">
        <v>21</v>
      </c>
      <c r="C51" s="9">
        <f t="shared" si="12"/>
        <v>25</v>
      </c>
      <c r="D51" s="9">
        <f t="shared" si="13"/>
        <v>475</v>
      </c>
      <c r="E51" s="9">
        <f>HLOOKUP($E$10,'Combined WACOC-Tax Table'!$B$17:$E$58,A51+1)*$B$30</f>
        <v>22.31</v>
      </c>
      <c r="F51" s="9">
        <f t="shared" si="14"/>
        <v>-1.2434497875801753E-13</v>
      </c>
      <c r="G51" s="9">
        <f t="shared" si="7"/>
        <v>-0.66845025880000031</v>
      </c>
      <c r="H51" s="9">
        <f t="shared" si="15"/>
        <v>118.03489699999997</v>
      </c>
      <c r="I51" s="9">
        <f t="shared" si="16"/>
        <v>356.965103</v>
      </c>
      <c r="J51" s="9">
        <f>'Combined WACOC-Tax Table'!$D$10*I51</f>
        <v>3.4324363352402534E-2</v>
      </c>
      <c r="K51" s="9">
        <f>I51*('Combined WACOC-Tax Table'!$D$11+'Combined WACOC-Tax Table'!$D$12)</f>
        <v>24.333418394447015</v>
      </c>
      <c r="L51" s="9">
        <f t="shared" si="8"/>
        <v>2.7814224346518812</v>
      </c>
      <c r="M51" s="9">
        <f t="shared" si="9"/>
        <v>8.0461437538516432</v>
      </c>
      <c r="N51" s="29">
        <f t="shared" si="17"/>
        <v>60.195308946302944</v>
      </c>
      <c r="O51" s="26">
        <f>1/(1+'Combined WACOC-Tax Table'!$F$13)^A51</f>
        <v>0.27315050081232178</v>
      </c>
      <c r="P51" s="18">
        <f t="shared" si="6"/>
        <v>16.442378785235082</v>
      </c>
      <c r="Q51" s="9">
        <f t="shared" si="10"/>
        <v>1083.443170756552</v>
      </c>
      <c r="R51" s="6">
        <f t="shared" si="11"/>
        <v>6.0195308946302942E-2</v>
      </c>
      <c r="S51" s="17"/>
    </row>
    <row r="52" spans="1:19" x14ac:dyDescent="0.2">
      <c r="A52">
        <v>22</v>
      </c>
      <c r="C52" s="9">
        <f t="shared" si="12"/>
        <v>25</v>
      </c>
      <c r="D52" s="9">
        <f t="shared" si="13"/>
        <v>450</v>
      </c>
      <c r="E52" s="9">
        <f>HLOOKUP($E$10,'Combined WACOC-Tax Table'!$B$17:$E$58,A52+1)*$B$30</f>
        <v>0</v>
      </c>
      <c r="F52" s="9">
        <f t="shared" si="14"/>
        <v>-1.2434497875801753E-13</v>
      </c>
      <c r="G52" s="9">
        <f>(E52-C52)*$E$11</f>
        <v>-6.2123629999999999</v>
      </c>
      <c r="H52" s="9">
        <f t="shared" si="15"/>
        <v>111.82253399999998</v>
      </c>
      <c r="I52" s="9">
        <f t="shared" si="16"/>
        <v>338.17746600000004</v>
      </c>
      <c r="J52" s="9">
        <f>'Combined WACOC-Tax Table'!$D$10*I52</f>
        <v>3.2517817912802408E-2</v>
      </c>
      <c r="K52" s="9">
        <f>I52*('Combined WACOC-Tax Table'!$D$11+'Combined WACOC-Tax Table'!$D$12)</f>
        <v>23.052712163160336</v>
      </c>
      <c r="L52" s="9">
        <f t="shared" si="8"/>
        <v>2.6350317801965191</v>
      </c>
      <c r="M52" s="9">
        <f t="shared" si="9"/>
        <v>7.6226625036489271</v>
      </c>
      <c r="N52" s="29">
        <f t="shared" si="17"/>
        <v>58.342924264918587</v>
      </c>
      <c r="O52" s="26">
        <f>1/(1+'Combined WACOC-Tax Table'!$F$13)^A52</f>
        <v>0.25678165945731851</v>
      </c>
      <c r="P52" s="18">
        <f t="shared" si="6"/>
        <v>14.98139291033845</v>
      </c>
      <c r="Q52" s="9">
        <f t="shared" si="10"/>
        <v>1098.4245636668904</v>
      </c>
      <c r="R52" s="6">
        <f t="shared" si="11"/>
        <v>5.8342924264918584E-2</v>
      </c>
      <c r="S52" s="17"/>
    </row>
    <row r="53" spans="1:19" x14ac:dyDescent="0.2">
      <c r="A53">
        <v>23</v>
      </c>
      <c r="C53" s="9">
        <f t="shared" si="12"/>
        <v>25</v>
      </c>
      <c r="D53" s="9">
        <f t="shared" si="13"/>
        <v>425</v>
      </c>
      <c r="E53" s="9">
        <f>HLOOKUP($E$10,'Combined WACOC-Tax Table'!$B$17:$E$58,A53+1)*$B$30</f>
        <v>0</v>
      </c>
      <c r="F53" s="9">
        <f t="shared" si="14"/>
        <v>-1.2434497875801753E-13</v>
      </c>
      <c r="G53" s="9">
        <f t="shared" si="7"/>
        <v>-6.2123629999999999</v>
      </c>
      <c r="H53" s="9">
        <f t="shared" si="15"/>
        <v>105.61017099999998</v>
      </c>
      <c r="I53" s="9">
        <f t="shared" si="16"/>
        <v>319.38982900000002</v>
      </c>
      <c r="J53" s="9">
        <f>'Combined WACOC-Tax Table'!$D$10*I53</f>
        <v>3.071127247320227E-2</v>
      </c>
      <c r="K53" s="9">
        <f>I53*('Combined WACOC-Tax Table'!$D$11+'Combined WACOC-Tax Table'!$D$12)</f>
        <v>21.772005931873647</v>
      </c>
      <c r="L53" s="9">
        <f t="shared" si="8"/>
        <v>2.4886411257411569</v>
      </c>
      <c r="M53" s="9">
        <f t="shared" si="9"/>
        <v>7.1991812534462074</v>
      </c>
      <c r="N53" s="29">
        <f t="shared" si="17"/>
        <v>56.490539583534208</v>
      </c>
      <c r="O53" s="26">
        <f>1/(1+'Combined WACOC-Tax Table'!$F$13)^A53</f>
        <v>0.24139373875414805</v>
      </c>
      <c r="P53" s="18">
        <f t="shared" si="6"/>
        <v>13.636462554308515</v>
      </c>
      <c r="Q53" s="9">
        <f t="shared" si="10"/>
        <v>1112.061026221199</v>
      </c>
      <c r="R53" s="6">
        <f t="shared" si="11"/>
        <v>5.6490539583534206E-2</v>
      </c>
      <c r="S53" s="17"/>
    </row>
    <row r="54" spans="1:19" x14ac:dyDescent="0.2">
      <c r="A54">
        <v>24</v>
      </c>
      <c r="C54" s="9">
        <f t="shared" si="12"/>
        <v>25</v>
      </c>
      <c r="D54" s="9">
        <f t="shared" si="13"/>
        <v>400</v>
      </c>
      <c r="E54" s="9">
        <f>HLOOKUP($E$10,'Combined WACOC-Tax Table'!$B$17:$E$58,A54+1)*$B$30</f>
        <v>0</v>
      </c>
      <c r="F54" s="9">
        <f t="shared" si="14"/>
        <v>-1.2434497875801753E-13</v>
      </c>
      <c r="G54" s="9">
        <f t="shared" si="7"/>
        <v>-6.2123629999999999</v>
      </c>
      <c r="H54" s="9">
        <f t="shared" si="15"/>
        <v>99.397807999999984</v>
      </c>
      <c r="I54" s="9">
        <f t="shared" si="16"/>
        <v>300.602192</v>
      </c>
      <c r="J54" s="9">
        <f>'Combined WACOC-Tax Table'!$D$10*I54</f>
        <v>2.8904727033602137E-2</v>
      </c>
      <c r="K54" s="9">
        <f>I54*('Combined WACOC-Tax Table'!$D$11+'Combined WACOC-Tax Table'!$D$12)</f>
        <v>20.491299700586961</v>
      </c>
      <c r="L54" s="9">
        <f t="shared" si="8"/>
        <v>2.3422504712857948</v>
      </c>
      <c r="M54" s="9">
        <f t="shared" si="9"/>
        <v>6.7757000032434895</v>
      </c>
      <c r="N54" s="29">
        <f t="shared" si="17"/>
        <v>54.63815490214985</v>
      </c>
      <c r="O54" s="26">
        <f>1/(1+'Combined WACOC-Tax Table'!$F$13)^A54</f>
        <v>0.22692795596404922</v>
      </c>
      <c r="P54" s="18">
        <f t="shared" si="6"/>
        <v>12.398924809591961</v>
      </c>
      <c r="Q54" s="9">
        <f t="shared" si="10"/>
        <v>1124.459951030791</v>
      </c>
      <c r="R54" s="6">
        <f t="shared" si="11"/>
        <v>5.4638154902149849E-2</v>
      </c>
      <c r="S54" s="17"/>
    </row>
    <row r="55" spans="1:19" x14ac:dyDescent="0.2">
      <c r="A55">
        <v>25</v>
      </c>
      <c r="C55" s="9">
        <f t="shared" si="12"/>
        <v>25</v>
      </c>
      <c r="D55" s="9">
        <f t="shared" si="13"/>
        <v>375</v>
      </c>
      <c r="E55" s="9">
        <f>HLOOKUP($E$10,'Combined WACOC-Tax Table'!$B$17:$E$58,A55+1)*$B$30</f>
        <v>0</v>
      </c>
      <c r="F55" s="9">
        <f t="shared" si="14"/>
        <v>-1.2434497875801753E-13</v>
      </c>
      <c r="G55" s="9">
        <f t="shared" si="7"/>
        <v>-6.2123629999999999</v>
      </c>
      <c r="H55" s="9">
        <f t="shared" si="15"/>
        <v>93.185444999999987</v>
      </c>
      <c r="I55" s="9">
        <f t="shared" si="16"/>
        <v>281.81455500000004</v>
      </c>
      <c r="J55" s="9">
        <f>'Combined WACOC-Tax Table'!$D$10*I55</f>
        <v>2.7098181594002006E-2</v>
      </c>
      <c r="K55" s="9">
        <f>I55*('Combined WACOC-Tax Table'!$D$11+'Combined WACOC-Tax Table'!$D$12)</f>
        <v>19.210593469300278</v>
      </c>
      <c r="L55" s="9">
        <f t="shared" si="8"/>
        <v>2.1958598168304326</v>
      </c>
      <c r="M55" s="9">
        <f t="shared" si="9"/>
        <v>6.3522187530407717</v>
      </c>
      <c r="N55" s="29">
        <f t="shared" si="17"/>
        <v>52.785770220765485</v>
      </c>
      <c r="O55" s="26">
        <f>1/(1+'Combined WACOC-Tax Table'!$F$13)^A55</f>
        <v>0.21332905096792437</v>
      </c>
      <c r="P55" s="18">
        <f t="shared" si="6"/>
        <v>11.260738265806825</v>
      </c>
      <c r="Q55" s="9">
        <f t="shared" si="10"/>
        <v>1135.7206892965978</v>
      </c>
      <c r="R55" s="6">
        <f t="shared" si="11"/>
        <v>5.2785770220765485E-2</v>
      </c>
      <c r="S55" s="17"/>
    </row>
    <row r="56" spans="1:19" x14ac:dyDescent="0.2">
      <c r="A56">
        <v>26</v>
      </c>
      <c r="C56" s="9">
        <f t="shared" si="12"/>
        <v>25</v>
      </c>
      <c r="D56" s="9">
        <f t="shared" si="13"/>
        <v>350</v>
      </c>
      <c r="E56" s="9">
        <f>HLOOKUP($E$10,'Combined WACOC-Tax Table'!$B$17:$E$58,A56+1)*$B$30</f>
        <v>0</v>
      </c>
      <c r="F56" s="9">
        <f t="shared" si="14"/>
        <v>-1.2434497875801753E-13</v>
      </c>
      <c r="G56" s="9">
        <f t="shared" si="7"/>
        <v>-6.2123629999999999</v>
      </c>
      <c r="H56" s="9">
        <f t="shared" si="15"/>
        <v>86.973081999999991</v>
      </c>
      <c r="I56" s="9">
        <f t="shared" si="16"/>
        <v>263.02691800000002</v>
      </c>
      <c r="J56" s="9">
        <f>'Combined WACOC-Tax Table'!$D$10*I56</f>
        <v>2.5291636154401873E-2</v>
      </c>
      <c r="K56" s="9">
        <f>I56*('Combined WACOC-Tax Table'!$D$11+'Combined WACOC-Tax Table'!$D$12)</f>
        <v>17.929887238013592</v>
      </c>
      <c r="L56" s="9">
        <f t="shared" si="8"/>
        <v>2.0494691623750705</v>
      </c>
      <c r="M56" s="9">
        <f t="shared" si="9"/>
        <v>5.9287375028380538</v>
      </c>
      <c r="N56" s="29">
        <f t="shared" si="17"/>
        <v>50.933385539381121</v>
      </c>
      <c r="O56" s="26">
        <f>1/(1+'Combined WACOC-Tax Table'!$F$13)^A56</f>
        <v>0.20054507516951778</v>
      </c>
      <c r="P56" s="18">
        <f t="shared" si="6"/>
        <v>10.214439631633217</v>
      </c>
      <c r="Q56" s="9">
        <f t="shared" si="10"/>
        <v>1145.9351289282311</v>
      </c>
      <c r="R56" s="6">
        <f t="shared" si="11"/>
        <v>5.0933385539381121E-2</v>
      </c>
      <c r="S56" s="17"/>
    </row>
    <row r="57" spans="1:19" x14ac:dyDescent="0.2">
      <c r="A57">
        <v>27</v>
      </c>
      <c r="C57" s="9">
        <f t="shared" si="12"/>
        <v>25</v>
      </c>
      <c r="D57" s="9">
        <f t="shared" si="13"/>
        <v>325</v>
      </c>
      <c r="E57" s="9">
        <f>HLOOKUP($E$10,'Combined WACOC-Tax Table'!$B$17:$E$58,A57+1)*$B$30</f>
        <v>0</v>
      </c>
      <c r="F57" s="9">
        <f t="shared" si="14"/>
        <v>-1.2434497875801753E-13</v>
      </c>
      <c r="G57" s="9">
        <f t="shared" si="7"/>
        <v>-6.2123629999999999</v>
      </c>
      <c r="H57" s="9">
        <f t="shared" si="15"/>
        <v>80.760718999999995</v>
      </c>
      <c r="I57" s="9">
        <f t="shared" si="16"/>
        <v>244.23928100000001</v>
      </c>
      <c r="J57" s="9">
        <f>'Combined WACOC-Tax Table'!$D$10*I57</f>
        <v>2.3485090714801735E-2</v>
      </c>
      <c r="K57" s="9">
        <f>I57*('Combined WACOC-Tax Table'!$D$11+'Combined WACOC-Tax Table'!$D$12)</f>
        <v>16.649181006726906</v>
      </c>
      <c r="L57" s="9">
        <f t="shared" si="8"/>
        <v>1.9030785079197081</v>
      </c>
      <c r="M57" s="9">
        <f t="shared" si="9"/>
        <v>5.505256252635335</v>
      </c>
      <c r="N57" s="29">
        <f t="shared" si="17"/>
        <v>49.081000857996749</v>
      </c>
      <c r="O57" s="26">
        <f>1/(1+'Combined WACOC-Tax Table'!$F$13)^A57</f>
        <v>0.18852719304880175</v>
      </c>
      <c r="P57" s="18">
        <f t="shared" si="6"/>
        <v>9.2531033237839573</v>
      </c>
      <c r="Q57" s="9">
        <f t="shared" si="10"/>
        <v>1155.188232252015</v>
      </c>
      <c r="R57" s="6">
        <f t="shared" si="11"/>
        <v>4.908100085799675E-2</v>
      </c>
      <c r="S57" s="17"/>
    </row>
    <row r="58" spans="1:19" x14ac:dyDescent="0.2">
      <c r="A58">
        <v>28</v>
      </c>
      <c r="C58" s="9">
        <f t="shared" si="12"/>
        <v>25</v>
      </c>
      <c r="D58" s="9">
        <f t="shared" si="13"/>
        <v>300</v>
      </c>
      <c r="E58" s="9">
        <f>HLOOKUP($E$10,'Combined WACOC-Tax Table'!$B$17:$E$58,A58+1)*$B$30</f>
        <v>0</v>
      </c>
      <c r="F58" s="9">
        <f t="shared" si="14"/>
        <v>-1.2434497875801753E-13</v>
      </c>
      <c r="G58" s="9">
        <f t="shared" si="7"/>
        <v>-6.2123629999999999</v>
      </c>
      <c r="H58" s="9">
        <f t="shared" si="15"/>
        <v>74.548355999999998</v>
      </c>
      <c r="I58" s="9">
        <f t="shared" si="16"/>
        <v>225.45164399999999</v>
      </c>
      <c r="J58" s="9">
        <f>'Combined WACOC-Tax Table'!$D$10*I58</f>
        <v>2.1678545275201602E-2</v>
      </c>
      <c r="K58" s="9">
        <f>I58*('Combined WACOC-Tax Table'!$D$11+'Combined WACOC-Tax Table'!$D$12)</f>
        <v>15.368474775440221</v>
      </c>
      <c r="L58" s="9">
        <f t="shared" si="8"/>
        <v>1.756687853464346</v>
      </c>
      <c r="M58" s="9">
        <f t="shared" si="9"/>
        <v>5.0817750024326171</v>
      </c>
      <c r="N58" s="29">
        <f t="shared" si="17"/>
        <v>47.228616176612384</v>
      </c>
      <c r="O58" s="26">
        <f>1/(1+'Combined WACOC-Tax Table'!$F$13)^A58</f>
        <v>0.17722949560749174</v>
      </c>
      <c r="P58" s="18">
        <f t="shared" si="6"/>
        <v>8.3703038232208371</v>
      </c>
      <c r="Q58" s="9">
        <f t="shared" si="10"/>
        <v>1163.5585360752359</v>
      </c>
      <c r="R58" s="6">
        <f t="shared" si="11"/>
        <v>4.7228616176612385E-2</v>
      </c>
      <c r="S58" s="17"/>
    </row>
    <row r="59" spans="1:19" x14ac:dyDescent="0.2">
      <c r="A59">
        <v>29</v>
      </c>
      <c r="C59" s="9">
        <f t="shared" si="12"/>
        <v>25</v>
      </c>
      <c r="D59" s="9">
        <f t="shared" si="13"/>
        <v>275</v>
      </c>
      <c r="E59" s="9">
        <f>HLOOKUP($E$10,'Combined WACOC-Tax Table'!$B$17:$E$58,A59+1)*$B$30</f>
        <v>0</v>
      </c>
      <c r="F59" s="9">
        <f t="shared" si="14"/>
        <v>-1.2434497875801753E-13</v>
      </c>
      <c r="G59" s="9">
        <f t="shared" si="7"/>
        <v>-6.2123629999999999</v>
      </c>
      <c r="H59" s="9">
        <f t="shared" si="15"/>
        <v>68.335993000000002</v>
      </c>
      <c r="I59" s="9">
        <f t="shared" si="16"/>
        <v>206.664007</v>
      </c>
      <c r="J59" s="9">
        <f>'Combined WACOC-Tax Table'!$D$10*I59</f>
        <v>1.9871999835601468E-2</v>
      </c>
      <c r="K59" s="9">
        <f>I59*('Combined WACOC-Tax Table'!$D$11+'Combined WACOC-Tax Table'!$D$12)</f>
        <v>14.087768544153537</v>
      </c>
      <c r="L59" s="9">
        <f t="shared" si="8"/>
        <v>1.6102971990089838</v>
      </c>
      <c r="M59" s="9">
        <f t="shared" si="9"/>
        <v>4.6582937522298993</v>
      </c>
      <c r="N59" s="29">
        <f t="shared" si="17"/>
        <v>45.376231495228019</v>
      </c>
      <c r="O59" s="26">
        <f>1/(1+'Combined WACOC-Tax Table'!$F$13)^A59</f>
        <v>0.16660882499404284</v>
      </c>
      <c r="P59" s="18">
        <f t="shared" si="6"/>
        <v>7.5600806120776198</v>
      </c>
      <c r="Q59" s="9">
        <f t="shared" si="10"/>
        <v>1171.1186166873135</v>
      </c>
      <c r="R59" s="6">
        <f t="shared" si="11"/>
        <v>4.5376231495228021E-2</v>
      </c>
      <c r="S59" s="17"/>
    </row>
    <row r="60" spans="1:19" x14ac:dyDescent="0.2">
      <c r="A60">
        <v>30</v>
      </c>
      <c r="C60" s="9">
        <f t="shared" si="12"/>
        <v>25</v>
      </c>
      <c r="D60" s="9">
        <f t="shared" si="13"/>
        <v>250</v>
      </c>
      <c r="E60" s="9">
        <f>HLOOKUP($E$10,'Combined WACOC-Tax Table'!$B$17:$E$58,A60+1)*$B$30</f>
        <v>0</v>
      </c>
      <c r="F60" s="9">
        <f t="shared" si="14"/>
        <v>-1.2434497875801753E-13</v>
      </c>
      <c r="G60" s="9">
        <f t="shared" si="7"/>
        <v>-6.2123629999999999</v>
      </c>
      <c r="H60" s="9">
        <f t="shared" si="15"/>
        <v>62.123630000000006</v>
      </c>
      <c r="I60" s="9">
        <f t="shared" si="16"/>
        <v>187.87637000000001</v>
      </c>
      <c r="J60" s="9">
        <f>'Combined WACOC-Tax Table'!$D$10*I60</f>
        <v>1.8065454396001334E-2</v>
      </c>
      <c r="K60" s="9">
        <f>I60*('Combined WACOC-Tax Table'!$D$11+'Combined WACOC-Tax Table'!$D$12)</f>
        <v>12.807062312866853</v>
      </c>
      <c r="L60" s="9">
        <f t="shared" si="8"/>
        <v>1.4639065445536217</v>
      </c>
      <c r="M60" s="9">
        <f t="shared" si="9"/>
        <v>4.2348125020271814</v>
      </c>
      <c r="N60" s="29">
        <f t="shared" si="17"/>
        <v>43.523846813843662</v>
      </c>
      <c r="O60" s="26">
        <f>1/(1+'Combined WACOC-Tax Table'!$F$13)^A60</f>
        <v>0.15662460963818373</v>
      </c>
      <c r="P60" s="18">
        <f t="shared" si="6"/>
        <v>6.8169055171703699</v>
      </c>
      <c r="Q60" s="9">
        <f t="shared" si="10"/>
        <v>1177.935522204484</v>
      </c>
      <c r="R60" s="6">
        <f t="shared" si="11"/>
        <v>4.3523846813843664E-2</v>
      </c>
      <c r="S60" s="17"/>
    </row>
    <row r="61" spans="1:19" x14ac:dyDescent="0.2">
      <c r="A61">
        <v>31</v>
      </c>
      <c r="C61" s="9">
        <f t="shared" si="12"/>
        <v>25</v>
      </c>
      <c r="D61" s="9">
        <f t="shared" si="13"/>
        <v>225</v>
      </c>
      <c r="E61" s="9">
        <f>HLOOKUP($E$10,'Combined WACOC-Tax Table'!$B$17:$E$58,A61+1)*$B$30</f>
        <v>0</v>
      </c>
      <c r="F61" s="9">
        <f t="shared" si="14"/>
        <v>-1.2434497875801753E-13</v>
      </c>
      <c r="G61" s="9">
        <f t="shared" si="7"/>
        <v>-6.2123629999999999</v>
      </c>
      <c r="H61" s="9">
        <f t="shared" si="15"/>
        <v>55.911267000000009</v>
      </c>
      <c r="I61" s="9">
        <f t="shared" ref="I61:I70" si="18">D61</f>
        <v>225</v>
      </c>
      <c r="J61" s="9">
        <f>'Combined WACOC-Tax Table'!$D$10*I61</f>
        <v>2.1635116960692292E-2</v>
      </c>
      <c r="K61" s="9">
        <f>I61*('Combined WACOC-Tax Table'!$D$11+'Combined WACOC-Tax Table'!$D$12)</f>
        <v>15.337687333404629</v>
      </c>
      <c r="L61" s="9">
        <f t="shared" si="8"/>
        <v>1.3175158900982595</v>
      </c>
      <c r="M61" s="9">
        <f t="shared" si="9"/>
        <v>5.0715947564673289</v>
      </c>
      <c r="N61" s="29">
        <f t="shared" si="17"/>
        <v>46.748433096930903</v>
      </c>
      <c r="O61" s="26">
        <f>1/(1+'Combined WACOC-Tax Table'!$F$13)^A61</f>
        <v>0.14723870926519386</v>
      </c>
      <c r="P61" s="18">
        <f t="shared" si="6"/>
        <v>6.8831789493623754</v>
      </c>
      <c r="Q61" s="9">
        <f t="shared" si="10"/>
        <v>1184.8187011538464</v>
      </c>
      <c r="R61" s="6">
        <f t="shared" si="11"/>
        <v>4.67484330969309E-2</v>
      </c>
      <c r="S61" s="17"/>
    </row>
    <row r="62" spans="1:19" x14ac:dyDescent="0.2">
      <c r="A62">
        <v>32</v>
      </c>
      <c r="C62" s="9">
        <f t="shared" si="12"/>
        <v>25</v>
      </c>
      <c r="D62" s="9">
        <f t="shared" si="13"/>
        <v>200</v>
      </c>
      <c r="E62" s="9">
        <f>HLOOKUP($E$10,'Combined WACOC-Tax Table'!$B$17:$E$58,A62+1)*$B$30</f>
        <v>0</v>
      </c>
      <c r="F62" s="9">
        <f t="shared" si="14"/>
        <v>-1.2434497875801753E-13</v>
      </c>
      <c r="G62" s="9">
        <f t="shared" si="7"/>
        <v>-6.2123629999999999</v>
      </c>
      <c r="H62" s="9">
        <f t="shared" si="15"/>
        <v>49.698904000000013</v>
      </c>
      <c r="I62" s="9">
        <f t="shared" si="18"/>
        <v>200</v>
      </c>
      <c r="J62" s="9">
        <f>'Combined WACOC-Tax Table'!$D$10*I62</f>
        <v>1.9231215076170927E-2</v>
      </c>
      <c r="K62" s="9">
        <f>I62*('Combined WACOC-Tax Table'!$D$11+'Combined WACOC-Tax Table'!$D$12)</f>
        <v>13.633499851915227</v>
      </c>
      <c r="L62" s="9">
        <f t="shared" si="8"/>
        <v>1.1711252356428974</v>
      </c>
      <c r="M62" s="9">
        <f t="shared" si="9"/>
        <v>4.5080842279709588</v>
      </c>
      <c r="N62" s="29">
        <f t="shared" si="17"/>
        <v>44.331940530605259</v>
      </c>
      <c r="O62" s="26">
        <f>1/(1+'Combined WACOC-Tax Table'!$F$13)^A62</f>
        <v>0.13841526919786856</v>
      </c>
      <c r="P62" s="18">
        <f t="shared" si="6"/>
        <v>6.136217482607627</v>
      </c>
      <c r="Q62" s="9">
        <f t="shared" si="10"/>
        <v>1190.9549186364541</v>
      </c>
      <c r="R62" s="6">
        <f t="shared" si="11"/>
        <v>4.4331940530605261E-2</v>
      </c>
      <c r="S62" s="17"/>
    </row>
    <row r="63" spans="1:19" x14ac:dyDescent="0.2">
      <c r="A63">
        <v>33</v>
      </c>
      <c r="C63" s="9">
        <f t="shared" si="12"/>
        <v>25</v>
      </c>
      <c r="D63" s="9">
        <f t="shared" si="13"/>
        <v>175</v>
      </c>
      <c r="E63" s="9">
        <f>HLOOKUP($E$10,'Combined WACOC-Tax Table'!$B$17:$E$58,A63+1)*$B$30</f>
        <v>0</v>
      </c>
      <c r="F63" s="9">
        <f t="shared" si="14"/>
        <v>-1.2434497875801753E-13</v>
      </c>
      <c r="G63" s="9">
        <f t="shared" si="7"/>
        <v>-6.2123629999999999</v>
      </c>
      <c r="H63" s="9">
        <f t="shared" si="15"/>
        <v>43.486541000000017</v>
      </c>
      <c r="I63" s="9">
        <f t="shared" si="18"/>
        <v>175</v>
      </c>
      <c r="J63" s="9">
        <f>'Combined WACOC-Tax Table'!$D$10*I63</f>
        <v>1.6827313191649561E-2</v>
      </c>
      <c r="K63" s="9">
        <f>I63*('Combined WACOC-Tax Table'!$D$11+'Combined WACOC-Tax Table'!$D$12)</f>
        <v>11.929312370425823</v>
      </c>
      <c r="L63" s="9">
        <f t="shared" si="8"/>
        <v>1.0247345811875352</v>
      </c>
      <c r="M63" s="9">
        <f t="shared" si="9"/>
        <v>3.944573699474589</v>
      </c>
      <c r="N63" s="29">
        <f t="shared" si="17"/>
        <v>41.915447964279601</v>
      </c>
      <c r="O63" s="26">
        <f>1/(1+'Combined WACOC-Tax Table'!$F$13)^A63</f>
        <v>0.13012058338959792</v>
      </c>
      <c r="P63" s="18">
        <f t="shared" si="6"/>
        <v>5.4540625421483959</v>
      </c>
      <c r="Q63" s="9">
        <f t="shared" si="10"/>
        <v>1196.4089811786025</v>
      </c>
      <c r="R63" s="6">
        <f t="shared" si="11"/>
        <v>4.1915447964279602E-2</v>
      </c>
      <c r="S63" s="17"/>
    </row>
    <row r="64" spans="1:19" x14ac:dyDescent="0.2">
      <c r="A64">
        <v>34</v>
      </c>
      <c r="C64" s="9">
        <f t="shared" si="12"/>
        <v>25</v>
      </c>
      <c r="D64" s="9">
        <f t="shared" si="13"/>
        <v>150</v>
      </c>
      <c r="E64" s="9">
        <f>HLOOKUP($E$10,'Combined WACOC-Tax Table'!$B$17:$E$58,A64+1)*$B$30</f>
        <v>0</v>
      </c>
      <c r="F64" s="9">
        <f t="shared" si="14"/>
        <v>-1.2434497875801753E-13</v>
      </c>
      <c r="G64" s="9">
        <f t="shared" si="7"/>
        <v>-6.2123629999999999</v>
      </c>
      <c r="H64" s="9">
        <f t="shared" si="15"/>
        <v>37.27417800000002</v>
      </c>
      <c r="I64" s="9">
        <f t="shared" si="18"/>
        <v>150</v>
      </c>
      <c r="J64" s="9">
        <f>'Combined WACOC-Tax Table'!$D$10*I64</f>
        <v>1.4423411307128193E-2</v>
      </c>
      <c r="K64" s="9">
        <f>I64*('Combined WACOC-Tax Table'!$D$11+'Combined WACOC-Tax Table'!$D$12)</f>
        <v>10.225124888936419</v>
      </c>
      <c r="L64" s="9">
        <f t="shared" si="8"/>
        <v>0.87834392673217299</v>
      </c>
      <c r="M64" s="9">
        <f t="shared" si="9"/>
        <v>3.3810631709782188</v>
      </c>
      <c r="N64" s="29">
        <f t="shared" si="17"/>
        <v>39.498955397953935</v>
      </c>
      <c r="O64" s="26">
        <f>1/(1+'Combined WACOC-Tax Table'!$F$13)^A64</f>
        <v>0.12232296566533742</v>
      </c>
      <c r="P64" s="18">
        <f t="shared" si="6"/>
        <v>4.8316293649606132</v>
      </c>
      <c r="Q64" s="9">
        <f t="shared" si="10"/>
        <v>1201.2406105435632</v>
      </c>
      <c r="R64" s="6">
        <f t="shared" si="11"/>
        <v>3.9498955397953936E-2</v>
      </c>
      <c r="S64" s="17"/>
    </row>
    <row r="65" spans="1:19" x14ac:dyDescent="0.2">
      <c r="A65">
        <v>35</v>
      </c>
      <c r="C65" s="9">
        <f t="shared" si="12"/>
        <v>25</v>
      </c>
      <c r="D65" s="9">
        <f t="shared" si="13"/>
        <v>125</v>
      </c>
      <c r="E65" s="9">
        <f>HLOOKUP($E$10,'Combined WACOC-Tax Table'!$B$17:$E$58,A65+1)*$B$30</f>
        <v>0</v>
      </c>
      <c r="F65" s="9">
        <f t="shared" si="14"/>
        <v>-1.2434497875801753E-13</v>
      </c>
      <c r="G65" s="9">
        <f t="shared" si="7"/>
        <v>-6.2123629999999999</v>
      </c>
      <c r="H65" s="9">
        <f t="shared" si="15"/>
        <v>31.061815000000021</v>
      </c>
      <c r="I65" s="9">
        <f t="shared" si="18"/>
        <v>125</v>
      </c>
      <c r="J65" s="9">
        <f>'Combined WACOC-Tax Table'!$D$10*I65</f>
        <v>1.2019509422606829E-2</v>
      </c>
      <c r="K65" s="9">
        <f>I65*('Combined WACOC-Tax Table'!$D$11+'Combined WACOC-Tax Table'!$D$12)</f>
        <v>8.5209374074470166</v>
      </c>
      <c r="L65" s="9">
        <f t="shared" si="8"/>
        <v>0.73195327227681084</v>
      </c>
      <c r="M65" s="9">
        <f t="shared" si="9"/>
        <v>2.8175526424818496</v>
      </c>
      <c r="N65" s="29">
        <f t="shared" si="17"/>
        <v>37.082462831628284</v>
      </c>
      <c r="O65" s="26">
        <f>1/(1+'Combined WACOC-Tax Table'!$F$13)^A65</f>
        <v>0.11499262867860363</v>
      </c>
      <c r="P65" s="18">
        <f t="shared" si="6"/>
        <v>4.264209878885552</v>
      </c>
      <c r="Q65" s="9">
        <f t="shared" si="10"/>
        <v>1205.5048204224488</v>
      </c>
      <c r="R65" s="6">
        <f t="shared" si="11"/>
        <v>3.7082462831628284E-2</v>
      </c>
      <c r="S65" s="17"/>
    </row>
    <row r="66" spans="1:19" x14ac:dyDescent="0.2">
      <c r="A66">
        <v>36</v>
      </c>
      <c r="C66" s="9">
        <f t="shared" si="12"/>
        <v>25</v>
      </c>
      <c r="D66" s="9">
        <f t="shared" si="13"/>
        <v>100</v>
      </c>
      <c r="E66" s="9">
        <f>HLOOKUP($E$10,'Combined WACOC-Tax Table'!$B$17:$E$58,A66+1)*$B$30</f>
        <v>0</v>
      </c>
      <c r="F66" s="9">
        <f t="shared" si="14"/>
        <v>-1.2434497875801753E-13</v>
      </c>
      <c r="G66" s="9">
        <f t="shared" si="7"/>
        <v>-6.2123629999999999</v>
      </c>
      <c r="H66" s="9">
        <f t="shared" si="15"/>
        <v>24.849452000000021</v>
      </c>
      <c r="I66" s="9">
        <f t="shared" si="18"/>
        <v>100</v>
      </c>
      <c r="J66" s="9">
        <f>'Combined WACOC-Tax Table'!$D$10*I66</f>
        <v>9.6156075380854633E-3</v>
      </c>
      <c r="K66" s="9">
        <f>I66*('Combined WACOC-Tax Table'!$D$11+'Combined WACOC-Tax Table'!$D$12)</f>
        <v>6.8167499259576134</v>
      </c>
      <c r="L66" s="9">
        <f t="shared" si="8"/>
        <v>0.58556261782144869</v>
      </c>
      <c r="M66" s="9">
        <f t="shared" si="9"/>
        <v>2.2540421139854794</v>
      </c>
      <c r="N66" s="29">
        <f t="shared" si="17"/>
        <v>34.665970265302626</v>
      </c>
      <c r="O66" s="26">
        <f>1/(1+'Combined WACOC-Tax Table'!$F$13)^A66</f>
        <v>0.10810157012210417</v>
      </c>
      <c r="P66" s="18">
        <f t="shared" si="6"/>
        <v>3.7474458154853898</v>
      </c>
      <c r="Q66" s="9">
        <f t="shared" si="10"/>
        <v>1209.2522662379342</v>
      </c>
      <c r="R66" s="6">
        <f t="shared" si="11"/>
        <v>3.4665970265302624E-2</v>
      </c>
      <c r="S66" s="3"/>
    </row>
    <row r="67" spans="1:19" x14ac:dyDescent="0.2">
      <c r="A67">
        <v>37</v>
      </c>
      <c r="C67" s="9">
        <f t="shared" si="12"/>
        <v>25</v>
      </c>
      <c r="D67" s="9">
        <f t="shared" si="13"/>
        <v>75</v>
      </c>
      <c r="E67" s="9">
        <f>HLOOKUP($E$10,'Combined WACOC-Tax Table'!$B$17:$E$58,A67+1)*$B$30</f>
        <v>0</v>
      </c>
      <c r="F67" s="9">
        <f t="shared" si="14"/>
        <v>-1.2434497875801753E-13</v>
      </c>
      <c r="G67" s="9">
        <f t="shared" si="7"/>
        <v>-6.2123629999999999</v>
      </c>
      <c r="H67" s="9">
        <f t="shared" si="15"/>
        <v>18.637089000000021</v>
      </c>
      <c r="I67" s="9">
        <f t="shared" si="18"/>
        <v>75</v>
      </c>
      <c r="J67" s="9">
        <f>'Combined WACOC-Tax Table'!$D$10*I67</f>
        <v>7.2117056535640966E-3</v>
      </c>
      <c r="K67" s="9">
        <f>I67*('Combined WACOC-Tax Table'!$D$11+'Combined WACOC-Tax Table'!$D$12)</f>
        <v>5.1125624444682094</v>
      </c>
      <c r="L67" s="9">
        <f t="shared" si="8"/>
        <v>0.43917196336608649</v>
      </c>
      <c r="M67" s="9">
        <f t="shared" si="9"/>
        <v>1.6905315854891094</v>
      </c>
      <c r="N67" s="29">
        <f t="shared" si="17"/>
        <v>32.249477698976968</v>
      </c>
      <c r="O67" s="26">
        <f>1/(1+'Combined WACOC-Tax Table'!$F$13)^A67</f>
        <v>0.10162346575731927</v>
      </c>
      <c r="P67" s="18">
        <f t="shared" si="6"/>
        <v>3.2773036926334176</v>
      </c>
      <c r="Q67" s="9">
        <f t="shared" si="10"/>
        <v>1212.5295699305677</v>
      </c>
      <c r="R67" s="6">
        <f t="shared" si="11"/>
        <v>3.2249477698976965E-2</v>
      </c>
      <c r="S67" s="3"/>
    </row>
    <row r="68" spans="1:19" x14ac:dyDescent="0.2">
      <c r="A68">
        <v>38</v>
      </c>
      <c r="C68" s="9">
        <f t="shared" si="12"/>
        <v>25</v>
      </c>
      <c r="D68" s="9">
        <f t="shared" si="13"/>
        <v>50</v>
      </c>
      <c r="E68" s="9">
        <f>HLOOKUP($E$10,'Combined WACOC-Tax Table'!$B$17:$E$58,A68+1)*$B$30</f>
        <v>0</v>
      </c>
      <c r="F68" s="9">
        <f t="shared" si="14"/>
        <v>-1.2434497875801753E-13</v>
      </c>
      <c r="G68" s="9">
        <f t="shared" si="7"/>
        <v>-6.2123629999999999</v>
      </c>
      <c r="H68" s="9">
        <f t="shared" si="15"/>
        <v>12.424726000000021</v>
      </c>
      <c r="I68" s="9">
        <f t="shared" si="18"/>
        <v>50</v>
      </c>
      <c r="J68" s="9">
        <f>'Combined WACOC-Tax Table'!$D$10*I68</f>
        <v>4.8078037690427317E-3</v>
      </c>
      <c r="K68" s="9">
        <f>I68*('Combined WACOC-Tax Table'!$D$11+'Combined WACOC-Tax Table'!$D$12)</f>
        <v>3.4083749629788067</v>
      </c>
      <c r="L68" s="9">
        <f t="shared" si="8"/>
        <v>0.29278130891072435</v>
      </c>
      <c r="M68" s="9">
        <f t="shared" si="9"/>
        <v>1.1270210569927397</v>
      </c>
      <c r="N68" s="29">
        <f t="shared" si="17"/>
        <v>29.832985132651316</v>
      </c>
      <c r="O68" s="26">
        <f>1/(1+'Combined WACOC-Tax Table'!$F$13)^A68</f>
        <v>9.5533568854402354E-2</v>
      </c>
      <c r="P68" s="18">
        <f t="shared" si="6"/>
        <v>2.8500515393025063</v>
      </c>
      <c r="Q68" s="9">
        <f t="shared" si="10"/>
        <v>1215.3796214698702</v>
      </c>
      <c r="R68" s="6">
        <f t="shared" si="11"/>
        <v>2.9832985132651316E-2</v>
      </c>
      <c r="S68" s="3"/>
    </row>
    <row r="69" spans="1:19" x14ac:dyDescent="0.2">
      <c r="A69">
        <v>39</v>
      </c>
      <c r="C69" s="9">
        <f t="shared" si="12"/>
        <v>25</v>
      </c>
      <c r="D69" s="9">
        <f t="shared" si="13"/>
        <v>25</v>
      </c>
      <c r="E69" s="9">
        <f>HLOOKUP($E$10,'Combined WACOC-Tax Table'!$B$17:$E$58,A69+1)*$B$30</f>
        <v>0</v>
      </c>
      <c r="F69" s="9">
        <f t="shared" si="14"/>
        <v>-1.2434497875801753E-13</v>
      </c>
      <c r="G69" s="9">
        <f t="shared" si="7"/>
        <v>-6.2123629999999999</v>
      </c>
      <c r="H69" s="9">
        <f t="shared" si="15"/>
        <v>6.2123630000000212</v>
      </c>
      <c r="I69" s="9">
        <f t="shared" si="18"/>
        <v>25</v>
      </c>
      <c r="J69" s="9">
        <f>'Combined WACOC-Tax Table'!$D$10*I69</f>
        <v>2.4039018845213658E-3</v>
      </c>
      <c r="K69" s="9">
        <f>I69*('Combined WACOC-Tax Table'!$D$11+'Combined WACOC-Tax Table'!$D$12)</f>
        <v>1.7041874814894034</v>
      </c>
      <c r="L69" s="9">
        <f t="shared" si="8"/>
        <v>0.14639065445536217</v>
      </c>
      <c r="M69" s="9">
        <f t="shared" si="9"/>
        <v>0.56351052849636984</v>
      </c>
      <c r="N69" s="29">
        <f t="shared" si="17"/>
        <v>27.416492566325655</v>
      </c>
      <c r="O69" s="26">
        <f>1/(1+'Combined WACOC-Tax Table'!$F$13)^A69</f>
        <v>8.9808615658254126E-2</v>
      </c>
      <c r="P69" s="18">
        <f t="shared" si="6"/>
        <v>2.4622372435865221</v>
      </c>
      <c r="Q69" s="9">
        <f t="shared" si="10"/>
        <v>1217.8418587134568</v>
      </c>
      <c r="R69" s="6">
        <f t="shared" si="11"/>
        <v>2.7416492566325654E-2</v>
      </c>
      <c r="S69" s="3"/>
    </row>
    <row r="70" spans="1:19" x14ac:dyDescent="0.2">
      <c r="A70">
        <v>40</v>
      </c>
      <c r="C70" s="9">
        <f t="shared" si="12"/>
        <v>25</v>
      </c>
      <c r="D70" s="9">
        <f t="shared" si="13"/>
        <v>0</v>
      </c>
      <c r="E70" s="9">
        <f>HLOOKUP($E$10,'Combined WACOC-Tax Table'!$B$17:$E$58,A70+1)*$B$30</f>
        <v>0</v>
      </c>
      <c r="F70" s="9">
        <f t="shared" si="14"/>
        <v>-1.2434497875801753E-13</v>
      </c>
      <c r="G70" s="9">
        <f t="shared" si="7"/>
        <v>-6.2123629999999999</v>
      </c>
      <c r="H70" s="9">
        <f t="shared" si="15"/>
        <v>2.1316282072803006E-14</v>
      </c>
      <c r="I70" s="9">
        <f t="shared" si="18"/>
        <v>0</v>
      </c>
      <c r="J70" s="9">
        <f>'Combined WACOC-Tax Table'!$D$10*I70</f>
        <v>0</v>
      </c>
      <c r="K70" s="9">
        <f>I70*('Combined WACOC-Tax Table'!$D$11+'Combined WACOC-Tax Table'!$D$12)</f>
        <v>0</v>
      </c>
      <c r="L70" s="9">
        <f t="shared" si="8"/>
        <v>0</v>
      </c>
      <c r="M70" s="9">
        <f t="shared" si="9"/>
        <v>0</v>
      </c>
      <c r="N70" s="29">
        <f t="shared" si="17"/>
        <v>25</v>
      </c>
      <c r="O70" s="26">
        <f>1/(1+'Combined WACOC-Tax Table'!$F$13)^A70</f>
        <v>8.4426736519645149E-2</v>
      </c>
      <c r="P70" s="18">
        <f t="shared" si="6"/>
        <v>2.1106684129911288</v>
      </c>
      <c r="Q70" s="9">
        <f t="shared" si="10"/>
        <v>1219.9525271264479</v>
      </c>
      <c r="R70" s="6">
        <f t="shared" si="11"/>
        <v>2.5000000000000001E-2</v>
      </c>
      <c r="S70" s="3"/>
    </row>
    <row r="72" spans="1:19" x14ac:dyDescent="0.2">
      <c r="I72" s="28" t="s">
        <v>47</v>
      </c>
      <c r="N72" s="15"/>
      <c r="P72" s="15">
        <f>SUM(P31:P71)</f>
        <v>1219.9525271264479</v>
      </c>
      <c r="Q72" s="15"/>
    </row>
    <row r="87" spans="9:16" x14ac:dyDescent="0.2">
      <c r="I87" s="28"/>
      <c r="P87" s="15"/>
    </row>
  </sheetData>
  <pageMargins left="0.7" right="0.7" top="0.75" bottom="0.75" header="0.3" footer="0.3"/>
  <pageSetup scale="74" fitToWidth="2" orientation="portrait" r:id="rId1"/>
  <colBreaks count="1" manualBreakCount="1">
    <brk id="8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G54"/>
  <sheetViews>
    <sheetView zoomScale="90" zoomScaleNormal="90" zoomScaleSheetLayoutView="100" workbookViewId="0"/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7" ht="15" x14ac:dyDescent="0.25">
      <c r="A1" s="14" t="s">
        <v>49</v>
      </c>
      <c r="G1" s="73" t="s">
        <v>83</v>
      </c>
    </row>
    <row r="2" spans="1:7" ht="15" x14ac:dyDescent="0.25">
      <c r="A2" s="2" t="s">
        <v>48</v>
      </c>
      <c r="G2" s="73" t="s">
        <v>90</v>
      </c>
    </row>
    <row r="3" spans="1:7" x14ac:dyDescent="0.2">
      <c r="A3" s="2"/>
      <c r="G3" s="24"/>
    </row>
    <row r="4" spans="1:7" x14ac:dyDescent="0.2">
      <c r="F4" s="24"/>
    </row>
    <row r="7" spans="1:7" x14ac:dyDescent="0.2">
      <c r="A7" s="14" t="s">
        <v>12</v>
      </c>
    </row>
    <row r="8" spans="1:7" x14ac:dyDescent="0.2">
      <c r="B8" s="14"/>
      <c r="C8" s="14"/>
      <c r="D8" s="13" t="s">
        <v>11</v>
      </c>
      <c r="F8" s="13" t="s">
        <v>10</v>
      </c>
    </row>
    <row r="9" spans="1:7" x14ac:dyDescent="0.2">
      <c r="B9" s="12" t="s">
        <v>9</v>
      </c>
      <c r="C9" s="12" t="s">
        <v>6</v>
      </c>
      <c r="D9" s="12" t="s">
        <v>8</v>
      </c>
      <c r="E9" s="12" t="s">
        <v>7</v>
      </c>
      <c r="F9" s="11" t="s">
        <v>6</v>
      </c>
    </row>
    <row r="10" spans="1:7" x14ac:dyDescent="0.2">
      <c r="A10" t="s">
        <v>54</v>
      </c>
      <c r="B10" s="6">
        <v>1.5299999999999999E-2</v>
      </c>
      <c r="C10" s="6">
        <v>4.5999999999999999E-3</v>
      </c>
      <c r="D10" s="6">
        <f>C10*B10</f>
        <v>7.038E-5</v>
      </c>
      <c r="E10" s="34">
        <v>0.24849452</v>
      </c>
      <c r="F10" s="6">
        <f>D10*(1-E10)</f>
        <v>5.2890955682400008E-5</v>
      </c>
    </row>
    <row r="11" spans="1:7" x14ac:dyDescent="0.2">
      <c r="A11" t="s">
        <v>55</v>
      </c>
      <c r="B11" s="6">
        <v>0.45340000000000003</v>
      </c>
      <c r="C11" s="6">
        <v>4.0399999999999998E-2</v>
      </c>
      <c r="D11" s="6">
        <f>B11*C11</f>
        <v>1.8317360000000001E-2</v>
      </c>
      <c r="E11" s="34">
        <f>E10</f>
        <v>0.24849452</v>
      </c>
      <c r="F11" s="6">
        <f>D11*(1-E11)</f>
        <v>1.3765596419132803E-2</v>
      </c>
    </row>
    <row r="12" spans="1:7" x14ac:dyDescent="0.2">
      <c r="A12" t="s">
        <v>5</v>
      </c>
      <c r="B12" s="8">
        <v>0.53129999999999999</v>
      </c>
      <c r="C12" s="8">
        <v>9.425E-2</v>
      </c>
      <c r="D12" s="8">
        <f>B12*C12</f>
        <v>5.0075025000000002E-2</v>
      </c>
      <c r="E12" s="34"/>
      <c r="F12" s="7">
        <f>D12/(1-E12)</f>
        <v>5.0075025000000002E-2</v>
      </c>
    </row>
    <row r="13" spans="1:7" x14ac:dyDescent="0.2">
      <c r="D13" s="3">
        <f>SUM(D10:D12)</f>
        <v>6.8462765000000009E-2</v>
      </c>
      <c r="F13" s="3">
        <f>SUM(F10:F12)</f>
        <v>6.3893512374815206E-2</v>
      </c>
    </row>
    <row r="15" spans="1:7" x14ac:dyDescent="0.2">
      <c r="B15" s="74" t="s">
        <v>4</v>
      </c>
      <c r="C15" s="74"/>
      <c r="D15" s="74"/>
      <c r="E15" s="74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234</v>
      </c>
      <c r="C18" s="5"/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5"/>
    </row>
    <row r="54" spans="2:7" x14ac:dyDescent="0.2">
      <c r="G54" s="25"/>
    </row>
  </sheetData>
  <dataConsolidate/>
  <mergeCells count="1">
    <mergeCell ref="B15:E15"/>
  </mergeCells>
  <pageMargins left="0.7" right="0.7" top="0.75" bottom="0.75" header="0.3" footer="0.3"/>
  <pageSetup fitToWidth="2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G54"/>
  <sheetViews>
    <sheetView zoomScaleNormal="100" zoomScaleSheetLayoutView="100" workbookViewId="0"/>
  </sheetViews>
  <sheetFormatPr defaultRowHeight="12.75" x14ac:dyDescent="0.2"/>
  <cols>
    <col min="1" max="1" width="18.5703125" customWidth="1"/>
    <col min="2" max="2" width="13.140625" customWidth="1"/>
    <col min="4" max="4" width="9.7109375" bestFit="1" customWidth="1"/>
    <col min="5" max="5" width="12.5703125" customWidth="1"/>
    <col min="6" max="6" width="10.28515625" customWidth="1"/>
  </cols>
  <sheetData>
    <row r="1" spans="1:7" ht="15" x14ac:dyDescent="0.2">
      <c r="A1" s="14" t="s">
        <v>53</v>
      </c>
      <c r="G1" s="23"/>
    </row>
    <row r="2" spans="1:7" x14ac:dyDescent="0.2">
      <c r="A2" s="2" t="s">
        <v>48</v>
      </c>
      <c r="G2" s="4"/>
    </row>
    <row r="3" spans="1:7" x14ac:dyDescent="0.2">
      <c r="A3" s="2"/>
      <c r="G3" s="24"/>
    </row>
    <row r="4" spans="1:7" x14ac:dyDescent="0.2">
      <c r="F4" s="24"/>
    </row>
    <row r="7" spans="1:7" x14ac:dyDescent="0.2">
      <c r="A7" s="14" t="s">
        <v>12</v>
      </c>
    </row>
    <row r="8" spans="1:7" x14ac:dyDescent="0.2">
      <c r="B8" s="14"/>
      <c r="C8" s="14"/>
      <c r="D8" s="13" t="s">
        <v>11</v>
      </c>
      <c r="F8" s="13" t="s">
        <v>10</v>
      </c>
    </row>
    <row r="9" spans="1:7" x14ac:dyDescent="0.2">
      <c r="B9" s="12" t="s">
        <v>9</v>
      </c>
      <c r="C9" s="12" t="s">
        <v>6</v>
      </c>
      <c r="D9" s="12" t="s">
        <v>8</v>
      </c>
      <c r="E9" s="12" t="s">
        <v>7</v>
      </c>
      <c r="F9" s="11" t="s">
        <v>6</v>
      </c>
    </row>
    <row r="10" spans="1:7" x14ac:dyDescent="0.2">
      <c r="A10" t="s">
        <v>54</v>
      </c>
      <c r="B10" s="33">
        <f>WACOC!B30</f>
        <v>2.0903494648011875E-2</v>
      </c>
      <c r="C10" s="33">
        <f>WACOC!C30</f>
        <v>4.5999999999999999E-3</v>
      </c>
      <c r="D10" s="36">
        <f>B10*C10</f>
        <v>9.6156075380854627E-5</v>
      </c>
      <c r="E10" s="36">
        <f>WACOC!B38</f>
        <v>0.24840565995390054</v>
      </c>
      <c r="F10" s="33">
        <f>D10*(1-E10)</f>
        <v>7.2270362017296428E-5</v>
      </c>
    </row>
    <row r="11" spans="1:7" x14ac:dyDescent="0.2">
      <c r="A11" t="s">
        <v>55</v>
      </c>
      <c r="B11" s="33">
        <f>WACOC!B31</f>
        <v>0.44776873481613277</v>
      </c>
      <c r="C11" s="33">
        <f>WACOC!C31</f>
        <v>4.0399999999999998E-2</v>
      </c>
      <c r="D11" s="33">
        <f>B11*C11</f>
        <v>1.8089856886571762E-2</v>
      </c>
      <c r="E11" s="36">
        <f>E10</f>
        <v>0.24840565995390054</v>
      </c>
      <c r="F11" s="33">
        <f>D11*(1-E11)</f>
        <v>1.3596234048191292E-2</v>
      </c>
    </row>
    <row r="12" spans="1:7" x14ac:dyDescent="0.2">
      <c r="A12" t="s">
        <v>5</v>
      </c>
      <c r="B12" s="35">
        <f>WACOC!B32</f>
        <v>0.53132777053585523</v>
      </c>
      <c r="C12" s="35">
        <f>WACOC!C32</f>
        <v>9.4250000000000014E-2</v>
      </c>
      <c r="D12" s="35">
        <f>B12*C12</f>
        <v>5.0077642373004362E-2</v>
      </c>
      <c r="E12" s="36"/>
      <c r="F12" s="35">
        <f>D12/(1-E12)</f>
        <v>5.0077642373004362E-2</v>
      </c>
    </row>
    <row r="13" spans="1:7" x14ac:dyDescent="0.2">
      <c r="A13" s="31"/>
      <c r="B13" s="31"/>
      <c r="C13" s="31"/>
      <c r="D13" s="34">
        <f>SUM(D10:D12)</f>
        <v>6.8263655334956985E-2</v>
      </c>
      <c r="E13" s="31"/>
      <c r="F13" s="34">
        <f>SUM(F10:F12)</f>
        <v>6.3746146783212942E-2</v>
      </c>
    </row>
    <row r="15" spans="1:7" x14ac:dyDescent="0.2">
      <c r="B15" s="74" t="s">
        <v>4</v>
      </c>
      <c r="C15" s="74"/>
      <c r="D15" s="74"/>
      <c r="E15" s="74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5"/>
    </row>
    <row r="54" spans="2:7" x14ac:dyDescent="0.2">
      <c r="G54" s="25"/>
    </row>
  </sheetData>
  <mergeCells count="1">
    <mergeCell ref="B15:E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1C3F-63DB-4DA8-8BD6-60B98029BCBF}">
  <sheetPr>
    <tabColor rgb="FF00B050"/>
    <pageSetUpPr fitToPage="1"/>
  </sheetPr>
  <dimension ref="A1:J38"/>
  <sheetViews>
    <sheetView zoomScaleNormal="100" workbookViewId="0">
      <selection sqref="A1:D1"/>
    </sheetView>
  </sheetViews>
  <sheetFormatPr defaultColWidth="8.85546875" defaultRowHeight="15" x14ac:dyDescent="0.25"/>
  <cols>
    <col min="1" max="1" width="24.140625" style="38" customWidth="1"/>
    <col min="2" max="4" width="17.5703125" style="38" customWidth="1"/>
    <col min="5" max="5" width="8.85546875" style="38"/>
    <col min="6" max="6" width="16.5703125" style="38" bestFit="1" customWidth="1"/>
    <col min="7" max="7" width="16.7109375" style="38" customWidth="1"/>
    <col min="8" max="8" width="18" style="38" bestFit="1" customWidth="1"/>
    <col min="9" max="9" width="9" style="38" bestFit="1" customWidth="1"/>
    <col min="10" max="10" width="14.7109375" style="38" bestFit="1" customWidth="1"/>
    <col min="11" max="16384" width="8.85546875" style="38"/>
  </cols>
  <sheetData>
    <row r="1" spans="1:8" ht="15.75" x14ac:dyDescent="0.25">
      <c r="A1" s="75" t="s">
        <v>56</v>
      </c>
      <c r="B1" s="75"/>
      <c r="C1" s="75"/>
      <c r="D1" s="75"/>
    </row>
    <row r="2" spans="1:8" ht="15.75" x14ac:dyDescent="0.25">
      <c r="A2" s="76" t="s">
        <v>57</v>
      </c>
      <c r="B2" s="76"/>
      <c r="C2" s="76"/>
      <c r="D2" s="76"/>
    </row>
    <row r="3" spans="1:8" ht="15.75" x14ac:dyDescent="0.25">
      <c r="A3" s="39"/>
      <c r="B3" s="39"/>
      <c r="C3" s="39"/>
      <c r="D3" s="39"/>
    </row>
    <row r="4" spans="1:8" ht="15.75" x14ac:dyDescent="0.25">
      <c r="A4" s="39"/>
      <c r="B4" s="39"/>
      <c r="C4" s="39"/>
      <c r="D4" s="39"/>
    </row>
    <row r="5" spans="1:8" ht="16.5" thickBot="1" x14ac:dyDescent="0.3">
      <c r="A5" s="39"/>
      <c r="B5" s="39"/>
      <c r="C5" s="39"/>
      <c r="D5" s="39"/>
    </row>
    <row r="6" spans="1:8" ht="15.75" thickBot="1" x14ac:dyDescent="0.3">
      <c r="A6" s="77" t="s">
        <v>58</v>
      </c>
      <c r="B6" s="78"/>
      <c r="C6" s="78"/>
      <c r="D6" s="79"/>
    </row>
    <row r="7" spans="1:8" x14ac:dyDescent="0.25">
      <c r="A7" s="40"/>
      <c r="D7" s="41" t="s">
        <v>11</v>
      </c>
    </row>
    <row r="8" spans="1:8" x14ac:dyDescent="0.25">
      <c r="B8" s="40"/>
      <c r="C8" s="40"/>
      <c r="D8" s="41" t="s">
        <v>59</v>
      </c>
    </row>
    <row r="9" spans="1:8" ht="15.75" thickBot="1" x14ac:dyDescent="0.3">
      <c r="A9" s="42" t="s">
        <v>60</v>
      </c>
      <c r="B9" s="43" t="s">
        <v>9</v>
      </c>
      <c r="C9" s="43" t="s">
        <v>6</v>
      </c>
      <c r="D9" s="43" t="s">
        <v>61</v>
      </c>
    </row>
    <row r="10" spans="1:8" x14ac:dyDescent="0.25">
      <c r="A10" s="38" t="s">
        <v>67</v>
      </c>
      <c r="B10" s="44">
        <f>'KU WACOC-Tax Table'!B10</f>
        <v>2.4549999999999999E-2</v>
      </c>
      <c r="C10" s="44">
        <f>'KU WACOC-Tax Table'!C10</f>
        <v>4.5999999999999999E-3</v>
      </c>
      <c r="D10" s="52">
        <f>C10*B10</f>
        <v>1.1292999999999999E-4</v>
      </c>
      <c r="F10" s="56">
        <v>130691964.91929673</v>
      </c>
      <c r="G10" s="45">
        <f>F10*C10</f>
        <v>601183.03862876492</v>
      </c>
      <c r="H10" s="45"/>
    </row>
    <row r="11" spans="1:8" x14ac:dyDescent="0.25">
      <c r="A11" s="38" t="s">
        <v>62</v>
      </c>
      <c r="B11" s="44">
        <f>'KU WACOC-Tax Table'!B11</f>
        <v>0.44407000000000002</v>
      </c>
      <c r="C11" s="44">
        <f>'KU WACOC-Tax Table'!C11</f>
        <v>4.0399999999999998E-2</v>
      </c>
      <c r="D11" s="52">
        <f>B11*C11</f>
        <v>1.7940428000000001E-2</v>
      </c>
      <c r="F11" s="56">
        <v>2363551548.3790774</v>
      </c>
      <c r="G11" s="45">
        <f t="shared" ref="G11:G12" si="0">F11*C11</f>
        <v>95487482.554514721</v>
      </c>
      <c r="H11" s="45"/>
    </row>
    <row r="12" spans="1:8" ht="15.75" thickBot="1" x14ac:dyDescent="0.3">
      <c r="A12" s="38" t="s">
        <v>5</v>
      </c>
      <c r="B12" s="46">
        <f>'KU WACOC-Tax Table'!B12</f>
        <v>0.53137000000000001</v>
      </c>
      <c r="C12" s="46">
        <f>'KU WACOC-Tax Table'!C12</f>
        <v>9.425E-2</v>
      </c>
      <c r="D12" s="53">
        <f>B12*C12</f>
        <v>5.0081622499999999E-2</v>
      </c>
      <c r="F12" s="56">
        <v>2828180486.0401421</v>
      </c>
      <c r="G12" s="45">
        <f t="shared" si="0"/>
        <v>266556010.80928338</v>
      </c>
      <c r="H12" s="45"/>
    </row>
    <row r="13" spans="1:8" x14ac:dyDescent="0.25">
      <c r="B13" s="47"/>
      <c r="C13" s="47"/>
      <c r="D13" s="52">
        <f>SUM(D10:D12)</f>
        <v>6.8134980499999998E-2</v>
      </c>
      <c r="F13" s="48">
        <f>SUM(F10:F12)</f>
        <v>5322423999.3385162</v>
      </c>
      <c r="G13" s="38">
        <f>((F13)/($F$13+$F$23))*D13</f>
        <v>4.116893518109381E-2</v>
      </c>
      <c r="H13" s="38">
        <f>((F12)/($F$12+$F$22))*B37</f>
        <v>0.15015902900614639</v>
      </c>
    </row>
    <row r="15" spans="1:8" ht="15.75" thickBot="1" x14ac:dyDescent="0.3"/>
    <row r="16" spans="1:8" ht="15.75" thickBot="1" x14ac:dyDescent="0.3">
      <c r="A16" s="77" t="s">
        <v>63</v>
      </c>
      <c r="B16" s="78"/>
      <c r="C16" s="78"/>
      <c r="D16" s="79"/>
    </row>
    <row r="17" spans="1:10" x14ac:dyDescent="0.25">
      <c r="A17" s="40"/>
      <c r="D17" s="41" t="s">
        <v>11</v>
      </c>
    </row>
    <row r="18" spans="1:10" x14ac:dyDescent="0.25">
      <c r="B18" s="40"/>
      <c r="C18" s="40"/>
      <c r="D18" s="41" t="s">
        <v>59</v>
      </c>
    </row>
    <row r="19" spans="1:10" ht="15.75" thickBot="1" x14ac:dyDescent="0.3">
      <c r="A19" s="42" t="s">
        <v>60</v>
      </c>
      <c r="B19" s="43" t="s">
        <v>9</v>
      </c>
      <c r="C19" s="43" t="s">
        <v>6</v>
      </c>
      <c r="D19" s="43" t="s">
        <v>61</v>
      </c>
    </row>
    <row r="20" spans="1:10" x14ac:dyDescent="0.25">
      <c r="A20" s="38" t="s">
        <v>67</v>
      </c>
      <c r="B20" s="44">
        <f>'LGE WACOC-Tax Table'!B10</f>
        <v>1.5299999999999999E-2</v>
      </c>
      <c r="C20" s="44">
        <f>'LGE WACOC-Tax Table'!C10</f>
        <v>4.5999999999999999E-3</v>
      </c>
      <c r="D20" s="44">
        <f>B20*C20</f>
        <v>7.038E-5</v>
      </c>
      <c r="F20" s="56">
        <v>53439864.461437233</v>
      </c>
      <c r="G20" s="48">
        <f>F20*C20</f>
        <v>245823.37652261127</v>
      </c>
      <c r="H20" s="45"/>
    </row>
    <row r="21" spans="1:10" x14ac:dyDescent="0.25">
      <c r="A21" s="38" t="s">
        <v>62</v>
      </c>
      <c r="B21" s="44">
        <f>'LGE WACOC-Tax Table'!B11</f>
        <v>0.45340000000000003</v>
      </c>
      <c r="C21" s="44">
        <f>'LGE WACOC-Tax Table'!C11</f>
        <v>4.0399999999999998E-2</v>
      </c>
      <c r="D21" s="44">
        <f>B21*C21</f>
        <v>1.8317360000000001E-2</v>
      </c>
      <c r="F21" s="56">
        <v>1580692113.7223177</v>
      </c>
      <c r="G21" s="48">
        <f t="shared" ref="G21:G22" si="1">F21*C21</f>
        <v>63859961.394381635</v>
      </c>
      <c r="H21" s="45"/>
    </row>
    <row r="22" spans="1:10" ht="15.75" thickBot="1" x14ac:dyDescent="0.3">
      <c r="A22" s="38" t="s">
        <v>5</v>
      </c>
      <c r="B22" s="46">
        <f>'LGE WACOC-Tax Table'!B12</f>
        <v>0.53129999999999999</v>
      </c>
      <c r="C22" s="46">
        <f>'LGE WACOC-Tax Table'!C12</f>
        <v>9.425E-2</v>
      </c>
      <c r="D22" s="46">
        <f>B22*C22</f>
        <v>5.0075025000000002E-2</v>
      </c>
      <c r="F22" s="56">
        <v>1852106520.3652139</v>
      </c>
      <c r="G22" s="48">
        <f t="shared" si="1"/>
        <v>174561039.5444214</v>
      </c>
      <c r="H22" s="45"/>
    </row>
    <row r="23" spans="1:10" x14ac:dyDescent="0.25">
      <c r="D23" s="49">
        <f>SUM(D20:D22)</f>
        <v>6.8462765000000009E-2</v>
      </c>
      <c r="F23" s="48">
        <f>SUM(F20:F22)</f>
        <v>3486238498.5489688</v>
      </c>
      <c r="G23" s="38">
        <f>((F23)/($F$13+$F$23))*D23</f>
        <v>2.7095773860940992E-2</v>
      </c>
      <c r="H23" s="38">
        <f>((F22)/($F$12+$F$22))*B36</f>
        <v>9.8246630947754154E-2</v>
      </c>
    </row>
    <row r="24" spans="1:10" x14ac:dyDescent="0.25">
      <c r="G24" s="50"/>
    </row>
    <row r="25" spans="1:10" ht="15.75" thickBot="1" x14ac:dyDescent="0.3"/>
    <row r="26" spans="1:10" ht="15.75" thickBot="1" x14ac:dyDescent="0.3">
      <c r="A26" s="77" t="s">
        <v>64</v>
      </c>
      <c r="B26" s="78"/>
      <c r="C26" s="78"/>
      <c r="D26" s="79"/>
    </row>
    <row r="27" spans="1:10" x14ac:dyDescent="0.25">
      <c r="A27" s="40"/>
      <c r="D27" s="41" t="s">
        <v>11</v>
      </c>
    </row>
    <row r="28" spans="1:10" x14ac:dyDescent="0.25">
      <c r="B28" s="40"/>
      <c r="C28" s="40"/>
      <c r="D28" s="41" t="s">
        <v>59</v>
      </c>
    </row>
    <row r="29" spans="1:10" ht="15.75" thickBot="1" x14ac:dyDescent="0.3">
      <c r="A29" s="42" t="s">
        <v>60</v>
      </c>
      <c r="B29" s="43" t="s">
        <v>9</v>
      </c>
      <c r="C29" s="43" t="s">
        <v>6</v>
      </c>
      <c r="D29" s="43" t="s">
        <v>61</v>
      </c>
    </row>
    <row r="30" spans="1:10" x14ac:dyDescent="0.25">
      <c r="A30" s="38" t="s">
        <v>67</v>
      </c>
      <c r="B30" s="52">
        <f>F30/$F$33</f>
        <v>2.0903494648011875E-2</v>
      </c>
      <c r="C30" s="52">
        <f>H30/F30</f>
        <v>4.5999999999999999E-3</v>
      </c>
      <c r="D30" s="44">
        <f>B30*C30</f>
        <v>9.6156075380854627E-5</v>
      </c>
      <c r="F30" s="48">
        <f>F20+F10</f>
        <v>184131829.38073397</v>
      </c>
      <c r="G30" s="51">
        <f>F30/$F$33</f>
        <v>2.0903494648011875E-2</v>
      </c>
      <c r="H30" s="48">
        <f>G10+G20</f>
        <v>847006.41515137616</v>
      </c>
      <c r="I30" s="38">
        <f>H30/F30</f>
        <v>4.5999999999999999E-3</v>
      </c>
      <c r="J30" s="38">
        <f>G30*I30</f>
        <v>9.6156075380854627E-5</v>
      </c>
    </row>
    <row r="31" spans="1:10" x14ac:dyDescent="0.25">
      <c r="A31" s="38" t="s">
        <v>62</v>
      </c>
      <c r="B31" s="52">
        <f>F31/$F$33</f>
        <v>0.44776873481613277</v>
      </c>
      <c r="C31" s="52">
        <f>H31/F31</f>
        <v>4.0399999999999998E-2</v>
      </c>
      <c r="D31" s="44">
        <f>B31*C31</f>
        <v>1.8089856886571762E-2</v>
      </c>
      <c r="F31" s="48">
        <f t="shared" ref="F31:F32" si="2">F21+F11</f>
        <v>3944243662.1013951</v>
      </c>
      <c r="G31" s="51">
        <f t="shared" ref="G31:G32" si="3">F31/$F$33</f>
        <v>0.44776873481613277</v>
      </c>
      <c r="H31" s="48">
        <f t="shared" ref="H31:H32" si="4">G11+G21</f>
        <v>159347443.94889635</v>
      </c>
      <c r="I31" s="38">
        <f t="shared" ref="I31:I32" si="5">H31/F31</f>
        <v>4.0399999999999998E-2</v>
      </c>
      <c r="J31" s="38">
        <f t="shared" ref="J31:J32" si="6">G31*I31</f>
        <v>1.8089856886571762E-2</v>
      </c>
    </row>
    <row r="32" spans="1:10" ht="15.75" thickBot="1" x14ac:dyDescent="0.3">
      <c r="A32" s="38" t="s">
        <v>5</v>
      </c>
      <c r="B32" s="53">
        <f>F32/$F$33</f>
        <v>0.53132777053585523</v>
      </c>
      <c r="C32" s="53">
        <f>H32/F32</f>
        <v>9.4250000000000014E-2</v>
      </c>
      <c r="D32" s="46">
        <f>B32*C32</f>
        <v>5.0077642373004362E-2</v>
      </c>
      <c r="F32" s="48">
        <f t="shared" si="2"/>
        <v>4680287006.4053555</v>
      </c>
      <c r="G32" s="51">
        <f t="shared" si="3"/>
        <v>0.53132777053585523</v>
      </c>
      <c r="H32" s="48">
        <f t="shared" si="4"/>
        <v>441117050.35370481</v>
      </c>
      <c r="I32" s="38">
        <f t="shared" si="5"/>
        <v>9.4250000000000014E-2</v>
      </c>
      <c r="J32" s="38">
        <f t="shared" si="6"/>
        <v>5.0077642373004362E-2</v>
      </c>
    </row>
    <row r="33" spans="1:10" x14ac:dyDescent="0.25">
      <c r="B33" s="49">
        <f>SUM(B30:B32)</f>
        <v>0.99999999999999989</v>
      </c>
      <c r="D33" s="49">
        <f>SUM(D30:D32)</f>
        <v>6.8263655334956985E-2</v>
      </c>
      <c r="F33" s="48">
        <f>SUM(F30:F32)</f>
        <v>8808662497.8874855</v>
      </c>
      <c r="G33" s="54">
        <f>SUM(G30:G32)</f>
        <v>0.99999999999999989</v>
      </c>
      <c r="J33" s="38">
        <f>SUM(J30:J32)</f>
        <v>6.8263655334956985E-2</v>
      </c>
    </row>
    <row r="35" spans="1:10" x14ac:dyDescent="0.25">
      <c r="A35" s="38" t="s">
        <v>65</v>
      </c>
    </row>
    <row r="36" spans="1:10" x14ac:dyDescent="0.25">
      <c r="A36" s="38" t="s">
        <v>51</v>
      </c>
      <c r="B36" s="52">
        <f>'KU WACOC-Tax Table'!E10</f>
        <v>0.24826997000000001</v>
      </c>
    </row>
    <row r="37" spans="1:10" x14ac:dyDescent="0.25">
      <c r="A37" s="38" t="s">
        <v>52</v>
      </c>
      <c r="B37" s="52">
        <f>'LGE WACOC-Tax Table'!E10</f>
        <v>0.24849452</v>
      </c>
    </row>
    <row r="38" spans="1:10" x14ac:dyDescent="0.25">
      <c r="A38" s="38" t="s">
        <v>66</v>
      </c>
      <c r="B38" s="52">
        <f>SUM(H13:H23)</f>
        <v>0.24840565995390054</v>
      </c>
    </row>
  </sheetData>
  <mergeCells count="5">
    <mergeCell ref="A1:D1"/>
    <mergeCell ref="A2:D2"/>
    <mergeCell ref="A6:D6"/>
    <mergeCell ref="A16:D16"/>
    <mergeCell ref="A26:D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DR07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022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33C9B600-237B-4759-A406-1168AB9C9A39}"/>
</file>

<file path=customXml/itemProps2.xml><?xml version="1.0" encoding="utf-8"?>
<ds:datastoreItem xmlns:ds="http://schemas.openxmlformats.org/officeDocument/2006/customXml" ds:itemID="{7E097E68-9096-4221-BD9F-747B2A1652C6}"/>
</file>

<file path=customXml/itemProps3.xml><?xml version="1.0" encoding="utf-8"?>
<ds:datastoreItem xmlns:ds="http://schemas.openxmlformats.org/officeDocument/2006/customXml" ds:itemID="{F26B7A02-9C2B-4870-B02C-E3D25840260A}"/>
</file>

<file path=customXml/itemProps4.xml><?xml version="1.0" encoding="utf-8"?>
<ds:datastoreItem xmlns:ds="http://schemas.openxmlformats.org/officeDocument/2006/customXml" ds:itemID="{3AFEA025-35E3-4D32-9171-35BE3CB7D11B}"/>
</file>

<file path=customXml/itemProps5.xml><?xml version="1.0" encoding="utf-8"?>
<ds:datastoreItem xmlns:ds="http://schemas.openxmlformats.org/officeDocument/2006/customXml" ds:itemID="{E28F50EF-652C-40E2-84E6-B4AA8AA93C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Transmission Avoided Cap Cost</vt:lpstr>
      <vt:lpstr>KU  PVRR</vt:lpstr>
      <vt:lpstr>KU WACOC-Tax Table</vt:lpstr>
      <vt:lpstr>LGE PVRR</vt:lpstr>
      <vt:lpstr>LGE WACOC-Tax Table</vt:lpstr>
      <vt:lpstr>Combined WACOC-Tax Table</vt:lpstr>
      <vt:lpstr>WACOC</vt:lpstr>
      <vt:lpstr>'KU  PVRR'!Print_Area</vt:lpstr>
      <vt:lpstr>'KU WACOC-Tax Table'!Print_Area</vt:lpstr>
      <vt:lpstr>'LGE PVRR'!Print_Area</vt:lpstr>
      <vt:lpstr>'LGE WACOC-Tax Table'!Print_Area</vt:lpstr>
      <vt:lpstr>'Transmission Avoided Cap Cost'!Print_Area</vt:lpstr>
      <vt:lpstr>WACOC!Print_Area</vt:lpstr>
      <vt:lpstr>'KU  PVRR'!Print_Titles</vt:lpstr>
      <vt:lpstr>'LGE PVRR'!Print_Titles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2021-07-28T20:33:26Z</dcterms:created>
  <dcterms:modified xsi:type="dcterms:W3CDTF">2021-07-28T20:33:29Z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